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showInkAnnotation="0" defaultThemeVersion="124226"/>
  <mc:AlternateContent xmlns:mc="http://schemas.openxmlformats.org/markup-compatibility/2006">
    <mc:Choice Requires="x15">
      <x15ac:absPath xmlns:x15ac="http://schemas.microsoft.com/office/spreadsheetml/2010/11/ac" url="https://d.docs.live.net/d55e916249d8decc/Documents/Udesa/03 Cuatrimestre/Contabilidad/TUTORIALES/Guia/"/>
    </mc:Choice>
  </mc:AlternateContent>
  <xr:revisionPtr revIDLastSave="224" documentId="8_{FD413460-F1FD-FB41-9128-00F4CA1BB5DD}" xr6:coauthVersionLast="47" xr6:coauthVersionMax="47" xr10:uidLastSave="{D0C4D5D6-CA2A-4D08-B4B9-F35AD0503258}"/>
  <bookViews>
    <workbookView minimized="1" xWindow="528" yWindow="0" windowWidth="19872" windowHeight="12336" tabRatio="763" firstSheet="3" activeTab="3" xr2:uid="{00000000-000D-0000-FFFF-FFFF00000000}"/>
  </bookViews>
  <sheets>
    <sheet name="Indice" sheetId="39" r:id="rId1"/>
    <sheet name="U2" sheetId="29" r:id="rId2"/>
    <sheet name="Hoja1" sheetId="44" r:id="rId3"/>
    <sheet name="U3" sheetId="30" r:id="rId4"/>
    <sheet name="U4" sheetId="31" r:id="rId5"/>
    <sheet name="Verde" sheetId="32" state="hidden" r:id="rId6"/>
    <sheet name="Azul" sheetId="33" state="hidden" r:id="rId7"/>
    <sheet name="Violeta" sheetId="34" state="hidden" r:id="rId8"/>
    <sheet name="U5" sheetId="43" r:id="rId9"/>
    <sheet name="Hoja2" sheetId="45" r:id="rId10"/>
    <sheet name="U6.1" sheetId="35" r:id="rId11"/>
    <sheet name="U6.2" sheetId="36" r:id="rId12"/>
    <sheet name="Seul" sheetId="37" state="hidden" r:id="rId13"/>
    <sheet name="HongKong" sheetId="38" state="hidden" r:id="rId14"/>
    <sheet name="U7.1" sheetId="1" r:id="rId15"/>
    <sheet name="Surf" sheetId="11" state="hidden" r:id="rId16"/>
    <sheet name="Polo" sheetId="12" state="hidden" r:id="rId17"/>
    <sheet name="U7.2" sheetId="13" r:id="rId18"/>
    <sheet name="Balances CostoProd" sheetId="14" state="hidden" r:id="rId19"/>
    <sheet name="U8.1" sheetId="15" r:id="rId20"/>
    <sheet name="EEPN" sheetId="16" state="hidden" r:id="rId21"/>
    <sheet name="U8-3y4" sheetId="17" r:id="rId22"/>
    <sheet name="Patagonia" sheetId="18" state="hidden" r:id="rId23"/>
    <sheet name="Puna" sheetId="19" state="hidden" r:id="rId24"/>
    <sheet name="U8-2y5" sheetId="20" r:id="rId25"/>
    <sheet name="Chacarera" sheetId="21" state="hidden" r:id="rId26"/>
    <sheet name="Chamame" sheetId="22" state="hidden" r:id="rId27"/>
    <sheet name="Carnavalito" sheetId="23" state="hidden" r:id="rId28"/>
    <sheet name="Zamba" sheetId="24" state="hidden" r:id="rId29"/>
    <sheet name="U9" sheetId="25" r:id="rId30"/>
    <sheet name="Elefantes" sheetId="42" state="hidden" r:id="rId31"/>
    <sheet name="MAMUT" sheetId="40" state="hidden" r:id="rId32"/>
    <sheet name="Hipopótamos" sheetId="26" state="hidden" r:id="rId33"/>
    <sheet name="Rinocerontes" sheetId="27" state="hidden" r:id="rId34"/>
    <sheet name="Bisontes" sheetId="28" state="hidden" r:id="rId35"/>
  </sheets>
  <definedNames>
    <definedName name="_xlnm._FilterDatabase" localSheetId="2" hidden="1">Hoja1!$A$1:$J$3</definedName>
    <definedName name="_xlnm._FilterDatabase" localSheetId="12" hidden="1">Seul!$B$4:$D$11</definedName>
    <definedName name="_xlnm._FilterDatabase" localSheetId="10" hidden="1">'U6.1'!#REF!</definedName>
    <definedName name="_xlnm._FilterDatabase" localSheetId="11" hidden="1">'U6.2'!$C$599:$L$784</definedName>
    <definedName name="_xlnm._FilterDatabase" localSheetId="29" hidden="1">'U9'!$C$505:$P$556</definedName>
    <definedName name="_xlnm.Print_Area" localSheetId="12">Seul!$A$1:$F$14</definedName>
    <definedName name="_xlnm.Print_Area" localSheetId="10">'U6.1'!$A$1:$Q$564</definedName>
    <definedName name="_xlnm.Print_Area" localSheetId="7">Violeta!$A$1:$R$35</definedName>
    <definedName name="_xlnm.Print_Area" localSheetId="28">Zamba!$A$1:$E$21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71" i="43" l="1"/>
  <c r="O65" i="43"/>
  <c r="P65" i="43"/>
  <c r="O63" i="43"/>
  <c r="N63" i="43"/>
  <c r="E46" i="43"/>
  <c r="E47" i="43" s="1"/>
  <c r="F46" i="43"/>
  <c r="F47" i="43" s="1"/>
  <c r="G46" i="43"/>
  <c r="G47" i="43" s="1"/>
  <c r="H46" i="43"/>
  <c r="H47" i="43" s="1"/>
  <c r="E48" i="43"/>
  <c r="G48" i="43"/>
  <c r="H48" i="43"/>
  <c r="R9" i="44"/>
  <c r="L3" i="44"/>
  <c r="R6" i="44"/>
  <c r="R5" i="44"/>
  <c r="R2" i="44"/>
  <c r="R1" i="44"/>
  <c r="L1" i="44"/>
  <c r="L15" i="44"/>
  <c r="L12" i="44"/>
  <c r="L13" i="44"/>
  <c r="L8" i="44"/>
  <c r="L7" i="44"/>
  <c r="L6" i="44"/>
  <c r="L4" i="44"/>
  <c r="L2" i="44"/>
  <c r="F30" i="44"/>
  <c r="G30" i="44"/>
  <c r="H30" i="44"/>
  <c r="I30" i="44"/>
  <c r="J30" i="44"/>
  <c r="E30" i="44"/>
  <c r="V127" i="43"/>
  <c r="L127" i="43"/>
  <c r="V126" i="43"/>
  <c r="Q126" i="43"/>
  <c r="Q124" i="43"/>
  <c r="Q123" i="43"/>
  <c r="Q125" i="43" s="1"/>
  <c r="T120" i="43"/>
  <c r="O120" i="43"/>
  <c r="J120" i="43"/>
  <c r="E120" i="43"/>
  <c r="Q119" i="43"/>
  <c r="O119" i="43"/>
  <c r="O121" i="43" s="1"/>
  <c r="G119" i="43"/>
  <c r="E119" i="43"/>
  <c r="E121" i="43" s="1"/>
  <c r="V116" i="43"/>
  <c r="L116" i="43"/>
  <c r="V115" i="43"/>
  <c r="Q115" i="43"/>
  <c r="V113" i="43"/>
  <c r="V124" i="43" s="1"/>
  <c r="Q113" i="43"/>
  <c r="L113" i="43"/>
  <c r="L124" i="43" s="1"/>
  <c r="G113" i="43"/>
  <c r="G124" i="43" s="1"/>
  <c r="V112" i="43"/>
  <c r="V123" i="43" s="1"/>
  <c r="V125" i="43" s="1"/>
  <c r="V128" i="43" s="1"/>
  <c r="V120" i="43" s="1"/>
  <c r="Q112" i="43"/>
  <c r="Q114" i="43" s="1"/>
  <c r="Q117" i="43" s="1"/>
  <c r="Q109" i="43" s="1"/>
  <c r="Q110" i="43" s="1"/>
  <c r="L112" i="43"/>
  <c r="L123" i="43" s="1"/>
  <c r="L125" i="43" s="1"/>
  <c r="L128" i="43" s="1"/>
  <c r="L120" i="43" s="1"/>
  <c r="G112" i="43"/>
  <c r="G123" i="43" s="1"/>
  <c r="G125" i="43" s="1"/>
  <c r="G128" i="43" s="1"/>
  <c r="G120" i="43" s="1"/>
  <c r="T109" i="43"/>
  <c r="O109" i="43"/>
  <c r="J109" i="43"/>
  <c r="E109" i="43"/>
  <c r="E110" i="43" s="1"/>
  <c r="V108" i="43"/>
  <c r="V119" i="43" s="1"/>
  <c r="T108" i="43"/>
  <c r="T119" i="43" s="1"/>
  <c r="T121" i="43" s="1"/>
  <c r="O108" i="43"/>
  <c r="L108" i="43"/>
  <c r="L119" i="43" s="1"/>
  <c r="L121" i="43" s="1"/>
  <c r="J108" i="43"/>
  <c r="J119" i="43" s="1"/>
  <c r="J121" i="43" s="1"/>
  <c r="E108" i="43"/>
  <c r="V105" i="43"/>
  <c r="T105" i="43"/>
  <c r="Q105" i="43"/>
  <c r="O105" i="43"/>
  <c r="L105" i="43"/>
  <c r="J105" i="43"/>
  <c r="G105" i="43"/>
  <c r="E105" i="43"/>
  <c r="D21" i="43"/>
  <c r="D16" i="43"/>
  <c r="F48" i="43" l="1"/>
  <c r="R7" i="44"/>
  <c r="L9" i="44"/>
  <c r="L14" i="44"/>
  <c r="L16" i="44" s="1"/>
  <c r="L5" i="44"/>
  <c r="R4" i="44"/>
  <c r="Q128" i="43"/>
  <c r="Q120" i="43" s="1"/>
  <c r="O110" i="43"/>
  <c r="Q121" i="43"/>
  <c r="V121" i="43"/>
  <c r="G121" i="43"/>
  <c r="L114" i="43"/>
  <c r="L117" i="43" s="1"/>
  <c r="L109" i="43" s="1"/>
  <c r="L110" i="43" s="1"/>
  <c r="J110" i="43"/>
  <c r="T110" i="43"/>
  <c r="G114" i="43"/>
  <c r="G117" i="43" s="1"/>
  <c r="G109" i="43" s="1"/>
  <c r="G110" i="43" s="1"/>
  <c r="V114" i="43"/>
  <c r="V117" i="43" s="1"/>
  <c r="V109" i="43" s="1"/>
  <c r="V110" i="43" s="1"/>
  <c r="R8" i="44" l="1"/>
  <c r="R10" i="44" s="1"/>
  <c r="L10" i="44"/>
  <c r="O453" i="36"/>
  <c r="O362" i="36"/>
  <c r="G362" i="36"/>
  <c r="M350" i="36"/>
  <c r="Y6" i="42" l="1"/>
  <c r="S11" i="42"/>
  <c r="U11" i="42"/>
  <c r="U16" i="42" s="1"/>
  <c r="U20" i="42" s="1"/>
  <c r="U22" i="42" s="1"/>
  <c r="U23" i="42" s="1"/>
  <c r="AD11" i="42"/>
  <c r="M20" i="42" s="1"/>
  <c r="K12" i="42"/>
  <c r="M12" i="42"/>
  <c r="AD12" i="42"/>
  <c r="AJ44" i="42" s="1"/>
  <c r="Z13" i="42"/>
  <c r="AD13" i="42" s="1"/>
  <c r="AD14" i="42"/>
  <c r="AJ45" i="42" s="1"/>
  <c r="S15" i="42"/>
  <c r="AA16" i="42"/>
  <c r="AI18" i="42"/>
  <c r="AI19" i="42"/>
  <c r="AJ19" i="42"/>
  <c r="G20" i="42"/>
  <c r="AI20" i="42"/>
  <c r="AI12" i="42" s="1"/>
  <c r="AJ20" i="42"/>
  <c r="AJ12" i="42" s="1"/>
  <c r="AI21" i="42"/>
  <c r="AB23" i="42"/>
  <c r="AJ23" i="42"/>
  <c r="AB24" i="42"/>
  <c r="AJ24" i="42"/>
  <c r="AB25" i="42"/>
  <c r="AJ18" i="42" s="1"/>
  <c r="AJ25" i="42"/>
  <c r="AB26" i="42"/>
  <c r="AJ26" i="42"/>
  <c r="E27" i="42"/>
  <c r="E29" i="42" s="1"/>
  <c r="E11" i="42" s="1"/>
  <c r="E14" i="42" s="1"/>
  <c r="G27" i="42"/>
  <c r="AJ10" i="42" s="1"/>
  <c r="AB27" i="42"/>
  <c r="AB28" i="42"/>
  <c r="AI28" i="42"/>
  <c r="AI42" i="42" s="1"/>
  <c r="AJ28" i="42"/>
  <c r="AJ42" i="42" s="1"/>
  <c r="Z29" i="42"/>
  <c r="S13" i="42" s="1"/>
  <c r="AA29" i="42"/>
  <c r="S14" i="42" s="1"/>
  <c r="AI29" i="42"/>
  <c r="AI34" i="42" s="1"/>
  <c r="AJ29" i="42"/>
  <c r="AJ34" i="42" s="1"/>
  <c r="AJ30" i="42"/>
  <c r="AJ35" i="42" s="1"/>
  <c r="E32" i="42"/>
  <c r="E36" i="42" s="1"/>
  <c r="E17" i="42" s="1"/>
  <c r="E20" i="42" s="1"/>
  <c r="AI35" i="42"/>
  <c r="AJ36" i="42"/>
  <c r="AI37" i="42"/>
  <c r="AJ37" i="42"/>
  <c r="AJ38" i="42"/>
  <c r="E44" i="42"/>
  <c r="S18" i="42" s="1"/>
  <c r="E47" i="42"/>
  <c r="AJ21" i="42" s="1"/>
  <c r="AI48" i="42"/>
  <c r="Z16" i="42" l="1"/>
  <c r="AB29" i="42"/>
  <c r="AJ39" i="42"/>
  <c r="E22" i="42"/>
  <c r="AJ11" i="42"/>
  <c r="AJ13" i="42" s="1"/>
  <c r="S16" i="42"/>
  <c r="E49" i="42"/>
  <c r="S19" i="42" s="1"/>
  <c r="G29" i="42"/>
  <c r="G11" i="42" s="1"/>
  <c r="G14" i="42" s="1"/>
  <c r="G22" i="42" s="1"/>
  <c r="M15" i="42" s="1"/>
  <c r="M780" i="25"/>
  <c r="M764" i="25"/>
  <c r="D787" i="25"/>
  <c r="T19" i="40"/>
  <c r="T21" i="40" s="1"/>
  <c r="T38" i="40"/>
  <c r="T37" i="40"/>
  <c r="S37" i="40"/>
  <c r="N35" i="40"/>
  <c r="L19" i="40" s="1"/>
  <c r="S35" i="40"/>
  <c r="D46" i="40"/>
  <c r="M763" i="25" s="1"/>
  <c r="N30" i="40"/>
  <c r="L15" i="40" s="1"/>
  <c r="L30" i="40"/>
  <c r="L14" i="40" s="1"/>
  <c r="F43" i="40"/>
  <c r="D43" i="40"/>
  <c r="D28" i="40" s="1"/>
  <c r="D29" i="40" s="1"/>
  <c r="T27" i="40"/>
  <c r="T35" i="40" s="1"/>
  <c r="T25" i="40"/>
  <c r="T24" i="40"/>
  <c r="T23" i="40"/>
  <c r="T22" i="40"/>
  <c r="Y18" i="40"/>
  <c r="Y21" i="40" s="1"/>
  <c r="F20" i="40"/>
  <c r="T18" i="40"/>
  <c r="F33" i="40"/>
  <c r="D18" i="40"/>
  <c r="D32" i="40"/>
  <c r="T36" i="40" s="1"/>
  <c r="N16" i="40"/>
  <c r="Z13" i="40"/>
  <c r="Z21" i="40" s="1"/>
  <c r="F15" i="40"/>
  <c r="D15" i="40"/>
  <c r="F28" i="40"/>
  <c r="F29" i="40" s="1"/>
  <c r="T12" i="40"/>
  <c r="T11" i="40"/>
  <c r="N11" i="40"/>
  <c r="N12" i="40" s="1"/>
  <c r="L11" i="40"/>
  <c r="L12" i="40" s="1"/>
  <c r="X7" i="40"/>
  <c r="X3" i="40"/>
  <c r="M16" i="42" l="1"/>
  <c r="M17" i="42" s="1"/>
  <c r="M22" i="42" s="1"/>
  <c r="S20" i="42"/>
  <c r="M765" i="25"/>
  <c r="N17" i="40"/>
  <c r="N20" i="40" s="1"/>
  <c r="F22" i="40"/>
  <c r="L17" i="40"/>
  <c r="L20" i="40" s="1"/>
  <c r="L37" i="40" s="1"/>
  <c r="T13" i="40"/>
  <c r="F34" i="40"/>
  <c r="F36" i="40" s="1"/>
  <c r="T39" i="40"/>
  <c r="D33" i="40"/>
  <c r="D34" i="40" s="1"/>
  <c r="S22" i="42" l="1"/>
  <c r="S23" i="42" s="1"/>
  <c r="T16" i="40"/>
  <c r="T28" i="40" s="1"/>
  <c r="AB20" i="40"/>
  <c r="AC20" i="40" s="1"/>
  <c r="AC11" i="40"/>
  <c r="F37" i="40"/>
  <c r="D36" i="40"/>
  <c r="AB15" i="42" l="1"/>
  <c r="AJ16" i="42"/>
  <c r="AJ31" i="42" s="1"/>
  <c r="K37" i="40"/>
  <c r="C51" i="40"/>
  <c r="D37" i="40"/>
  <c r="D19" i="40" s="1"/>
  <c r="AB11" i="40"/>
  <c r="AC21" i="40"/>
  <c r="AB16" i="42" l="1"/>
  <c r="AD16" i="42" s="1"/>
  <c r="K20" i="42" s="1"/>
  <c r="AD15" i="42"/>
  <c r="AB17" i="40"/>
  <c r="AA17" i="40" s="1"/>
  <c r="AA21" i="40" s="1"/>
  <c r="T31" i="40"/>
  <c r="T32" i="40" s="1"/>
  <c r="T41" i="40" s="1"/>
  <c r="D20" i="40"/>
  <c r="D22" i="40" s="1"/>
  <c r="K15" i="42" l="1"/>
  <c r="AB21" i="40"/>
  <c r="K16" i="42" l="1"/>
  <c r="K17" i="42" s="1"/>
  <c r="K22" i="42" s="1"/>
  <c r="AJ43" i="42"/>
  <c r="AJ46" i="42" s="1"/>
  <c r="AJ48" i="42" s="1"/>
  <c r="N224" i="13"/>
  <c r="N225" i="13" s="1"/>
  <c r="H206" i="13"/>
  <c r="K206" i="13"/>
  <c r="N227" i="13"/>
  <c r="N212" i="13"/>
  <c r="N210" i="13"/>
  <c r="N211" i="13" s="1"/>
  <c r="J205" i="13"/>
  <c r="K205" i="13" s="1"/>
  <c r="G205" i="13"/>
  <c r="H205" i="13" s="1"/>
  <c r="K203" i="13"/>
  <c r="H203" i="13"/>
  <c r="H219" i="13" s="1"/>
  <c r="G219" i="13" s="1"/>
  <c r="N200" i="13"/>
  <c r="K201" i="13"/>
  <c r="N201" i="13" s="1"/>
  <c r="J201" i="13"/>
  <c r="M201" i="13" s="1"/>
  <c r="G207" i="13" l="1"/>
  <c r="G220" i="13" s="1"/>
  <c r="M210" i="13"/>
  <c r="G210" i="13" s="1"/>
  <c r="H210" i="13" s="1"/>
  <c r="M211" i="13"/>
  <c r="N206" i="13"/>
  <c r="M212" i="13"/>
  <c r="J212" i="13" s="1"/>
  <c r="K212" i="13" s="1"/>
  <c r="K207" i="13"/>
  <c r="G211" i="13"/>
  <c r="H211" i="13" s="1"/>
  <c r="J211" i="13"/>
  <c r="K211" i="13" s="1"/>
  <c r="N205" i="13"/>
  <c r="H207" i="13"/>
  <c r="H220" i="13" s="1"/>
  <c r="G222" i="13" s="1"/>
  <c r="M209" i="13"/>
  <c r="N213" i="13"/>
  <c r="J207" i="13"/>
  <c r="K219" i="13"/>
  <c r="N226" i="13"/>
  <c r="N228" i="13" s="1"/>
  <c r="N203" i="13"/>
  <c r="G212" i="13" l="1"/>
  <c r="H212" i="13" s="1"/>
  <c r="J210" i="13"/>
  <c r="K210" i="13" s="1"/>
  <c r="J219" i="13"/>
  <c r="J220" i="13" s="1"/>
  <c r="K220" i="13"/>
  <c r="G209" i="13"/>
  <c r="J209" i="13"/>
  <c r="N219" i="13"/>
  <c r="J213" i="13" l="1"/>
  <c r="J215" i="13" s="1"/>
  <c r="K209" i="13"/>
  <c r="K213" i="13" s="1"/>
  <c r="K215" i="13" s="1"/>
  <c r="G213" i="13"/>
  <c r="G215" i="13" s="1"/>
  <c r="G217" i="13" s="1"/>
  <c r="H209" i="13"/>
  <c r="H213" i="13" s="1"/>
  <c r="H215" i="13" s="1"/>
  <c r="N207" i="13"/>
  <c r="J222" i="13"/>
  <c r="N220" i="13" l="1"/>
  <c r="M222" i="13" s="1"/>
  <c r="J217" i="13"/>
  <c r="N215" i="13"/>
  <c r="N230" i="13" s="1"/>
  <c r="H24" i="13" l="1"/>
  <c r="G389" i="36" l="1"/>
  <c r="C388" i="36"/>
  <c r="C11" i="24" l="1"/>
  <c r="M279" i="20"/>
  <c r="D147" i="30"/>
  <c r="D145" i="30"/>
  <c r="D144" i="30"/>
  <c r="J138" i="30"/>
  <c r="J137" i="30"/>
  <c r="J135" i="30"/>
  <c r="J134" i="30"/>
  <c r="J133" i="30"/>
  <c r="D140" i="30"/>
  <c r="D139" i="30"/>
  <c r="D138" i="30"/>
  <c r="D136" i="30"/>
  <c r="D135" i="30"/>
  <c r="D134" i="30"/>
  <c r="D133" i="30"/>
  <c r="B122" i="30"/>
  <c r="B123" i="30" s="1"/>
  <c r="B124" i="30" s="1"/>
  <c r="B125" i="30" s="1"/>
  <c r="B126" i="30" s="1"/>
  <c r="B127" i="30" s="1"/>
  <c r="B128" i="30" s="1"/>
  <c r="B129" i="30" s="1"/>
  <c r="B130" i="30" s="1"/>
  <c r="B131" i="30" s="1"/>
  <c r="D177" i="30"/>
  <c r="D172" i="30"/>
  <c r="D178" i="30" s="1"/>
  <c r="D185" i="30" s="1"/>
  <c r="D171" i="30"/>
  <c r="D146" i="30" l="1"/>
  <c r="D148" i="30" s="1"/>
  <c r="J141" i="30" s="1"/>
  <c r="D173" i="30"/>
  <c r="J136" i="30"/>
  <c r="D141" i="30"/>
  <c r="D137" i="30"/>
  <c r="J139" i="30"/>
  <c r="D180" i="30"/>
  <c r="D184" i="30"/>
  <c r="D186" i="30" s="1"/>
  <c r="F163" i="30"/>
  <c r="F164" i="30" s="1"/>
  <c r="D160" i="30"/>
  <c r="D164" i="30" s="1"/>
  <c r="D187" i="30"/>
  <c r="J140" i="30" l="1"/>
  <c r="J142" i="30" s="1"/>
  <c r="D142" i="30"/>
  <c r="D175" i="30"/>
  <c r="D188" i="30"/>
  <c r="D191" i="30" s="1"/>
  <c r="B616" i="25" l="1"/>
  <c r="B617" i="25" s="1"/>
  <c r="B618" i="25" s="1"/>
  <c r="B619" i="25" s="1"/>
  <c r="B620" i="25" s="1"/>
  <c r="B621" i="25" s="1"/>
  <c r="B622" i="25" s="1"/>
  <c r="B623" i="25" s="1"/>
  <c r="B624" i="25" s="1"/>
  <c r="B625" i="25" s="1"/>
  <c r="B626" i="25" s="1"/>
  <c r="B627" i="25" s="1"/>
  <c r="B628" i="25" s="1"/>
  <c r="B629" i="25" s="1"/>
  <c r="B630" i="25" s="1"/>
  <c r="B631" i="25" s="1"/>
  <c r="B632" i="25" s="1"/>
  <c r="B633" i="25" s="1"/>
  <c r="B634" i="25" s="1"/>
  <c r="B635" i="25" s="1"/>
  <c r="B636" i="25" s="1"/>
  <c r="B637" i="25" s="1"/>
  <c r="B638" i="25" s="1"/>
  <c r="B639" i="25" s="1"/>
  <c r="B640" i="25" s="1"/>
  <c r="B641" i="25" s="1"/>
  <c r="B642" i="25" s="1"/>
  <c r="O824" i="25" l="1"/>
  <c r="C19" i="24"/>
  <c r="D19" i="24"/>
  <c r="O115" i="13"/>
  <c r="G113" i="13"/>
  <c r="N138" i="13" s="1"/>
  <c r="E111" i="13"/>
  <c r="N139" i="13" s="1"/>
  <c r="I111" i="13"/>
  <c r="I112" i="13" s="1"/>
  <c r="M111" i="13"/>
  <c r="M112" i="13" s="1"/>
  <c r="G110" i="13"/>
  <c r="N141" i="13" s="1"/>
  <c r="M114" i="13"/>
  <c r="E114" i="13"/>
  <c r="I114" i="13" s="1"/>
  <c r="G101" i="13"/>
  <c r="G103" i="13" s="1"/>
  <c r="K109" i="13" s="1"/>
  <c r="K115" i="13" s="1"/>
  <c r="N142" i="13" l="1"/>
  <c r="G115" i="13"/>
  <c r="E124" i="13" s="1"/>
  <c r="M115" i="13"/>
  <c r="E112" i="13"/>
  <c r="I115" i="13"/>
  <c r="E115" i="13" l="1"/>
  <c r="E121" i="13" s="1"/>
  <c r="J127" i="13" s="1"/>
  <c r="J128" i="13" s="1"/>
  <c r="I132" i="13" s="1"/>
  <c r="N140" i="13"/>
  <c r="K137" i="13" s="1"/>
  <c r="K146" i="13" s="1"/>
  <c r="K150" i="13" l="1"/>
  <c r="N151" i="13" s="1"/>
  <c r="H160" i="13" s="1"/>
  <c r="H164" i="13" s="1"/>
  <c r="N147" i="13"/>
  <c r="O75" i="13" l="1"/>
  <c r="M72" i="13" s="1"/>
  <c r="O48" i="13"/>
  <c r="H25" i="13"/>
  <c r="H15" i="13"/>
  <c r="H11" i="13"/>
  <c r="H16" i="13" l="1"/>
  <c r="L8" i="13"/>
  <c r="H9" i="13"/>
  <c r="L9" i="13" s="1"/>
  <c r="H10" i="13" l="1"/>
  <c r="L10" i="13"/>
  <c r="H34" i="13" s="1"/>
  <c r="C11" i="37"/>
  <c r="E10" i="37" s="1"/>
  <c r="E11" i="37" s="1"/>
  <c r="L7" i="36"/>
  <c r="L11" i="36"/>
  <c r="O12" i="36"/>
  <c r="P14" i="36"/>
  <c r="O23" i="36" s="1"/>
  <c r="P24" i="36" s="1"/>
  <c r="L18" i="36"/>
  <c r="L22" i="36"/>
  <c r="G23" i="36"/>
  <c r="L27" i="36"/>
  <c r="L32" i="36"/>
  <c r="L40" i="36"/>
  <c r="H42" i="36"/>
  <c r="L45" i="36"/>
  <c r="H47" i="36"/>
  <c r="P47" i="36"/>
  <c r="O61" i="36"/>
  <c r="I121" i="36" s="1"/>
  <c r="M64" i="36"/>
  <c r="O65" i="36" s="1"/>
  <c r="M67" i="36"/>
  <c r="M71" i="36"/>
  <c r="M72" i="36" s="1"/>
  <c r="M76" i="36"/>
  <c r="M77" i="36" s="1"/>
  <c r="M109" i="36" s="1"/>
  <c r="O83" i="36"/>
  <c r="O84" i="36" s="1"/>
  <c r="M86" i="36"/>
  <c r="O87" i="36" s="1"/>
  <c r="I132" i="36" s="1"/>
  <c r="O94" i="36"/>
  <c r="O93" i="36" s="1"/>
  <c r="M96" i="36"/>
  <c r="M97" i="36" s="1"/>
  <c r="O98" i="36" s="1"/>
  <c r="O99" i="36" s="1"/>
  <c r="M101" i="36" s="1"/>
  <c r="O102" i="36" s="1"/>
  <c r="O114" i="36"/>
  <c r="M112" i="36" s="1"/>
  <c r="G129" i="36" s="1"/>
  <c r="G119" i="36"/>
  <c r="G120" i="36"/>
  <c r="G121" i="36"/>
  <c r="K121" i="36" s="1"/>
  <c r="I122" i="36"/>
  <c r="I123" i="36"/>
  <c r="G124" i="36"/>
  <c r="I124" i="36"/>
  <c r="G125" i="36"/>
  <c r="G126" i="36"/>
  <c r="I126" i="36"/>
  <c r="I127" i="36"/>
  <c r="G128" i="36"/>
  <c r="I128" i="36"/>
  <c r="I129" i="36"/>
  <c r="G131" i="36"/>
  <c r="I133" i="36"/>
  <c r="G136" i="36"/>
  <c r="O171" i="36"/>
  <c r="G174" i="36"/>
  <c r="O174" i="36"/>
  <c r="M173" i="36" s="1"/>
  <c r="I252" i="36" s="1"/>
  <c r="M177" i="36"/>
  <c r="O178" i="36" s="1"/>
  <c r="M185" i="36"/>
  <c r="O186" i="36" s="1"/>
  <c r="M191" i="36"/>
  <c r="O192" i="36" s="1"/>
  <c r="M207" i="36" s="1"/>
  <c r="I256" i="36" s="1"/>
  <c r="M195" i="36"/>
  <c r="O196" i="36" s="1"/>
  <c r="M199" i="36"/>
  <c r="O200" i="36"/>
  <c r="O201" i="36"/>
  <c r="M204" i="36"/>
  <c r="O205" i="36" s="1"/>
  <c r="M208" i="36"/>
  <c r="M209" i="36" s="1"/>
  <c r="O218" i="36"/>
  <c r="M216" i="36" s="1"/>
  <c r="I247" i="36" s="1"/>
  <c r="O221" i="36"/>
  <c r="M224" i="36"/>
  <c r="O225" i="36" s="1"/>
  <c r="M228" i="36"/>
  <c r="I244" i="36" s="1"/>
  <c r="O229" i="36"/>
  <c r="O230" i="36"/>
  <c r="M233" i="36"/>
  <c r="O234" i="36" s="1"/>
  <c r="I239" i="36"/>
  <c r="I240" i="36"/>
  <c r="I242" i="36"/>
  <c r="I243" i="36"/>
  <c r="I245" i="36"/>
  <c r="I246" i="36"/>
  <c r="I250" i="36"/>
  <c r="I251" i="36"/>
  <c r="I254" i="36"/>
  <c r="I255" i="36"/>
  <c r="I257" i="36"/>
  <c r="I258" i="36"/>
  <c r="I259" i="36"/>
  <c r="I260" i="36"/>
  <c r="M324" i="36"/>
  <c r="M327" i="36"/>
  <c r="O328" i="36" s="1"/>
  <c r="M330" i="36"/>
  <c r="M333" i="36"/>
  <c r="M335" i="36"/>
  <c r="O340" i="36"/>
  <c r="M338" i="36" s="1"/>
  <c r="O347" i="36" s="1"/>
  <c r="O344" i="36"/>
  <c r="M342" i="36" s="1"/>
  <c r="O348" i="36" s="1"/>
  <c r="O354" i="36"/>
  <c r="M360" i="36"/>
  <c r="O363" i="36" s="1"/>
  <c r="O368" i="36"/>
  <c r="O369" i="36"/>
  <c r="O370" i="36"/>
  <c r="M378" i="36"/>
  <c r="O389" i="36" s="1"/>
  <c r="M388" i="36" s="1"/>
  <c r="O380" i="36"/>
  <c r="C385" i="36"/>
  <c r="M391" i="36"/>
  <c r="C392" i="36"/>
  <c r="M395" i="36"/>
  <c r="O396" i="36" s="1"/>
  <c r="M398" i="36"/>
  <c r="O403" i="36"/>
  <c r="M401" i="36" s="1"/>
  <c r="O406" i="36" s="1"/>
  <c r="M405" i="36" s="1"/>
  <c r="M412" i="36" s="1"/>
  <c r="O413" i="36" s="1"/>
  <c r="C409" i="36"/>
  <c r="M409" i="36"/>
  <c r="O410" i="36" s="1"/>
  <c r="M418" i="36"/>
  <c r="M419" i="36"/>
  <c r="M426" i="36" s="1"/>
  <c r="O427" i="36" s="1"/>
  <c r="M420" i="36"/>
  <c r="G427" i="36"/>
  <c r="M439" i="36"/>
  <c r="M443" i="36" s="1"/>
  <c r="M446" i="36" s="1"/>
  <c r="O447" i="36" s="1"/>
  <c r="M440" i="36"/>
  <c r="O441" i="36"/>
  <c r="M449" i="36" s="1"/>
  <c r="O450" i="36" s="1"/>
  <c r="G444" i="36"/>
  <c r="G447" i="36" s="1"/>
  <c r="O456" i="36"/>
  <c r="O459" i="36"/>
  <c r="O462" i="36"/>
  <c r="O465" i="36"/>
  <c r="O468" i="36"/>
  <c r="C470" i="36"/>
  <c r="O471" i="36"/>
  <c r="M473" i="36"/>
  <c r="M475" i="36" s="1"/>
  <c r="O476" i="36"/>
  <c r="O477" i="36"/>
  <c r="M483" i="36" s="1"/>
  <c r="O478" i="36"/>
  <c r="M484" i="36" s="1"/>
  <c r="M480" i="36"/>
  <c r="O481" i="36" s="1"/>
  <c r="G481" i="36"/>
  <c r="C483" i="36"/>
  <c r="C484" i="36"/>
  <c r="E501" i="36"/>
  <c r="M504" i="36"/>
  <c r="M509" i="36"/>
  <c r="O519" i="36"/>
  <c r="O547" i="36"/>
  <c r="M550" i="36"/>
  <c r="O551" i="36" s="1"/>
  <c r="M552" i="36"/>
  <c r="M553" i="36" s="1"/>
  <c r="O554" i="36"/>
  <c r="M561" i="36" s="1"/>
  <c r="O562" i="36" s="1"/>
  <c r="M566" i="36"/>
  <c r="M571" i="36"/>
  <c r="M572" i="36"/>
  <c r="O573" i="36"/>
  <c r="O575" i="36"/>
  <c r="O576" i="36" s="1"/>
  <c r="M574" i="36" s="1"/>
  <c r="G591" i="36"/>
  <c r="I592" i="36"/>
  <c r="M601" i="36"/>
  <c r="M602" i="36" s="1"/>
  <c r="M605" i="36"/>
  <c r="M606" i="36"/>
  <c r="O651" i="36" s="1"/>
  <c r="M648" i="36" s="1"/>
  <c r="O611" i="36"/>
  <c r="O612" i="36" s="1"/>
  <c r="M623" i="36" s="1"/>
  <c r="O624" i="36" s="1"/>
  <c r="O615" i="36"/>
  <c r="M626" i="36" s="1"/>
  <c r="M627" i="36" s="1"/>
  <c r="G618" i="36"/>
  <c r="O628" i="36"/>
  <c r="O629" i="36"/>
  <c r="M645" i="36" s="1"/>
  <c r="O646" i="36" s="1"/>
  <c r="O630" i="36"/>
  <c r="O633" i="36"/>
  <c r="G641" i="36"/>
  <c r="G644" i="36" s="1"/>
  <c r="M642" i="36"/>
  <c r="O643" i="36" s="1"/>
  <c r="O654" i="36"/>
  <c r="O657" i="36"/>
  <c r="M664" i="36"/>
  <c r="O665" i="36" s="1"/>
  <c r="G669" i="36"/>
  <c r="G672" i="36" s="1"/>
  <c r="M670" i="36"/>
  <c r="O671" i="36" s="1"/>
  <c r="O677" i="36"/>
  <c r="O680" i="36"/>
  <c r="M692" i="36" s="1"/>
  <c r="M682" i="36"/>
  <c r="O683" i="36" s="1"/>
  <c r="G684" i="36"/>
  <c r="M685" i="36"/>
  <c r="O686" i="36" s="1"/>
  <c r="O695" i="36"/>
  <c r="O698" i="36"/>
  <c r="M700" i="36"/>
  <c r="O701" i="36" s="1"/>
  <c r="G702" i="36"/>
  <c r="M703" i="36"/>
  <c r="O704" i="36" s="1"/>
  <c r="M707" i="36" s="1"/>
  <c r="O708" i="36" s="1"/>
  <c r="C706" i="36"/>
  <c r="C707" i="36"/>
  <c r="O712" i="36"/>
  <c r="M710" i="36" s="1"/>
  <c r="O716" i="36" s="1"/>
  <c r="M719" i="36"/>
  <c r="O720" i="36" s="1"/>
  <c r="G721" i="36"/>
  <c r="G724" i="36" s="1"/>
  <c r="M722" i="36"/>
  <c r="O723" i="36" s="1"/>
  <c r="M725" i="36"/>
  <c r="O726" i="36" s="1"/>
  <c r="M734" i="36"/>
  <c r="M735" i="36"/>
  <c r="O756" i="36" s="1"/>
  <c r="M755" i="36" s="1"/>
  <c r="O784" i="36" s="1"/>
  <c r="M783" i="36" s="1"/>
  <c r="M738" i="36"/>
  <c r="O739" i="36" s="1"/>
  <c r="G744" i="36"/>
  <c r="G747" i="36" s="1"/>
  <c r="M745" i="36"/>
  <c r="O746" i="36" s="1"/>
  <c r="M752" i="36" s="1"/>
  <c r="O753" i="36" s="1"/>
  <c r="M759" i="36"/>
  <c r="O760" i="36" s="1"/>
  <c r="O764" i="36"/>
  <c r="C766" i="36"/>
  <c r="C776" i="36" s="1"/>
  <c r="M766" i="36"/>
  <c r="O767" i="36" s="1"/>
  <c r="M769" i="36"/>
  <c r="O770" i="36" s="1"/>
  <c r="M780" i="36" s="1"/>
  <c r="O781" i="36" s="1"/>
  <c r="G771" i="36"/>
  <c r="G775" i="36" s="1"/>
  <c r="O774" i="36"/>
  <c r="M776" i="36"/>
  <c r="O777" i="36" s="1"/>
  <c r="G782" i="36"/>
  <c r="M805" i="36"/>
  <c r="O806" i="36"/>
  <c r="O807" i="36"/>
  <c r="M812" i="36"/>
  <c r="M817" i="36"/>
  <c r="O818" i="36" s="1"/>
  <c r="O852" i="36"/>
  <c r="M859" i="36"/>
  <c r="O860" i="36" s="1"/>
  <c r="M862" i="36"/>
  <c r="M863" i="36"/>
  <c r="M864" i="36"/>
  <c r="M867" i="36"/>
  <c r="O868" i="36" s="1"/>
  <c r="M871" i="36"/>
  <c r="O872" i="36" s="1"/>
  <c r="M874" i="36"/>
  <c r="M878" i="36"/>
  <c r="O879" i="36" s="1"/>
  <c r="M908" i="36" s="1"/>
  <c r="O882" i="36"/>
  <c r="M889" i="36"/>
  <c r="O890" i="36" s="1"/>
  <c r="G899" i="36"/>
  <c r="O899" i="36"/>
  <c r="O900" i="36"/>
  <c r="M904" i="36"/>
  <c r="O905" i="36" s="1"/>
  <c r="M910" i="36"/>
  <c r="H917" i="36"/>
  <c r="J917" i="36"/>
  <c r="F918" i="36"/>
  <c r="J918" i="36" s="1"/>
  <c r="F16" i="35"/>
  <c r="G20" i="35"/>
  <c r="G29" i="35" s="1"/>
  <c r="H30" i="35" s="1"/>
  <c r="G35" i="35" s="1"/>
  <c r="H36" i="35" s="1"/>
  <c r="O20" i="35"/>
  <c r="H22" i="35"/>
  <c r="O21" i="35" s="1"/>
  <c r="M65" i="35"/>
  <c r="O66" i="35" s="1"/>
  <c r="M68" i="35"/>
  <c r="H117" i="35" s="1"/>
  <c r="L117" i="35" s="1"/>
  <c r="M69" i="35"/>
  <c r="O74" i="35"/>
  <c r="J123" i="35" s="1"/>
  <c r="M77" i="35"/>
  <c r="O78" i="35" s="1"/>
  <c r="J117" i="35" s="1"/>
  <c r="M81" i="35"/>
  <c r="O82" i="35" s="1"/>
  <c r="M85" i="35"/>
  <c r="O86" i="35" s="1"/>
  <c r="H108" i="35"/>
  <c r="J108" i="35"/>
  <c r="H109" i="35"/>
  <c r="J109" i="35"/>
  <c r="H110" i="35"/>
  <c r="J110" i="35"/>
  <c r="L110" i="35"/>
  <c r="J112" i="35"/>
  <c r="H114" i="35"/>
  <c r="J114" i="35"/>
  <c r="J115" i="35"/>
  <c r="H118" i="35"/>
  <c r="J118" i="35"/>
  <c r="N118" i="35" s="1"/>
  <c r="H119" i="35"/>
  <c r="L119" i="35" s="1"/>
  <c r="J119" i="35"/>
  <c r="H121" i="35"/>
  <c r="J121" i="35"/>
  <c r="M162" i="35"/>
  <c r="M213" i="35" s="1"/>
  <c r="O214" i="35" s="1"/>
  <c r="M167" i="35"/>
  <c r="O168" i="35" s="1"/>
  <c r="O172" i="35"/>
  <c r="O176" i="35"/>
  <c r="M232" i="35" s="1"/>
  <c r="M180" i="35"/>
  <c r="O181" i="35" s="1"/>
  <c r="M184" i="35"/>
  <c r="M185" i="35"/>
  <c r="O186" i="35" s="1"/>
  <c r="M194" i="35"/>
  <c r="O195" i="35" s="1"/>
  <c r="M199" i="35"/>
  <c r="O200" i="35" s="1"/>
  <c r="M203" i="35"/>
  <c r="M204" i="35"/>
  <c r="O220" i="35"/>
  <c r="M223" i="35"/>
  <c r="O224" i="35" s="1"/>
  <c r="G228" i="35"/>
  <c r="H241" i="35" s="1"/>
  <c r="O228" i="35"/>
  <c r="M233" i="35"/>
  <c r="M234" i="35" s="1"/>
  <c r="J251" i="35"/>
  <c r="O275" i="35"/>
  <c r="M297" i="35" s="1"/>
  <c r="M279" i="35"/>
  <c r="O280" i="35" s="1"/>
  <c r="O284" i="35"/>
  <c r="M283" i="35" s="1"/>
  <c r="M289" i="35"/>
  <c r="O290" i="35" s="1"/>
  <c r="C297" i="35"/>
  <c r="M300" i="35"/>
  <c r="K307" i="35"/>
  <c r="K308" i="35"/>
  <c r="M299" i="35" s="1"/>
  <c r="K310" i="35"/>
  <c r="E315" i="35"/>
  <c r="K316" i="35" s="1"/>
  <c r="O328" i="35"/>
  <c r="O333" i="35"/>
  <c r="O337" i="35"/>
  <c r="M341" i="35"/>
  <c r="O342" i="35" s="1"/>
  <c r="M346" i="35" s="1"/>
  <c r="O347" i="35" s="1"/>
  <c r="C346" i="35"/>
  <c r="O353" i="35"/>
  <c r="M351" i="35" s="1"/>
  <c r="O357" i="35"/>
  <c r="O362" i="35"/>
  <c r="O364" i="35"/>
  <c r="G388" i="35"/>
  <c r="M393" i="35"/>
  <c r="O394" i="35" s="1"/>
  <c r="M402" i="35" s="1"/>
  <c r="O403" i="35" s="1"/>
  <c r="M397" i="35"/>
  <c r="O398" i="35" s="1"/>
  <c r="M406" i="35"/>
  <c r="O407" i="35" s="1"/>
  <c r="G407" i="35"/>
  <c r="G424" i="35" s="1"/>
  <c r="C408" i="35"/>
  <c r="M410" i="35"/>
  <c r="M415" i="35" s="1"/>
  <c r="L438" i="35"/>
  <c r="N438" i="35" s="1"/>
  <c r="N439" i="35"/>
  <c r="N440" i="35" s="1"/>
  <c r="N445" i="35"/>
  <c r="N446" i="35"/>
  <c r="F474" i="35"/>
  <c r="M494" i="35" s="1"/>
  <c r="O495" i="35" s="1"/>
  <c r="M486" i="35"/>
  <c r="O487" i="35" s="1"/>
  <c r="O488" i="35"/>
  <c r="M490" i="35"/>
  <c r="O492" i="35"/>
  <c r="G495" i="35"/>
  <c r="G500" i="35" s="1"/>
  <c r="O496" i="35"/>
  <c r="M498" i="35"/>
  <c r="O501" i="35"/>
  <c r="M503" i="35"/>
  <c r="O505" i="35"/>
  <c r="O7" i="34"/>
  <c r="Q7" i="34"/>
  <c r="A3" i="33"/>
  <c r="A4" i="33" s="1"/>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O44" i="31"/>
  <c r="H124" i="31" s="1"/>
  <c r="H125" i="31" s="1"/>
  <c r="M47" i="31"/>
  <c r="L100" i="31" s="1"/>
  <c r="O48" i="31"/>
  <c r="H96" i="31" s="1"/>
  <c r="O54" i="31"/>
  <c r="M52" i="31" s="1"/>
  <c r="M57" i="31"/>
  <c r="L130" i="31" s="1"/>
  <c r="L131" i="31" s="1"/>
  <c r="O58" i="31"/>
  <c r="M66" i="31" s="1"/>
  <c r="M62" i="31"/>
  <c r="O63" i="31" s="1"/>
  <c r="M70" i="31"/>
  <c r="M71" i="31" s="1"/>
  <c r="O72" i="31"/>
  <c r="H97" i="31" s="1"/>
  <c r="M80" i="31"/>
  <c r="E134" i="31" s="1"/>
  <c r="E135" i="31" s="1"/>
  <c r="C85" i="31"/>
  <c r="I156" i="31" s="1"/>
  <c r="D95" i="31"/>
  <c r="K95" i="31"/>
  <c r="E96" i="31"/>
  <c r="K99" i="31"/>
  <c r="O100" i="31"/>
  <c r="D101" i="31"/>
  <c r="K104" i="31"/>
  <c r="D105" i="31"/>
  <c r="L105" i="31"/>
  <c r="E106" i="31"/>
  <c r="D113" i="31"/>
  <c r="K113" i="31"/>
  <c r="D117" i="31"/>
  <c r="D123" i="31"/>
  <c r="D129" i="31"/>
  <c r="K129" i="31"/>
  <c r="H130" i="31"/>
  <c r="H131" i="31" s="1"/>
  <c r="D133" i="31"/>
  <c r="K133" i="31"/>
  <c r="L134" i="31"/>
  <c r="L135" i="31" s="1"/>
  <c r="D137" i="31"/>
  <c r="M146" i="31"/>
  <c r="M147" i="31"/>
  <c r="M148" i="31"/>
  <c r="M149" i="31"/>
  <c r="M150" i="31"/>
  <c r="M151" i="31"/>
  <c r="M153" i="31"/>
  <c r="M154" i="31"/>
  <c r="I155" i="31"/>
  <c r="M155" i="31"/>
  <c r="M156" i="31"/>
  <c r="M157" i="31"/>
  <c r="I158" i="31"/>
  <c r="M158" i="31"/>
  <c r="K159" i="31"/>
  <c r="M159" i="31"/>
  <c r="M160" i="31"/>
  <c r="O178" i="31"/>
  <c r="O200" i="31"/>
  <c r="O205" i="31"/>
  <c r="O208" i="31"/>
  <c r="J280" i="31" s="1"/>
  <c r="O213" i="31"/>
  <c r="G216" i="31"/>
  <c r="J282" i="31" s="1"/>
  <c r="O216" i="31"/>
  <c r="M219" i="31"/>
  <c r="O220" i="31" s="1"/>
  <c r="M222" i="31" s="1"/>
  <c r="O223" i="31" s="1"/>
  <c r="C222" i="31"/>
  <c r="H273" i="31" s="1"/>
  <c r="O226" i="31"/>
  <c r="M229" i="31"/>
  <c r="O230" i="31"/>
  <c r="O235" i="31"/>
  <c r="M237" i="31" s="1"/>
  <c r="H278" i="31" s="1"/>
  <c r="O242" i="31"/>
  <c r="M248" i="31"/>
  <c r="O249" i="31" s="1"/>
  <c r="H272" i="31"/>
  <c r="H275" i="31"/>
  <c r="H276" i="31"/>
  <c r="H280" i="31"/>
  <c r="H283" i="31"/>
  <c r="H285" i="31"/>
  <c r="O305" i="31"/>
  <c r="O308" i="31"/>
  <c r="M311" i="31"/>
  <c r="O312" i="31" s="1"/>
  <c r="M316" i="31"/>
  <c r="O318" i="31" s="1"/>
  <c r="G317" i="31"/>
  <c r="O321" i="31"/>
  <c r="C323" i="31"/>
  <c r="G327" i="31"/>
  <c r="O327" i="31"/>
  <c r="C329" i="31"/>
  <c r="M333" i="31"/>
  <c r="O335" i="31" s="1"/>
  <c r="O343" i="31"/>
  <c r="M339" i="31" s="1"/>
  <c r="G346" i="31"/>
  <c r="M349" i="31"/>
  <c r="O350" i="31"/>
  <c r="C362" i="31"/>
  <c r="G364" i="31"/>
  <c r="M367" i="31"/>
  <c r="O368" i="31"/>
  <c r="M371" i="31"/>
  <c r="O372" i="31" s="1"/>
  <c r="B435" i="31"/>
  <c r="B436" i="31" s="1"/>
  <c r="B437" i="31" s="1"/>
  <c r="B438" i="31" s="1"/>
  <c r="B439" i="31" s="1"/>
  <c r="B440" i="31" s="1"/>
  <c r="B441" i="31" s="1"/>
  <c r="B442" i="31" s="1"/>
  <c r="B443" i="31" s="1"/>
  <c r="B444" i="31" s="1"/>
  <c r="B445" i="31" s="1"/>
  <c r="B446" i="31" s="1"/>
  <c r="B447" i="31" s="1"/>
  <c r="B448" i="31" s="1"/>
  <c r="B449" i="31" s="1"/>
  <c r="B450" i="31" s="1"/>
  <c r="B451" i="31" s="1"/>
  <c r="B452" i="31" s="1"/>
  <c r="B453" i="31" s="1"/>
  <c r="B454" i="31" s="1"/>
  <c r="B455" i="31" s="1"/>
  <c r="B456" i="31" s="1"/>
  <c r="B457" i="31" s="1"/>
  <c r="B458" i="31" s="1"/>
  <c r="B459" i="31" s="1"/>
  <c r="B460" i="31" s="1"/>
  <c r="E536" i="31"/>
  <c r="J536" i="31"/>
  <c r="E539" i="31"/>
  <c r="E546" i="31" s="1"/>
  <c r="J539" i="31"/>
  <c r="E540" i="31"/>
  <c r="E547" i="31" s="1"/>
  <c r="E554" i="31" s="1"/>
  <c r="E561" i="31" s="1"/>
  <c r="O540" i="31"/>
  <c r="E541" i="31"/>
  <c r="E548" i="31" s="1"/>
  <c r="O555" i="31" s="1"/>
  <c r="O556" i="31" s="1"/>
  <c r="J541" i="31"/>
  <c r="J548" i="31" s="1"/>
  <c r="J555" i="31" s="1"/>
  <c r="J547" i="31"/>
  <c r="J554" i="31" s="1"/>
  <c r="J561" i="31" s="1"/>
  <c r="J568" i="31" s="1"/>
  <c r="J579" i="31" s="1"/>
  <c r="J549" i="31"/>
  <c r="O554" i="31"/>
  <c r="J556" i="31" s="1"/>
  <c r="J563" i="31" s="1"/>
  <c r="J570" i="31" s="1"/>
  <c r="J581" i="31" s="1"/>
  <c r="J588" i="31" s="1"/>
  <c r="J595" i="31" s="1"/>
  <c r="J602" i="31" s="1"/>
  <c r="J609" i="31" s="1"/>
  <c r="O561" i="31"/>
  <c r="O568" i="31"/>
  <c r="O579" i="31"/>
  <c r="O586" i="31"/>
  <c r="O588" i="31"/>
  <c r="J586" i="31" s="1"/>
  <c r="J593" i="31" s="1"/>
  <c r="J600" i="31" s="1"/>
  <c r="J607" i="31" s="1"/>
  <c r="O593" i="31"/>
  <c r="O600" i="31"/>
  <c r="O607" i="31"/>
  <c r="A52" i="30"/>
  <c r="D208" i="30"/>
  <c r="F209" i="30"/>
  <c r="F208" i="30" s="1"/>
  <c r="H209" i="30"/>
  <c r="J210" i="30"/>
  <c r="D213" i="30"/>
  <c r="F213" i="30"/>
  <c r="H213" i="30"/>
  <c r="F214" i="30"/>
  <c r="H214" i="30" s="1"/>
  <c r="J214" i="30" s="1"/>
  <c r="D215" i="30"/>
  <c r="F215" i="30" s="1"/>
  <c r="H215" i="30" s="1"/>
  <c r="J215" i="30" s="1"/>
  <c r="D216" i="30"/>
  <c r="F216" i="30" s="1"/>
  <c r="H216" i="30" s="1"/>
  <c r="J216" i="30" s="1"/>
  <c r="J217" i="30"/>
  <c r="J218" i="30"/>
  <c r="F227" i="30"/>
  <c r="F228" i="30"/>
  <c r="F230" i="30"/>
  <c r="F231" i="30"/>
  <c r="G233" i="30"/>
  <c r="F234" i="30"/>
  <c r="A51" i="29"/>
  <c r="A100" i="29" s="1"/>
  <c r="A150" i="29" s="1"/>
  <c r="E206" i="29"/>
  <c r="E207" i="29"/>
  <c r="F208" i="29"/>
  <c r="E209" i="29"/>
  <c r="E210" i="29"/>
  <c r="E211" i="29"/>
  <c r="F212" i="29"/>
  <c r="F213" i="29"/>
  <c r="E214" i="29"/>
  <c r="E215" i="29"/>
  <c r="F216" i="29"/>
  <c r="I217" i="29"/>
  <c r="I232" i="29" s="1"/>
  <c r="E218" i="29"/>
  <c r="F219" i="29"/>
  <c r="F220" i="29"/>
  <c r="E221" i="29"/>
  <c r="B222" i="29"/>
  <c r="B223" i="29" s="1"/>
  <c r="B224" i="29" s="1"/>
  <c r="B225" i="29" s="1"/>
  <c r="B226" i="29" s="1"/>
  <c r="B227" i="29" s="1"/>
  <c r="B228" i="29" s="1"/>
  <c r="B229" i="29" s="1"/>
  <c r="B230" i="29" s="1"/>
  <c r="B231" i="29" s="1"/>
  <c r="H222" i="29"/>
  <c r="H232" i="29" s="1"/>
  <c r="E223" i="29"/>
  <c r="E224" i="29"/>
  <c r="G225" i="29"/>
  <c r="G232" i="29" s="1"/>
  <c r="E226" i="29"/>
  <c r="J227" i="29"/>
  <c r="E228" i="29"/>
  <c r="F229" i="29"/>
  <c r="J230" i="29"/>
  <c r="E231" i="29"/>
  <c r="I159" i="31" l="1"/>
  <c r="K155" i="31"/>
  <c r="H248" i="35"/>
  <c r="O246" i="35" s="1"/>
  <c r="H107" i="35"/>
  <c r="J272" i="31"/>
  <c r="N272" i="31" s="1"/>
  <c r="J284" i="31"/>
  <c r="L284" i="31" s="1"/>
  <c r="H251" i="35"/>
  <c r="O444" i="36"/>
  <c r="K153" i="31"/>
  <c r="O167" i="31" s="1"/>
  <c r="J247" i="35"/>
  <c r="K156" i="31"/>
  <c r="I153" i="31"/>
  <c r="O114" i="31"/>
  <c r="O115" i="31" s="1"/>
  <c r="H245" i="35"/>
  <c r="O242" i="35" s="1"/>
  <c r="H115" i="35"/>
  <c r="L115" i="35" s="1"/>
  <c r="M491" i="35"/>
  <c r="O500" i="35" s="1"/>
  <c r="O499" i="35" s="1"/>
  <c r="N121" i="35"/>
  <c r="K157" i="31"/>
  <c r="H250" i="35"/>
  <c r="L118" i="35"/>
  <c r="P22" i="35"/>
  <c r="O29" i="35" s="1"/>
  <c r="P30" i="35" s="1"/>
  <c r="J543" i="31"/>
  <c r="N282" i="31"/>
  <c r="J273" i="31"/>
  <c r="N273" i="31" s="1"/>
  <c r="O205" i="35"/>
  <c r="H284" i="31"/>
  <c r="H282" i="31"/>
  <c r="J278" i="31"/>
  <c r="J274" i="31"/>
  <c r="N274" i="31" s="1"/>
  <c r="J268" i="31"/>
  <c r="H244" i="35"/>
  <c r="J252" i="35"/>
  <c r="F229" i="30"/>
  <c r="F232" i="30" s="1"/>
  <c r="F235" i="30" s="1"/>
  <c r="J285" i="31"/>
  <c r="L285" i="31" s="1"/>
  <c r="J283" i="31"/>
  <c r="L283" i="31" s="1"/>
  <c r="H281" i="31"/>
  <c r="J276" i="31"/>
  <c r="N276" i="31" s="1"/>
  <c r="M238" i="31"/>
  <c r="O231" i="31"/>
  <c r="O232" i="31" s="1"/>
  <c r="I157" i="31"/>
  <c r="M51" i="31"/>
  <c r="I147" i="31" s="1"/>
  <c r="O504" i="35"/>
  <c r="O363" i="35"/>
  <c r="K309" i="35"/>
  <c r="M298" i="35" s="1"/>
  <c r="O301" i="35" s="1"/>
  <c r="H256" i="35"/>
  <c r="L114" i="35"/>
  <c r="L109" i="35"/>
  <c r="H918" i="36"/>
  <c r="L918" i="36" s="1"/>
  <c r="I241" i="36"/>
  <c r="M126" i="36"/>
  <c r="K126" i="36"/>
  <c r="E145" i="36" s="1"/>
  <c r="L917" i="36"/>
  <c r="K128" i="36"/>
  <c r="M128" i="36"/>
  <c r="L278" i="31"/>
  <c r="N280" i="31"/>
  <c r="A152" i="30"/>
  <c r="A102" i="30"/>
  <c r="F919" i="36"/>
  <c r="M124" i="36"/>
  <c r="O875" i="36"/>
  <c r="O876" i="36" s="1"/>
  <c r="M748" i="36"/>
  <c r="O749" i="36" s="1"/>
  <c r="M639" i="36"/>
  <c r="O640" i="36" s="1"/>
  <c r="M617" i="36"/>
  <c r="O618" i="36" s="1"/>
  <c r="M108" i="36"/>
  <c r="O110" i="36" s="1"/>
  <c r="I119" i="36" s="1"/>
  <c r="O607" i="36"/>
  <c r="M649" i="36" s="1"/>
  <c r="O421" i="36"/>
  <c r="M423" i="36" s="1"/>
  <c r="O424" i="36" s="1"/>
  <c r="O736" i="36"/>
  <c r="M762" i="36" s="1"/>
  <c r="M772" i="36" s="1"/>
  <c r="M667" i="36"/>
  <c r="O668" i="36" s="1"/>
  <c r="I253" i="36"/>
  <c r="G122" i="36"/>
  <c r="K122" i="36" s="1"/>
  <c r="E143" i="36" s="1"/>
  <c r="H246" i="35"/>
  <c r="J246" i="35"/>
  <c r="I130" i="36"/>
  <c r="M92" i="36"/>
  <c r="G134" i="36" s="1"/>
  <c r="F212" i="30"/>
  <c r="F219" i="30" s="1"/>
  <c r="E553" i="31"/>
  <c r="E560" i="31" s="1"/>
  <c r="E567" i="31" s="1"/>
  <c r="E578" i="31" s="1"/>
  <c r="E550" i="31"/>
  <c r="L97" i="31"/>
  <c r="K149" i="31"/>
  <c r="E102" i="31"/>
  <c r="E103" i="31" s="1"/>
  <c r="I149" i="31"/>
  <c r="H168" i="31" s="1"/>
  <c r="O313" i="31"/>
  <c r="M329" i="31" s="1"/>
  <c r="O330" i="31" s="1"/>
  <c r="M357" i="31" s="1"/>
  <c r="O358" i="31" s="1"/>
  <c r="M323" i="31"/>
  <c r="O324" i="31" s="1"/>
  <c r="H212" i="30"/>
  <c r="J562" i="31"/>
  <c r="J569" i="31" s="1"/>
  <c r="J580" i="31" s="1"/>
  <c r="J587" i="31" s="1"/>
  <c r="J594" i="31" s="1"/>
  <c r="J601" i="31" s="1"/>
  <c r="J608" i="31" s="1"/>
  <c r="L282" i="31"/>
  <c r="H274" i="31"/>
  <c r="F232" i="29"/>
  <c r="D237" i="29" s="1"/>
  <c r="J213" i="30"/>
  <c r="N283" i="31"/>
  <c r="L294" i="31" s="1"/>
  <c r="J281" i="31"/>
  <c r="J279" i="31"/>
  <c r="J275" i="31"/>
  <c r="N275" i="31" s="1"/>
  <c r="L96" i="31"/>
  <c r="J241" i="35"/>
  <c r="L108" i="35"/>
  <c r="M673" i="36"/>
  <c r="O674" i="36" s="1"/>
  <c r="C13" i="38" s="1"/>
  <c r="I249" i="36"/>
  <c r="K124" i="36"/>
  <c r="E232" i="29"/>
  <c r="D236" i="29" s="1"/>
  <c r="J546" i="31"/>
  <c r="J550" i="31" s="1"/>
  <c r="E543" i="31"/>
  <c r="J232" i="29"/>
  <c r="O317" i="31"/>
  <c r="K158" i="31"/>
  <c r="O105" i="31"/>
  <c r="N447" i="35"/>
  <c r="N450" i="35" s="1"/>
  <c r="O424" i="35" s="1"/>
  <c r="O416" i="35"/>
  <c r="M429" i="35" s="1"/>
  <c r="O430" i="35" s="1"/>
  <c r="J245" i="35"/>
  <c r="L121" i="35"/>
  <c r="N109" i="35"/>
  <c r="I248" i="36"/>
  <c r="O485" i="36"/>
  <c r="L280" i="31"/>
  <c r="N119" i="35"/>
  <c r="N110" i="35"/>
  <c r="M346" i="36"/>
  <c r="M121" i="36"/>
  <c r="E555" i="31"/>
  <c r="E107" i="31"/>
  <c r="D212" i="30"/>
  <c r="D219" i="30" s="1"/>
  <c r="D221" i="30" s="1"/>
  <c r="F220" i="30" s="1"/>
  <c r="J209" i="30"/>
  <c r="M345" i="31"/>
  <c r="O346" i="31" s="1"/>
  <c r="N278" i="31"/>
  <c r="N449" i="35"/>
  <c r="O425" i="35" s="1"/>
  <c r="M189" i="35"/>
  <c r="E568" i="31"/>
  <c r="E579" i="31" s="1"/>
  <c r="E586" i="31" s="1"/>
  <c r="E593" i="31" s="1"/>
  <c r="E600" i="31" s="1"/>
  <c r="E607" i="31" s="1"/>
  <c r="E138" i="31"/>
  <c r="E139" i="31" s="1"/>
  <c r="O67" i="31"/>
  <c r="O106" i="31" s="1"/>
  <c r="I160" i="31"/>
  <c r="O171" i="31" s="1"/>
  <c r="K160" i="31"/>
  <c r="H243" i="35"/>
  <c r="J243" i="35"/>
  <c r="M362" i="31"/>
  <c r="M363" i="31" s="1"/>
  <c r="O235" i="35"/>
  <c r="H253" i="35"/>
  <c r="J253" i="35"/>
  <c r="M338" i="31"/>
  <c r="N117" i="35"/>
  <c r="M813" i="36"/>
  <c r="O814" i="36" s="1"/>
  <c r="J824" i="36" s="1"/>
  <c r="J825" i="36" s="1"/>
  <c r="J827" i="36" s="1"/>
  <c r="J828" i="36" s="1"/>
  <c r="J829" i="36" s="1"/>
  <c r="M341" i="31"/>
  <c r="M337" i="31"/>
  <c r="H279" i="31"/>
  <c r="M81" i="31"/>
  <c r="I150" i="31" s="1"/>
  <c r="H169" i="31" s="1"/>
  <c r="O73" i="31"/>
  <c r="O75" i="35"/>
  <c r="J116" i="35" s="1"/>
  <c r="M898" i="36"/>
  <c r="O854" i="36"/>
  <c r="M851" i="36" s="1"/>
  <c r="M129" i="36"/>
  <c r="K129" i="36"/>
  <c r="M340" i="31"/>
  <c r="G330" i="31"/>
  <c r="M239" i="31"/>
  <c r="K147" i="31"/>
  <c r="L106" i="31"/>
  <c r="M361" i="35"/>
  <c r="H252" i="35"/>
  <c r="J249" i="35"/>
  <c r="J244" i="35"/>
  <c r="H247" i="35"/>
  <c r="O244" i="35" s="1"/>
  <c r="J248" i="35"/>
  <c r="J256" i="35"/>
  <c r="O241" i="35" s="1"/>
  <c r="J250" i="35"/>
  <c r="M98" i="35"/>
  <c r="J113" i="35"/>
  <c r="O911" i="36"/>
  <c r="M885" i="36"/>
  <c r="O886" i="36" s="1"/>
  <c r="O865" i="36"/>
  <c r="H249" i="35"/>
  <c r="M218" i="35"/>
  <c r="N114" i="35"/>
  <c r="N108" i="35"/>
  <c r="O70" i="35"/>
  <c r="O809" i="36"/>
  <c r="O810" i="36"/>
  <c r="M693" i="36"/>
  <c r="O715" i="36" s="1"/>
  <c r="M714" i="36" s="1"/>
  <c r="M728" i="36" s="1"/>
  <c r="O729" i="36" s="1"/>
  <c r="M731" i="36" s="1"/>
  <c r="O732" i="36" s="1"/>
  <c r="C24" i="38" s="1"/>
  <c r="M591" i="36"/>
  <c r="M620" i="36"/>
  <c r="B9" i="38"/>
  <c r="B19" i="38"/>
  <c r="M567" i="36"/>
  <c r="O570" i="36" s="1"/>
  <c r="O569" i="36"/>
  <c r="O210" i="36"/>
  <c r="K241" i="36" s="1"/>
  <c r="H24" i="36"/>
  <c r="G28" i="36"/>
  <c r="O662" i="36"/>
  <c r="M661" i="36" s="1"/>
  <c r="B5" i="38" s="1"/>
  <c r="O331" i="36"/>
  <c r="M334" i="36"/>
  <c r="O336" i="36" s="1"/>
  <c r="B16" i="38"/>
  <c r="M544" i="36"/>
  <c r="I131" i="36"/>
  <c r="M82" i="36"/>
  <c r="G123" i="36" s="1"/>
  <c r="I136" i="36"/>
  <c r="M136" i="36" s="1"/>
  <c r="E142" i="36" s="1"/>
  <c r="G152" i="36" s="1"/>
  <c r="O73" i="36"/>
  <c r="G132" i="36"/>
  <c r="B4" i="38"/>
  <c r="B6" i="38"/>
  <c r="B12" i="38"/>
  <c r="B13" i="38"/>
  <c r="B14" i="38"/>
  <c r="B15" i="38"/>
  <c r="B20" i="38"/>
  <c r="B21" i="38"/>
  <c r="B22" i="38"/>
  <c r="B25" i="38"/>
  <c r="C23" i="38"/>
  <c r="O548" i="36"/>
  <c r="M545" i="36" s="1"/>
  <c r="K239" i="36"/>
  <c r="K240" i="36"/>
  <c r="O240" i="36" s="1"/>
  <c r="K242" i="36"/>
  <c r="K243" i="36"/>
  <c r="O243" i="36" s="1"/>
  <c r="K244" i="36"/>
  <c r="O244" i="36" s="1"/>
  <c r="K245" i="36"/>
  <c r="K246" i="36"/>
  <c r="K247" i="36"/>
  <c r="O247" i="36" s="1"/>
  <c r="K248" i="36"/>
  <c r="K249" i="36"/>
  <c r="K250" i="36"/>
  <c r="K251" i="36"/>
  <c r="O251" i="36" s="1"/>
  <c r="N287" i="36" s="1"/>
  <c r="K252" i="36"/>
  <c r="O252" i="36" s="1"/>
  <c r="K253" i="36"/>
  <c r="K254" i="36"/>
  <c r="K255" i="36"/>
  <c r="O255" i="36" s="1"/>
  <c r="K256" i="36"/>
  <c r="O256" i="36" s="1"/>
  <c r="K257" i="36"/>
  <c r="K258" i="36"/>
  <c r="K259" i="36"/>
  <c r="O259" i="36" s="1"/>
  <c r="K260" i="36"/>
  <c r="O260" i="36" s="1"/>
  <c r="I273" i="36" s="1"/>
  <c r="M68" i="36"/>
  <c r="G130" i="36" s="1"/>
  <c r="G133" i="36"/>
  <c r="B23" i="38"/>
  <c r="C3" i="38"/>
  <c r="C4" i="38"/>
  <c r="C6" i="38"/>
  <c r="C9" i="38"/>
  <c r="C10" i="38"/>
  <c r="C11" i="38"/>
  <c r="C12" i="38"/>
  <c r="C14" i="38"/>
  <c r="C15" i="38"/>
  <c r="C17" i="38"/>
  <c r="C18" i="38"/>
  <c r="C19" i="38"/>
  <c r="C21" i="38"/>
  <c r="C25" i="38"/>
  <c r="C5" i="38"/>
  <c r="B24" i="38"/>
  <c r="O78" i="36"/>
  <c r="M48" i="17"/>
  <c r="M39" i="17"/>
  <c r="N115" i="35" l="1"/>
  <c r="E19" i="38"/>
  <c r="L272" i="31"/>
  <c r="L276" i="31"/>
  <c r="L107" i="31"/>
  <c r="L291" i="31"/>
  <c r="N284" i="31"/>
  <c r="L274" i="31"/>
  <c r="O243" i="35"/>
  <c r="L273" i="31"/>
  <c r="I151" i="31"/>
  <c r="H170" i="31" s="1"/>
  <c r="K151" i="31"/>
  <c r="N281" i="31"/>
  <c r="L293" i="31"/>
  <c r="O293" i="31" s="1"/>
  <c r="N285" i="31"/>
  <c r="C8" i="38"/>
  <c r="M240" i="31"/>
  <c r="M260" i="31" s="1"/>
  <c r="J553" i="31"/>
  <c r="E9" i="38"/>
  <c r="E12" i="38"/>
  <c r="O248" i="36"/>
  <c r="I279" i="36"/>
  <c r="L279" i="36" s="1"/>
  <c r="I262" i="36"/>
  <c r="B2" i="38"/>
  <c r="E6" i="38"/>
  <c r="C16" i="38"/>
  <c r="E16" i="38" s="1"/>
  <c r="B3" i="38"/>
  <c r="E3" i="38" s="1"/>
  <c r="G127" i="36"/>
  <c r="M127" i="36" s="1"/>
  <c r="E4" i="38"/>
  <c r="C7" i="38"/>
  <c r="B17" i="38"/>
  <c r="E17" i="38" s="1"/>
  <c r="B8" i="38"/>
  <c r="E8" i="38" s="1"/>
  <c r="O568" i="36"/>
  <c r="B10" i="38"/>
  <c r="E10" i="38" s="1"/>
  <c r="O608" i="36"/>
  <c r="C20" i="38" s="1"/>
  <c r="D20" i="38" s="1"/>
  <c r="E15" i="38"/>
  <c r="L290" i="31"/>
  <c r="O290" i="31" s="1"/>
  <c r="L275" i="31"/>
  <c r="L281" i="31"/>
  <c r="D23" i="38"/>
  <c r="E25" i="38"/>
  <c r="E13" i="38"/>
  <c r="B18" i="38"/>
  <c r="D18" i="38" s="1"/>
  <c r="M122" i="36"/>
  <c r="E21" i="38"/>
  <c r="E14" i="38"/>
  <c r="C2" i="38"/>
  <c r="F920" i="36"/>
  <c r="H919" i="36"/>
  <c r="J919" i="36"/>
  <c r="D5" i="38"/>
  <c r="B7" i="38"/>
  <c r="F221" i="30"/>
  <c r="F222" i="30" s="1"/>
  <c r="H211" i="30" s="1"/>
  <c r="D24" i="38"/>
  <c r="M73" i="35"/>
  <c r="M72" i="35" s="1"/>
  <c r="L279" i="31"/>
  <c r="K131" i="36"/>
  <c r="M131" i="36"/>
  <c r="O143" i="36" s="1"/>
  <c r="H271" i="31"/>
  <c r="K127" i="36"/>
  <c r="E146" i="36" s="1"/>
  <c r="K152" i="36" s="1"/>
  <c r="E23" i="38"/>
  <c r="D13" i="38"/>
  <c r="K123" i="36"/>
  <c r="J143" i="36" s="1"/>
  <c r="M123" i="36"/>
  <c r="M248" i="36"/>
  <c r="M240" i="36"/>
  <c r="D9" i="38"/>
  <c r="M243" i="36"/>
  <c r="B11" i="38"/>
  <c r="D11" i="38" s="1"/>
  <c r="O621" i="36"/>
  <c r="C22" i="38" s="1"/>
  <c r="E22" i="38" s="1"/>
  <c r="G334" i="31"/>
  <c r="M256" i="36"/>
  <c r="O353" i="31"/>
  <c r="M352" i="31" s="1"/>
  <c r="J557" i="31"/>
  <c r="J560" i="31"/>
  <c r="E24" i="38"/>
  <c r="O69" i="36"/>
  <c r="K262" i="36"/>
  <c r="O239" i="36"/>
  <c r="D25" i="38"/>
  <c r="D12" i="38"/>
  <c r="K132" i="36"/>
  <c r="J145" i="36" s="1"/>
  <c r="M132" i="36"/>
  <c r="E148" i="36"/>
  <c r="M152" i="36" s="1"/>
  <c r="M259" i="36"/>
  <c r="M251" i="36"/>
  <c r="M252" i="36"/>
  <c r="H290" i="36" s="1"/>
  <c r="H291" i="36" s="1"/>
  <c r="O245" i="35"/>
  <c r="F261" i="35"/>
  <c r="M247" i="36"/>
  <c r="H286" i="36" s="1"/>
  <c r="M244" i="36"/>
  <c r="K150" i="31"/>
  <c r="E557" i="31"/>
  <c r="E562" i="31"/>
  <c r="K133" i="36"/>
  <c r="J147" i="36" s="1"/>
  <c r="J148" i="36" s="1"/>
  <c r="M133" i="36"/>
  <c r="M258" i="36"/>
  <c r="O258" i="36"/>
  <c r="M254" i="36"/>
  <c r="O254" i="36"/>
  <c r="M250" i="36"/>
  <c r="I277" i="36" s="1"/>
  <c r="L277" i="36" s="1"/>
  <c r="O250" i="36"/>
  <c r="M246" i="36"/>
  <c r="I274" i="36" s="1"/>
  <c r="L274" i="36" s="1"/>
  <c r="O246" i="36"/>
  <c r="M242" i="36"/>
  <c r="O242" i="36"/>
  <c r="D15" i="38"/>
  <c r="D6" i="38"/>
  <c r="O74" i="36"/>
  <c r="I134" i="36" s="1"/>
  <c r="M134" i="36" s="1"/>
  <c r="I125" i="36"/>
  <c r="M239" i="36"/>
  <c r="M260" i="36"/>
  <c r="M255" i="36"/>
  <c r="H288" i="36" s="1"/>
  <c r="M92" i="35"/>
  <c r="J120" i="35"/>
  <c r="M227" i="35"/>
  <c r="O229" i="35"/>
  <c r="J255" i="35" s="1"/>
  <c r="H113" i="35"/>
  <c r="L113" i="35" s="1"/>
  <c r="H114" i="31"/>
  <c r="M76" i="31"/>
  <c r="K152" i="31" s="1"/>
  <c r="O190" i="35"/>
  <c r="H254" i="35"/>
  <c r="E5" i="38"/>
  <c r="K130" i="36"/>
  <c r="J144" i="36" s="1"/>
  <c r="M130" i="36"/>
  <c r="O257" i="36"/>
  <c r="N285" i="36" s="1"/>
  <c r="M257" i="36"/>
  <c r="O253" i="36"/>
  <c r="M253" i="36"/>
  <c r="H287" i="36" s="1"/>
  <c r="O249" i="36"/>
  <c r="M249" i="36"/>
  <c r="O245" i="36"/>
  <c r="M245" i="36"/>
  <c r="O241" i="36"/>
  <c r="M241" i="36"/>
  <c r="D21" i="38"/>
  <c r="D14" i="38"/>
  <c r="D4" i="38"/>
  <c r="E144" i="36"/>
  <c r="I152" i="36"/>
  <c r="K119" i="36"/>
  <c r="M119" i="36"/>
  <c r="H29" i="36"/>
  <c r="G33" i="36"/>
  <c r="D19" i="38"/>
  <c r="K136" i="36"/>
  <c r="M543" i="36"/>
  <c r="O560" i="36" s="1"/>
  <c r="M559" i="36" s="1"/>
  <c r="M254" i="31"/>
  <c r="H270" i="31"/>
  <c r="E108" i="31"/>
  <c r="E109" i="31" s="1"/>
  <c r="O82" i="31"/>
  <c r="N279" i="31"/>
  <c r="M251" i="31"/>
  <c r="J277" i="31"/>
  <c r="J254" i="35"/>
  <c r="E585" i="31"/>
  <c r="F29" i="28"/>
  <c r="F34" i="28" s="1"/>
  <c r="D29" i="28"/>
  <c r="F17" i="28"/>
  <c r="D17" i="28"/>
  <c r="F16" i="28"/>
  <c r="F19" i="28" s="1"/>
  <c r="D16" i="28"/>
  <c r="K15" i="28"/>
  <c r="F13" i="28"/>
  <c r="K9" i="28"/>
  <c r="K13" i="28" s="1"/>
  <c r="K16" i="28" s="1"/>
  <c r="K18" i="28" s="1"/>
  <c r="D9" i="28"/>
  <c r="D13" i="28" s="1"/>
  <c r="G41" i="27"/>
  <c r="F41" i="27"/>
  <c r="D39" i="27"/>
  <c r="C39" i="27"/>
  <c r="G36" i="27"/>
  <c r="F36" i="27"/>
  <c r="D33" i="27"/>
  <c r="C33" i="27"/>
  <c r="K32" i="27"/>
  <c r="K35" i="27" s="1"/>
  <c r="K37" i="27" s="1"/>
  <c r="G32" i="27"/>
  <c r="F32" i="27"/>
  <c r="G20" i="27"/>
  <c r="G21" i="27" s="1"/>
  <c r="F20" i="27"/>
  <c r="D18" i="27"/>
  <c r="D21" i="27" s="1"/>
  <c r="C18" i="27"/>
  <c r="C21" i="27" s="1"/>
  <c r="F15" i="27"/>
  <c r="C20" i="26"/>
  <c r="C12" i="26"/>
  <c r="B12" i="26"/>
  <c r="C8" i="26"/>
  <c r="B8" i="26"/>
  <c r="O838" i="25"/>
  <c r="O843" i="25" s="1"/>
  <c r="O833" i="25"/>
  <c r="O835" i="25" s="1"/>
  <c r="O825" i="25"/>
  <c r="O823" i="25"/>
  <c r="O816" i="25"/>
  <c r="O808" i="25"/>
  <c r="O809" i="25" s="1"/>
  <c r="C749" i="25"/>
  <c r="O747" i="25"/>
  <c r="O746" i="25"/>
  <c r="O737" i="25"/>
  <c r="O728" i="25"/>
  <c r="O714" i="25"/>
  <c r="C703" i="25"/>
  <c r="O701" i="25"/>
  <c r="O700" i="25"/>
  <c r="O691" i="25"/>
  <c r="O683" i="25"/>
  <c r="O679" i="25"/>
  <c r="O665" i="25"/>
  <c r="H600" i="25"/>
  <c r="H599" i="25"/>
  <c r="O598" i="25"/>
  <c r="O599" i="25" s="1"/>
  <c r="H595" i="25"/>
  <c r="O594" i="25"/>
  <c r="H594" i="25"/>
  <c r="O593" i="25"/>
  <c r="H593" i="25"/>
  <c r="O592" i="25"/>
  <c r="H592" i="25"/>
  <c r="O591" i="25"/>
  <c r="H591" i="25"/>
  <c r="L577" i="25"/>
  <c r="L576" i="25"/>
  <c r="L572" i="25"/>
  <c r="L571" i="25"/>
  <c r="L567" i="25"/>
  <c r="L566" i="25"/>
  <c r="J556" i="25"/>
  <c r="H552" i="25"/>
  <c r="L570" i="25" s="1"/>
  <c r="H495" i="25"/>
  <c r="H494" i="25"/>
  <c r="H493" i="25"/>
  <c r="O489" i="25"/>
  <c r="H489" i="25"/>
  <c r="O488" i="25"/>
  <c r="H488" i="25"/>
  <c r="O487" i="25"/>
  <c r="H487" i="25"/>
  <c r="O486" i="25"/>
  <c r="H486" i="25"/>
  <c r="O485" i="25"/>
  <c r="H485" i="25"/>
  <c r="L472" i="25"/>
  <c r="L471" i="25"/>
  <c r="L470" i="25"/>
  <c r="L466" i="25"/>
  <c r="L465" i="25"/>
  <c r="L461" i="25"/>
  <c r="L460" i="25"/>
  <c r="H447" i="25"/>
  <c r="L464" i="25" s="1"/>
  <c r="O367" i="25"/>
  <c r="H365" i="25"/>
  <c r="H364" i="25"/>
  <c r="H363" i="25"/>
  <c r="O362" i="25"/>
  <c r="O363" i="25" s="1"/>
  <c r="O358" i="25"/>
  <c r="H358" i="25"/>
  <c r="O357" i="25"/>
  <c r="H357" i="25"/>
  <c r="O356" i="25"/>
  <c r="H356" i="25"/>
  <c r="L265" i="25"/>
  <c r="L261" i="25"/>
  <c r="L260" i="25"/>
  <c r="L259" i="25"/>
  <c r="L256" i="25"/>
  <c r="L255" i="25"/>
  <c r="J243" i="25"/>
  <c r="H228" i="25"/>
  <c r="H243" i="25" s="1"/>
  <c r="H190" i="25"/>
  <c r="H191" i="25" s="1"/>
  <c r="H186" i="25"/>
  <c r="H185" i="25"/>
  <c r="O184" i="25"/>
  <c r="H184" i="25"/>
  <c r="O183" i="25"/>
  <c r="H183" i="25"/>
  <c r="O182" i="25"/>
  <c r="H182" i="25"/>
  <c r="L167" i="25"/>
  <c r="L166" i="25"/>
  <c r="L162" i="25"/>
  <c r="L161" i="25"/>
  <c r="L160" i="25"/>
  <c r="L156" i="25"/>
  <c r="J118" i="25"/>
  <c r="L157" i="25" s="1"/>
  <c r="H66" i="25"/>
  <c r="H67" i="25" s="1"/>
  <c r="H62" i="25"/>
  <c r="O61" i="25"/>
  <c r="H61" i="25"/>
  <c r="O60" i="25"/>
  <c r="H60" i="25"/>
  <c r="L45" i="25"/>
  <c r="L44" i="25"/>
  <c r="L40" i="25"/>
  <c r="L39" i="25"/>
  <c r="L36" i="25"/>
  <c r="L35" i="25"/>
  <c r="H255" i="35" l="1"/>
  <c r="C42" i="27"/>
  <c r="D8" i="38"/>
  <c r="H112" i="35"/>
  <c r="L112" i="35" s="1"/>
  <c r="B13" i="26"/>
  <c r="C13" i="26"/>
  <c r="J242" i="35"/>
  <c r="J257" i="35" s="1"/>
  <c r="D19" i="28"/>
  <c r="D21" i="28" s="1"/>
  <c r="D16" i="38"/>
  <c r="D3" i="38"/>
  <c r="E7" i="38"/>
  <c r="H285" i="36"/>
  <c r="H289" i="36" s="1"/>
  <c r="H292" i="36" s="1"/>
  <c r="E18" i="38"/>
  <c r="D17" i="38"/>
  <c r="E20" i="38"/>
  <c r="D10" i="38"/>
  <c r="I276" i="36"/>
  <c r="L276" i="36" s="1"/>
  <c r="N286" i="36"/>
  <c r="N288" i="36" s="1"/>
  <c r="N289" i="36" s="1"/>
  <c r="B27" i="38"/>
  <c r="D7" i="38"/>
  <c r="D22" i="38"/>
  <c r="C27" i="38"/>
  <c r="D2" i="38"/>
  <c r="L919" i="36"/>
  <c r="E2" i="38"/>
  <c r="J920" i="36"/>
  <c r="H920" i="36"/>
  <c r="O703" i="25"/>
  <c r="O739" i="25"/>
  <c r="F21" i="27"/>
  <c r="F42" i="27"/>
  <c r="F21" i="28"/>
  <c r="E11" i="38"/>
  <c r="G42" i="27"/>
  <c r="D42" i="27"/>
  <c r="E592" i="31"/>
  <c r="O255" i="31"/>
  <c r="J270" i="31" s="1"/>
  <c r="N270" i="31" s="1"/>
  <c r="M257" i="31"/>
  <c r="H269" i="31"/>
  <c r="H242" i="35"/>
  <c r="H257" i="35" s="1"/>
  <c r="J261" i="35"/>
  <c r="O247" i="35"/>
  <c r="N261" i="35" s="1"/>
  <c r="K134" i="36"/>
  <c r="J211" i="30"/>
  <c r="H208" i="30"/>
  <c r="H219" i="30" s="1"/>
  <c r="H277" i="31"/>
  <c r="L277" i="31" s="1"/>
  <c r="O252" i="31"/>
  <c r="J267" i="31" s="1"/>
  <c r="O101" i="31"/>
  <c r="L102" i="31" s="1"/>
  <c r="K148" i="31"/>
  <c r="I148" i="31"/>
  <c r="O77" i="31"/>
  <c r="E114" i="31"/>
  <c r="I152" i="31"/>
  <c r="N113" i="35"/>
  <c r="I135" i="36"/>
  <c r="M89" i="36"/>
  <c r="O90" i="36" s="1"/>
  <c r="J567" i="31"/>
  <c r="J564" i="31"/>
  <c r="N112" i="35"/>
  <c r="I275" i="36"/>
  <c r="O261" i="31"/>
  <c r="J271" i="31" s="1"/>
  <c r="N271" i="31" s="1"/>
  <c r="H267" i="31"/>
  <c r="H220" i="30"/>
  <c r="G154" i="36"/>
  <c r="E147" i="36"/>
  <c r="O93" i="35"/>
  <c r="H120" i="35"/>
  <c r="L120" i="35" s="1"/>
  <c r="K125" i="36"/>
  <c r="M125" i="36"/>
  <c r="O262" i="36"/>
  <c r="O90" i="35"/>
  <c r="H111" i="35"/>
  <c r="C345" i="31"/>
  <c r="L379" i="31" s="1"/>
  <c r="M262" i="36"/>
  <c r="E569" i="31"/>
  <c r="E564" i="31"/>
  <c r="L37" i="25"/>
  <c r="L41" i="25" s="1"/>
  <c r="L46" i="25" s="1"/>
  <c r="O66" i="25" s="1"/>
  <c r="O693" i="25"/>
  <c r="O749" i="25"/>
  <c r="L158" i="25"/>
  <c r="L163" i="25" s="1"/>
  <c r="L168" i="25" s="1"/>
  <c r="O190" i="25" s="1"/>
  <c r="L462" i="25"/>
  <c r="L467" i="25" s="1"/>
  <c r="L474" i="25" s="1"/>
  <c r="O495" i="25" s="1"/>
  <c r="H63" i="25"/>
  <c r="H68" i="25" s="1"/>
  <c r="O595" i="25"/>
  <c r="O601" i="25" s="1"/>
  <c r="H366" i="25"/>
  <c r="H601" i="25"/>
  <c r="O62" i="25"/>
  <c r="O63" i="25" s="1"/>
  <c r="L257" i="25"/>
  <c r="L262" i="25" s="1"/>
  <c r="L267" i="25" s="1"/>
  <c r="L568" i="25"/>
  <c r="L573" i="25" s="1"/>
  <c r="L579" i="25" s="1"/>
  <c r="O603" i="25" s="1"/>
  <c r="H596" i="25"/>
  <c r="O185" i="25"/>
  <c r="O187" i="25" s="1"/>
  <c r="H359" i="25"/>
  <c r="O490" i="25"/>
  <c r="O492" i="25" s="1"/>
  <c r="H496" i="25"/>
  <c r="H187" i="25"/>
  <c r="H192" i="25" s="1"/>
  <c r="O359" i="25"/>
  <c r="O365" i="25" s="1"/>
  <c r="O369" i="25" s="1"/>
  <c r="H490" i="25"/>
  <c r="O814" i="25"/>
  <c r="O830" i="25" s="1"/>
  <c r="O845" i="25" s="1"/>
  <c r="R13" i="28"/>
  <c r="H556" i="25"/>
  <c r="L270" i="31" l="1"/>
  <c r="C29" i="38"/>
  <c r="D27" i="38"/>
  <c r="L920" i="36"/>
  <c r="E27" i="38"/>
  <c r="N120" i="35"/>
  <c r="H604" i="25"/>
  <c r="M88" i="35"/>
  <c r="I154" i="36"/>
  <c r="E149" i="36"/>
  <c r="G135" i="36"/>
  <c r="M135" i="36" s="1"/>
  <c r="O142" i="36" s="1"/>
  <c r="O144" i="36" s="1"/>
  <c r="O145" i="36" s="1"/>
  <c r="I120" i="36"/>
  <c r="H221" i="30"/>
  <c r="H222" i="30" s="1"/>
  <c r="M95" i="35"/>
  <c r="L267" i="31"/>
  <c r="N277" i="31"/>
  <c r="E580" i="31"/>
  <c r="E571" i="31"/>
  <c r="E383" i="31"/>
  <c r="I383" i="31" s="1"/>
  <c r="E387" i="31"/>
  <c r="I387" i="31" s="1"/>
  <c r="E380" i="31"/>
  <c r="I380" i="31" s="1"/>
  <c r="E388" i="31"/>
  <c r="I388" i="31" s="1"/>
  <c r="E392" i="31"/>
  <c r="E396" i="31"/>
  <c r="E400" i="31"/>
  <c r="M400" i="31" s="1"/>
  <c r="E385" i="31"/>
  <c r="I385" i="31" s="1"/>
  <c r="E389" i="31"/>
  <c r="I389" i="31" s="1"/>
  <c r="E393" i="31"/>
  <c r="E397" i="31"/>
  <c r="E386" i="31"/>
  <c r="I386" i="31" s="1"/>
  <c r="E390" i="31"/>
  <c r="I390" i="31" s="1"/>
  <c r="E398" i="31"/>
  <c r="E391" i="31"/>
  <c r="E395" i="31"/>
  <c r="E401" i="31"/>
  <c r="M401" i="31" s="1"/>
  <c r="E399" i="31"/>
  <c r="M399" i="31" s="1"/>
  <c r="E381" i="31"/>
  <c r="I381" i="31" s="1"/>
  <c r="E394" i="31"/>
  <c r="E379" i="31"/>
  <c r="I379" i="31" s="1"/>
  <c r="E377" i="31"/>
  <c r="L383" i="31"/>
  <c r="J388" i="31"/>
  <c r="J381" i="31"/>
  <c r="G387" i="31"/>
  <c r="L392" i="31"/>
  <c r="J398" i="31"/>
  <c r="G380" i="31"/>
  <c r="L385" i="31"/>
  <c r="J390" i="31"/>
  <c r="G396" i="31"/>
  <c r="K396" i="31" s="1"/>
  <c r="G377" i="31"/>
  <c r="L382" i="31"/>
  <c r="J387" i="31"/>
  <c r="G393" i="31"/>
  <c r="K393" i="31" s="1"/>
  <c r="L399" i="31"/>
  <c r="G400" i="31"/>
  <c r="J393" i="31"/>
  <c r="E382" i="31"/>
  <c r="I382" i="31" s="1"/>
  <c r="G378" i="31"/>
  <c r="G392" i="31"/>
  <c r="K392" i="31" s="1"/>
  <c r="G379" i="31"/>
  <c r="J384" i="31"/>
  <c r="G390" i="31"/>
  <c r="G383" i="31"/>
  <c r="L388" i="31"/>
  <c r="J394" i="31"/>
  <c r="G399" i="31"/>
  <c r="L381" i="31"/>
  <c r="J386" i="31"/>
  <c r="J391" i="31"/>
  <c r="L397" i="31"/>
  <c r="L378" i="31"/>
  <c r="J383" i="31"/>
  <c r="G389" i="31"/>
  <c r="L394" i="31"/>
  <c r="J400" i="31"/>
  <c r="J401" i="31"/>
  <c r="L391" i="31"/>
  <c r="E384" i="31"/>
  <c r="I384" i="31" s="1"/>
  <c r="J380" i="31"/>
  <c r="G386" i="31"/>
  <c r="J377" i="31"/>
  <c r="L384" i="31"/>
  <c r="J389" i="31"/>
  <c r="G395" i="31"/>
  <c r="K395" i="31" s="1"/>
  <c r="L377" i="31"/>
  <c r="J382" i="31"/>
  <c r="G388" i="31"/>
  <c r="L393" i="31"/>
  <c r="L398" i="31"/>
  <c r="J379" i="31"/>
  <c r="G385" i="31"/>
  <c r="L390" i="31"/>
  <c r="J396" i="31"/>
  <c r="G401" i="31"/>
  <c r="L400" i="31"/>
  <c r="G398" i="31"/>
  <c r="O398" i="31" s="1"/>
  <c r="L387" i="31"/>
  <c r="L380" i="31"/>
  <c r="J385" i="31"/>
  <c r="G391" i="31"/>
  <c r="K391" i="31" s="1"/>
  <c r="L396" i="31"/>
  <c r="J378" i="31"/>
  <c r="G384" i="31"/>
  <c r="L389" i="31"/>
  <c r="J395" i="31"/>
  <c r="J399" i="31"/>
  <c r="G381" i="31"/>
  <c r="L386" i="31"/>
  <c r="J392" i="31"/>
  <c r="G397" i="31"/>
  <c r="K397" i="31" s="1"/>
  <c r="J397" i="31"/>
  <c r="L401" i="31"/>
  <c r="L395" i="31"/>
  <c r="G394" i="31"/>
  <c r="K394" i="31" s="1"/>
  <c r="E378" i="31"/>
  <c r="I378" i="31" s="1"/>
  <c r="N267" i="31"/>
  <c r="L271" i="31"/>
  <c r="E599" i="31"/>
  <c r="I278" i="36"/>
  <c r="L275" i="36"/>
  <c r="J571" i="31"/>
  <c r="J578" i="31"/>
  <c r="M85" i="31"/>
  <c r="H118" i="31"/>
  <c r="G382" i="31"/>
  <c r="H268" i="31"/>
  <c r="H286" i="31" s="1"/>
  <c r="O258" i="31"/>
  <c r="J269" i="31" s="1"/>
  <c r="N269" i="31" s="1"/>
  <c r="O68" i="25"/>
  <c r="O604" i="25"/>
  <c r="O497" i="25"/>
  <c r="H369" i="25"/>
  <c r="O192" i="25"/>
  <c r="H497" i="25"/>
  <c r="R14" i="28"/>
  <c r="S13" i="28"/>
  <c r="S14" i="28" s="1"/>
  <c r="D32" i="28" s="1"/>
  <c r="D34" i="28" s="1"/>
  <c r="E29" i="38" l="1"/>
  <c r="K402" i="31"/>
  <c r="L412" i="31"/>
  <c r="L418" i="31"/>
  <c r="O402" i="31"/>
  <c r="L411" i="31"/>
  <c r="L419" i="31"/>
  <c r="E587" i="31"/>
  <c r="E582" i="31"/>
  <c r="K120" i="36"/>
  <c r="M120" i="36"/>
  <c r="M137" i="36" s="1"/>
  <c r="I137" i="36"/>
  <c r="M89" i="35"/>
  <c r="H116" i="35" s="1"/>
  <c r="H123" i="35"/>
  <c r="J585" i="31"/>
  <c r="J582" i="31"/>
  <c r="L269" i="31"/>
  <c r="L268" i="31"/>
  <c r="N268" i="31"/>
  <c r="I377" i="31"/>
  <c r="I402" i="31" s="1"/>
  <c r="E402" i="31"/>
  <c r="D405" i="31" s="1"/>
  <c r="M402" i="31"/>
  <c r="K135" i="36"/>
  <c r="G137" i="36"/>
  <c r="I154" i="31"/>
  <c r="O86" i="31"/>
  <c r="E118" i="31"/>
  <c r="H119" i="31" s="1"/>
  <c r="N139" i="31" s="1"/>
  <c r="I280" i="36"/>
  <c r="L278" i="36"/>
  <c r="E606" i="31"/>
  <c r="N286" i="31"/>
  <c r="K154" i="31"/>
  <c r="O168" i="31" s="1"/>
  <c r="O169" i="31" s="1"/>
  <c r="O173" i="31" s="1"/>
  <c r="J286" i="31"/>
  <c r="G402" i="31"/>
  <c r="D406" i="31" s="1"/>
  <c r="O96" i="35"/>
  <c r="J111" i="35" s="1"/>
  <c r="O99" i="35"/>
  <c r="H122" i="35"/>
  <c r="K154" i="36"/>
  <c r="O147" i="36"/>
  <c r="O149" i="36" s="1"/>
  <c r="G37" i="22"/>
  <c r="G31" i="22"/>
  <c r="G32" i="22" s="1"/>
  <c r="G33" i="22" s="1"/>
  <c r="G34" i="22" s="1"/>
  <c r="G29" i="22"/>
  <c r="G27" i="22"/>
  <c r="G25" i="22"/>
  <c r="G22" i="22"/>
  <c r="G23" i="22" s="1"/>
  <c r="G19" i="22"/>
  <c r="G20" i="22" s="1"/>
  <c r="G17" i="22"/>
  <c r="G12" i="22"/>
  <c r="G13" i="22" s="1"/>
  <c r="G14" i="22" s="1"/>
  <c r="G15" i="22" s="1"/>
  <c r="I6" i="21"/>
  <c r="I5" i="21"/>
  <c r="I4" i="21"/>
  <c r="J298" i="20"/>
  <c r="O285" i="20"/>
  <c r="M269" i="20"/>
  <c r="O270" i="20" s="1"/>
  <c r="M266" i="20"/>
  <c r="M263" i="20"/>
  <c r="O264" i="20" s="1"/>
  <c r="M260" i="20"/>
  <c r="O261" i="20" s="1"/>
  <c r="M256" i="20"/>
  <c r="O257" i="20" s="1"/>
  <c r="H177" i="20"/>
  <c r="J178" i="20" s="1"/>
  <c r="H174" i="20"/>
  <c r="J175" i="20" s="1"/>
  <c r="H171" i="20"/>
  <c r="J172" i="20" s="1"/>
  <c r="H168" i="20"/>
  <c r="J169" i="20" s="1"/>
  <c r="M249" i="20"/>
  <c r="M216" i="20" s="1"/>
  <c r="O218" i="20" s="1"/>
  <c r="K247" i="20"/>
  <c r="I247" i="20"/>
  <c r="O245" i="20"/>
  <c r="M245" i="20"/>
  <c r="K245" i="20"/>
  <c r="I245" i="20"/>
  <c r="G245" i="20"/>
  <c r="E245" i="20"/>
  <c r="G244" i="20"/>
  <c r="J231" i="20"/>
  <c r="J233" i="20" s="1"/>
  <c r="H231" i="20"/>
  <c r="F231" i="20"/>
  <c r="J230" i="20"/>
  <c r="H230" i="20"/>
  <c r="F230" i="20"/>
  <c r="M206" i="20"/>
  <c r="J125" i="20"/>
  <c r="J128" i="20" s="1"/>
  <c r="J118" i="20"/>
  <c r="O71" i="20"/>
  <c r="M56" i="20"/>
  <c r="O57" i="20" s="1"/>
  <c r="O20" i="20"/>
  <c r="C14" i="20"/>
  <c r="C18" i="20" s="1"/>
  <c r="O8" i="20"/>
  <c r="M405" i="31" l="1"/>
  <c r="O418" i="31"/>
  <c r="O411" i="31"/>
  <c r="F232" i="20"/>
  <c r="K244" i="20" s="1"/>
  <c r="H232" i="20"/>
  <c r="H234" i="20" s="1"/>
  <c r="G247" i="20"/>
  <c r="L286" i="31"/>
  <c r="M406" i="31"/>
  <c r="I146" i="31"/>
  <c r="H98" i="31"/>
  <c r="E99" i="31" s="1"/>
  <c r="N138" i="31" s="1"/>
  <c r="K146" i="31"/>
  <c r="K161" i="31" s="1"/>
  <c r="E594" i="31"/>
  <c r="E589" i="31"/>
  <c r="J122" i="35"/>
  <c r="N122" i="35" s="1"/>
  <c r="O100" i="35"/>
  <c r="J107" i="35" s="1"/>
  <c r="J589" i="31"/>
  <c r="J592" i="31"/>
  <c r="N111" i="35"/>
  <c r="L111" i="35"/>
  <c r="L280" i="36"/>
  <c r="N291" i="36"/>
  <c r="N292" i="36" s="1"/>
  <c r="L123" i="35"/>
  <c r="N123" i="35"/>
  <c r="J142" i="36"/>
  <c r="J146" i="36" s="1"/>
  <c r="J149" i="36" s="1"/>
  <c r="K137" i="36"/>
  <c r="L116" i="35"/>
  <c r="N116" i="35"/>
  <c r="H125" i="35"/>
  <c r="J232" i="20"/>
  <c r="O244" i="20" s="1"/>
  <c r="O267" i="20"/>
  <c r="F234" i="20" l="1"/>
  <c r="M210" i="20" s="1"/>
  <c r="O212" i="20" s="1"/>
  <c r="M244" i="20"/>
  <c r="M247" i="20" s="1"/>
  <c r="M217" i="20" s="1"/>
  <c r="O219" i="20" s="1"/>
  <c r="J234" i="20"/>
  <c r="M211" i="20" s="1"/>
  <c r="O213" i="20" s="1"/>
  <c r="N107" i="35"/>
  <c r="N125" i="35" s="1"/>
  <c r="J125" i="35"/>
  <c r="L107" i="35"/>
  <c r="I161" i="31"/>
  <c r="H167" i="31"/>
  <c r="H173" i="31" s="1"/>
  <c r="J599" i="31"/>
  <c r="J596" i="31"/>
  <c r="E601" i="31"/>
  <c r="E596" i="31"/>
  <c r="L122" i="35"/>
  <c r="L125" i="35" l="1"/>
  <c r="E608" i="31"/>
  <c r="E610" i="31" s="1"/>
  <c r="E603" i="31"/>
  <c r="J603" i="31"/>
  <c r="J606" i="31"/>
  <c r="J610" i="31" s="1"/>
  <c r="O280" i="20" l="1"/>
  <c r="I8" i="19" l="1"/>
  <c r="H392" i="17"/>
  <c r="J392" i="17" s="1"/>
  <c r="J391" i="17"/>
  <c r="H369" i="17"/>
  <c r="J369" i="17" s="1"/>
  <c r="O345" i="17" s="1"/>
  <c r="F369" i="17"/>
  <c r="F368" i="17"/>
  <c r="F372" i="17" s="1"/>
  <c r="F373" i="17" s="1"/>
  <c r="J367" i="17"/>
  <c r="O356" i="17"/>
  <c r="H353" i="17" s="1"/>
  <c r="J354" i="17" s="1"/>
  <c r="O348" i="17"/>
  <c r="D344" i="17"/>
  <c r="O338" i="17"/>
  <c r="O340" i="17" s="1"/>
  <c r="H335" i="17" s="1"/>
  <c r="H336" i="17" s="1"/>
  <c r="O329" i="17"/>
  <c r="H326" i="17" s="1"/>
  <c r="J327" i="17" s="1"/>
  <c r="H312" i="17"/>
  <c r="J313" i="17" s="1"/>
  <c r="O305" i="17"/>
  <c r="H302" i="17" s="1"/>
  <c r="J303" i="17" s="1"/>
  <c r="O295" i="17"/>
  <c r="O296" i="17" s="1"/>
  <c r="O294" i="17"/>
  <c r="D294" i="17"/>
  <c r="J286" i="17"/>
  <c r="H285" i="17"/>
  <c r="H284" i="17"/>
  <c r="O271" i="17"/>
  <c r="O273" i="17" s="1"/>
  <c r="M271" i="17"/>
  <c r="M273" i="17" s="1"/>
  <c r="K271" i="17"/>
  <c r="K273" i="17" s="1"/>
  <c r="I243" i="17"/>
  <c r="I244" i="17" s="1"/>
  <c r="I245" i="17" s="1"/>
  <c r="L236" i="17"/>
  <c r="L235" i="17"/>
  <c r="L237" i="17" s="1"/>
  <c r="M222" i="17" s="1"/>
  <c r="O223" i="17" s="1"/>
  <c r="I235" i="17"/>
  <c r="I237" i="17" s="1"/>
  <c r="I241" i="17" s="1"/>
  <c r="I232" i="17"/>
  <c r="G220" i="17"/>
  <c r="M219" i="17"/>
  <c r="O220" i="17" s="1"/>
  <c r="M203" i="17"/>
  <c r="O204" i="17" s="1"/>
  <c r="M200" i="17"/>
  <c r="O201" i="17" s="1"/>
  <c r="H182" i="17"/>
  <c r="H184" i="17" s="1"/>
  <c r="N186" i="17" s="1"/>
  <c r="M151" i="17"/>
  <c r="M148" i="17"/>
  <c r="O149" i="17" s="1"/>
  <c r="C148" i="17"/>
  <c r="M145" i="17"/>
  <c r="M138" i="17"/>
  <c r="O139" i="17" s="1"/>
  <c r="M135" i="17"/>
  <c r="O136" i="17" s="1"/>
  <c r="C135" i="17"/>
  <c r="O133" i="17"/>
  <c r="M131" i="17" s="1"/>
  <c r="M130" i="17"/>
  <c r="M122" i="17"/>
  <c r="O120" i="17"/>
  <c r="O117" i="17"/>
  <c r="M113" i="17"/>
  <c r="O114" i="17" s="1"/>
  <c r="O109" i="17"/>
  <c r="H68" i="17"/>
  <c r="F68" i="17"/>
  <c r="H67" i="17"/>
  <c r="F67" i="17"/>
  <c r="H66" i="17"/>
  <c r="F65" i="17"/>
  <c r="O49" i="17"/>
  <c r="O40" i="17"/>
  <c r="M35" i="17"/>
  <c r="H6" i="19" s="1"/>
  <c r="O31" i="17"/>
  <c r="O27" i="17"/>
  <c r="O24" i="17"/>
  <c r="M19" i="17"/>
  <c r="O20" i="17" s="1"/>
  <c r="M15" i="17"/>
  <c r="F66" i="17" s="1"/>
  <c r="O12" i="17"/>
  <c r="O298" i="17" l="1"/>
  <c r="H294" i="17"/>
  <c r="J295" i="17" s="1"/>
  <c r="N66" i="17"/>
  <c r="J7" i="19" s="1"/>
  <c r="K7" i="19" s="1"/>
  <c r="L7" i="19" s="1"/>
  <c r="O152" i="17"/>
  <c r="N67" i="17"/>
  <c r="O146" i="17"/>
  <c r="M34" i="17"/>
  <c r="N68" i="17"/>
  <c r="J9" i="19" s="1"/>
  <c r="K9" i="19" s="1"/>
  <c r="L9" i="19" s="1"/>
  <c r="H10" i="19"/>
  <c r="G6" i="19"/>
  <c r="J6" i="19"/>
  <c r="M196" i="17"/>
  <c r="F190" i="17"/>
  <c r="M197" i="17" s="1"/>
  <c r="J8" i="19"/>
  <c r="K8" i="19" s="1"/>
  <c r="L8" i="19" s="1"/>
  <c r="M55" i="17"/>
  <c r="O58" i="17" s="1"/>
  <c r="O153" i="17"/>
  <c r="I246" i="17"/>
  <c r="I247" i="17" s="1"/>
  <c r="H393" i="17"/>
  <c r="J393" i="17" s="1"/>
  <c r="O346" i="17" s="1"/>
  <c r="O347" i="17" s="1"/>
  <c r="O349" i="17" s="1"/>
  <c r="H344" i="17" s="1"/>
  <c r="J345" i="17" s="1"/>
  <c r="M56" i="17" l="1"/>
  <c r="O59" i="17" s="1"/>
  <c r="M54" i="17"/>
  <c r="O57" i="17" s="1"/>
  <c r="O198" i="17"/>
  <c r="J10" i="19"/>
  <c r="I248" i="17"/>
  <c r="G20" i="19"/>
  <c r="G24" i="19" s="1"/>
  <c r="G10" i="19"/>
  <c r="K6" i="19"/>
  <c r="L6" i="19" l="1"/>
  <c r="L10" i="19" s="1"/>
  <c r="K10" i="19"/>
  <c r="N82" i="16" l="1"/>
  <c r="Q73" i="16"/>
  <c r="J72" i="16"/>
  <c r="J40" i="16"/>
  <c r="I40" i="16"/>
  <c r="H40" i="16"/>
  <c r="G40" i="16"/>
  <c r="F40" i="16"/>
  <c r="E40" i="16"/>
  <c r="D40" i="16"/>
  <c r="C40" i="16"/>
  <c r="I346" i="15"/>
  <c r="M345" i="15" s="1"/>
  <c r="O345" i="15"/>
  <c r="M343" i="15"/>
  <c r="Q334" i="15"/>
  <c r="Q326" i="15"/>
  <c r="S318" i="15"/>
  <c r="S317" i="15"/>
  <c r="S316" i="15"/>
  <c r="Q322" i="15" s="1"/>
  <c r="S323" i="15" s="1"/>
  <c r="S315" i="15"/>
  <c r="S314" i="15"/>
  <c r="Q309" i="15"/>
  <c r="Q310" i="15" s="1"/>
  <c r="S311" i="15" s="1"/>
  <c r="Q285" i="15"/>
  <c r="Q284" i="15"/>
  <c r="Q276" i="15"/>
  <c r="S277" i="15" s="1"/>
  <c r="Q273" i="15"/>
  <c r="Q271" i="15" s="1"/>
  <c r="Q268" i="15"/>
  <c r="S269" i="15" s="1"/>
  <c r="S260" i="15"/>
  <c r="Q295" i="15" s="1"/>
  <c r="S297" i="15" s="1"/>
  <c r="K215" i="15"/>
  <c r="K210" i="15"/>
  <c r="I199" i="15"/>
  <c r="G199" i="15"/>
  <c r="S198" i="15"/>
  <c r="S189" i="15"/>
  <c r="S175" i="15"/>
  <c r="S167" i="15"/>
  <c r="E197" i="15" s="1"/>
  <c r="S166" i="15"/>
  <c r="Q196" i="15" s="1"/>
  <c r="S196" i="15" s="1"/>
  <c r="S165" i="15"/>
  <c r="O195" i="15" s="1"/>
  <c r="S164" i="15"/>
  <c r="M194" i="15" s="1"/>
  <c r="S161" i="15"/>
  <c r="K190" i="15" s="1"/>
  <c r="K199" i="15" s="1"/>
  <c r="S160" i="15"/>
  <c r="Q159" i="15" s="1"/>
  <c r="S131" i="15"/>
  <c r="Q126" i="15"/>
  <c r="Q127" i="15" s="1"/>
  <c r="Q125" i="15"/>
  <c r="Q135" i="15" s="1"/>
  <c r="S116" i="15"/>
  <c r="Q114" i="15" s="1"/>
  <c r="S122" i="15" s="1"/>
  <c r="S123" i="15" s="1"/>
  <c r="S112" i="15"/>
  <c r="Q111" i="15"/>
  <c r="S107" i="15"/>
  <c r="O346" i="15" l="1"/>
  <c r="O343" i="15" s="1"/>
  <c r="O344" i="15" s="1"/>
  <c r="S319" i="15"/>
  <c r="Q136" i="15"/>
  <c r="Q137" i="15" s="1"/>
  <c r="Q109" i="15"/>
  <c r="S287" i="15"/>
  <c r="Q195" i="15"/>
  <c r="S195" i="15" s="1"/>
  <c r="O199" i="15"/>
  <c r="Q197" i="15"/>
  <c r="S197" i="15" s="1"/>
  <c r="M199" i="15"/>
  <c r="Q194" i="15"/>
  <c r="S194" i="15" s="1"/>
  <c r="E190" i="15"/>
  <c r="S128" i="15"/>
  <c r="Q335" i="15"/>
  <c r="Q327" i="15"/>
  <c r="S328" i="15" s="1"/>
  <c r="S138" i="15" l="1"/>
  <c r="E199" i="15"/>
  <c r="S190" i="15"/>
  <c r="S199" i="15" s="1"/>
  <c r="Q279" i="15"/>
  <c r="S280" i="15" s="1"/>
  <c r="S263" i="15"/>
  <c r="Q336" i="15"/>
  <c r="S265" i="15" s="1"/>
  <c r="Q338" i="15"/>
  <c r="Q339" i="15" s="1"/>
  <c r="Q199" i="15"/>
  <c r="Q292" i="15" l="1"/>
  <c r="Q337" i="15"/>
  <c r="Q262" i="15" s="1"/>
  <c r="S293" i="15" s="1"/>
  <c r="Q290" i="15" l="1"/>
  <c r="Q291" i="15" s="1"/>
  <c r="Q300" i="15"/>
  <c r="S301" i="15" l="1"/>
  <c r="Q305" i="15"/>
  <c r="S306" i="15" s="1"/>
  <c r="C24" i="14" l="1"/>
  <c r="C19" i="14"/>
  <c r="G472" i="13" s="1"/>
  <c r="L16" i="14"/>
  <c r="L15" i="14"/>
  <c r="L14" i="14"/>
  <c r="E9" i="14"/>
  <c r="C9" i="14"/>
  <c r="I487" i="13"/>
  <c r="I486" i="13"/>
  <c r="I485" i="13"/>
  <c r="I482" i="13"/>
  <c r="I481" i="13"/>
  <c r="I480" i="13"/>
  <c r="I479" i="13"/>
  <c r="H479" i="13"/>
  <c r="I478" i="13"/>
  <c r="I477" i="13"/>
  <c r="H477" i="13"/>
  <c r="I473" i="13"/>
  <c r="H473" i="13"/>
  <c r="I471" i="13"/>
  <c r="I470" i="13"/>
  <c r="I466" i="13"/>
  <c r="I465" i="13"/>
  <c r="I464" i="13"/>
  <c r="I462" i="13"/>
  <c r="I461" i="13"/>
  <c r="I460" i="13"/>
  <c r="I456" i="13"/>
  <c r="I455" i="13"/>
  <c r="I453" i="13"/>
  <c r="I450" i="13"/>
  <c r="G450" i="13"/>
  <c r="I449" i="13"/>
  <c r="G449" i="13"/>
  <c r="I448" i="13"/>
  <c r="H448" i="13"/>
  <c r="G447" i="13"/>
  <c r="N414" i="13"/>
  <c r="K414" i="13"/>
  <c r="H414" i="13"/>
  <c r="F414" i="13"/>
  <c r="N412" i="13"/>
  <c r="K412" i="13"/>
  <c r="H412" i="13"/>
  <c r="F412" i="13"/>
  <c r="E412" i="13"/>
  <c r="N410" i="13"/>
  <c r="K410" i="13"/>
  <c r="H410" i="13"/>
  <c r="N408" i="13"/>
  <c r="K408" i="13"/>
  <c r="H408" i="13"/>
  <c r="N406" i="13"/>
  <c r="K406" i="13"/>
  <c r="H406" i="13"/>
  <c r="F404" i="13"/>
  <c r="I404" i="13" s="1"/>
  <c r="N402" i="13"/>
  <c r="K402" i="13"/>
  <c r="H402" i="13"/>
  <c r="E402" i="13"/>
  <c r="E410" i="13" s="1"/>
  <c r="N400" i="13"/>
  <c r="K400" i="13"/>
  <c r="H400" i="13"/>
  <c r="F400" i="13"/>
  <c r="E400" i="13"/>
  <c r="G377" i="13"/>
  <c r="I377" i="13" s="1"/>
  <c r="E376" i="13"/>
  <c r="G376" i="13" s="1"/>
  <c r="L376" i="13" s="1"/>
  <c r="N369" i="13"/>
  <c r="N368" i="13"/>
  <c r="N367" i="13"/>
  <c r="M359" i="13"/>
  <c r="L366" i="13" s="1"/>
  <c r="N366" i="13" s="1"/>
  <c r="O327" i="13"/>
  <c r="O328" i="13" s="1"/>
  <c r="M333" i="13" s="1"/>
  <c r="G316" i="13"/>
  <c r="G315" i="13"/>
  <c r="G314" i="13"/>
  <c r="G313" i="13"/>
  <c r="G312" i="13"/>
  <c r="G311" i="13"/>
  <c r="G310" i="13"/>
  <c r="G309" i="13"/>
  <c r="M302" i="13"/>
  <c r="O303" i="13" s="1"/>
  <c r="M298" i="13"/>
  <c r="O299" i="13" s="1"/>
  <c r="O295" i="13"/>
  <c r="M287" i="13"/>
  <c r="F408" i="13" s="1"/>
  <c r="O285" i="13"/>
  <c r="O284" i="13"/>
  <c r="M283" i="13"/>
  <c r="F406" i="13" s="1"/>
  <c r="M282" i="13"/>
  <c r="I484" i="13" s="1"/>
  <c r="M277" i="13"/>
  <c r="I457" i="13" s="1"/>
  <c r="O268" i="13"/>
  <c r="O269" i="13" s="1"/>
  <c r="M267" i="13" s="1"/>
  <c r="I447" i="13" s="1"/>
  <c r="M263" i="13"/>
  <c r="O260" i="13"/>
  <c r="M259" i="13"/>
  <c r="M251" i="13"/>
  <c r="M80" i="13"/>
  <c r="O74" i="13"/>
  <c r="M81" i="13" s="1"/>
  <c r="M87" i="13" s="1"/>
  <c r="O66" i="13"/>
  <c r="O61" i="13"/>
  <c r="M54" i="13"/>
  <c r="M56" i="13" s="1"/>
  <c r="M53" i="13"/>
  <c r="O64" i="13" s="1"/>
  <c r="O43" i="13"/>
  <c r="M41" i="13"/>
  <c r="M55" i="13" l="1"/>
  <c r="O65" i="13" s="1"/>
  <c r="C25" i="14"/>
  <c r="J485" i="13"/>
  <c r="L485" i="13" s="1"/>
  <c r="J466" i="13"/>
  <c r="L466" i="13" s="1"/>
  <c r="O261" i="13"/>
  <c r="J481" i="13" s="1"/>
  <c r="K481" i="13" s="1"/>
  <c r="M71" i="13"/>
  <c r="J505" i="13"/>
  <c r="M288" i="13"/>
  <c r="L402" i="13"/>
  <c r="E406" i="13"/>
  <c r="I406" i="13" s="1"/>
  <c r="O312" i="13" s="1"/>
  <c r="J451" i="13" s="1"/>
  <c r="E408" i="13"/>
  <c r="O408" i="13" s="1"/>
  <c r="J453" i="13"/>
  <c r="K453" i="13" s="1"/>
  <c r="M63" i="13"/>
  <c r="O279" i="13"/>
  <c r="J455" i="13" s="1"/>
  <c r="K455" i="13" s="1"/>
  <c r="J479" i="13"/>
  <c r="K479" i="13" s="1"/>
  <c r="N370" i="13"/>
  <c r="O273" i="13" s="1"/>
  <c r="L400" i="13"/>
  <c r="O82" i="13"/>
  <c r="J450" i="13"/>
  <c r="L450" i="13" s="1"/>
  <c r="O400" i="13"/>
  <c r="I412" i="13"/>
  <c r="O315" i="13" s="1"/>
  <c r="J462" i="13" s="1"/>
  <c r="O412" i="13"/>
  <c r="I451" i="13"/>
  <c r="J447" i="13"/>
  <c r="K447" i="13" s="1"/>
  <c r="M326" i="13"/>
  <c r="I459" i="13" s="1"/>
  <c r="I400" i="13"/>
  <c r="O310" i="13" s="1"/>
  <c r="J457" i="13" s="1"/>
  <c r="K457" i="13" s="1"/>
  <c r="L412" i="13"/>
  <c r="G489" i="13"/>
  <c r="O47" i="13"/>
  <c r="M46" i="13" s="1"/>
  <c r="M50" i="13"/>
  <c r="O51" i="13" s="1"/>
  <c r="F398" i="13"/>
  <c r="M276" i="13"/>
  <c r="I398" i="13"/>
  <c r="J459" i="13"/>
  <c r="J461" i="13"/>
  <c r="K461" i="13" s="1"/>
  <c r="J448" i="13"/>
  <c r="K448" i="13" s="1"/>
  <c r="J464" i="13"/>
  <c r="L464" i="13" s="1"/>
  <c r="I472" i="13"/>
  <c r="M42" i="13"/>
  <c r="O89" i="13" s="1"/>
  <c r="O57" i="13"/>
  <c r="O58" i="13"/>
  <c r="M264" i="13"/>
  <c r="O265" i="13" s="1"/>
  <c r="J478" i="13"/>
  <c r="L478" i="13" s="1"/>
  <c r="M360" i="13"/>
  <c r="M361" i="13" s="1"/>
  <c r="O402" i="13"/>
  <c r="I402" i="13"/>
  <c r="O311" i="13" s="1"/>
  <c r="J484" i="13" s="1"/>
  <c r="K484" i="13" s="1"/>
  <c r="E414" i="13"/>
  <c r="L414" i="13" s="1"/>
  <c r="I452" i="13"/>
  <c r="J477" i="13"/>
  <c r="K477" i="13" s="1"/>
  <c r="J454" i="13"/>
  <c r="J487" i="13"/>
  <c r="K487" i="13" s="1"/>
  <c r="J486" i="13"/>
  <c r="K486" i="13" s="1"/>
  <c r="J482" i="13"/>
  <c r="J476" i="13"/>
  <c r="J473" i="13"/>
  <c r="K473" i="13" s="1"/>
  <c r="J471" i="13"/>
  <c r="M347" i="13"/>
  <c r="M353" i="13"/>
  <c r="J463" i="13"/>
  <c r="I483" i="13"/>
  <c r="K485" i="13" l="1"/>
  <c r="K466" i="13"/>
  <c r="L481" i="13"/>
  <c r="H423" i="13"/>
  <c r="M68" i="13"/>
  <c r="O69" i="13" s="1"/>
  <c r="K464" i="13"/>
  <c r="L461" i="13"/>
  <c r="O406" i="13"/>
  <c r="L406" i="13"/>
  <c r="I408" i="13"/>
  <c r="O313" i="13" s="1"/>
  <c r="J483" i="13" s="1"/>
  <c r="L483" i="13" s="1"/>
  <c r="M272" i="13"/>
  <c r="J472" i="13"/>
  <c r="K472" i="13" s="1"/>
  <c r="F410" i="13"/>
  <c r="O289" i="13"/>
  <c r="L453" i="13"/>
  <c r="L451" i="13"/>
  <c r="L477" i="13"/>
  <c r="L448" i="13"/>
  <c r="L479" i="13"/>
  <c r="K450" i="13"/>
  <c r="L486" i="13"/>
  <c r="L408" i="13"/>
  <c r="L462" i="13"/>
  <c r="K462" i="13"/>
  <c r="L459" i="13"/>
  <c r="L447" i="13"/>
  <c r="J449" i="13"/>
  <c r="L449" i="13" s="1"/>
  <c r="L487" i="13"/>
  <c r="J496" i="13" s="1"/>
  <c r="L473" i="13"/>
  <c r="N512" i="13" s="1"/>
  <c r="M348" i="13"/>
  <c r="M349" i="13" s="1"/>
  <c r="L457" i="13"/>
  <c r="L484" i="13"/>
  <c r="K451" i="13"/>
  <c r="I414" i="13"/>
  <c r="O316" i="13" s="1"/>
  <c r="J465" i="13" s="1"/>
  <c r="O414" i="13"/>
  <c r="M88" i="13"/>
  <c r="O44" i="13"/>
  <c r="O309" i="13"/>
  <c r="L471" i="13"/>
  <c r="K471" i="13"/>
  <c r="I458" i="13"/>
  <c r="O278" i="13"/>
  <c r="J456" i="13" s="1"/>
  <c r="K456" i="13" s="1"/>
  <c r="K459" i="13"/>
  <c r="J469" i="13"/>
  <c r="K478" i="13"/>
  <c r="L472" i="13" l="1"/>
  <c r="G511" i="13"/>
  <c r="M77" i="13"/>
  <c r="M84" i="13" s="1"/>
  <c r="O85" i="13" s="1"/>
  <c r="K483" i="13"/>
  <c r="I410" i="13"/>
  <c r="O314" i="13" s="1"/>
  <c r="J452" i="13" s="1"/>
  <c r="L410" i="13"/>
  <c r="K417" i="13" s="1"/>
  <c r="J499" i="13" s="1"/>
  <c r="O410" i="13"/>
  <c r="N417" i="13" s="1"/>
  <c r="J500" i="13" s="1"/>
  <c r="E417" i="13"/>
  <c r="E19" i="14"/>
  <c r="J480" i="13"/>
  <c r="G514" i="13"/>
  <c r="G515" i="13" s="1"/>
  <c r="K449" i="13"/>
  <c r="G510" i="13" s="1"/>
  <c r="I469" i="13"/>
  <c r="K465" i="13"/>
  <c r="L465" i="13"/>
  <c r="J458" i="13"/>
  <c r="K458" i="13" s="1"/>
  <c r="M350" i="13"/>
  <c r="M351" i="13" s="1"/>
  <c r="O255" i="13" s="1"/>
  <c r="J460" i="13" s="1"/>
  <c r="M253" i="13"/>
  <c r="O78" i="13" l="1"/>
  <c r="M308" i="13"/>
  <c r="O321" i="13" s="1"/>
  <c r="H417" i="13"/>
  <c r="H424" i="13" s="1"/>
  <c r="H425" i="13" s="1"/>
  <c r="H427" i="13" s="1"/>
  <c r="M320" i="13" s="1"/>
  <c r="I476" i="13" s="1"/>
  <c r="E21" i="14"/>
  <c r="E24" i="14" s="1"/>
  <c r="H482" i="13" s="1"/>
  <c r="H480" i="13"/>
  <c r="K452" i="13"/>
  <c r="L452" i="13"/>
  <c r="L469" i="13"/>
  <c r="K469" i="13"/>
  <c r="I467" i="13"/>
  <c r="O306" i="13"/>
  <c r="K460" i="13"/>
  <c r="L460" i="13"/>
  <c r="L458" i="13"/>
  <c r="M354" i="13"/>
  <c r="M355" i="13" s="1"/>
  <c r="M252" i="13"/>
  <c r="I474" i="13" l="1"/>
  <c r="M330" i="13"/>
  <c r="I454" i="13" s="1"/>
  <c r="H489" i="13"/>
  <c r="L482" i="13"/>
  <c r="K482" i="13"/>
  <c r="E25" i="14"/>
  <c r="K480" i="13"/>
  <c r="L480" i="13"/>
  <c r="M319" i="13"/>
  <c r="I475" i="13" s="1"/>
  <c r="J474" i="13"/>
  <c r="K476" i="13"/>
  <c r="J501" i="13" s="1"/>
  <c r="L476" i="13"/>
  <c r="I468" i="13"/>
  <c r="O335" i="13"/>
  <c r="M305" i="13"/>
  <c r="I463" i="13" s="1"/>
  <c r="J467" i="13"/>
  <c r="L467" i="13" s="1"/>
  <c r="N510" i="13" s="1"/>
  <c r="O331" i="13" l="1"/>
  <c r="J475" i="13" s="1"/>
  <c r="L475" i="13" s="1"/>
  <c r="L474" i="13"/>
  <c r="L463" i="13"/>
  <c r="K463" i="13"/>
  <c r="J504" i="13" s="1"/>
  <c r="K474" i="13"/>
  <c r="L454" i="13"/>
  <c r="K454" i="13"/>
  <c r="I489" i="13"/>
  <c r="J468" i="13"/>
  <c r="K468" i="13" s="1"/>
  <c r="O334" i="13"/>
  <c r="J470" i="13" s="1"/>
  <c r="K475" i="13" l="1"/>
  <c r="G512" i="13"/>
  <c r="G513" i="13" s="1"/>
  <c r="G516" i="13" s="1"/>
  <c r="L468" i="13"/>
  <c r="J489" i="13"/>
  <c r="L470" i="13"/>
  <c r="K470" i="13"/>
  <c r="J497" i="13"/>
  <c r="J498" i="13" s="1"/>
  <c r="J502" i="13" s="1"/>
  <c r="J506" i="13" s="1"/>
  <c r="N515" i="13" s="1"/>
  <c r="N511" i="13" l="1"/>
  <c r="N513" i="13" s="1"/>
  <c r="N516" i="13" s="1"/>
  <c r="K489" i="13"/>
  <c r="L489" i="13"/>
  <c r="I366" i="1" l="1"/>
  <c r="L363" i="1"/>
  <c r="M238" i="1"/>
  <c r="E343" i="1"/>
  <c r="D343" i="1" s="1"/>
  <c r="E193" i="1"/>
  <c r="G191" i="1"/>
  <c r="L191" i="1" s="1"/>
  <c r="O140" i="1"/>
  <c r="O175" i="1"/>
  <c r="J29" i="1" l="1"/>
  <c r="M126" i="1"/>
  <c r="M127" i="1" s="1"/>
  <c r="O131" i="1"/>
  <c r="M17" i="1"/>
  <c r="G364" i="1" l="1"/>
  <c r="G388" i="1"/>
  <c r="M388" i="1" s="1"/>
  <c r="M296" i="1" s="1"/>
  <c r="G384" i="1"/>
  <c r="M384" i="1" s="1"/>
  <c r="M293" i="1" s="1"/>
  <c r="O294" i="1" s="1"/>
  <c r="O270" i="1"/>
  <c r="G366" i="1"/>
  <c r="G368" i="1" s="1"/>
  <c r="I368" i="1"/>
  <c r="G360" i="1"/>
  <c r="I360" i="1"/>
  <c r="I362" i="1"/>
  <c r="L362" i="1" s="1"/>
  <c r="M272" i="1"/>
  <c r="O260" i="1"/>
  <c r="D346" i="1"/>
  <c r="L347" i="1" s="1"/>
  <c r="K347" i="1"/>
  <c r="K348" i="1" s="1"/>
  <c r="K349" i="1" s="1"/>
  <c r="K350" i="1" s="1"/>
  <c r="M228" i="1"/>
  <c r="M342" i="1"/>
  <c r="K344" i="1"/>
  <c r="L343" i="1"/>
  <c r="K343" i="1"/>
  <c r="G331" i="1"/>
  <c r="L331" i="1" s="1"/>
  <c r="M249" i="1" s="1"/>
  <c r="O252" i="1" s="1"/>
  <c r="I330" i="1"/>
  <c r="E330" i="1"/>
  <c r="G330" i="1" s="1"/>
  <c r="O245" i="1"/>
  <c r="O244" i="1"/>
  <c r="M233" i="1"/>
  <c r="O236" i="1" s="1"/>
  <c r="M229" i="1"/>
  <c r="O226" i="1"/>
  <c r="M224" i="1"/>
  <c r="O220" i="1"/>
  <c r="M322" i="1"/>
  <c r="M320" i="1"/>
  <c r="M315" i="1"/>
  <c r="M212" i="1"/>
  <c r="O225" i="1" s="1"/>
  <c r="M223" i="1" s="1"/>
  <c r="E329" i="1" s="1"/>
  <c r="G329" i="1" s="1"/>
  <c r="M311" i="1"/>
  <c r="M313" i="1" s="1"/>
  <c r="M316" i="1" l="1"/>
  <c r="M317" i="1" s="1"/>
  <c r="M321" i="1" s="1"/>
  <c r="L329" i="1"/>
  <c r="M247" i="1" s="1"/>
  <c r="O250" i="1" s="1"/>
  <c r="O297" i="1"/>
  <c r="M301" i="1"/>
  <c r="O302" i="1" s="1"/>
  <c r="L368" i="1"/>
  <c r="M286" i="1" s="1"/>
  <c r="O290" i="1" s="1"/>
  <c r="M273" i="1"/>
  <c r="O274" i="1" s="1"/>
  <c r="L360" i="1"/>
  <c r="M284" i="1" s="1"/>
  <c r="O288" i="1" s="1"/>
  <c r="E359" i="1"/>
  <c r="G359" i="1" s="1"/>
  <c r="L359" i="1" s="1"/>
  <c r="M283" i="1" s="1"/>
  <c r="O287" i="1" s="1"/>
  <c r="O261" i="1"/>
  <c r="M259" i="1" s="1"/>
  <c r="M280" i="1"/>
  <c r="O281" i="1" s="1"/>
  <c r="K345" i="1"/>
  <c r="L330" i="1"/>
  <c r="M248" i="1" s="1"/>
  <c r="O251" i="1" s="1"/>
  <c r="M347" i="1"/>
  <c r="M343" i="1"/>
  <c r="M239" i="1"/>
  <c r="M323" i="1"/>
  <c r="M213" i="1" s="1"/>
  <c r="O230" i="1"/>
  <c r="M216" i="1"/>
  <c r="M145" i="1"/>
  <c r="O149" i="1" s="1"/>
  <c r="I194" i="1"/>
  <c r="L194" i="1" s="1"/>
  <c r="M146" i="1" s="1"/>
  <c r="O150" i="1" s="1"/>
  <c r="I193" i="1"/>
  <c r="I192" i="1"/>
  <c r="G192" i="1"/>
  <c r="N178" i="1"/>
  <c r="J182" i="1" s="1"/>
  <c r="N177" i="1"/>
  <c r="J181" i="1" s="1"/>
  <c r="M179" i="1"/>
  <c r="M178" i="1"/>
  <c r="I182" i="1" s="1"/>
  <c r="M177" i="1"/>
  <c r="M176" i="1"/>
  <c r="O174" i="1"/>
  <c r="O136" i="1"/>
  <c r="O135" i="1"/>
  <c r="M165" i="1"/>
  <c r="M166" i="1" s="1"/>
  <c r="M163" i="1"/>
  <c r="O130" i="1"/>
  <c r="C120" i="1"/>
  <c r="O118" i="1"/>
  <c r="M117" i="1"/>
  <c r="G177" i="1" s="1"/>
  <c r="F177" i="1" s="1"/>
  <c r="N179" i="1" s="1"/>
  <c r="M112" i="1"/>
  <c r="O109" i="1"/>
  <c r="O110" i="1" s="1"/>
  <c r="I98" i="1"/>
  <c r="I97" i="1"/>
  <c r="I96" i="1"/>
  <c r="O82" i="1" s="1"/>
  <c r="E94" i="1"/>
  <c r="B92" i="1"/>
  <c r="M77" i="1"/>
  <c r="M78" i="1" s="1"/>
  <c r="O72" i="1"/>
  <c r="O71" i="1"/>
  <c r="M69" i="1"/>
  <c r="M70" i="1" s="1"/>
  <c r="M63" i="1"/>
  <c r="M57" i="1"/>
  <c r="K37" i="1"/>
  <c r="M7" i="1"/>
  <c r="E43" i="1"/>
  <c r="J31" i="1"/>
  <c r="M8" i="1" s="1"/>
  <c r="O10" i="1" s="1"/>
  <c r="D13" i="12"/>
  <c r="G13" i="11"/>
  <c r="D11" i="11"/>
  <c r="D20" i="11" s="1"/>
  <c r="G16" i="11" s="1"/>
  <c r="G19" i="11" s="1"/>
  <c r="I99" i="1" l="1"/>
  <c r="L192" i="1"/>
  <c r="M144" i="1" s="1"/>
  <c r="O148" i="1" s="1"/>
  <c r="M318" i="1"/>
  <c r="O219" i="1" s="1"/>
  <c r="O137" i="1"/>
  <c r="M134" i="1" s="1"/>
  <c r="O83" i="1"/>
  <c r="M81" i="1" s="1"/>
  <c r="G20" i="11"/>
  <c r="M113" i="1"/>
  <c r="O115" i="1" s="1"/>
  <c r="M43" i="1"/>
  <c r="M22" i="1" s="1"/>
  <c r="O23" i="1" s="1"/>
  <c r="M143" i="1"/>
  <c r="O147" i="1" s="1"/>
  <c r="L364" i="1"/>
  <c r="M285" i="1" s="1"/>
  <c r="O289" i="1" s="1"/>
  <c r="O240" i="1"/>
  <c r="L344" i="1"/>
  <c r="O177" i="1"/>
  <c r="K182" i="1"/>
  <c r="O241" i="1"/>
  <c r="O178" i="1"/>
  <c r="J183" i="1"/>
  <c r="N181" i="1"/>
  <c r="M180" i="1"/>
  <c r="I181" i="1"/>
  <c r="O179" i="1"/>
  <c r="O176" i="1"/>
  <c r="M167" i="1"/>
  <c r="M168" i="1" s="1"/>
  <c r="M121" i="1"/>
  <c r="O122" i="1" s="1"/>
  <c r="M85" i="1"/>
  <c r="O86" i="1" s="1"/>
  <c r="O79" i="1"/>
  <c r="M64" i="1"/>
  <c r="O65" i="1" s="1"/>
  <c r="O66" i="1" s="1"/>
  <c r="O9" i="1"/>
  <c r="O61" i="1"/>
  <c r="O58" i="1"/>
  <c r="O180" i="1" l="1"/>
  <c r="M344" i="1"/>
  <c r="M345" i="1" s="1"/>
  <c r="L345" i="1" s="1"/>
  <c r="L346" i="1" s="1"/>
  <c r="M346" i="1" s="1"/>
  <c r="M348" i="1" s="1"/>
  <c r="K181" i="1"/>
  <c r="I183" i="1"/>
  <c r="O15" i="1"/>
  <c r="M13" i="1" s="1"/>
  <c r="K183" i="1" l="1"/>
  <c r="K184" i="1" s="1"/>
  <c r="M139" i="1" s="1"/>
  <c r="M181" i="1"/>
  <c r="O181" i="1" s="1"/>
  <c r="L348" i="1"/>
  <c r="E346" i="1"/>
  <c r="H349" i="1" l="1"/>
  <c r="I349" i="1" l="1"/>
  <c r="M276" i="1"/>
  <c r="O277" i="1" s="1"/>
  <c r="M349" i="1" l="1"/>
  <c r="M263" i="1"/>
  <c r="O264" i="1" s="1"/>
  <c r="L349" i="1" l="1"/>
  <c r="H350" i="1" s="1"/>
  <c r="I350" i="1" s="1"/>
  <c r="M350" i="1" s="1"/>
  <c r="L350" i="1" s="1"/>
  <c r="A26" i="44" l="1"/>
  <c r="A27" i="44"/>
  <c r="A28" i="44"/>
  <c r="A11" i="44"/>
  <c r="A22" i="44"/>
  <c r="A9" i="44"/>
  <c r="A18" i="44"/>
  <c r="A13" i="44"/>
  <c r="A4" i="44"/>
  <c r="A23" i="44"/>
</calcChain>
</file>

<file path=xl/sharedStrings.xml><?xml version="1.0" encoding="utf-8"?>
<sst xmlns="http://schemas.openxmlformats.org/spreadsheetml/2006/main" count="9039" uniqueCount="2514">
  <si>
    <t>Deudores por ventas</t>
  </si>
  <si>
    <t>a</t>
  </si>
  <si>
    <t>Proveedores</t>
  </si>
  <si>
    <t>Ventas</t>
  </si>
  <si>
    <t>Inmuebles</t>
  </si>
  <si>
    <t>Mercaderías</t>
  </si>
  <si>
    <t>Documentos a pagar</t>
  </si>
  <si>
    <t>Resultados acumulados</t>
  </si>
  <si>
    <t>Haber</t>
  </si>
  <si>
    <t>Debe</t>
  </si>
  <si>
    <t>Caja</t>
  </si>
  <si>
    <t>A+</t>
  </si>
  <si>
    <t>IVA DF</t>
  </si>
  <si>
    <t>IVA CF</t>
  </si>
  <si>
    <t>A-</t>
  </si>
  <si>
    <t>R-</t>
  </si>
  <si>
    <t>R+</t>
  </si>
  <si>
    <t>P+</t>
  </si>
  <si>
    <t>=</t>
  </si>
  <si>
    <t>Bienes de cambio</t>
  </si>
  <si>
    <t>Solución Adicional</t>
  </si>
  <si>
    <t xml:space="preserve">                                      </t>
  </si>
  <si>
    <t>Banco Santander Río Cta Cte</t>
  </si>
  <si>
    <t>Banco Nación Cta Cte</t>
  </si>
  <si>
    <t>Anticipos a proveedores</t>
  </si>
  <si>
    <t>Muebles y útiles</t>
  </si>
  <si>
    <t>Rodados</t>
  </si>
  <si>
    <t>POLO S.R.L.</t>
  </si>
  <si>
    <t>Bien de Uso</t>
  </si>
  <si>
    <t>Maquinarias</t>
  </si>
  <si>
    <t>Obras en curso</t>
  </si>
  <si>
    <t>Fecha de adquisición</t>
  </si>
  <si>
    <t>Valor de origen</t>
  </si>
  <si>
    <t>15/04/X0</t>
  </si>
  <si>
    <t>08/07/X6</t>
  </si>
  <si>
    <t>18/02/X3</t>
  </si>
  <si>
    <t>20/09/X9</t>
  </si>
  <si>
    <t>01/05/X1</t>
  </si>
  <si>
    <t>Criterio de amortización</t>
  </si>
  <si>
    <t>Proporcional. Km recorridos.</t>
  </si>
  <si>
    <t>Vida útil</t>
  </si>
  <si>
    <t>80 años</t>
  </si>
  <si>
    <t>100.000 Km</t>
  </si>
  <si>
    <t>10 años</t>
  </si>
  <si>
    <t>5 años</t>
  </si>
  <si>
    <t>Lineal. Año de alta completo.</t>
  </si>
  <si>
    <t>Bien de cambio</t>
  </si>
  <si>
    <t>Compras X0</t>
  </si>
  <si>
    <t>Saldo 01/01/X10</t>
  </si>
  <si>
    <t>Saldo 31/12/X10</t>
  </si>
  <si>
    <t>Cantidad unidades</t>
  </si>
  <si>
    <t>Maquinaria</t>
  </si>
  <si>
    <t>Muebles y Útiles</t>
  </si>
  <si>
    <t>Bienes de uso</t>
  </si>
  <si>
    <t>Fecha de compra</t>
  </si>
  <si>
    <t>Unidades</t>
  </si>
  <si>
    <t>05/01/X0</t>
  </si>
  <si>
    <t>18/03/X0</t>
  </si>
  <si>
    <t>28/05/X0</t>
  </si>
  <si>
    <t>15/06/X0</t>
  </si>
  <si>
    <t>Libro “Secuencias de Yoga”</t>
  </si>
  <si>
    <t xml:space="preserve"> Costo unit. </t>
  </si>
  <si>
    <t>meses</t>
  </si>
  <si>
    <t>Anticipos de deudores varios</t>
  </si>
  <si>
    <t>Máquina - Depreaciaciones acumuladas</t>
  </si>
  <si>
    <t>Tablas de surf (20 tablas a $1.500)</t>
  </si>
  <si>
    <t>Caja Moneda Local</t>
  </si>
  <si>
    <t>Banco Francés Cta Cte</t>
  </si>
  <si>
    <t>Inmuebles - Valor de origen</t>
  </si>
  <si>
    <t>Inmuebles - Depreciaciones acumuladas</t>
  </si>
  <si>
    <t>Rodados - Valor de origen</t>
  </si>
  <si>
    <t>Rodados - Depreciaciones acumuladas</t>
  </si>
  <si>
    <t>km</t>
  </si>
  <si>
    <t>VU TOTAL</t>
  </si>
  <si>
    <t>ENERO</t>
  </si>
  <si>
    <t>V REZAGO</t>
  </si>
  <si>
    <t>Mercaderìas</t>
  </si>
  <si>
    <t>Propiedad y bienes</t>
  </si>
  <si>
    <t>Dinero</t>
  </si>
  <si>
    <t>Deudas con clientes y proveedores</t>
  </si>
  <si>
    <t>Deuda bancaria</t>
  </si>
  <si>
    <t>Patrimonio de los socios</t>
  </si>
  <si>
    <t>Préstamo Banco Francés</t>
  </si>
  <si>
    <t>Capital aportado</t>
  </si>
  <si>
    <t>Total del pasivo</t>
  </si>
  <si>
    <t>Total del patrimonio</t>
  </si>
  <si>
    <t>SURF S.A. - Balance al 31/01/X0</t>
  </si>
  <si>
    <t>Máquina - Valor de origen</t>
  </si>
  <si>
    <t>no debe depreciarse pues fue dada de baja por venta</t>
  </si>
  <si>
    <t>120.000 / 100.000 * 14.500</t>
  </si>
  <si>
    <t>no debe depreciarse pues ya está totalmente depreciado (V.U. 5 años desde X1)</t>
  </si>
  <si>
    <t>no deben depreciarse pues las obras en curso, por definición, no están puestas a punto aun.</t>
  </si>
  <si>
    <t>Cálculos auxiliares:</t>
  </si>
  <si>
    <t>1) Depreciaciones</t>
  </si>
  <si>
    <t>Saldo final = Saldo inicial + Compras - Costo de ventas</t>
  </si>
  <si>
    <t>Costo de ventas = Saldo inicial + Compras - Saldo final</t>
  </si>
  <si>
    <t>Costo de ventas = 522 + 950 -717</t>
  </si>
  <si>
    <t>Costo de ventas =</t>
  </si>
  <si>
    <t>unidades</t>
  </si>
  <si>
    <t>Valorización a $3.000 =</t>
  </si>
  <si>
    <t>Depreciaciones Inmuebles</t>
  </si>
  <si>
    <t>Depreciaciones Rodados</t>
  </si>
  <si>
    <t>Depreciaciones acumuladas Inmuebles</t>
  </si>
  <si>
    <t>Depreciaciones acumuladas Rodados</t>
  </si>
  <si>
    <t>Deudores varios</t>
  </si>
  <si>
    <t>RA-</t>
  </si>
  <si>
    <t>Depreciaciones acumuladas Maquinarias</t>
  </si>
  <si>
    <t>Venta de bienes de uso</t>
  </si>
  <si>
    <t>RA+</t>
  </si>
  <si>
    <t>Costo de bienes de uso vendidos</t>
  </si>
  <si>
    <t>Ver Cálculo auxiliar Nro. 1</t>
  </si>
  <si>
    <t>2) Depreciación acumulada de la maquinaria</t>
  </si>
  <si>
    <t>Años depreciados</t>
  </si>
  <si>
    <t>(X6, X7, X8 y X9)</t>
  </si>
  <si>
    <t>Depreciación acumulada</t>
  </si>
  <si>
    <t>280.000 / 10 * 4</t>
  </si>
  <si>
    <t>DEPRECIACIONES</t>
  </si>
  <si>
    <t xml:space="preserve">                            </t>
  </si>
  <si>
    <t>VENTA MÁQUINA</t>
  </si>
  <si>
    <t>COSTO DE VENTAS</t>
  </si>
  <si>
    <t>Costo de las mercaderías vendidas</t>
  </si>
  <si>
    <t>Ver Cálculo auxiliar Nro. 3</t>
  </si>
  <si>
    <t>Ver Cálculo auxiliar Nro. 2</t>
  </si>
  <si>
    <r>
      <rPr>
        <i/>
        <u/>
        <sz val="11"/>
        <color theme="1"/>
        <rFont val="Garamond"/>
        <family val="1"/>
      </rPr>
      <t>Observación:</t>
    </r>
    <r>
      <rPr>
        <i/>
        <sz val="11"/>
        <color theme="1"/>
        <rFont val="Garamond"/>
        <family val="1"/>
      </rPr>
      <t xml:space="preserve"> El valor neto de realización supera el costo de las mercaderías.                                                                                                                                                                                                                                                                                  Por lo tanto, son recuperables. No es necesaria su desvalorización.</t>
    </r>
  </si>
  <si>
    <t>Prendas a pagar</t>
  </si>
  <si>
    <t>Gastos de mantenimiento</t>
  </si>
  <si>
    <t>Gastos varios</t>
  </si>
  <si>
    <t>Gastos de reparaciones</t>
  </si>
  <si>
    <t>Gastos de empleados a pagar</t>
  </si>
  <si>
    <t>Cálculo auxiliar:</t>
  </si>
  <si>
    <t>Mercaderías vendidas</t>
  </si>
  <si>
    <t>Costo de las mercaderías  vendidas</t>
  </si>
  <si>
    <t>Ver Cálculo auxiliar</t>
  </si>
  <si>
    <t>Costo de ventas= (500+400+700+200) + 0 - (200+700+205)</t>
  </si>
  <si>
    <t>Valorizadas al precio de venta = (695*260) =</t>
  </si>
  <si>
    <t>Valorizadas al costo =</t>
  </si>
  <si>
    <t>500 a $50</t>
  </si>
  <si>
    <t>195 a $52</t>
  </si>
  <si>
    <t>RUNNING S.A.</t>
  </si>
  <si>
    <t>Hipotecas a pagar</t>
  </si>
  <si>
    <t>Mercaderías en tránsito</t>
  </si>
  <si>
    <t>Depreciaciones acumuladas Rodado</t>
  </si>
  <si>
    <t>RP+</t>
  </si>
  <si>
    <t>Intereses negativos a devengar s/D.a.P.</t>
  </si>
  <si>
    <t>Resultado por permuta</t>
  </si>
  <si>
    <t>Ver Cálculo Auxiliar Nro 1</t>
  </si>
  <si>
    <t>Cálculos auxiliares</t>
  </si>
  <si>
    <t>Rodado entregado</t>
  </si>
  <si>
    <t>1)</t>
  </si>
  <si>
    <t>Permuta de rodado</t>
  </si>
  <si>
    <t>Valor Residual</t>
  </si>
  <si>
    <t>Precio tomado en la operación</t>
  </si>
  <si>
    <t>Documento a pagar</t>
  </si>
  <si>
    <t>Resultado por permuta (Precio tomado - V. Residual)</t>
  </si>
  <si>
    <t>Valor del principal de la deuda (200.000 - 140.000)</t>
  </si>
  <si>
    <t>Interés del 10% (60.000 * 0,1)</t>
  </si>
  <si>
    <t>IVA s/Interés (0,21*6.000)</t>
  </si>
  <si>
    <t>Valor final del documento a pagar</t>
  </si>
  <si>
    <t>Intereses positivos a devengar s/D.x.V.</t>
  </si>
  <si>
    <t>Ver Cálculo Auxiliar Nro 2: Ficha de Stock</t>
  </si>
  <si>
    <t>2)</t>
  </si>
  <si>
    <t>Ficha de stock</t>
  </si>
  <si>
    <t>Fecha</t>
  </si>
  <si>
    <t>U</t>
  </si>
  <si>
    <t>$</t>
  </si>
  <si>
    <t>Entradas</t>
  </si>
  <si>
    <t>Salidas</t>
  </si>
  <si>
    <t>Saldos</t>
  </si>
  <si>
    <t>06/04/X5</t>
  </si>
  <si>
    <t>31/03/X5</t>
  </si>
  <si>
    <t>$ Totales</t>
  </si>
  <si>
    <t>Depreciaciones Muebles y útiles</t>
  </si>
  <si>
    <t>Amortizaciones Marcas</t>
  </si>
  <si>
    <t>Depreciaciones Acumuladas Rodados</t>
  </si>
  <si>
    <t>Depreciaciones Acumuladas Inmuebles</t>
  </si>
  <si>
    <t>Depreciaciones Acumuladas Muebles y útiles</t>
  </si>
  <si>
    <t>Amortizaciones Acumuladas Marcas</t>
  </si>
  <si>
    <t>Ver Cálculo Auxiliar Nro 3</t>
  </si>
  <si>
    <t>3)</t>
  </si>
  <si>
    <t>Depreciaciones de Activo Fijo</t>
  </si>
  <si>
    <t>Camión</t>
  </si>
  <si>
    <t>Cuota de amortización</t>
  </si>
  <si>
    <t>Valor Amortizable</t>
  </si>
  <si>
    <t>Valor de Origen</t>
  </si>
  <si>
    <t>Km.</t>
  </si>
  <si>
    <t>(160.160/100.000*2.500)</t>
  </si>
  <si>
    <t>(360.000/720)</t>
  </si>
  <si>
    <t>Edificio</t>
  </si>
  <si>
    <t>Muebles y út.</t>
  </si>
  <si>
    <t>(10.000/10)</t>
  </si>
  <si>
    <t>Marca</t>
  </si>
  <si>
    <t>(12.000/120)</t>
  </si>
  <si>
    <t>SURF S.A.</t>
  </si>
  <si>
    <t>Maquinarias en tránsito</t>
  </si>
  <si>
    <t>Gastos por viáticos</t>
  </si>
  <si>
    <t>Resultado por Permuta</t>
  </si>
  <si>
    <t>Ver Cálculo auxiliar Nro 1</t>
  </si>
  <si>
    <t>Permuta de maquinaria</t>
  </si>
  <si>
    <t>Máquina entregada</t>
  </si>
  <si>
    <t>pérdida</t>
  </si>
  <si>
    <t>Valor del principal de la deuda (24.200-10.200)</t>
  </si>
  <si>
    <t>Interés del 10% (14.000 * 0,1)</t>
  </si>
  <si>
    <t>IVA s/Interés (0,21*1.400)</t>
  </si>
  <si>
    <t>IVA de Máquina comprada (0,21*24.200/1,21)</t>
  </si>
  <si>
    <t>IVA de Gastos por viáticos (0,21*500)</t>
  </si>
  <si>
    <t>IVA Total</t>
  </si>
  <si>
    <t>IVA de Intereses del Documento a pagar (0,21*1.400)</t>
  </si>
  <si>
    <t>P-</t>
  </si>
  <si>
    <t>Resultado por venta de bienes de uso</t>
  </si>
  <si>
    <t>Depreciaciones Maquinarias</t>
  </si>
  <si>
    <t>Depreciaciones Acumuladas Maquinarias</t>
  </si>
  <si>
    <t>Ver Cálculo auxiliar Nro 2</t>
  </si>
  <si>
    <t>Inmueble</t>
  </si>
  <si>
    <t>Rodado</t>
  </si>
  <si>
    <t>tablas</t>
  </si>
  <si>
    <t>(19.500/5.000*20)</t>
  </si>
  <si>
    <t>El inmueble tiene un vida útil de 300.000/500 (Valor de origen/Depreciación 1 mes) = 600 meses. O sea 600/12 = 50 años.</t>
  </si>
  <si>
    <t>(201.000/600)</t>
  </si>
  <si>
    <t>!</t>
  </si>
  <si>
    <t>El rodado recorrió 500Km en Enero y se depreció $250. Eso significa que cada kilómetro recorrido deprecia $0,50. La vida útil entonces es $145.000/0,5 = 290.000 Km.</t>
  </si>
  <si>
    <t>Km</t>
  </si>
  <si>
    <t>(145.000/290.000*600Km)</t>
  </si>
  <si>
    <t>continúa</t>
  </si>
  <si>
    <t>S.I.</t>
  </si>
  <si>
    <t>22/02/X0</t>
  </si>
  <si>
    <t>06/02/X0</t>
  </si>
  <si>
    <t>Ver Cálculo Auxiliar Nro 3: Ficha de Stock</t>
  </si>
  <si>
    <t>Valores a depositar</t>
  </si>
  <si>
    <t>PPP: (102.200/60) = 1.703,3333</t>
  </si>
  <si>
    <t>PPP: (90.000/50)                            = 1.800</t>
  </si>
  <si>
    <t>PPP: (126.000/70) = 1.800</t>
  </si>
  <si>
    <t>Mejora sobre Maquinarias</t>
  </si>
  <si>
    <t>Devoluciones por ventas</t>
  </si>
  <si>
    <t>Anticipos de clientes</t>
  </si>
  <si>
    <t>PPP: (91.800/51)                            = 1.800</t>
  </si>
  <si>
    <t>Proveedores varios</t>
  </si>
  <si>
    <t>4)</t>
  </si>
  <si>
    <t>Depreciaciones de Activo Fijo - Marzo</t>
  </si>
  <si>
    <t>Depreciaciones de Activo Fijo - Febrero</t>
  </si>
  <si>
    <t>Comp. Maq.</t>
  </si>
  <si>
    <t>Total Inm.</t>
  </si>
  <si>
    <t xml:space="preserve">Mejora </t>
  </si>
  <si>
    <t>Depreciaciones Mejoras sobre Maquinarias</t>
  </si>
  <si>
    <t>Depreciaciones Acumuladas Mej. s/Maq.</t>
  </si>
  <si>
    <r>
      <t xml:space="preserve">El </t>
    </r>
    <r>
      <rPr>
        <b/>
        <i/>
        <sz val="11"/>
        <color theme="1"/>
        <rFont val="Garamond"/>
        <family val="1"/>
      </rPr>
      <t>componente de la maquina</t>
    </r>
    <r>
      <rPr>
        <i/>
        <sz val="11"/>
        <color theme="1"/>
        <rFont val="Garamond"/>
        <family val="1"/>
      </rPr>
      <t xml:space="preserve"> tiene una vida útil medida en forma distinta, por lo tanto es conveniente depreciarlo en forma separada.</t>
    </r>
  </si>
  <si>
    <r>
      <t xml:space="preserve">La </t>
    </r>
    <r>
      <rPr>
        <b/>
        <i/>
        <sz val="11"/>
        <color theme="1"/>
        <rFont val="Garamond"/>
        <family val="1"/>
      </rPr>
      <t>mejora del inmueble</t>
    </r>
    <r>
      <rPr>
        <i/>
        <sz val="11"/>
        <color theme="1"/>
        <rFont val="Garamond"/>
        <family val="1"/>
      </rPr>
      <t>, no es un componente separable, y afecta un criterio que NO define la vida útil del principal. Por lo tanto debe depreciarse en la vida útil restante del bien principal.</t>
    </r>
  </si>
  <si>
    <r>
      <t xml:space="preserve">La </t>
    </r>
    <r>
      <rPr>
        <b/>
        <i/>
        <sz val="11"/>
        <color theme="1"/>
        <rFont val="Garamond"/>
        <family val="1"/>
      </rPr>
      <t xml:space="preserve">mejora del rodado </t>
    </r>
    <r>
      <rPr>
        <i/>
        <sz val="11"/>
        <color theme="1"/>
        <rFont val="Garamond"/>
        <family val="1"/>
      </rPr>
      <t>no es un componente separable, y afecta un criterio que SÍ define la vida útil del principal. Por lo tanto valor residual del principal y valor de la mejora deben depreciarse conjuntamente en la nueva vida útil.</t>
    </r>
  </si>
  <si>
    <t>5)</t>
  </si>
  <si>
    <t>Inventario y Valor recuperable de mercaderías</t>
  </si>
  <si>
    <t xml:space="preserve">Stock en contabilidad </t>
  </si>
  <si>
    <t>Stock contado en inventario</t>
  </si>
  <si>
    <t>Faltante</t>
  </si>
  <si>
    <t>Costo de las tablas</t>
  </si>
  <si>
    <t>Valor recuperable</t>
  </si>
  <si>
    <t>Desvalorización</t>
  </si>
  <si>
    <t>Aplicado a las 48 tablas en stock:</t>
  </si>
  <si>
    <t>Faltante de mercadería</t>
  </si>
  <si>
    <t>Desvalorización mercaderías</t>
  </si>
  <si>
    <t>Ver Cálculo auxiliar Nro 4</t>
  </si>
  <si>
    <t>Ver Cálculo auxiliar Nro 5</t>
  </si>
  <si>
    <t>Previsión Desvalorización Mercaderías</t>
  </si>
  <si>
    <t>Una alternativa más sofisticada para registrar la desvalorización sería la siguiente (a estudiarse más adelante en Unidad sobre Contingencias)</t>
  </si>
  <si>
    <t>Principal</t>
  </si>
  <si>
    <t>Mejora</t>
  </si>
  <si>
    <t>Total Rod.</t>
  </si>
  <si>
    <t>YOGA S.H.</t>
  </si>
  <si>
    <t>25/04/X5</t>
  </si>
  <si>
    <t>500.000 * 0,4 / 80</t>
  </si>
  <si>
    <t>Cheques diferidos a pagar Banco Santander Rio</t>
  </si>
  <si>
    <t>(19.500/5.000)*40</t>
  </si>
  <si>
    <t>5.400/36</t>
  </si>
  <si>
    <t>201.000/600</t>
  </si>
  <si>
    <t>49.118/599</t>
  </si>
  <si>
    <t>335+82</t>
  </si>
  <si>
    <t>(189.000 /315.000)*400</t>
  </si>
  <si>
    <t>según Ficha de Stock</t>
  </si>
  <si>
    <t>Valorizado a $1.800 la unidad (PPP):</t>
  </si>
  <si>
    <t>3) Costo de ventas</t>
  </si>
  <si>
    <t>Materias Primas</t>
  </si>
  <si>
    <t>Seguros a devengar</t>
  </si>
  <si>
    <t>Materias primas</t>
  </si>
  <si>
    <t>DRAGONES S.R.L.</t>
  </si>
  <si>
    <t>Banco ICBC Cta Cte</t>
  </si>
  <si>
    <t>Productos en proceso</t>
  </si>
  <si>
    <t>Sueldos Producción</t>
  </si>
  <si>
    <t>Sueldos Administración</t>
  </si>
  <si>
    <t>Cargas Sociales Producción</t>
  </si>
  <si>
    <t>Cargas Sociales Administración</t>
  </si>
  <si>
    <t>Sueldos a pagar</t>
  </si>
  <si>
    <t>Cargas sociales y retenciones a pagar</t>
  </si>
  <si>
    <t>Depreciaciones Maquinaria</t>
  </si>
  <si>
    <t>Productos terminados</t>
  </si>
  <si>
    <t>Deudores por Ventas</t>
  </si>
  <si>
    <t>Costo de los productos vendidos</t>
  </si>
  <si>
    <t>Productos Fallados</t>
  </si>
  <si>
    <t>IVA Saldo a favor</t>
  </si>
  <si>
    <t>Seguros a pagar</t>
  </si>
  <si>
    <t>Sueldos</t>
  </si>
  <si>
    <t>Cargas sociales</t>
  </si>
  <si>
    <t>Gastos por intereses financieros</t>
  </si>
  <si>
    <t>Intereses financieros a pagar</t>
  </si>
  <si>
    <t>Gastos por seguros</t>
  </si>
  <si>
    <t>Impuestos a pagar</t>
  </si>
  <si>
    <t>Costeo de Materia Prima</t>
  </si>
  <si>
    <t>Materia prima</t>
  </si>
  <si>
    <t>Total</t>
  </si>
  <si>
    <t>PEGASOS S.A.</t>
  </si>
  <si>
    <t>A)</t>
  </si>
  <si>
    <t>Libro diario</t>
  </si>
  <si>
    <t>Provisión FC Electricidad</t>
  </si>
  <si>
    <t>Recupero de gastos</t>
  </si>
  <si>
    <t>Banco Ciudad Cta Cte</t>
  </si>
  <si>
    <t>Ver Cálculo auxiliar Nro 3</t>
  </si>
  <si>
    <t>S.A.C.</t>
  </si>
  <si>
    <t>Cargas sociales s/S.A.C.</t>
  </si>
  <si>
    <t>Provisión S.A.C.</t>
  </si>
  <si>
    <t>Gastos por Electricidad</t>
  </si>
  <si>
    <t>Gastos por servicio de comida</t>
  </si>
  <si>
    <t>Intereses a pagar</t>
  </si>
  <si>
    <t>Gastos por intereses comerciales</t>
  </si>
  <si>
    <t>RP-</t>
  </si>
  <si>
    <t>A</t>
  </si>
  <si>
    <t>Productos terminados fallados</t>
  </si>
  <si>
    <t>Ver Cálculo auxiliar Nro 6</t>
  </si>
  <si>
    <t>IVA Saldo a pagar</t>
  </si>
  <si>
    <t>Pago documentado de Materia Prima</t>
  </si>
  <si>
    <t>Documento:</t>
  </si>
  <si>
    <t>Valor del principal de la deuda:</t>
  </si>
  <si>
    <t>((9.400*1,21)-1.374)</t>
  </si>
  <si>
    <t>Interés 1 mes (30 días)</t>
  </si>
  <si>
    <t>(10.000*0,24/12)</t>
  </si>
  <si>
    <t>Interés 90 días</t>
  </si>
  <si>
    <t>(200*3)</t>
  </si>
  <si>
    <t>IVA s/Interés</t>
  </si>
  <si>
    <t>(0,21*600)</t>
  </si>
  <si>
    <t>Valor final del documento</t>
  </si>
  <si>
    <t>(10.000+600+126)</t>
  </si>
  <si>
    <t>IVA:</t>
  </si>
  <si>
    <t>IVA s/Materias primeas</t>
  </si>
  <si>
    <t>(0,21*9.400)</t>
  </si>
  <si>
    <t>Bonificación del proveedor White S.A.</t>
  </si>
  <si>
    <t>Precio original</t>
  </si>
  <si>
    <t>Precio bonificado al 25%</t>
  </si>
  <si>
    <t>(275*(1-0,25))</t>
  </si>
  <si>
    <t xml:space="preserve">Aplicado a los 32 pares </t>
  </si>
  <si>
    <t>(275-206,25)*32</t>
  </si>
  <si>
    <t>IVA s/Bonificación</t>
  </si>
  <si>
    <t>(2.200*0,21)</t>
  </si>
  <si>
    <t>1 patín</t>
  </si>
  <si>
    <t>50 patines</t>
  </si>
  <si>
    <t>Costeo U.E.P.S.</t>
  </si>
  <si>
    <t>Botas</t>
  </si>
  <si>
    <t>1 par</t>
  </si>
  <si>
    <t>50 pares</t>
  </si>
  <si>
    <t>32 pares</t>
  </si>
  <si>
    <t>18 pares</t>
  </si>
  <si>
    <t>Cordones</t>
  </si>
  <si>
    <t>Cuchillas</t>
  </si>
  <si>
    <t>Depreciaciones de Bienes de Uso</t>
  </si>
  <si>
    <t>pares</t>
  </si>
  <si>
    <t>(10.000/225)*50</t>
  </si>
  <si>
    <t>Activación de Gastos de Producción</t>
  </si>
  <si>
    <t>Concepto</t>
  </si>
  <si>
    <t>Unidad de asignación</t>
  </si>
  <si>
    <t>Producción</t>
  </si>
  <si>
    <t>Administración</t>
  </si>
  <si>
    <t>Comercialización</t>
  </si>
  <si>
    <t>U.</t>
  </si>
  <si>
    <t>Depreciación Maquinarias</t>
  </si>
  <si>
    <r>
      <t xml:space="preserve">Asign </t>
    </r>
    <r>
      <rPr>
        <i/>
        <sz val="10"/>
        <color theme="1"/>
        <rFont val="Garamond"/>
        <family val="1"/>
      </rPr>
      <t>directa</t>
    </r>
  </si>
  <si>
    <t>-</t>
  </si>
  <si>
    <t>Depreciación Inmuebles</t>
  </si>
  <si>
    <t>m2</t>
  </si>
  <si>
    <t>Sueldos                         fijos</t>
  </si>
  <si>
    <t>Personal</t>
  </si>
  <si>
    <t>Sueldo                                  Ramón</t>
  </si>
  <si>
    <t>Cargas Soc. s/S.A.C.</t>
  </si>
  <si>
    <t>Gastos por electricidad</t>
  </si>
  <si>
    <t>KW</t>
  </si>
  <si>
    <t>Gastos por almuerzo</t>
  </si>
  <si>
    <t>6)</t>
  </si>
  <si>
    <t>Costeo del Producto terminado</t>
  </si>
  <si>
    <t>Total Materia Prima</t>
  </si>
  <si>
    <t>según Cálculo auxiliar 3</t>
  </si>
  <si>
    <t>Total M.O.D. y Carga Fabril</t>
  </si>
  <si>
    <t>según Cálculo auxiliar 5</t>
  </si>
  <si>
    <t>Total Gastos de producción</t>
  </si>
  <si>
    <t>Asignado a un total de 50 patines</t>
  </si>
  <si>
    <t>es el costo de cada par de patines</t>
  </si>
  <si>
    <t>B)</t>
  </si>
  <si>
    <t>Balance de saldos</t>
  </si>
  <si>
    <t>Saldos iniciales</t>
  </si>
  <si>
    <t>Movimientos del mes</t>
  </si>
  <si>
    <t>Saldos finales</t>
  </si>
  <si>
    <t>Rubro</t>
  </si>
  <si>
    <t>Aportes de los socios</t>
  </si>
  <si>
    <t>Patrimonio Neto</t>
  </si>
  <si>
    <t>Caja y Bancos</t>
  </si>
  <si>
    <t>Gastos operativos</t>
  </si>
  <si>
    <t>Deudas sociales y fiscales</t>
  </si>
  <si>
    <t>Costo de ventas</t>
  </si>
  <si>
    <t>Bienes de Uso</t>
  </si>
  <si>
    <t>Resultados financieros</t>
  </si>
  <si>
    <t>Créditos por ventas</t>
  </si>
  <si>
    <t>Deudas comerciales</t>
  </si>
  <si>
    <t>Edificios</t>
  </si>
  <si>
    <t>Deudas bancarias y financieras</t>
  </si>
  <si>
    <t>Otros créditos</t>
  </si>
  <si>
    <t>Préstamo Banco Ciudad</t>
  </si>
  <si>
    <t>Otros ingresos y gastos operativos</t>
  </si>
  <si>
    <t>Totales</t>
  </si>
  <si>
    <t>C)</t>
  </si>
  <si>
    <t>Informes</t>
  </si>
  <si>
    <t>Estado de Resultados</t>
  </si>
  <si>
    <t>Resultado bruto</t>
  </si>
  <si>
    <t>Gastos administrativos</t>
  </si>
  <si>
    <t>s/Cálculo auxiliar 5</t>
  </si>
  <si>
    <t>Gastos comerciales</t>
  </si>
  <si>
    <t>Resultado operativo</t>
  </si>
  <si>
    <t>generados por pasivos</t>
  </si>
  <si>
    <t>generados por activos</t>
  </si>
  <si>
    <t>Resultado neto</t>
  </si>
  <si>
    <t>Estado de Situación Patrimonial</t>
  </si>
  <si>
    <t>Bienes de Cambio</t>
  </si>
  <si>
    <t>Total Activo corriente</t>
  </si>
  <si>
    <t>Total Pasivo corriente</t>
  </si>
  <si>
    <t>Total Activo no corriente</t>
  </si>
  <si>
    <t>Total Activo</t>
  </si>
  <si>
    <t>Total Pasivo y Patrimonio Neto</t>
  </si>
  <si>
    <t>Dragones S.R.L.</t>
  </si>
  <si>
    <t>Estado de Situación Patrimonial al 31/12/X0</t>
  </si>
  <si>
    <t>Activo</t>
  </si>
  <si>
    <t>Pasivo</t>
  </si>
  <si>
    <t>Banco ICBC C/C</t>
  </si>
  <si>
    <t>Depreciaciones Acum.</t>
  </si>
  <si>
    <t>Capital Social</t>
  </si>
  <si>
    <t xml:space="preserve">                                              </t>
  </si>
  <si>
    <t>Resultados Acumulados</t>
  </si>
  <si>
    <t>Total Recursos</t>
  </si>
  <si>
    <t>Total Financiación</t>
  </si>
  <si>
    <t>Estado de Situación Patrimonial al 31/01/X1</t>
  </si>
  <si>
    <t>Acciones en circulación</t>
  </si>
  <si>
    <t>Oficinas administrativas</t>
  </si>
  <si>
    <t>Locales de ventas</t>
  </si>
  <si>
    <t>Pegasos S.R.L.</t>
  </si>
  <si>
    <t>Consumo de KW</t>
  </si>
  <si>
    <r>
      <t>M</t>
    </r>
    <r>
      <rPr>
        <sz val="12"/>
        <color theme="1"/>
        <rFont val="Calibri"/>
        <family val="2"/>
      </rPr>
      <t>²</t>
    </r>
    <r>
      <rPr>
        <sz val="12"/>
        <color theme="1"/>
        <rFont val="Garamond"/>
        <family val="1"/>
      </rPr>
      <t xml:space="preserve"> Edificio</t>
    </r>
  </si>
  <si>
    <t>Botas de cuero-30 pares</t>
  </si>
  <si>
    <t>Provisión SAC</t>
  </si>
  <si>
    <t>Maquinaria - V.O.</t>
  </si>
  <si>
    <t>Total Pasivo</t>
  </si>
  <si>
    <t>Maquinaria - D.Acum.</t>
  </si>
  <si>
    <t>Edificio - V.O.</t>
  </si>
  <si>
    <t>Edificio - D.Acum.</t>
  </si>
  <si>
    <t>RUBÍ S.H.</t>
  </si>
  <si>
    <t>Un asiento típico de suscripción de capital sin integración sería:</t>
  </si>
  <si>
    <t>Accionistas</t>
  </si>
  <si>
    <t>XX</t>
  </si>
  <si>
    <t>PN+</t>
  </si>
  <si>
    <r>
      <t xml:space="preserve">La cuenta de créditos </t>
    </r>
    <r>
      <rPr>
        <i/>
        <sz val="11"/>
        <color theme="1"/>
        <rFont val="Garamond"/>
        <family val="1"/>
      </rPr>
      <t>"Accionistas"</t>
    </r>
    <r>
      <rPr>
        <sz val="11"/>
        <color theme="1"/>
        <rFont val="Garamond"/>
        <family val="1"/>
      </rPr>
      <t xml:space="preserve"> se utiliza para reflejar los derechos que tiene la sociedad de exigirle a sus accionistas la integración de los aportes. Si no se tratase de una sociedad por acciones, </t>
    </r>
    <r>
      <rPr>
        <i/>
        <sz val="11"/>
        <color theme="1"/>
        <rFont val="Garamond"/>
        <family val="1"/>
      </rPr>
      <t>"Créditos con socios"</t>
    </r>
    <r>
      <rPr>
        <sz val="11"/>
        <color theme="1"/>
        <rFont val="Garamond"/>
        <family val="1"/>
      </rPr>
      <t xml:space="preserve"> pordría ser una alternativa para esta cuenta contable.</t>
    </r>
  </si>
  <si>
    <t>La posterior integración en efectivo, sería:</t>
  </si>
  <si>
    <t>ü</t>
  </si>
  <si>
    <r>
      <rPr>
        <b/>
        <u/>
        <sz val="11"/>
        <color theme="1"/>
        <rFont val="Garamond"/>
        <family val="1"/>
      </rPr>
      <t>Acciones en circulación</t>
    </r>
    <r>
      <rPr>
        <sz val="11"/>
        <color theme="1"/>
        <rFont val="Garamond"/>
        <family val="1"/>
      </rPr>
      <t xml:space="preserve">: es otra forma de llamar a la cuenta "Capital Social" para el caso particular de sociedades constituidas por acciones. Es la financiación que la entidad ha obtenido de sus socios (dueños de la Compañía). Por lo tanto, representa una forma de medir la participación que cada socio tiene en la sociedad. Siempre se mide a </t>
    </r>
    <r>
      <rPr>
        <sz val="11"/>
        <color rgb="FF00B050"/>
        <rFont val="Garamond"/>
        <family val="1"/>
      </rPr>
      <t>Valor Nominal</t>
    </r>
    <r>
      <rPr>
        <sz val="11"/>
        <color rgb="FF0000FF"/>
        <rFont val="Garamond"/>
        <family val="1"/>
      </rPr>
      <t>.</t>
    </r>
  </si>
  <si>
    <r>
      <rPr>
        <b/>
        <u/>
        <sz val="11"/>
        <color theme="1"/>
        <rFont val="Garamond"/>
        <family val="1"/>
      </rPr>
      <t>Prima de emisión</t>
    </r>
    <r>
      <rPr>
        <sz val="11"/>
        <color theme="1"/>
        <rFont val="Garamond"/>
        <family val="1"/>
      </rPr>
      <t xml:space="preserve">: son aquellos aportes realizados por los socios, por encima (o eventualmente, por debajo) del Valor Nominal de las acciones. Dado que los aportes se integran al </t>
    </r>
    <r>
      <rPr>
        <sz val="11"/>
        <color rgb="FFFF0000"/>
        <rFont val="Garamond"/>
        <family val="1"/>
      </rPr>
      <t>Valor de Mercado</t>
    </r>
    <r>
      <rPr>
        <sz val="11"/>
        <color theme="1"/>
        <rFont val="Garamond"/>
        <family val="1"/>
      </rPr>
      <t xml:space="preserve"> de las acciones, pero el Capital Social debe medirse a </t>
    </r>
    <r>
      <rPr>
        <sz val="11"/>
        <color rgb="FF00B050"/>
        <rFont val="Garamond"/>
        <family val="1"/>
      </rPr>
      <t>Valor Nominal</t>
    </r>
    <r>
      <rPr>
        <sz val="11"/>
        <color theme="1"/>
        <rFont val="Garamond"/>
        <family val="1"/>
      </rPr>
      <t xml:space="preserve">, la diferencia entre el Valor de Mercado y el Valor Nominal es lo que se denomina Prima de Emisión. Considerando que el Valor de Mercado de una acción capta todo el valor de la compañía, pero el Valor Nominal no necesariamente lo hace,es muy probable que exista una Prima de Emisión. </t>
    </r>
  </si>
  <si>
    <r>
      <rPr>
        <b/>
        <u/>
        <sz val="11"/>
        <color theme="1"/>
        <rFont val="Garamond"/>
        <family val="1"/>
      </rPr>
      <t>Aportes irrevocables:</t>
    </r>
    <r>
      <rPr>
        <sz val="11"/>
        <color theme="1"/>
        <rFont val="Garamond"/>
        <family val="1"/>
      </rPr>
      <t xml:space="preserve"> son aportes realizados por los socios, que han sido integrados, pero cuyas acciones aun no han sido suscriptas por parte de la sociedad. Por lo tanto, son aportes a cuenta de una futura emisión de acciónes.  Es decir, que su destino en el corto plazo es convertirse en </t>
    </r>
    <r>
      <rPr>
        <i/>
        <sz val="11"/>
        <color theme="1"/>
        <rFont val="Garamond"/>
        <family val="1"/>
      </rPr>
      <t xml:space="preserve">Capital Social </t>
    </r>
    <r>
      <rPr>
        <sz val="11"/>
        <color theme="1"/>
        <rFont val="Garamond"/>
        <family val="1"/>
      </rPr>
      <t xml:space="preserve">o bien </t>
    </r>
    <r>
      <rPr>
        <i/>
        <sz val="11"/>
        <color theme="1"/>
        <rFont val="Garamond"/>
        <family val="1"/>
      </rPr>
      <t>Prima de Emisión</t>
    </r>
    <r>
      <rPr>
        <sz val="11"/>
        <color theme="1"/>
        <rFont val="Garamond"/>
        <family val="1"/>
      </rPr>
      <t>.</t>
    </r>
  </si>
  <si>
    <r>
      <rPr>
        <b/>
        <u/>
        <sz val="11"/>
        <color theme="1"/>
        <rFont val="Garamond"/>
        <family val="1"/>
      </rPr>
      <t>Reserva Legal:</t>
    </r>
    <r>
      <rPr>
        <sz val="11"/>
        <color theme="1"/>
        <rFont val="Garamond"/>
        <family val="1"/>
      </rPr>
      <t xml:space="preserve"> son resultados reservados por imposición de la Ley 19.550 (Ley de Sociedades Comerciales) Artículo 70. Debe tenerse en cuenta que esto no es "dinero" reservado, sino una reserva de resultados, de modo que los mismos pueden o no representar dinero actualmente. Por lo tanto, su esencia es similar a la de Resultados No Asignados.</t>
    </r>
  </si>
  <si>
    <r>
      <rPr>
        <i/>
        <u/>
        <sz val="11"/>
        <color theme="3"/>
        <rFont val="Garamond"/>
        <family val="1"/>
      </rPr>
      <t>ARTICULO 70</t>
    </r>
    <r>
      <rPr>
        <i/>
        <sz val="11"/>
        <color theme="3"/>
        <rFont val="Garamond"/>
        <family val="1"/>
      </rPr>
      <t xml:space="preserve">. — </t>
    </r>
    <r>
      <rPr>
        <b/>
        <i/>
        <sz val="11"/>
        <color theme="3"/>
        <rFont val="Garamond"/>
        <family val="1"/>
      </rPr>
      <t xml:space="preserve">Reserva  Legal. </t>
    </r>
    <r>
      <rPr>
        <i/>
        <sz val="11"/>
        <color theme="3"/>
        <rFont val="Garamond"/>
        <family val="1"/>
      </rPr>
      <t>Las sociedades de responsabilidad limitada y las sociedades por acciones, deben efectuar una reserva no menor del cinco por ciento (5 %) de las ganancias realizadas y líquidas que arroje el estado de resultados del ejercicio, hasta alcanzar el veinte por ciento (20 %) del capital social.
Cuando esta reserva quede disminuida por cualquier razón, no pueden distribuirse ganancias hasta su reintegro.</t>
    </r>
  </si>
  <si>
    <r>
      <rPr>
        <b/>
        <u/>
        <sz val="11"/>
        <color theme="1"/>
        <rFont val="Garamond"/>
        <family val="1"/>
      </rPr>
      <t>Reserva Facultativa:</t>
    </r>
    <r>
      <rPr>
        <sz val="11"/>
        <color theme="1"/>
        <rFont val="Garamond"/>
        <family val="1"/>
      </rPr>
      <t xml:space="preserve"> son resultados reservados por voluntad propia de la Asamblea de Accionistas o Reunión de Socios. Debe tenerse en cuenta que esto tampoco es "dinero" reservado, sino una reserva de resultados. Por lo tanto, su esencia es similar a la de Resultados No Asignados.</t>
    </r>
  </si>
  <si>
    <r>
      <rPr>
        <i/>
        <u/>
        <sz val="11"/>
        <color theme="3"/>
        <rFont val="Garamond"/>
        <family val="1"/>
      </rPr>
      <t>ARTÍCULO 70 (3° Párrafo</t>
    </r>
    <r>
      <rPr>
        <i/>
        <sz val="11"/>
        <color theme="3"/>
        <rFont val="Garamond"/>
        <family val="1"/>
      </rPr>
      <t xml:space="preserve">) </t>
    </r>
    <r>
      <rPr>
        <b/>
        <i/>
        <sz val="11"/>
        <color theme="3"/>
        <rFont val="Garamond"/>
        <family val="1"/>
      </rPr>
      <t>Otras reservas</t>
    </r>
    <r>
      <rPr>
        <i/>
        <sz val="11"/>
        <color theme="3"/>
        <rFont val="Garamond"/>
        <family val="1"/>
      </rPr>
      <t>. En cualquier tipo de sociedad podrán constituirse otras reservas que las legales, siempre que las mismas sean razonables y respondan a una prudente administración. En las sociedades por acciones la decisión para la constitución de estas reservas se adoptará conforme al artículo 244, última parte, cuando su monto exceda del capital y de las reservas legales: en las sociedades de responsabilidad limitada, requiere la mayoría necesaria para la modificación del contrato.</t>
    </r>
  </si>
  <si>
    <t>Por lo anteriormente señalado, el Patrimonio Neto de una sociedad se compone de aportes medidos fundamentalmente a Valor Nominal de las acciones (y en el caso de la Prima de Emisión surge de un Valor de Mercado, pero de determinada fecha). De este modo, los cambios en el Valor de Mercado que las acciones tengan con posterioridad a su emisión no impactan en la medición del Patrimonio Neto.</t>
  </si>
  <si>
    <t>De este modo, quedan fuera de la medición del Patrimonio Neto de una entidad todo el valor de la Compañía que no impacte en un registro contable. Por ejemplo, el valor corriente en el mercado de bienes registrados al costo, la existencia de activos intangibles no registrables, la lealtad de los clientes, entre otros.</t>
  </si>
  <si>
    <r>
      <rPr>
        <b/>
        <i/>
        <sz val="11"/>
        <color theme="3"/>
        <rFont val="Garamond"/>
        <family val="1"/>
      </rPr>
      <t>Valor Igual</t>
    </r>
    <r>
      <rPr>
        <i/>
        <sz val="11"/>
        <color theme="3"/>
        <rFont val="Garamond"/>
        <family val="1"/>
      </rPr>
      <t xml:space="preserve">. </t>
    </r>
    <r>
      <rPr>
        <i/>
        <u/>
        <sz val="11"/>
        <color theme="3"/>
        <rFont val="Garamond"/>
        <family val="1"/>
      </rPr>
      <t>ARTICULO 207</t>
    </r>
    <r>
      <rPr>
        <i/>
        <sz val="11"/>
        <color theme="3"/>
        <rFont val="Garamond"/>
        <family val="1"/>
      </rPr>
      <t xml:space="preserve">. — Las acciones serán siempre de igual valor, expresado en moneda argentina.
</t>
    </r>
    <r>
      <rPr>
        <b/>
        <i/>
        <sz val="11"/>
        <color theme="3"/>
        <rFont val="Garamond"/>
        <family val="1"/>
      </rPr>
      <t>Diversas clases</t>
    </r>
    <r>
      <rPr>
        <i/>
        <sz val="11"/>
        <color theme="3"/>
        <rFont val="Garamond"/>
        <family val="1"/>
      </rPr>
      <t xml:space="preserve">. El estatuto puede prever diversas clases con derechos diferentes; dentro de cada clase conferirán los mismos derechos. Es nula toda disposición en contrario.
</t>
    </r>
    <r>
      <rPr>
        <b/>
        <i/>
        <sz val="11"/>
        <color theme="3"/>
        <rFont val="Garamond"/>
        <family val="1"/>
      </rPr>
      <t>Forma de los títulos</t>
    </r>
    <r>
      <rPr>
        <i/>
        <sz val="11"/>
        <color theme="3"/>
        <rFont val="Garamond"/>
        <family val="1"/>
      </rPr>
      <t xml:space="preserve">. </t>
    </r>
    <r>
      <rPr>
        <i/>
        <u/>
        <sz val="11"/>
        <color theme="3"/>
        <rFont val="Garamond"/>
        <family val="1"/>
      </rPr>
      <t>ARTICULO 208</t>
    </r>
    <r>
      <rPr>
        <i/>
        <sz val="11"/>
        <color theme="3"/>
        <rFont val="Garamond"/>
        <family val="1"/>
      </rPr>
      <t>. — Los títulos pueden representar una o mas acciones y ser al portador o nominativos; en este último caso, endosables o no.</t>
    </r>
  </si>
  <si>
    <r>
      <rPr>
        <b/>
        <i/>
        <sz val="11"/>
        <color theme="3"/>
        <rFont val="Garamond"/>
        <family val="1"/>
      </rPr>
      <t>Acciones nominativas y escriturales. Transmisión.</t>
    </r>
    <r>
      <rPr>
        <i/>
        <sz val="11"/>
        <color theme="3"/>
        <rFont val="Garamond"/>
        <family val="1"/>
      </rPr>
      <t xml:space="preserve">
</t>
    </r>
    <r>
      <rPr>
        <i/>
        <u/>
        <sz val="11"/>
        <color theme="3"/>
        <rFont val="Garamond"/>
        <family val="1"/>
      </rPr>
      <t>ARTICULO 215</t>
    </r>
    <r>
      <rPr>
        <i/>
        <sz val="11"/>
        <color theme="3"/>
        <rFont val="Garamond"/>
        <family val="1"/>
      </rPr>
      <t>. — La transmisión de las acciones nominativas o escriturales y de los derechos reales que las graven debe notificarse por escrito a la sociedad emisora o entidad que lleve el registro e inscribirse en el libro o cuenta pertinente. Surte efecto contra la sociedad y los terceros desde su inscripción.
En el caso de acciones escriturales, la sociedad emisora o entidad que lleve el registro cursará aviso al titular de la cuenta en que se efectúe un débito por transmisión de acciones, dentro de los diez (10) días de haberse inscripto, en el domicilio que se haya constituido; en las sociedades sujetas al régimen de la oferta pública, la autoridad de contralor podrá reglamentar otros medios de información a los socios.
Las acciones endosables se transmiten por una cadena ininterrumpida de endosos y para el ejercicio de sus derechos el endosatario solicitará el registro.</t>
    </r>
  </si>
  <si>
    <r>
      <rPr>
        <b/>
        <i/>
        <sz val="11"/>
        <color theme="3"/>
        <rFont val="Garamond"/>
        <family val="1"/>
      </rPr>
      <t>Distribución de dividendos. Pago de interés</t>
    </r>
    <r>
      <rPr>
        <i/>
        <sz val="11"/>
        <color theme="3"/>
        <rFont val="Garamond"/>
        <family val="1"/>
      </rPr>
      <t xml:space="preserve">. </t>
    </r>
    <r>
      <rPr>
        <i/>
        <u/>
        <sz val="11"/>
        <color theme="3"/>
        <rFont val="Garamond"/>
        <family val="1"/>
      </rPr>
      <t>ARTICULO 224</t>
    </r>
    <r>
      <rPr>
        <i/>
        <sz val="11"/>
        <color theme="3"/>
        <rFont val="Garamond"/>
        <family val="1"/>
      </rPr>
      <t xml:space="preserve">. — La distribución de dividendos o el pago de interés a los accionistas son lícitos sólo si resultan de ganancias realizadas y líquidas correspondientes a un balance de ejercicio regularmente confeccionado y aprobado.
</t>
    </r>
    <r>
      <rPr>
        <b/>
        <i/>
        <sz val="11"/>
        <color theme="3"/>
        <rFont val="Garamond"/>
        <family val="1"/>
      </rPr>
      <t>Dividendos anticipados</t>
    </r>
    <r>
      <rPr>
        <i/>
        <sz val="11"/>
        <color theme="3"/>
        <rFont val="Garamond"/>
        <family val="1"/>
      </rPr>
      <t xml:space="preserve">. Está prohibido distribuir intereses o dividendos anticipados o provisionales o resultantes de balances especiales, excepto en las sociedades comprendidas en el artículo 299. En todos estos casos los directores, los miembros del consejo de vigilancia y síndicos son responsables ilimitada y solidariamente por tales pagos y distribuciones.
</t>
    </r>
    <r>
      <rPr>
        <b/>
        <i/>
        <sz val="11"/>
        <color theme="3"/>
        <rFont val="Garamond"/>
        <family val="1"/>
      </rPr>
      <t>Repetición dividendos</t>
    </r>
    <r>
      <rPr>
        <i/>
        <sz val="11"/>
        <color theme="3"/>
        <rFont val="Garamond"/>
        <family val="1"/>
      </rPr>
      <t xml:space="preserve">. </t>
    </r>
    <r>
      <rPr>
        <i/>
        <u/>
        <sz val="11"/>
        <color theme="3"/>
        <rFont val="Garamond"/>
        <family val="1"/>
      </rPr>
      <t>ARTICULO 225</t>
    </r>
    <r>
      <rPr>
        <i/>
        <sz val="11"/>
        <color theme="3"/>
        <rFont val="Garamond"/>
        <family val="1"/>
      </rPr>
      <t>. No son repetibles los dividendos percibidos de buena fe.</t>
    </r>
  </si>
  <si>
    <t>7)</t>
  </si>
  <si>
    <r>
      <rPr>
        <b/>
        <i/>
        <sz val="11"/>
        <color theme="3"/>
        <rFont val="Garamond"/>
        <family val="1"/>
      </rPr>
      <t>Adquisición de sus acciones por la sociedad</t>
    </r>
    <r>
      <rPr>
        <i/>
        <sz val="11"/>
        <color theme="3"/>
        <rFont val="Garamond"/>
        <family val="1"/>
      </rPr>
      <t xml:space="preserve">. </t>
    </r>
    <r>
      <rPr>
        <i/>
        <u/>
        <sz val="11"/>
        <color theme="3"/>
        <rFont val="Garamond"/>
        <family val="1"/>
      </rPr>
      <t>ARTICULO 220</t>
    </r>
    <r>
      <rPr>
        <i/>
        <sz val="11"/>
        <color theme="3"/>
        <rFont val="Garamond"/>
        <family val="1"/>
      </rPr>
      <t>. — La sociedad puede adquirir acciones que emitió, sólo en las siguientes condiciones:
1º) Para cancelarlas y previo acuerdo de reducción del capital;
2º) Excepcionalmente, con ganancias realizadas y líquidas o reservas libres, cuando estuvieren completamente integradas y para evitar un daño grave, lo que será justificado en la próxima asamblea ordinaria;
3º) Para integrar el haber de un establecimiento que adquiere o de una sociedad que incorpore.</t>
    </r>
  </si>
  <si>
    <t>JADE S.I.</t>
  </si>
  <si>
    <t>Gasto por descuento de documentos</t>
  </si>
  <si>
    <t>Documentos a cobrar</t>
  </si>
  <si>
    <t>Costo de productos vendidos</t>
  </si>
  <si>
    <t>Documentos a cobrar vencidos</t>
  </si>
  <si>
    <t>No debe realizarse ninguna registración</t>
  </si>
  <si>
    <t>Libro Diario</t>
  </si>
  <si>
    <t>Prima de emisión</t>
  </si>
  <si>
    <t xml:space="preserve">                                 </t>
  </si>
  <si>
    <t>PN-</t>
  </si>
  <si>
    <t>Resultado del ejercicio</t>
  </si>
  <si>
    <t>Reserva Legal</t>
  </si>
  <si>
    <t>Reserva para futura emisión de dividendos</t>
  </si>
  <si>
    <t>Dividendos a pagar</t>
  </si>
  <si>
    <t>Ingresos por intereses</t>
  </si>
  <si>
    <t>Costos de las mercaderías vendidas</t>
  </si>
  <si>
    <t>Depreciaciones</t>
  </si>
  <si>
    <t>Gastos por intereses</t>
  </si>
  <si>
    <r>
      <rPr>
        <b/>
        <u/>
        <sz val="11"/>
        <rFont val="Garamond"/>
        <family val="1"/>
      </rPr>
      <t>Informes:</t>
    </r>
    <r>
      <rPr>
        <b/>
        <sz val="11"/>
        <rFont val="Garamond"/>
        <family val="1"/>
      </rPr>
      <t xml:space="preserve"> EEPN</t>
    </r>
  </si>
  <si>
    <t>Estado de Evolución del Patrimonio Neto</t>
  </si>
  <si>
    <t>por el ejercicio finalizado el 31 de Diciembre del 20X1</t>
  </si>
  <si>
    <t>en pesos</t>
  </si>
  <si>
    <t>Rubros</t>
  </si>
  <si>
    <t>APORTES DE LOS PROPIETARIOS</t>
  </si>
  <si>
    <t>RESULTADOS ACUMULADOS</t>
  </si>
  <si>
    <t>Total P.N.</t>
  </si>
  <si>
    <t>Capital</t>
  </si>
  <si>
    <t>Aportes No Capitaliz.</t>
  </si>
  <si>
    <t>Resultados reservados</t>
  </si>
  <si>
    <t>R.N.A.</t>
  </si>
  <si>
    <t>Capital social</t>
  </si>
  <si>
    <t>Ajuste capital</t>
  </si>
  <si>
    <t>Aportes Irrevoc.</t>
  </si>
  <si>
    <t>Reserva                                                                                                                                                                                                                                                                                                                                                                                                                                                                                                Legal</t>
  </si>
  <si>
    <t>Reserva Facult.</t>
  </si>
  <si>
    <t>Saldos al inicio</t>
  </si>
  <si>
    <t>Aportes</t>
  </si>
  <si>
    <t>Destinado por Resolución de A.G.O. del 31/05:</t>
  </si>
  <si>
    <t>Reserva Dividendos</t>
  </si>
  <si>
    <t>Dividendos en efvo</t>
  </si>
  <si>
    <t>Dividendos en acc</t>
  </si>
  <si>
    <t>Ganancia neta X1</t>
  </si>
  <si>
    <t>Saldos al cierre</t>
  </si>
  <si>
    <t>PLATA S.R.L.</t>
  </si>
  <si>
    <t>I)</t>
  </si>
  <si>
    <t>Reserva legal</t>
  </si>
  <si>
    <t>Monto mínimo LSC Art. 70</t>
  </si>
  <si>
    <t>Ganancia 30/06/2011</t>
  </si>
  <si>
    <t>(60.000/5%)</t>
  </si>
  <si>
    <t>II)</t>
  </si>
  <si>
    <t>Ganancia 30/06/2012</t>
  </si>
  <si>
    <t>Monto mínimo LSC</t>
  </si>
  <si>
    <t xml:space="preserve">Reserva legal </t>
  </si>
  <si>
    <t>(3.300.000*0,05)</t>
  </si>
  <si>
    <t>III)</t>
  </si>
  <si>
    <t>+A</t>
  </si>
  <si>
    <t>+PN</t>
  </si>
  <si>
    <t>-PN</t>
  </si>
  <si>
    <t>Resultados no asignados</t>
  </si>
  <si>
    <t>+P</t>
  </si>
  <si>
    <t>Dividendos en acciones a distribuir</t>
  </si>
  <si>
    <t>ORO S.R.L.</t>
  </si>
  <si>
    <t>Dividendos a distribuir</t>
  </si>
  <si>
    <t>PLATINO S.R.L.</t>
  </si>
  <si>
    <t>AMBAR S.A.</t>
  </si>
  <si>
    <t>Cheques diferidos</t>
  </si>
  <si>
    <t>Aportes a cuenta de futura emisión de acciones</t>
  </si>
  <si>
    <t>Intereses positivos a devengar s/D.a.C.</t>
  </si>
  <si>
    <t>Intereses pagados por adelantado</t>
  </si>
  <si>
    <t>Préstamo Banco Santander Río</t>
  </si>
  <si>
    <t>Ingreso por intereses comerciales</t>
  </si>
  <si>
    <t>Gastos por descuento de documentos</t>
  </si>
  <si>
    <t>Prima de Emisión</t>
  </si>
  <si>
    <t>Deudores en gestión judicial</t>
  </si>
  <si>
    <t>Reserva para construcción de obras</t>
  </si>
  <si>
    <t>Honorarios síndicos y directores a pagar</t>
  </si>
  <si>
    <t>Resultados de ejercicios anteriores</t>
  </si>
  <si>
    <t>Alternativamente puede debitarse R.N.A. por 78.000</t>
  </si>
  <si>
    <t>Venta documentada de piedras</t>
  </si>
  <si>
    <t>(500.000*1,21)</t>
  </si>
  <si>
    <t>Interés 45 días</t>
  </si>
  <si>
    <t>(605.000*0,16*(45/360))</t>
  </si>
  <si>
    <t>(0,21*12.100)</t>
  </si>
  <si>
    <t>27 días de intereses devengados:</t>
  </si>
  <si>
    <t>(12.100/45*27)</t>
  </si>
  <si>
    <t>18 días de intereses no devengados</t>
  </si>
  <si>
    <t>(12.100-7.260)</t>
  </si>
  <si>
    <t>Suscripción de aporte</t>
  </si>
  <si>
    <t>Antes del aporte</t>
  </si>
  <si>
    <t>%</t>
  </si>
  <si>
    <t>Después del aporte</t>
  </si>
  <si>
    <t>Dado que al inicio el Capital Social representaba un 75% del Patrimonio Neto, por el aporte de 150.000 sería justo darle acciones a Jerónimo en su 75% ($112.500), siendo la diferencia una Prima de Emisión.</t>
  </si>
  <si>
    <t>BRONCE S.R.L.</t>
  </si>
  <si>
    <t>por el ejercicio finalizado el 31/12/X1</t>
  </si>
  <si>
    <t>Total PN</t>
  </si>
  <si>
    <t>Aportes No Capitalizados</t>
  </si>
  <si>
    <t>Ajuste de capital</t>
  </si>
  <si>
    <t>Aportes irrevocables</t>
  </si>
  <si>
    <t>Reserva Facultativa</t>
  </si>
  <si>
    <t>por el ejercicio finalizado al 30/06/2012</t>
  </si>
  <si>
    <t>Destinado por Resolución de A.G.O. del día 25/09/2011:</t>
  </si>
  <si>
    <r>
      <rPr>
        <sz val="12"/>
        <color theme="1"/>
        <rFont val="Wingdings 3"/>
        <family val="1"/>
        <charset val="2"/>
      </rPr>
      <t>Ê</t>
    </r>
    <r>
      <rPr>
        <sz val="12"/>
        <color theme="1"/>
        <rFont val="Garamond"/>
        <family val="1"/>
      </rPr>
      <t>Reserva Legal</t>
    </r>
  </si>
  <si>
    <r>
      <rPr>
        <sz val="12"/>
        <color theme="1"/>
        <rFont val="Wingdings 3"/>
        <family val="1"/>
        <charset val="2"/>
      </rPr>
      <t>Ê</t>
    </r>
    <r>
      <rPr>
        <sz val="12"/>
        <color theme="1"/>
        <rFont val="Garamond"/>
        <family val="1"/>
      </rPr>
      <t>Dividendos en efectivo</t>
    </r>
  </si>
  <si>
    <r>
      <rPr>
        <sz val="12"/>
        <color theme="1"/>
        <rFont val="Wingdings 3"/>
        <family val="1"/>
        <charset val="2"/>
      </rPr>
      <t>Ê</t>
    </r>
    <r>
      <rPr>
        <sz val="12"/>
        <color theme="1"/>
        <rFont val="Garamond"/>
        <family val="1"/>
      </rPr>
      <t>Dividendos en acciones</t>
    </r>
  </si>
  <si>
    <t>Suscripción</t>
  </si>
  <si>
    <t>Ganancia del ejercicio</t>
  </si>
  <si>
    <t>por el ejercicio finalizado al 31/12/X1</t>
  </si>
  <si>
    <t>Reserva Estatutaria</t>
  </si>
  <si>
    <t>Aportes de propietarios</t>
  </si>
  <si>
    <t>Destinado por Resolución de A.G.O. del día 30/04/X1:</t>
  </si>
  <si>
    <r>
      <rPr>
        <sz val="12"/>
        <color theme="1"/>
        <rFont val="Wingdings 3"/>
        <family val="1"/>
        <charset val="2"/>
      </rPr>
      <t>Ê</t>
    </r>
    <r>
      <rPr>
        <sz val="12"/>
        <color theme="1"/>
        <rFont val="Garamond"/>
        <family val="1"/>
      </rPr>
      <t>Reserva Estatutaria</t>
    </r>
  </si>
  <si>
    <r>
      <rPr>
        <sz val="12"/>
        <color theme="1"/>
        <rFont val="Wingdings 3"/>
        <family val="1"/>
        <charset val="2"/>
      </rPr>
      <t>Ê</t>
    </r>
    <r>
      <rPr>
        <sz val="12"/>
        <color theme="1"/>
        <rFont val="Garamond"/>
        <family val="1"/>
      </rPr>
      <t>Honorarios a directores</t>
    </r>
  </si>
  <si>
    <t>por el ejercicio finalizado el 31/12/2012</t>
  </si>
  <si>
    <t>a)</t>
  </si>
  <si>
    <t>01.01.2012</t>
  </si>
  <si>
    <t>c)</t>
  </si>
  <si>
    <t>15.03.2012</t>
  </si>
  <si>
    <t>Dividendos a Pagar</t>
  </si>
  <si>
    <t>b)</t>
  </si>
  <si>
    <t>02.02.2012</t>
  </si>
  <si>
    <t>Reserva para futuros dividendos</t>
  </si>
  <si>
    <t>d)</t>
  </si>
  <si>
    <t>23.09.2012</t>
  </si>
  <si>
    <t>Aportes Irrevocables</t>
  </si>
  <si>
    <t>PUNA S.A.</t>
  </si>
  <si>
    <r>
      <t xml:space="preserve">No corresponde realizar ninguna registración.                                                                                                                                                                                                                                                                                                                                                                                                                                                                                                                               </t>
    </r>
    <r>
      <rPr>
        <sz val="11"/>
        <color theme="1"/>
        <rFont val="Garamond"/>
        <family val="1"/>
      </rPr>
      <t>Se trata de un activo intangible autogenerado.</t>
    </r>
  </si>
  <si>
    <t xml:space="preserve">Marcas - La Vicuña </t>
  </si>
  <si>
    <t>Acciones - Humahuaca S.R.L.</t>
  </si>
  <si>
    <t>Valor Llave</t>
  </si>
  <si>
    <t>Gastos por publicidad</t>
  </si>
  <si>
    <t>Intereses negativos a devengar s/Ch.a.P.</t>
  </si>
  <si>
    <t>Cheques diferidos a pagar Banco Francés</t>
  </si>
  <si>
    <t>Franquicias - Cabrito</t>
  </si>
  <si>
    <t>Gastos por traslado</t>
  </si>
  <si>
    <t>Gastos por capacitación</t>
  </si>
  <si>
    <t>Resultado por venta de bienes intangibles</t>
  </si>
  <si>
    <t>Amortizaciones Acumuladas Marcas - Los Guanacos</t>
  </si>
  <si>
    <t>Marcas - Los Guanacos</t>
  </si>
  <si>
    <t>Patentes - Puna</t>
  </si>
  <si>
    <t>Gastos por derechos de concesión</t>
  </si>
  <si>
    <t>Amortizaciones Valor Llave</t>
  </si>
  <si>
    <t>Amortizaciones Franquicias - Cabrito</t>
  </si>
  <si>
    <t>Amortizaciones Patentes - Puna</t>
  </si>
  <si>
    <t>Amort. Acumuladas Valor Llave</t>
  </si>
  <si>
    <t>Amort. Acumuladas Franquicias - Cabrito</t>
  </si>
  <si>
    <t>Amort. Acumuladas Patentes - Puna</t>
  </si>
  <si>
    <t>Bien intangible</t>
  </si>
  <si>
    <t>Vida útil en meses</t>
  </si>
  <si>
    <t>Mes de adquisición</t>
  </si>
  <si>
    <t>Meses a amortizar</t>
  </si>
  <si>
    <t>Amortización Año X0</t>
  </si>
  <si>
    <t>Marcas - La Vicuña</t>
  </si>
  <si>
    <t>Indefinida</t>
  </si>
  <si>
    <t>Febrero</t>
  </si>
  <si>
    <t>Valor Llave-Humahuaca</t>
  </si>
  <si>
    <t>Marzo</t>
  </si>
  <si>
    <t>Mayo</t>
  </si>
  <si>
    <t>Septiembre</t>
  </si>
  <si>
    <r>
      <rPr>
        <b/>
        <u/>
        <sz val="11"/>
        <color theme="1"/>
        <rFont val="Garamond"/>
        <family val="1"/>
      </rPr>
      <t>Informes</t>
    </r>
    <r>
      <rPr>
        <b/>
        <sz val="11"/>
        <color theme="1"/>
        <rFont val="Garamond"/>
        <family val="1"/>
      </rPr>
      <t>: Anexo B - Evolución de los Bienes Intangibles</t>
    </r>
  </si>
  <si>
    <t>PAMPA S.A.</t>
  </si>
  <si>
    <r>
      <rPr>
        <b/>
        <u/>
        <sz val="11"/>
        <color theme="1"/>
        <rFont val="Garamond"/>
        <family val="1"/>
      </rPr>
      <t>PARTE 1</t>
    </r>
    <r>
      <rPr>
        <b/>
        <sz val="11"/>
        <color theme="1"/>
        <rFont val="Garamond"/>
        <family val="1"/>
      </rPr>
      <t xml:space="preserve">: COSTO + DIVIDENDOS ~ </t>
    </r>
    <r>
      <rPr>
        <i/>
        <sz val="11"/>
        <color theme="1"/>
        <rFont val="Garamond"/>
        <family val="1"/>
      </rPr>
      <t>Títulos de capital sin cotización y participaciones permanentes.</t>
    </r>
  </si>
  <si>
    <t>Acciones - Beta</t>
  </si>
  <si>
    <r>
      <rPr>
        <i/>
        <sz val="11"/>
        <rFont val="Garamond"/>
        <family val="1"/>
      </rPr>
      <t>No corresponde realizar ninguna registración</t>
    </r>
    <r>
      <rPr>
        <sz val="11"/>
        <rFont val="Garamond"/>
        <family val="1"/>
      </rPr>
      <t>. Por ser medidas al costo, un alza en el precio de las acciones no impacta en la medición.</t>
    </r>
  </si>
  <si>
    <t>Dividendos a cobrar</t>
  </si>
  <si>
    <t>Dividendos ganados</t>
  </si>
  <si>
    <t>Desvalorización Acciones</t>
  </si>
  <si>
    <t>Resultado por venta de acciones</t>
  </si>
  <si>
    <r>
      <rPr>
        <b/>
        <u/>
        <sz val="11"/>
        <color theme="1"/>
        <rFont val="Garamond"/>
        <family val="1"/>
      </rPr>
      <t>PARTE 2</t>
    </r>
    <r>
      <rPr>
        <b/>
        <sz val="11"/>
        <color theme="1"/>
        <rFont val="Garamond"/>
        <family val="1"/>
      </rPr>
      <t xml:space="preserve">: V.P.P. ~ </t>
    </r>
    <r>
      <rPr>
        <i/>
        <sz val="11"/>
        <color theme="1"/>
        <rFont val="Garamond"/>
        <family val="1"/>
      </rPr>
      <t>Participaciones permanentes con Control, Control Conjunto o Influencia significativa</t>
    </r>
  </si>
  <si>
    <t>Inversión Permanente - Omega</t>
  </si>
  <si>
    <t>Banco Santander Río</t>
  </si>
  <si>
    <t>Agente de bolsa a pagar</t>
  </si>
  <si>
    <t>Resultado V.P.P.</t>
  </si>
  <si>
    <r>
      <rPr>
        <b/>
        <u/>
        <sz val="11"/>
        <color theme="1"/>
        <rFont val="Garamond"/>
        <family val="1"/>
      </rPr>
      <t>PARTE 3</t>
    </r>
    <r>
      <rPr>
        <b/>
        <sz val="11"/>
        <color theme="1"/>
        <rFont val="Garamond"/>
        <family val="1"/>
      </rPr>
      <t xml:space="preserve">: VALOR NETO DE REALIZACIÓN ~ </t>
    </r>
    <r>
      <rPr>
        <i/>
        <sz val="11"/>
        <color theme="1"/>
        <rFont val="Garamond"/>
        <family val="1"/>
      </rPr>
      <t>Títulos de capital con cotización</t>
    </r>
  </si>
  <si>
    <t>Acciones - Telecom</t>
  </si>
  <si>
    <t>Diferencia de cotización</t>
  </si>
  <si>
    <t>CUYO S.A.</t>
  </si>
  <si>
    <t>Cálculo de VPP y determinación del Valor Llave</t>
  </si>
  <si>
    <t>Conceptualmente:</t>
  </si>
  <si>
    <r>
      <t>A=</t>
    </r>
    <r>
      <rPr>
        <sz val="11"/>
        <color indexed="8"/>
        <rFont val="Garamond"/>
        <family val="1"/>
      </rPr>
      <t xml:space="preserve"> Precio de Compra</t>
    </r>
  </si>
  <si>
    <t xml:space="preserve"> </t>
  </si>
  <si>
    <t>Valor de libros (patrimonio neto) de la emisora</t>
  </si>
  <si>
    <t>+ Variación de valor de activos tangibles registrados</t>
  </si>
  <si>
    <t>+ Variación de valor de activos intangibles registrados</t>
  </si>
  <si>
    <t>+ Valor corriente de activos intangibles identificados no registrados</t>
  </si>
  <si>
    <r>
      <t>-</t>
    </r>
    <r>
      <rPr>
        <u/>
        <sz val="11"/>
        <color indexed="8"/>
        <rFont val="Garamond"/>
        <family val="1"/>
      </rPr>
      <t>Variación de valor de los pasivos</t>
    </r>
  </si>
  <si>
    <t xml:space="preserve">  =  B</t>
  </si>
  <si>
    <t>Patrimonio ajustado de la emisora</t>
  </si>
  <si>
    <t>y</t>
  </si>
  <si>
    <r>
      <t xml:space="preserve"> </t>
    </r>
    <r>
      <rPr>
        <b/>
        <sz val="11"/>
        <rFont val="Garamond"/>
        <family val="1"/>
      </rPr>
      <t>%</t>
    </r>
    <r>
      <rPr>
        <b/>
        <sz val="11"/>
        <color rgb="FF00B0F0"/>
        <rFont val="Garamond"/>
        <family val="1"/>
      </rPr>
      <t>B</t>
    </r>
  </si>
  <si>
    <t>V.P.P.: Valor Patrimonial Proporcional</t>
  </si>
  <si>
    <r>
      <rPr>
        <b/>
        <sz val="11"/>
        <color indexed="14"/>
        <rFont val="Garamond"/>
        <family val="1"/>
      </rPr>
      <t>A</t>
    </r>
    <r>
      <rPr>
        <b/>
        <sz val="11"/>
        <rFont val="Garamond"/>
        <family val="1"/>
      </rPr>
      <t xml:space="preserve"> - %</t>
    </r>
    <r>
      <rPr>
        <b/>
        <sz val="11"/>
        <color indexed="40"/>
        <rFont val="Garamond"/>
        <family val="1"/>
      </rPr>
      <t>B</t>
    </r>
    <r>
      <rPr>
        <b/>
        <sz val="11"/>
        <rFont val="Garamond"/>
        <family val="1"/>
      </rPr>
      <t xml:space="preserve"> = Valor Llave</t>
    </r>
  </si>
  <si>
    <t>En este caso:</t>
  </si>
  <si>
    <r>
      <rPr>
        <b/>
        <sz val="11"/>
        <color indexed="14"/>
        <rFont val="Garamond"/>
        <family val="1"/>
      </rPr>
      <t>A=</t>
    </r>
    <r>
      <rPr>
        <sz val="11"/>
        <color indexed="14"/>
        <rFont val="Garamond"/>
        <family val="1"/>
      </rPr>
      <t xml:space="preserve"> </t>
    </r>
    <r>
      <rPr>
        <sz val="11"/>
        <rFont val="Garamond"/>
        <family val="1"/>
      </rPr>
      <t>Precio de compra</t>
    </r>
  </si>
  <si>
    <t>Banco Galicia Cta Cte</t>
  </si>
  <si>
    <r>
      <t xml:space="preserve">Cálculo de </t>
    </r>
    <r>
      <rPr>
        <u/>
        <sz val="11"/>
        <color indexed="40"/>
        <rFont val="Garamond"/>
        <family val="1"/>
      </rPr>
      <t>B</t>
    </r>
  </si>
  <si>
    <t>Valor Libros del PN</t>
  </si>
  <si>
    <t>Mayor Valor Inmueble</t>
  </si>
  <si>
    <t>Marca autogenerada</t>
  </si>
  <si>
    <t xml:space="preserve"> B</t>
  </si>
  <si>
    <t>por</t>
  </si>
  <si>
    <t xml:space="preserve">V.P.P.: </t>
  </si>
  <si>
    <r>
      <rPr>
        <b/>
        <sz val="11"/>
        <color indexed="14"/>
        <rFont val="Garamond"/>
        <family val="1"/>
      </rPr>
      <t>A</t>
    </r>
    <r>
      <rPr>
        <b/>
        <sz val="11"/>
        <rFont val="Garamond"/>
        <family val="1"/>
      </rPr>
      <t xml:space="preserve"> - %</t>
    </r>
    <r>
      <rPr>
        <b/>
        <sz val="11"/>
        <color indexed="40"/>
        <rFont val="Garamond"/>
        <family val="1"/>
      </rPr>
      <t>B</t>
    </r>
    <r>
      <rPr>
        <b/>
        <sz val="11"/>
        <rFont val="Garamond"/>
        <family val="1"/>
      </rPr>
      <t xml:space="preserve"> = </t>
    </r>
    <r>
      <rPr>
        <sz val="11"/>
        <rFont val="Garamond"/>
        <family val="1"/>
      </rPr>
      <t>Valor Llave</t>
    </r>
  </si>
  <si>
    <t>Valor Llave = 10.000.000 - 5.907.760</t>
  </si>
  <si>
    <t>Valor llave :</t>
  </si>
  <si>
    <t>Registraciones:</t>
  </si>
  <si>
    <t>Inversiones permanentes</t>
  </si>
  <si>
    <t>MESOPOTAMIA S.A.</t>
  </si>
  <si>
    <t>Inversión Permanente - Corrientes S.A.</t>
  </si>
  <si>
    <t>Determinación del V.P.P. y Valor Llave (y su evolución)</t>
  </si>
  <si>
    <t>Compra al 21/12/2014</t>
  </si>
  <si>
    <t>Cambios al 31/12/2014</t>
  </si>
  <si>
    <t>Valor Libros Corrientes S.A.</t>
  </si>
  <si>
    <t>+</t>
  </si>
  <si>
    <t>Mayor Valor Rodado</t>
  </si>
  <si>
    <t>Marca autogenerada Mate&amp;Co</t>
  </si>
  <si>
    <t>Pasivo omitido</t>
  </si>
  <si>
    <t>PN Ajustado Corrientes S.A.</t>
  </si>
  <si>
    <t>B</t>
  </si>
  <si>
    <t>% Participación</t>
  </si>
  <si>
    <t>V.P.P</t>
  </si>
  <si>
    <t>Precio pagado</t>
  </si>
  <si>
    <r>
      <t xml:space="preserve">Valor Llave </t>
    </r>
    <r>
      <rPr>
        <b/>
        <sz val="11"/>
        <color theme="1"/>
        <rFont val="Garamond"/>
        <family val="1"/>
      </rPr>
      <t xml:space="preserve"> (</t>
    </r>
    <r>
      <rPr>
        <b/>
        <sz val="11"/>
        <color rgb="FFFF3399"/>
        <rFont val="Garamond"/>
        <family val="1"/>
      </rPr>
      <t>A</t>
    </r>
    <r>
      <rPr>
        <b/>
        <sz val="11"/>
        <color theme="1"/>
        <rFont val="Garamond"/>
        <family val="1"/>
      </rPr>
      <t xml:space="preserve"> - %</t>
    </r>
    <r>
      <rPr>
        <b/>
        <sz val="11"/>
        <color rgb="FF66CCFF"/>
        <rFont val="Garamond"/>
        <family val="1"/>
      </rPr>
      <t>B</t>
    </r>
    <r>
      <rPr>
        <b/>
        <sz val="11"/>
        <color theme="1"/>
        <rFont val="Garamond"/>
        <family val="1"/>
      </rPr>
      <t>)</t>
    </r>
  </si>
  <si>
    <t>Pagado mediante Banco Galicia</t>
  </si>
  <si>
    <t>Valor del principal de la deuda (Doc.)</t>
  </si>
  <si>
    <t>Interés del 1% por 4 meses</t>
  </si>
  <si>
    <t>(247.500*0,01*4)</t>
  </si>
  <si>
    <t>IVA sobre intereses</t>
  </si>
  <si>
    <t>PATAGONIA S.A.</t>
  </si>
  <si>
    <t>Importe de la erogación</t>
  </si>
  <si>
    <t>Prueba ácida = (Act. Corrientes - Inventarios) / Pas. Corrientes</t>
  </si>
  <si>
    <t>1 = (450.000 - X - 100.000) / 250.000</t>
  </si>
  <si>
    <t>X = 350.000 - 250.000</t>
  </si>
  <si>
    <t>X = 100.000</t>
  </si>
  <si>
    <t>Arrayanes S.A.</t>
  </si>
  <si>
    <t>Cipreses S.R.L.</t>
  </si>
  <si>
    <t>Lengas S.C.</t>
  </si>
  <si>
    <t>Cantidad de acciones compradas</t>
  </si>
  <si>
    <t>(Importe de la erogación/                       Valor de mercado 01/01)</t>
  </si>
  <si>
    <t>Porcentaje de participación</t>
  </si>
  <si>
    <t>(Cantidad acciones compradas/ Acciones en circulación)</t>
  </si>
  <si>
    <t>Forma de medición:</t>
  </si>
  <si>
    <t>V.N.R.</t>
  </si>
  <si>
    <t>Costo</t>
  </si>
  <si>
    <t>V.P.P.</t>
  </si>
  <si>
    <t>Registros:</t>
  </si>
  <si>
    <t>§</t>
  </si>
  <si>
    <t>Compra del 01.01.2010</t>
  </si>
  <si>
    <t>Acciones - Arrayanes</t>
  </si>
  <si>
    <t>40.000*2,50*0,98</t>
  </si>
  <si>
    <t>Resultado por tenencia</t>
  </si>
  <si>
    <t>(40.000*2,50*0,02)*2</t>
  </si>
  <si>
    <t>a Caja</t>
  </si>
  <si>
    <t>40.000*2,50*1,02</t>
  </si>
  <si>
    <t>Cierre el 31.12.2010</t>
  </si>
  <si>
    <t>Cambio en V.N.R.</t>
  </si>
  <si>
    <t>VNR 01/01:</t>
  </si>
  <si>
    <t>a Resultado por tenencia</t>
  </si>
  <si>
    <t>VNR 31/12:</t>
  </si>
  <si>
    <t>Variación VNR</t>
  </si>
  <si>
    <t>Cantidad de acc.</t>
  </si>
  <si>
    <t>Variación Total</t>
  </si>
  <si>
    <t>Distribución de dividendos</t>
  </si>
  <si>
    <t>Resultado proyectado</t>
  </si>
  <si>
    <t>a Dividendos ganados</t>
  </si>
  <si>
    <t>% Distribución</t>
  </si>
  <si>
    <t>% Tenencia</t>
  </si>
  <si>
    <t>Acciones - Cipreses</t>
  </si>
  <si>
    <t>80.000*1,25*1,01</t>
  </si>
  <si>
    <t>No hay ningún registro que corresponda realizar. Por ser una inversión al costo, no corresponde realizar un revalúo ni tampoco reconocer variaciones por cambios en el patrimonio neto de la emisora. A su vez, se verifica que no hay desvalorización de la inversión pues el precio de las acciones de Cipreses S.R.L. ha subido.</t>
  </si>
  <si>
    <t>Cálculo VPP</t>
  </si>
  <si>
    <t>Acciones - Lengas</t>
  </si>
  <si>
    <t>PN Lengas S.C.</t>
  </si>
  <si>
    <t>Llave de negocios</t>
  </si>
  <si>
    <t>Mayor valor PPE</t>
  </si>
  <si>
    <t>Marca Las Maras</t>
  </si>
  <si>
    <t>PN Ajustado</t>
  </si>
  <si>
    <t>VPP</t>
  </si>
  <si>
    <t>Cálculo Variación VPP</t>
  </si>
  <si>
    <t>Resultado Lengas</t>
  </si>
  <si>
    <t>a Resultado V.P.P.</t>
  </si>
  <si>
    <r>
      <rPr>
        <sz val="11"/>
        <color theme="1"/>
        <rFont val="Calibri"/>
        <family val="2"/>
      </rPr>
      <t>∆</t>
    </r>
    <r>
      <rPr>
        <i/>
        <sz val="11"/>
        <color theme="1"/>
        <rFont val="Garamond"/>
        <family val="1"/>
      </rPr>
      <t xml:space="preserve"> MV PPE</t>
    </r>
    <r>
      <rPr>
        <i/>
        <sz val="11"/>
        <color rgb="FFFF0000"/>
        <rFont val="Garamond"/>
        <family val="1"/>
      </rPr>
      <t xml:space="preserve"> </t>
    </r>
    <r>
      <rPr>
        <b/>
        <i/>
        <sz val="11"/>
        <rFont val="Garamond"/>
        <family val="1"/>
      </rPr>
      <t>(*)</t>
    </r>
  </si>
  <si>
    <r>
      <rPr>
        <sz val="11"/>
        <color theme="1"/>
        <rFont val="Calibri"/>
        <family val="2"/>
      </rPr>
      <t>∆</t>
    </r>
    <r>
      <rPr>
        <i/>
        <sz val="11"/>
        <color theme="1"/>
        <rFont val="Garamond"/>
        <family val="1"/>
      </rPr>
      <t xml:space="preserve"> MV Marca </t>
    </r>
    <r>
      <rPr>
        <i/>
        <sz val="11"/>
        <color rgb="FFFF0000"/>
        <rFont val="Garamond"/>
        <family val="1"/>
      </rPr>
      <t>(**)</t>
    </r>
  </si>
  <si>
    <r>
      <rPr>
        <b/>
        <i/>
        <sz val="11"/>
        <rFont val="Garamond"/>
        <family val="1"/>
      </rPr>
      <t xml:space="preserve">(*) </t>
    </r>
    <r>
      <rPr>
        <i/>
        <sz val="11"/>
        <rFont val="Garamond"/>
        <family val="1"/>
      </rPr>
      <t>Ver Cálculo Auxiliar Nro 1.</t>
    </r>
  </si>
  <si>
    <t>Resultado ajustado</t>
  </si>
  <si>
    <r>
      <rPr>
        <b/>
        <i/>
        <sz val="11"/>
        <rFont val="Garamond"/>
        <family val="1"/>
      </rPr>
      <t>(**)</t>
    </r>
    <r>
      <rPr>
        <i/>
        <sz val="11"/>
        <rFont val="Garamond"/>
        <family val="1"/>
      </rPr>
      <t xml:space="preserve"> Ver Cálculo Auxiliar Nro 2.</t>
    </r>
  </si>
  <si>
    <t>Resultado VPP</t>
  </si>
  <si>
    <t>a Acciones - Lengas</t>
  </si>
  <si>
    <t>Variación Mayor Valor Edificio</t>
  </si>
  <si>
    <t>Valores contables</t>
  </si>
  <si>
    <t>Valores mercado</t>
  </si>
  <si>
    <t>Mayor valor</t>
  </si>
  <si>
    <t>Valor residual</t>
  </si>
  <si>
    <t>Depr. Acum. 01/01</t>
  </si>
  <si>
    <t>Cuota anual</t>
  </si>
  <si>
    <t>Vida útil total</t>
  </si>
  <si>
    <t>Años trasncurridos</t>
  </si>
  <si>
    <t>Años restantes</t>
  </si>
  <si>
    <t>Variación Mayor Valor Marca "Las Maras"</t>
  </si>
  <si>
    <t>Cuota mensual</t>
  </si>
  <si>
    <t>Análisis</t>
  </si>
  <si>
    <t>¿En qué empresa conviene invertir?</t>
  </si>
  <si>
    <t>Desde la perspectiva del resultado, conviene invertir en Lengas S.C. pues es la que genera un mayor resultado de inversión en forma comparativa.</t>
  </si>
  <si>
    <t></t>
  </si>
  <si>
    <t>Resultado Inversión Arrayanes:</t>
  </si>
  <si>
    <t>1.960+80</t>
  </si>
  <si>
    <t>Resultado Inversión Cipreses:</t>
  </si>
  <si>
    <t>Resultado Inversión Lengas:</t>
  </si>
  <si>
    <t>mejor</t>
  </si>
  <si>
    <t>Informe de situación financiera y cotización accionaria:</t>
  </si>
  <si>
    <t>Patagonia S.R.L.</t>
  </si>
  <si>
    <t>Estado de situación financiera:</t>
  </si>
  <si>
    <t>Efectivo y equivalentes al efectivo</t>
  </si>
  <si>
    <t>Cuentas por cobrar</t>
  </si>
  <si>
    <t>Inventarios</t>
  </si>
  <si>
    <t>(2)</t>
  </si>
  <si>
    <t>(4)</t>
  </si>
  <si>
    <t>Propiedades, planta y equipo</t>
  </si>
  <si>
    <t>(5)</t>
  </si>
  <si>
    <t>Bienes intangibles</t>
  </si>
  <si>
    <t>(1)</t>
  </si>
  <si>
    <t>(6)</t>
  </si>
  <si>
    <t>Total del activo</t>
  </si>
  <si>
    <t>Cuentas por pagar</t>
  </si>
  <si>
    <t>(3)</t>
  </si>
  <si>
    <t>Pasivos financieros  (LP)</t>
  </si>
  <si>
    <t xml:space="preserve">Patrimonio </t>
  </si>
  <si>
    <t>Total del pasivo y patrimonio</t>
  </si>
  <si>
    <t>Informe sobre las acciones</t>
  </si>
  <si>
    <t>Cotización bursátil</t>
  </si>
  <si>
    <t>Si</t>
  </si>
  <si>
    <t>No</t>
  </si>
  <si>
    <t>Acciones en circulación (ordinarias)</t>
  </si>
  <si>
    <t>Valor nominal</t>
  </si>
  <si>
    <t>Valor de mercado 01/01/2010</t>
  </si>
  <si>
    <t>Valor de mercado 31/12/2010</t>
  </si>
  <si>
    <t>Comisión intermediario</t>
  </si>
  <si>
    <t>Resultado proyectado Año 2010</t>
  </si>
  <si>
    <t>% Dividendos en efectivo a distribuir sobre Resultado proyectado Año 2010</t>
  </si>
  <si>
    <t>Solución</t>
  </si>
  <si>
    <t>Amortizaciones</t>
  </si>
  <si>
    <t>Neto resultante</t>
  </si>
  <si>
    <t>Valor al inicio</t>
  </si>
  <si>
    <t>Aumentos</t>
  </si>
  <si>
    <t>Disminuciones</t>
  </si>
  <si>
    <t>Valor al cierre</t>
  </si>
  <si>
    <t>Acum. al inicio</t>
  </si>
  <si>
    <t>Del ejercicio</t>
  </si>
  <si>
    <t>Acum. al cierre</t>
  </si>
  <si>
    <t>Marcas</t>
  </si>
  <si>
    <t>Franquicias</t>
  </si>
  <si>
    <t>Patentes</t>
  </si>
  <si>
    <t>Consigna</t>
  </si>
  <si>
    <t>Puna S.A.</t>
  </si>
  <si>
    <r>
      <rPr>
        <u/>
        <sz val="11"/>
        <color theme="1"/>
        <rFont val="Garamond"/>
        <family val="1"/>
      </rPr>
      <t>Anexo B</t>
    </r>
    <r>
      <rPr>
        <sz val="11"/>
        <color theme="1"/>
        <rFont val="Garamond"/>
        <family val="1"/>
      </rPr>
      <t xml:space="preserve"> - Evolución de los bienes intangibles</t>
    </r>
  </si>
  <si>
    <t>MILONGA S.R.L.</t>
  </si>
  <si>
    <t>Creación de la previsión:</t>
  </si>
  <si>
    <t>Previsión Deudores Incobrables</t>
  </si>
  <si>
    <t>Uso / Recupero de la previsión:</t>
  </si>
  <si>
    <t>ALTERNATIVA 1</t>
  </si>
  <si>
    <t>Deudores Incobrables</t>
  </si>
  <si>
    <t>ALTERNATIVA 2</t>
  </si>
  <si>
    <t>MALAMBO S.R.L.</t>
  </si>
  <si>
    <t>1</t>
  </si>
  <si>
    <t>2</t>
  </si>
  <si>
    <t>Deudores por ventas - Álvarez</t>
  </si>
  <si>
    <t>Deudores por ventas - Lanetti</t>
  </si>
  <si>
    <t>3</t>
  </si>
  <si>
    <t>3 BIS</t>
  </si>
  <si>
    <t>Ver Nota 1</t>
  </si>
  <si>
    <t>4</t>
  </si>
  <si>
    <t>Previsión Litigios en curso</t>
  </si>
  <si>
    <t>5</t>
  </si>
  <si>
    <r>
      <t xml:space="preserve">No se realiza ningún registro. </t>
    </r>
    <r>
      <rPr>
        <sz val="11"/>
        <rFont val="Garamond"/>
        <family val="1"/>
      </rPr>
      <t xml:space="preserve">La contingencia no cumple con el requisito de </t>
    </r>
    <r>
      <rPr>
        <b/>
        <sz val="11"/>
        <rFont val="Garamond"/>
        <family val="1"/>
      </rPr>
      <t>probabilidad</t>
    </r>
    <r>
      <rPr>
        <sz val="11"/>
        <rFont val="Garamond"/>
        <family val="1"/>
      </rPr>
      <t xml:space="preserve"> del hecho contingente.</t>
    </r>
  </si>
  <si>
    <t>6</t>
  </si>
  <si>
    <t>7</t>
  </si>
  <si>
    <t>Previsión Garantías</t>
  </si>
  <si>
    <t>8</t>
  </si>
  <si>
    <t>-A</t>
  </si>
  <si>
    <t>(opcional)</t>
  </si>
  <si>
    <t>Ver Nota 2</t>
  </si>
  <si>
    <t>Notas:</t>
  </si>
  <si>
    <t>Nota 1:</t>
  </si>
  <si>
    <t>Una forma alternativa de realizar estos dos registros es:</t>
  </si>
  <si>
    <t>a Previsión Deudores Incobrables</t>
  </si>
  <si>
    <t>Nota 2:</t>
  </si>
  <si>
    <t>Dar de baja la previsión no utilizada es opcional, pues no se especifica el recupero.</t>
  </si>
  <si>
    <t>CARNAVALITO S.A.</t>
  </si>
  <si>
    <t>Saldo libros</t>
  </si>
  <si>
    <t>Gastos bancarios no registrados contablemente</t>
  </si>
  <si>
    <t>à</t>
  </si>
  <si>
    <t>P.</t>
  </si>
  <si>
    <t>(i)</t>
  </si>
  <si>
    <t>Cheque rechazado</t>
  </si>
  <si>
    <t>(ii)</t>
  </si>
  <si>
    <t>Cheque pendiente de cobro</t>
  </si>
  <si>
    <t>T.</t>
  </si>
  <si>
    <t>Saldo bancario</t>
  </si>
  <si>
    <t>i</t>
  </si>
  <si>
    <t>Gastos bancarios</t>
  </si>
  <si>
    <t>a Banco Santander Río Cta Cte</t>
  </si>
  <si>
    <t>ii</t>
  </si>
  <si>
    <t xml:space="preserve">                  </t>
  </si>
  <si>
    <t>a Proveedores</t>
  </si>
  <si>
    <t>Banco Nación</t>
  </si>
  <si>
    <t>Depósitos no acreditados por el banco</t>
  </si>
  <si>
    <t>Pago a proveedor registrado erroneamente</t>
  </si>
  <si>
    <t>(iii)</t>
  </si>
  <si>
    <t>Cheques pendientes de cobro</t>
  </si>
  <si>
    <r>
      <t xml:space="preserve">T 300 - </t>
    </r>
    <r>
      <rPr>
        <sz val="11"/>
        <color rgb="FFFF0000"/>
        <rFont val="Garamond"/>
        <family val="1"/>
      </rPr>
      <t>P 700</t>
    </r>
  </si>
  <si>
    <t>(iv)</t>
  </si>
  <si>
    <t>Préstamo no registrado contablemente</t>
  </si>
  <si>
    <t>(v)</t>
  </si>
  <si>
    <t>iii</t>
  </si>
  <si>
    <t>iv</t>
  </si>
  <si>
    <t>a Préstamo Banco Nación</t>
  </si>
  <si>
    <t>Conciliación bancaria:</t>
  </si>
  <si>
    <t>Dif. Permanente</t>
  </si>
  <si>
    <t>Ajuste de diferencias permanentes:</t>
  </si>
  <si>
    <t>Gastos por servicios</t>
  </si>
  <si>
    <t>CHACARERA S.R.L.</t>
  </si>
  <si>
    <t>Faltante de mercaderías</t>
  </si>
  <si>
    <t>Mercaderías - Té negro</t>
  </si>
  <si>
    <t>Mercaderías - Té rojo</t>
  </si>
  <si>
    <t>Depreciaciones Acumuladas Equipos de computación</t>
  </si>
  <si>
    <t>Depreciaciones Equipos de computación</t>
  </si>
  <si>
    <t>Ver cálculo auxiliar 1</t>
  </si>
  <si>
    <t>Previsión Desvalorización M y U</t>
  </si>
  <si>
    <t>Ver cálculo auxiliar 2</t>
  </si>
  <si>
    <t>Cáluclos auxiliares:</t>
  </si>
  <si>
    <t>Recálculo de depreciaciones</t>
  </si>
  <si>
    <t>M y U</t>
  </si>
  <si>
    <t>Eq. Comp.</t>
  </si>
  <si>
    <t>Valor amortizable</t>
  </si>
  <si>
    <t>Vida útil (en meses)</t>
  </si>
  <si>
    <t>Depreciación 1 mes</t>
  </si>
  <si>
    <t>Depreciación registrada</t>
  </si>
  <si>
    <t>Exceso de depreciación</t>
  </si>
  <si>
    <t>Comparación de valores recuperables</t>
  </si>
  <si>
    <t>Te verde                            (por Kilo)</t>
  </si>
  <si>
    <t>Te negro                       (por Kilo)</t>
  </si>
  <si>
    <t>Te rojo                       (por Kilo)</t>
  </si>
  <si>
    <t>Equipo de computación</t>
  </si>
  <si>
    <t>Costo de reposición</t>
  </si>
  <si>
    <t>No hallado</t>
  </si>
  <si>
    <t>Valor de uso</t>
  </si>
  <si>
    <t>Valor libros</t>
  </si>
  <si>
    <t>aplicado a los 16 Kilos de té negro:</t>
  </si>
  <si>
    <t>CHAMAMÉ S.A.</t>
  </si>
  <si>
    <t>Saldo contable</t>
  </si>
  <si>
    <t>Gastos bancarios no 
registrados contablemente</t>
  </si>
  <si>
    <t>Error registración contable</t>
  </si>
  <si>
    <t>Omisión registro contable ch 233</t>
  </si>
  <si>
    <t>Depósitos no acreditados</t>
  </si>
  <si>
    <t>Dif. Temporaria</t>
  </si>
  <si>
    <t>Acreditaciones no registradas</t>
  </si>
  <si>
    <t>a Deudores por ventas</t>
  </si>
  <si>
    <t>ZAMBA S.A.</t>
  </si>
  <si>
    <t xml:space="preserve">                                                   </t>
  </si>
  <si>
    <t>b</t>
  </si>
  <si>
    <t>c</t>
  </si>
  <si>
    <t>Deudores incobrables</t>
  </si>
  <si>
    <t>Deudores morosos</t>
  </si>
  <si>
    <t>d</t>
  </si>
  <si>
    <t>e</t>
  </si>
  <si>
    <t>f</t>
  </si>
  <si>
    <t>Sobrante de caja</t>
  </si>
  <si>
    <t>Ver Conciliación Bancaria</t>
  </si>
  <si>
    <t>Ver Análisis de clientes</t>
  </si>
  <si>
    <t xml:space="preserve">   </t>
  </si>
  <si>
    <t>*</t>
  </si>
  <si>
    <t>Ganancias por deudas prescritas</t>
  </si>
  <si>
    <t>Depósito pendiente de acreditar por el banco</t>
  </si>
  <si>
    <t>Cheques cobrados no contabilizados</t>
  </si>
  <si>
    <t>Cheque rechazado de cliente</t>
  </si>
  <si>
    <t>Gastos bancarios no registrados</t>
  </si>
  <si>
    <t>Diferencia cheque</t>
  </si>
  <si>
    <t>Cuenta contable</t>
  </si>
  <si>
    <r>
      <t>Bienes de cambio</t>
    </r>
    <r>
      <rPr>
        <sz val="12"/>
        <color theme="1"/>
        <rFont val="Garamond"/>
        <family val="1"/>
      </rPr>
      <t>:</t>
    </r>
  </si>
  <si>
    <r>
      <t>Bienes de uso</t>
    </r>
    <r>
      <rPr>
        <sz val="12"/>
        <color theme="1"/>
        <rFont val="Garamond"/>
        <family val="1"/>
      </rPr>
      <t>:</t>
    </r>
  </si>
  <si>
    <t>Cantidad</t>
  </si>
  <si>
    <t>Depreciación del mes</t>
  </si>
  <si>
    <r>
      <t>T</t>
    </r>
    <r>
      <rPr>
        <sz val="12"/>
        <color theme="1"/>
        <rFont val="Garamond"/>
        <family val="1"/>
      </rPr>
      <t>é verde</t>
    </r>
  </si>
  <si>
    <t>20 kilos</t>
  </si>
  <si>
    <t>$ 120 / Kilo</t>
  </si>
  <si>
    <t>Té negro</t>
  </si>
  <si>
    <t>15 kilos</t>
  </si>
  <si>
    <t>$ 150 / Kilo</t>
  </si>
  <si>
    <t>Té rojo</t>
  </si>
  <si>
    <t>10 kilos</t>
  </si>
  <si>
    <t>$ 80   / Kilo</t>
  </si>
  <si>
    <t>CHAMAMÉ S.A. - Mayor contable</t>
  </si>
  <si>
    <r>
      <rPr>
        <u/>
        <sz val="12"/>
        <color theme="1"/>
        <rFont val="Garamond"/>
        <family val="1"/>
      </rPr>
      <t>Cuenta 01.01.02.01:</t>
    </r>
    <r>
      <rPr>
        <b/>
        <i/>
        <sz val="12"/>
        <color theme="1"/>
        <rFont val="Garamond"/>
        <family val="1"/>
      </rPr>
      <t xml:space="preserve"> Banco Galicia Cta Cte</t>
    </r>
  </si>
  <si>
    <r>
      <t xml:space="preserve">SEÑORES          </t>
    </r>
    <r>
      <rPr>
        <b/>
        <sz val="8"/>
        <color theme="1"/>
        <rFont val="Book Antiqua"/>
        <family val="1"/>
      </rPr>
      <t>CHAMAMÉ SA</t>
    </r>
  </si>
  <si>
    <t>CUENTA CORRIENTE NRO 321/1</t>
  </si>
  <si>
    <t>al 31/07/X1</t>
  </si>
  <si>
    <t>AV CORDOBA 1234, C.A.B.A.</t>
  </si>
  <si>
    <t>CASA 999</t>
  </si>
  <si>
    <t>CUIT 30/123456/7</t>
  </si>
  <si>
    <t>FECHA 31/07/X1</t>
  </si>
  <si>
    <t>Saldo</t>
  </si>
  <si>
    <t>IVA RESP. INSCRIPTO</t>
  </si>
  <si>
    <t>HOJA 1 de 1</t>
  </si>
  <si>
    <t>Saldo al 30/06</t>
  </si>
  <si>
    <t>Ch 220 pago proveedor López</t>
  </si>
  <si>
    <t>FECHA</t>
  </si>
  <si>
    <t>REFERENCIA</t>
  </si>
  <si>
    <t>DEBITO</t>
  </si>
  <si>
    <t>CREDITO</t>
  </si>
  <si>
    <t>SALDO</t>
  </si>
  <si>
    <t>Depósito efectivo</t>
  </si>
  <si>
    <t>Saldo al 30/06/X1</t>
  </si>
  <si>
    <t>Ch 205 pago gastos comerciales</t>
  </si>
  <si>
    <t>02/07/X1</t>
  </si>
  <si>
    <t>Comisión mantenimiento</t>
  </si>
  <si>
    <t>Ch 231 pago proveedor García</t>
  </si>
  <si>
    <t>Comisión movimientos</t>
  </si>
  <si>
    <t>Ch 234 pago intereses</t>
  </si>
  <si>
    <t>Emisión extracto</t>
  </si>
  <si>
    <t>Ch 228 pago proveedor Gutiérrez</t>
  </si>
  <si>
    <t>Ch 48hs 220</t>
  </si>
  <si>
    <t>Ch 225 pago proveedor López</t>
  </si>
  <si>
    <t>05/07/X1</t>
  </si>
  <si>
    <t>Ch 205</t>
  </si>
  <si>
    <t>Ch 230 pago seguros</t>
  </si>
  <si>
    <t>Ch 48hs 231</t>
  </si>
  <si>
    <t>Extracción Banelco</t>
  </si>
  <si>
    <t>09/07/X1</t>
  </si>
  <si>
    <t>Ch 240 pago Cargas sociales</t>
  </si>
  <si>
    <t>Ch 48hs 234</t>
  </si>
  <si>
    <t>Ch 241 pago Cargas sociales</t>
  </si>
  <si>
    <t>Ch 228</t>
  </si>
  <si>
    <t>Ch 222 pago gastos de librería</t>
  </si>
  <si>
    <t>12/07/X1</t>
  </si>
  <si>
    <t>Ch 224 cancelación parcial préstamo</t>
  </si>
  <si>
    <t>Depósito 48 hs</t>
  </si>
  <si>
    <t>16/07/X1</t>
  </si>
  <si>
    <t>Ch 225</t>
  </si>
  <si>
    <t>Ch 235 pago gastos varios</t>
  </si>
  <si>
    <t>Ch 230</t>
  </si>
  <si>
    <t>Depósito 72hs</t>
  </si>
  <si>
    <t>19/07/X1</t>
  </si>
  <si>
    <t>Comisión caja seguridad</t>
  </si>
  <si>
    <t>Visa</t>
  </si>
  <si>
    <t>Comisión extracciones</t>
  </si>
  <si>
    <t>Saldo al 31/07</t>
  </si>
  <si>
    <t>21/07/X1</t>
  </si>
  <si>
    <t>Ch 240</t>
  </si>
  <si>
    <t>Ch 241</t>
  </si>
  <si>
    <t>24/07/X1</t>
  </si>
  <si>
    <t>Depósito</t>
  </si>
  <si>
    <t>Ch 233</t>
  </si>
  <si>
    <t>Ch 224</t>
  </si>
  <si>
    <t>Ch 222</t>
  </si>
  <si>
    <t>Ch 235</t>
  </si>
  <si>
    <t>27/07/X1</t>
  </si>
  <si>
    <t>29/07/X1</t>
  </si>
  <si>
    <t>Cabal</t>
  </si>
  <si>
    <t>Saldo al 31/07/X1</t>
  </si>
  <si>
    <t>Libro Mayor - Banco Santander Río Cta Cte</t>
  </si>
  <si>
    <t>Extracto bancario enviado por el Banco Santander Río</t>
  </si>
  <si>
    <t xml:space="preserve"> Saldo</t>
  </si>
  <si>
    <t>Dep. 48 horas</t>
  </si>
  <si>
    <t>Dep. 48 hs.</t>
  </si>
  <si>
    <t>Cheque N° 49</t>
  </si>
  <si>
    <t>Dep. en efectivo</t>
  </si>
  <si>
    <t>Cheque N° 52</t>
  </si>
  <si>
    <t>Gastos banco</t>
  </si>
  <si>
    <t>Cheque N° 50</t>
  </si>
  <si>
    <t>Deudores por venta</t>
  </si>
  <si>
    <t>CHIMPANCÉS S.H.</t>
  </si>
  <si>
    <t>Cuenta</t>
  </si>
  <si>
    <t>PN</t>
  </si>
  <si>
    <t>Intereses positivos a devengar s/Ds.x.V.</t>
  </si>
  <si>
    <t>Créditos por ventas (restando)</t>
  </si>
  <si>
    <t>Deudas comerciales (restando)</t>
  </si>
  <si>
    <t>Gastos generales de administración</t>
  </si>
  <si>
    <t>Equipos</t>
  </si>
  <si>
    <t>Bienes de uso (restando)</t>
  </si>
  <si>
    <t>Depreciaciones Acumuladas Equipos</t>
  </si>
  <si>
    <t>Ventas netas</t>
  </si>
  <si>
    <t>Resultados financieros y por tenencia</t>
  </si>
  <si>
    <t>Costo de mercaderías vendidas</t>
  </si>
  <si>
    <t>Ingreso por intereses financieros</t>
  </si>
  <si>
    <t>por el ejercicio finalizado al 31 de diciembre del X0</t>
  </si>
  <si>
    <t>Ventas Netas</t>
  </si>
  <si>
    <t>Resultado Operativo</t>
  </si>
  <si>
    <t>Resultado Neto</t>
  </si>
  <si>
    <t>CHIMPANCÉS S.A.</t>
  </si>
  <si>
    <t>al 31 de diciembre del X0</t>
  </si>
  <si>
    <t>ACTIVO</t>
  </si>
  <si>
    <t>PASIVO</t>
  </si>
  <si>
    <t>Activo Corriente</t>
  </si>
  <si>
    <t>Pasivo Corriente</t>
  </si>
  <si>
    <t>Deudas Comerciales</t>
  </si>
  <si>
    <t>Créditos por Ventas</t>
  </si>
  <si>
    <t>Deudas Bancarias y Financieras</t>
  </si>
  <si>
    <t>Total Pasivo Corriente</t>
  </si>
  <si>
    <t>Total Activo Corriente</t>
  </si>
  <si>
    <t>Activo No Corriente</t>
  </si>
  <si>
    <t>PATRIMONIO NETO</t>
  </si>
  <si>
    <t>(según Estado respectivo)</t>
  </si>
  <si>
    <t>Total Activo No Corriente</t>
  </si>
  <si>
    <t>Total Pasivo + PN</t>
  </si>
  <si>
    <t>TITÍES S.A.</t>
  </si>
  <si>
    <t>Alquileres pagados por adelantado</t>
  </si>
  <si>
    <t>Gastos por alquileres</t>
  </si>
  <si>
    <t>Depreciaciones acumuladas Bienes de uso</t>
  </si>
  <si>
    <t>Anticipo de clientes</t>
  </si>
  <si>
    <t>Banco Nación Plazo Fijo</t>
  </si>
  <si>
    <t>Inversiones transitorias</t>
  </si>
  <si>
    <t>Cargas Sociales</t>
  </si>
  <si>
    <t>Cargas Sociales a pagar</t>
  </si>
  <si>
    <t>CMV</t>
  </si>
  <si>
    <t>Equipos de computación</t>
  </si>
  <si>
    <t>Gastos de administración</t>
  </si>
  <si>
    <t>Gastos de administración a pagar</t>
  </si>
  <si>
    <t>Otras deudas</t>
  </si>
  <si>
    <t>Gastos de reparación</t>
  </si>
  <si>
    <t>Otros ingresos y egresos operativos</t>
  </si>
  <si>
    <t>Gastos financieros</t>
  </si>
  <si>
    <t>Gastos varios a pagar</t>
  </si>
  <si>
    <t>Honorarios</t>
  </si>
  <si>
    <t>Honorarios a Pagar</t>
  </si>
  <si>
    <t>Instalaciones</t>
  </si>
  <si>
    <t>Ingresos por intereses comerciales</t>
  </si>
  <si>
    <t>Intereses negativos a devengar</t>
  </si>
  <si>
    <t>Intereses positivos a devengar s/PF</t>
  </si>
  <si>
    <t>Inversiones transitorias (restando)</t>
  </si>
  <si>
    <t>Retenciones a depositar</t>
  </si>
  <si>
    <t>MACACOS S.R.L.</t>
  </si>
  <si>
    <t>Saldo deudor</t>
  </si>
  <si>
    <t>Saldo acreedor</t>
  </si>
  <si>
    <t>Alquileres</t>
  </si>
  <si>
    <t>Gastos de Comercialización</t>
  </si>
  <si>
    <t>Amortización Acum. Edificios</t>
  </si>
  <si>
    <t>Amortización Acum. Eq. computación</t>
  </si>
  <si>
    <t>Amortización Acum. Marcas</t>
  </si>
  <si>
    <t>Amortización Edificios</t>
  </si>
  <si>
    <t>Gastos de Administración</t>
  </si>
  <si>
    <t>Amortización Equipos de computación</t>
  </si>
  <si>
    <t>Amortización Marcas</t>
  </si>
  <si>
    <t>Bonificaciones Otorgadas a Clientes</t>
  </si>
  <si>
    <t>Cargas Sociales Administrativas</t>
  </si>
  <si>
    <t>Cargas Sociales y Retenciones a pagar</t>
  </si>
  <si>
    <t>Cheques Diferidos a Cobrar</t>
  </si>
  <si>
    <t>Costo de Mercaderías Vendidas</t>
  </si>
  <si>
    <t>Costo Venta Bienes de Uso</t>
  </si>
  <si>
    <t>Otros Ingresos y Egresos Operativos</t>
  </si>
  <si>
    <t>Resultados Financieros Positivos</t>
  </si>
  <si>
    <t>Gastos Bancarios</t>
  </si>
  <si>
    <t>Gastos de publicidad y promoción</t>
  </si>
  <si>
    <t>Gastos Varios de Administración</t>
  </si>
  <si>
    <t>Gastos Varios de Comercialización</t>
  </si>
  <si>
    <t>Intereses a Devengar s/Préstamo</t>
  </si>
  <si>
    <t>Ingreso por intereses</t>
  </si>
  <si>
    <t>Inversiones Transitorias "El monito"</t>
  </si>
  <si>
    <t>Marca "El Distraído"</t>
  </si>
  <si>
    <t>Préstamos</t>
  </si>
  <si>
    <t>Previsiones para juicios</t>
  </si>
  <si>
    <t>Prima de Emisión de Acciones</t>
  </si>
  <si>
    <t>Proveedores Varios</t>
  </si>
  <si>
    <t>Resultado de Ejercicios Anteriores</t>
  </si>
  <si>
    <t>Seguros devengados</t>
  </si>
  <si>
    <t>Sueldos a Pagar</t>
  </si>
  <si>
    <t>Sueldos Administrativos</t>
  </si>
  <si>
    <t>Valores a Depositar</t>
  </si>
  <si>
    <t>Venta Bienes de Uso</t>
  </si>
  <si>
    <t>por el ejercicio finalizado al 31 de octubre del 2014</t>
  </si>
  <si>
    <t>Otros Ingresos y Egresos operativos</t>
  </si>
  <si>
    <t>ORANGUTANES S.R.L.</t>
  </si>
  <si>
    <t>Acreedores varios</t>
  </si>
  <si>
    <t>Deudas financieras no corrientes</t>
  </si>
  <si>
    <t>RNA</t>
  </si>
  <si>
    <t>Amort. Acum. Equipos de Computación</t>
  </si>
  <si>
    <t>Amort. Acum. Marca "Café Molido"</t>
  </si>
  <si>
    <t>Bienes Intangibles</t>
  </si>
  <si>
    <t>Amort. Acum. Marca "El Montañés"</t>
  </si>
  <si>
    <t>Amort. Acum. Rodados</t>
  </si>
  <si>
    <t xml:space="preserve">Cargas Sociales </t>
  </si>
  <si>
    <t>Marca "Café Molido"</t>
  </si>
  <si>
    <t>Marca "El Montañés"</t>
  </si>
  <si>
    <t>Obras de arte</t>
  </si>
  <si>
    <t>Resultado acumulado  Ejerc. Anteriores</t>
  </si>
  <si>
    <t>Sueldo Anual Complementario (SAC)</t>
  </si>
  <si>
    <t>TOTAL</t>
  </si>
  <si>
    <t>al 31 de octubre del 2014</t>
  </si>
  <si>
    <t>Total Pasivo No Corriente</t>
  </si>
  <si>
    <t>Solución Adicional - LEMURES S.A.</t>
  </si>
  <si>
    <t>Saldo Deudor</t>
  </si>
  <si>
    <t>Saldo Acreedor</t>
  </si>
  <si>
    <t>Acciones en Circulación</t>
  </si>
  <si>
    <t>Acreedores Varios</t>
  </si>
  <si>
    <t>Otras Deudas</t>
  </si>
  <si>
    <t>Amortización Acum. Franquicia "Marquita"</t>
  </si>
  <si>
    <t>Amortización Acum. Muebles y Utiles</t>
  </si>
  <si>
    <t>Amortización Franquicia "Marquita"</t>
  </si>
  <si>
    <t>Amortización M y U</t>
  </si>
  <si>
    <t>Anticipo de Clientes</t>
  </si>
  <si>
    <t>Anticipo Proveedores Mercaderías</t>
  </si>
  <si>
    <t>Banco Santander c/c</t>
  </si>
  <si>
    <t>Bonificaciones Otorgadas</t>
  </si>
  <si>
    <t>Caja en Pesos</t>
  </si>
  <si>
    <t>Cargas Sociales y Retenciones a depositar</t>
  </si>
  <si>
    <t>Costo de la Mercadería Vendida</t>
  </si>
  <si>
    <t>Devoluciones de Clientes</t>
  </si>
  <si>
    <t>Diferencia de Cotización</t>
  </si>
  <si>
    <t>Dividendos Ganados</t>
  </si>
  <si>
    <t>Resultados por participación en otras soc.</t>
  </si>
  <si>
    <t>Documentos a Cobrar</t>
  </si>
  <si>
    <t>Documentos a Pagar</t>
  </si>
  <si>
    <t>Fondo Fijo en pesos</t>
  </si>
  <si>
    <t>Franquicia Marquita</t>
  </si>
  <si>
    <t>Gasto por Servicios (Luz, Gas, Teléfono)</t>
  </si>
  <si>
    <t>Gastos de Papelería de Administración</t>
  </si>
  <si>
    <t>Intereses a devengar s/ PF</t>
  </si>
  <si>
    <t>Intereses a devengar s/Prestamo</t>
  </si>
  <si>
    <t>Intereses Bancarios</t>
  </si>
  <si>
    <t xml:space="preserve">Ingresos por intereses </t>
  </si>
  <si>
    <t>Inversiones Permanentes "La Cordial SA"</t>
  </si>
  <si>
    <t>IVA a Pagar</t>
  </si>
  <si>
    <t>Mantenimiento de inmuebles</t>
  </si>
  <si>
    <t>Plazo Fijo Banco Santander</t>
  </si>
  <si>
    <t>Préstamo Bancario</t>
  </si>
  <si>
    <t>Previsiones Litigios</t>
  </si>
  <si>
    <t>Previsiones</t>
  </si>
  <si>
    <t>Publicidad</t>
  </si>
  <si>
    <t>Resultado Venta Bs de Uso</t>
  </si>
  <si>
    <t>Seguros</t>
  </si>
  <si>
    <t>Seguros pagados por adelantado</t>
  </si>
  <si>
    <t>Terrenos</t>
  </si>
  <si>
    <t>Ventas Mayoristas</t>
  </si>
  <si>
    <t>LEMURES S.A.</t>
  </si>
  <si>
    <t>GORILAS S.A.</t>
  </si>
  <si>
    <t>S. Deudor</t>
  </si>
  <si>
    <t>S. Acreedor</t>
  </si>
  <si>
    <t>Amortización Acum. Licencia "STEM"</t>
  </si>
  <si>
    <t>Amortización Acum. Rodados</t>
  </si>
  <si>
    <t>Amortización Licencia "STEM"</t>
  </si>
  <si>
    <t>Amortización Rodados</t>
  </si>
  <si>
    <t>Anticipo Proveedores</t>
  </si>
  <si>
    <t>Banco Francés Cta/Cte</t>
  </si>
  <si>
    <t>Comisiones e Intereses Bancarios</t>
  </si>
  <si>
    <t>Resultados Financieros y por tenencia</t>
  </si>
  <si>
    <t>Gastos de Papelería</t>
  </si>
  <si>
    <t>Gastos Varios</t>
  </si>
  <si>
    <t>Deudas Bancarias y financieras</t>
  </si>
  <si>
    <t>Licencia  "STEM"</t>
  </si>
  <si>
    <t>Mantenimiento Rodados</t>
  </si>
  <si>
    <t>Mercadería Fallada</t>
  </si>
  <si>
    <t>Plazo Fijo Banco Francés</t>
  </si>
  <si>
    <t>Previsiones por fallas y roturas</t>
  </si>
  <si>
    <t>Servicios</t>
  </si>
  <si>
    <t>Pasivo No Corriente</t>
  </si>
  <si>
    <t>Fondos al cierre</t>
  </si>
  <si>
    <t>Fondos al inicio</t>
  </si>
  <si>
    <t>Aumento neto de fondos</t>
  </si>
  <si>
    <t>CAUSAS DE LA VARIACIÓN DE FONDOS</t>
  </si>
  <si>
    <r>
      <rPr>
        <b/>
        <sz val="11"/>
        <color rgb="FFFF0000"/>
        <rFont val="Garamond"/>
        <family val="1"/>
      </rPr>
      <t xml:space="preserve">I) </t>
    </r>
    <r>
      <rPr>
        <b/>
        <u/>
        <sz val="11"/>
        <rFont val="Garamond"/>
        <family val="1"/>
      </rPr>
      <t>Actividades operativas</t>
    </r>
  </si>
  <si>
    <t>Flujo neto de efectivo generado por las actividades operativas</t>
  </si>
  <si>
    <t>Flujo neto de efectivo aplicado en las actividades de inversión</t>
  </si>
  <si>
    <r>
      <rPr>
        <b/>
        <sz val="11"/>
        <color rgb="FFFF0000"/>
        <rFont val="Garamond"/>
        <family val="1"/>
      </rPr>
      <t xml:space="preserve">III) </t>
    </r>
    <r>
      <rPr>
        <b/>
        <u/>
        <sz val="11"/>
        <rFont val="Garamond"/>
        <family val="1"/>
      </rPr>
      <t>Actividades de financiación</t>
    </r>
  </si>
  <si>
    <t>Flujo neto de efectivo aplicado en las actividades de financiación</t>
  </si>
  <si>
    <t>Disminución neta de fondos</t>
  </si>
  <si>
    <t>RINOCERONTES S.A. (Parte I)</t>
  </si>
  <si>
    <t>METODO INDIRECTO</t>
  </si>
  <si>
    <t>VARIACIÓN NETA DE FONDOS</t>
  </si>
  <si>
    <t>I.1.) Ajustes por resultados no erogables</t>
  </si>
  <si>
    <t>&gt; Depreciaciones de Bienes de Uso</t>
  </si>
  <si>
    <t>I.2.) Ajustes por variaciones en el capital de trabajo</t>
  </si>
  <si>
    <t>&gt; (Aumento) en Créditos por ventas</t>
  </si>
  <si>
    <t>&gt; Disminución en Bienes de cambio</t>
  </si>
  <si>
    <t>&gt; Aumento en Deudas Comerciales</t>
  </si>
  <si>
    <t>I.3.) Ajustes por resultados no operativos</t>
  </si>
  <si>
    <t>&gt; Intereses pagados</t>
  </si>
  <si>
    <t>Flujo neto de efectivo aplicado en las actividades operativas</t>
  </si>
  <si>
    <r>
      <rPr>
        <b/>
        <sz val="11"/>
        <color rgb="FFFF0000"/>
        <rFont val="Garamond"/>
        <family val="1"/>
      </rPr>
      <t xml:space="preserve">II) </t>
    </r>
    <r>
      <rPr>
        <b/>
        <u/>
        <sz val="11"/>
        <rFont val="Garamond"/>
        <family val="1"/>
      </rPr>
      <t>Actividades de inversión</t>
    </r>
  </si>
  <si>
    <t>Pago por compras de bienes de uso</t>
  </si>
  <si>
    <t>Pago de dividendos</t>
  </si>
  <si>
    <t>Aumento en Deudas bancarias</t>
  </si>
  <si>
    <t>Aumento en Hipotecas</t>
  </si>
  <si>
    <t>Intereses pagados</t>
  </si>
  <si>
    <t>Flujo neto de efectivo generado por las actividades de financiación</t>
  </si>
  <si>
    <t>METODO DIRECTO</t>
  </si>
  <si>
    <t>Cobranzas por ventas</t>
  </si>
  <si>
    <t>Pagos a proveedores por compras de mercaderías</t>
  </si>
  <si>
    <t>Pagos de sueldos a empleados</t>
  </si>
  <si>
    <t>RINOCERONTES S.A. (Parte II)</t>
  </si>
  <si>
    <t>&gt; (Aumento) en Bienes de cambio</t>
  </si>
  <si>
    <t>&gt; (Diminución) en Deudas Comerciales</t>
  </si>
  <si>
    <t>No hubo cambios en las actividades de inversión</t>
  </si>
  <si>
    <t>(Disminución) en Deudas bancarias</t>
  </si>
  <si>
    <t>(Disminución) en Hipotecas</t>
  </si>
  <si>
    <t>BISONTES</t>
  </si>
  <si>
    <t>&gt; Depreciaciones de Bienes Intangibles</t>
  </si>
  <si>
    <t>&gt; Resultado por tenencia de bienes de cambio</t>
  </si>
  <si>
    <t>&gt; Resultados V.P.P. de Inversiones permanentes</t>
  </si>
  <si>
    <t>&gt; Disminución en Créditos por ventas</t>
  </si>
  <si>
    <t>&gt; (Disminución) en Deudas Sociales y fiscales</t>
  </si>
  <si>
    <t>&gt; Resultados financieros por intereses pagados</t>
  </si>
  <si>
    <t>&gt; Venta de bienes de uso</t>
  </si>
  <si>
    <t>(Adquisición) de Inversiones permanentes</t>
  </si>
  <si>
    <t>Venta de Bienes de Uso</t>
  </si>
  <si>
    <t>(Pago) en Deudas bancarias y financieras</t>
  </si>
  <si>
    <t>(Pago) de Intereses</t>
  </si>
  <si>
    <t>Obtención de Otros Préstamos</t>
  </si>
  <si>
    <t>Aportes de capital</t>
  </si>
  <si>
    <t>(Pago) de Dividendos</t>
  </si>
  <si>
    <t>Fondos depositados en bancos</t>
  </si>
  <si>
    <t>Cuentas a cobrar</t>
  </si>
  <si>
    <t>Total del Activo</t>
  </si>
  <si>
    <t>Préstamo bancario</t>
  </si>
  <si>
    <t>Total del Pasivo</t>
  </si>
  <si>
    <t>Año 2011</t>
  </si>
  <si>
    <t>Honorarios profesionales</t>
  </si>
  <si>
    <t>Gastos profesionales</t>
  </si>
  <si>
    <t>Consumo familiar</t>
  </si>
  <si>
    <t>RINOCERONTES S.A.</t>
  </si>
  <si>
    <t>al 31/12/X2</t>
  </si>
  <si>
    <t>por el ejercicio finalizado el 31/12/X2</t>
  </si>
  <si>
    <t>X2</t>
  </si>
  <si>
    <t>X1</t>
  </si>
  <si>
    <t>Venta de mercadería</t>
  </si>
  <si>
    <t>Deudas bancarias</t>
  </si>
  <si>
    <t>Costo de la mercadería vendida</t>
  </si>
  <si>
    <t>Resultado Bruto de Venta</t>
  </si>
  <si>
    <t>Depreciaciones bienes de uso</t>
  </si>
  <si>
    <t>Sueldos devengados y pagados</t>
  </si>
  <si>
    <t>Deudas financieras</t>
  </si>
  <si>
    <t>Resultados Operativos</t>
  </si>
  <si>
    <t>Intereses devengados y pagados</t>
  </si>
  <si>
    <t>Resultado Neto - Pérdida</t>
  </si>
  <si>
    <t>Depreciaciones acumuladas</t>
  </si>
  <si>
    <t>Reservas</t>
  </si>
  <si>
    <t>al 31/12/X3</t>
  </si>
  <si>
    <t>por el ejercicio finalizado el 31/12/X3</t>
  </si>
  <si>
    <t>X3</t>
  </si>
  <si>
    <t>BISONTES S.A.</t>
  </si>
  <si>
    <t>al 31/12/2011</t>
  </si>
  <si>
    <t>por el ejercicio finalizado al 31/12/2011</t>
  </si>
  <si>
    <t>Cap. Social</t>
  </si>
  <si>
    <t>Costo  de mercaderías vendidas</t>
  </si>
  <si>
    <t>Distribución de resultados</t>
  </si>
  <si>
    <t>Gastos de administración (nota a)</t>
  </si>
  <si>
    <t xml:space="preserve">   A reservas</t>
  </si>
  <si>
    <t>(b)</t>
  </si>
  <si>
    <t>Gastos de comercialización (nota b)</t>
  </si>
  <si>
    <t>A dividendos en efectivo</t>
  </si>
  <si>
    <t>Otros ingresos operativos (nota e)</t>
  </si>
  <si>
    <t>Resultado 2011</t>
  </si>
  <si>
    <t>Resultado participación en otras sociedades (nota d)</t>
  </si>
  <si>
    <t>Resultados financieros y por tenencia (nota c)</t>
  </si>
  <si>
    <t>(a)</t>
  </si>
  <si>
    <t>Resultado antes de Impuesto a las ganancias</t>
  </si>
  <si>
    <t>Impuesto a las ganancias</t>
  </si>
  <si>
    <t>Resultado neto del ejercicio</t>
  </si>
  <si>
    <t>TOTAL DEL ACTIVO</t>
  </si>
  <si>
    <t>Deudas financieras y bancarias</t>
  </si>
  <si>
    <t xml:space="preserve">PATRIMONIO NETO </t>
  </si>
  <si>
    <t>TOTAL DEL PASIVO Y PN</t>
  </si>
  <si>
    <t>Litigios perdidos</t>
  </si>
  <si>
    <t>Garantías otorgadas</t>
  </si>
  <si>
    <t>Desvalorización Mercaderías</t>
  </si>
  <si>
    <t>Desvalorización Muebles y útiles</t>
  </si>
  <si>
    <t>Cargos por fallas y roturas</t>
  </si>
  <si>
    <t xml:space="preserve">  </t>
  </si>
  <si>
    <r>
      <t xml:space="preserve">72.000 = 48.000 + </t>
    </r>
    <r>
      <rPr>
        <i/>
        <sz val="11"/>
        <color theme="1"/>
        <rFont val="Garamond"/>
        <family val="1"/>
      </rPr>
      <t xml:space="preserve">14.000 + </t>
    </r>
    <r>
      <rPr>
        <i/>
        <sz val="11"/>
        <color rgb="FF0070C0"/>
        <rFont val="Garamond"/>
        <family val="1"/>
      </rPr>
      <t>4.000 + (11.000 - 5.000)</t>
    </r>
  </si>
  <si>
    <r>
      <t xml:space="preserve">Activo = Pasivo + </t>
    </r>
    <r>
      <rPr>
        <b/>
        <i/>
        <sz val="11"/>
        <color theme="1"/>
        <rFont val="Garamond"/>
        <family val="1"/>
      </rPr>
      <t xml:space="preserve">Aportes + </t>
    </r>
    <r>
      <rPr>
        <b/>
        <i/>
        <sz val="11"/>
        <color rgb="FF0070C0"/>
        <rFont val="Garamond"/>
        <family val="1"/>
      </rPr>
      <t>Resultados de ejercicios anteriores + (Ingresos - Gastos)</t>
    </r>
  </si>
  <si>
    <r>
      <t xml:space="preserve">Activo = Pasivo + </t>
    </r>
    <r>
      <rPr>
        <b/>
        <i/>
        <sz val="11"/>
        <color theme="1"/>
        <rFont val="Garamond"/>
        <family val="1"/>
      </rPr>
      <t>Aportes +</t>
    </r>
    <r>
      <rPr>
        <b/>
        <i/>
        <sz val="11"/>
        <color rgb="FF0070C0"/>
        <rFont val="Garamond"/>
        <family val="1"/>
      </rPr>
      <t xml:space="preserve"> Resultados de ejercicios anteriores + Resultado del ejercicio</t>
    </r>
  </si>
  <si>
    <r>
      <t xml:space="preserve">Activo = Pasivo + </t>
    </r>
    <r>
      <rPr>
        <b/>
        <i/>
        <sz val="11"/>
        <color theme="1"/>
        <rFont val="Garamond"/>
        <family val="1"/>
      </rPr>
      <t xml:space="preserve">Aportes + </t>
    </r>
    <r>
      <rPr>
        <b/>
        <i/>
        <sz val="11"/>
        <color rgb="FF0070C0"/>
        <rFont val="Garamond"/>
        <family val="1"/>
      </rPr>
      <t>Resultados acumulados</t>
    </r>
  </si>
  <si>
    <r>
      <t xml:space="preserve">Activo = Pasivo + </t>
    </r>
    <r>
      <rPr>
        <b/>
        <i/>
        <sz val="11"/>
        <color theme="1"/>
        <rFont val="Garamond"/>
        <family val="1"/>
      </rPr>
      <t>Patrimonio Neto</t>
    </r>
  </si>
  <si>
    <t>TOTALES</t>
  </si>
  <si>
    <t>Marca “Chelsea” adquirida</t>
  </si>
  <si>
    <t>Costo de las prendas vendidas</t>
  </si>
  <si>
    <t>Honorarios adeudados al abogado</t>
  </si>
  <si>
    <t>Botones, agujas e hilos</t>
  </si>
  <si>
    <t>Gastos incurridos en el mes</t>
  </si>
  <si>
    <t>Máquina estampadora</t>
  </si>
  <si>
    <t>Aportes recibidos de Andrea</t>
  </si>
  <si>
    <t>Acciones de Louis Vuitton</t>
  </si>
  <si>
    <t>Préstamo otorgado a Florencia</t>
  </si>
  <si>
    <t>Rollo de tweed, en tránsito</t>
  </si>
  <si>
    <t>Sueldo impago de Andrea</t>
  </si>
  <si>
    <t>Deuda con A.R.T.</t>
  </si>
  <si>
    <t>Plancha industrial</t>
  </si>
  <si>
    <t>Resultados por ventas del mes</t>
  </si>
  <si>
    <t>Seña entregada a proveedor</t>
  </si>
  <si>
    <t>Vestidos de shifón en tenencia</t>
  </si>
  <si>
    <t>Facturas de servicios impagas</t>
  </si>
  <si>
    <t>Cuenta a cobrar por saco vendido</t>
  </si>
  <si>
    <t>Adelanto a una modelo publicitaria</t>
  </si>
  <si>
    <t>Pagarés firmados por clientas</t>
  </si>
  <si>
    <t>Deuda con proveedor “Pasarela”</t>
  </si>
  <si>
    <t>Rollos de seda y pana</t>
  </si>
  <si>
    <t>Euros guardados en la caja</t>
  </si>
  <si>
    <t>Gasto</t>
  </si>
  <si>
    <t>Ingreso</t>
  </si>
  <si>
    <t>Rdos. Ej. Anteriores</t>
  </si>
  <si>
    <t>Resultado</t>
  </si>
  <si>
    <t>Trans. con prop.</t>
  </si>
  <si>
    <t>Elemento patrimonial</t>
  </si>
  <si>
    <t>N°</t>
  </si>
  <si>
    <t>FLORENCIA Y ANDREA</t>
  </si>
  <si>
    <t>Devolución de una venta de helado derretido</t>
  </si>
  <si>
    <t>Cubeteras que utilizan para hacer muestras gratis</t>
  </si>
  <si>
    <t>Retribución a un amigo para distribuir volantes en el barrio.</t>
  </si>
  <si>
    <t>Vale firmado por verdulero, con el que pueden retirar cerezas.</t>
  </si>
  <si>
    <t>Permiso concedido por la municipalidad para vender (con un costo)</t>
  </si>
  <si>
    <t>Gasto incurrido en la librería para armar la marquesina</t>
  </si>
  <si>
    <t>Vale firmado a un vecino, con el que puede retirar dos helados</t>
  </si>
  <si>
    <t>Aporte de Isaías como socio</t>
  </si>
  <si>
    <t>Cheque recibido de su padre, que van a cambiar por dinero</t>
  </si>
  <si>
    <t>Palitos de madera que usan para armar los helados</t>
  </si>
  <si>
    <t>Obligación de lavar los platos, por peras entregadas por la tía</t>
  </si>
  <si>
    <t>Naranjas compradas para exprimir</t>
  </si>
  <si>
    <t>Venta que le hicieron a sus amigos del barrio</t>
  </si>
  <si>
    <t>Mesa que usan de mostrador en la vereda</t>
  </si>
  <si>
    <t>Gasto en ítems de librería que usan para llevar las cuentas</t>
  </si>
  <si>
    <t>Mini congelador, regalado por el tío para hacer los helados</t>
  </si>
  <si>
    <t>Ahorros en efectivo del negocio</t>
  </si>
  <si>
    <t>Helados en el congelador, a ser vendidos</t>
  </si>
  <si>
    <t>Aporte de Valentín como socio</t>
  </si>
  <si>
    <t>Deuda que tienen con el verdulero, por bananas no pagadas</t>
  </si>
  <si>
    <t>Frutillas regaladas por padre, listas para licuar</t>
  </si>
  <si>
    <t>Sillas que usan para sentarse en la vereda</t>
  </si>
  <si>
    <t>Deuda con el dueño del almacén, por azúcar que no pagaron</t>
  </si>
  <si>
    <t>Deuda de un vecino por helado que compró y no pagó</t>
  </si>
  <si>
    <t>Líquido frutal ya preparado, esperando ser congelado</t>
  </si>
  <si>
    <t>VALENTÍN E ISAÍAS</t>
  </si>
  <si>
    <t>Variación patrimonial permutativa</t>
  </si>
  <si>
    <t>Otorgamiento de un préstamo a los dueños</t>
  </si>
  <si>
    <t>Variación patrimonial modificativa</t>
  </si>
  <si>
    <t>Venta de un terreno, a un precio mayor al costo</t>
  </si>
  <si>
    <t>Transacción con los propietarios</t>
  </si>
  <si>
    <t>Retiro de resultados como dividendos</t>
  </si>
  <si>
    <t>Compra de un equipo de computación</t>
  </si>
  <si>
    <t>Registración de ingresos por servicios prestados</t>
  </si>
  <si>
    <t>Integración de un aporte del dueño, en especie</t>
  </si>
  <si>
    <t>Documentación de una deuda en cuenta corriente</t>
  </si>
  <si>
    <t>Reconocimiento de un gasto por intereses</t>
  </si>
  <si>
    <t>Compra de mercaderías, cancelando una seña</t>
  </si>
  <si>
    <t>Devengamiento de sueldos del mes</t>
  </si>
  <si>
    <t>Cancelación de una cuota de un préstamo</t>
  </si>
  <si>
    <t>Depósito de dinero en efectivo en el banco</t>
  </si>
  <si>
    <t>Pago de la factura de luz, adeudada</t>
  </si>
  <si>
    <t>Cobranza de un crédito de un cliente</t>
  </si>
  <si>
    <t>Reconocimiento de un gasto por alquileres</t>
  </si>
  <si>
    <t>Integración de un aporte del dueño, en efectivo</t>
  </si>
  <si>
    <t>Compra de un rodado adeudando el precio</t>
  </si>
  <si>
    <t>Pago de una deuda con proveedores en efectivo</t>
  </si>
  <si>
    <t>Venta de mercaderías con un resultado positivo</t>
  </si>
  <si>
    <t>Compra de mercaderías al contado</t>
  </si>
  <si>
    <t>Tipo de variación patrimonial</t>
  </si>
  <si>
    <t>Variación patrimonial</t>
  </si>
  <si>
    <t>MARCOS Y JULIÁN</t>
  </si>
  <si>
    <t>Consumos impagos de servicios telefónicos</t>
  </si>
  <si>
    <t>Importe a abonar por un juicio laboral perdido</t>
  </si>
  <si>
    <t>Joyas retenidas por la empresa</t>
  </si>
  <si>
    <t>Importes adeudados a los organismos de seguridad social</t>
  </si>
  <si>
    <t>Préstamo concedido a la empresa por Cristina y Luis</t>
  </si>
  <si>
    <t>Marca adquirida para la comercialización de productos</t>
  </si>
  <si>
    <t>Colección de cuadros adquiridos por la empresa</t>
  </si>
  <si>
    <t>Cheques diferidos firmados por Cristina (apoderada)</t>
  </si>
  <si>
    <t>Deuda con la A.F.I.P., por impuesto a las ganancias</t>
  </si>
  <si>
    <t>Préstamos otorgados a los empleados de la empresa</t>
  </si>
  <si>
    <t>Dinero invertido en un plazo fijo</t>
  </si>
  <si>
    <t>Seguro de la camioneta, vencido e impago</t>
  </si>
  <si>
    <t>Sueldos adeudados a los vendedores</t>
  </si>
  <si>
    <t>Dólares depositados en la cuenta corriente del banco</t>
  </si>
  <si>
    <t>Acciones de una empresa que cotiza en la bolsa</t>
  </si>
  <si>
    <t>Anticipos de fondos recibidos de clientes</t>
  </si>
  <si>
    <t>Pagaré firmado a favor del banco por un préstamo</t>
  </si>
  <si>
    <t>Stock de mercadería disponible para la reventa</t>
  </si>
  <si>
    <t>Honorarios adeudados al contador</t>
  </si>
  <si>
    <t>Computadoras del personal administrativo</t>
  </si>
  <si>
    <t>Facturas de proveedores, pendientes de pago</t>
  </si>
  <si>
    <t>Cheques diferidos firmados por clientes</t>
  </si>
  <si>
    <t>Facturas (duplicado) a clientes, pendientes de cobro</t>
  </si>
  <si>
    <t>Muebles utilizados en el local de ventas</t>
  </si>
  <si>
    <t>Hipoteca constituida sobre el edificio</t>
  </si>
  <si>
    <t>Edificio propiedad de la empresa</t>
  </si>
  <si>
    <t>Facturas (originales) de luz, pendientes de pago</t>
  </si>
  <si>
    <t>Camionetas de reparto de las mercaderías</t>
  </si>
  <si>
    <t>Dinero en la caja de la oficina</t>
  </si>
  <si>
    <t>Obligación</t>
  </si>
  <si>
    <t>Recurso</t>
  </si>
  <si>
    <t>CRISTINA Y LUIS</t>
  </si>
  <si>
    <t>Sí</t>
  </si>
  <si>
    <t>Financiera</t>
  </si>
  <si>
    <t>Banco Galicia</t>
  </si>
  <si>
    <t>Cultural</t>
  </si>
  <si>
    <t>Asociación amigos del MALBA</t>
  </si>
  <si>
    <t>Comercial</t>
  </si>
  <si>
    <t>Bensimon</t>
  </si>
  <si>
    <t>Diario La Nación</t>
  </si>
  <si>
    <t>Servicios sociales</t>
  </si>
  <si>
    <t>Compromiso Joven</t>
  </si>
  <si>
    <t>Administración Pública</t>
  </si>
  <si>
    <t>Ministerio de Trabajo</t>
  </si>
  <si>
    <t>De Servicios</t>
  </si>
  <si>
    <t>KPMG</t>
  </si>
  <si>
    <t>Religiosa</t>
  </si>
  <si>
    <t>Iglesia Anglicana</t>
  </si>
  <si>
    <t>Industrial</t>
  </si>
  <si>
    <t>Molinos Río de La Plata</t>
  </si>
  <si>
    <t>Hospital Fernández</t>
  </si>
  <si>
    <t>Deportiva</t>
  </si>
  <si>
    <t>Club Atlético River Plate</t>
  </si>
  <si>
    <t>Ford Motors Argentina</t>
  </si>
  <si>
    <t>Caritas</t>
  </si>
  <si>
    <t>Educativa</t>
  </si>
  <si>
    <t>Universidad Austral</t>
  </si>
  <si>
    <t>Facebook</t>
  </si>
  <si>
    <t>Club Náutico San Isidro</t>
  </si>
  <si>
    <t>Agropecuaria</t>
  </si>
  <si>
    <t>Estancias “La Biznaga”</t>
  </si>
  <si>
    <t>Aerolíneas Argentinas</t>
  </si>
  <si>
    <t>Y.P.F.</t>
  </si>
  <si>
    <t>Supermercados Disco</t>
  </si>
  <si>
    <t>Contabilidad</t>
  </si>
  <si>
    <t>Fines de lucro</t>
  </si>
  <si>
    <t>Tipo                                                                        de organización</t>
  </si>
  <si>
    <t>Ente</t>
  </si>
  <si>
    <t>SOFÍA Y MATEO</t>
  </si>
  <si>
    <t>Ingresos financieros</t>
  </si>
  <si>
    <t>Gastos de comercialización</t>
  </si>
  <si>
    <t>Presupuesto económico</t>
  </si>
  <si>
    <t xml:space="preserve"> Plazo Fijo</t>
  </si>
  <si>
    <t>Saldo Final de caja</t>
  </si>
  <si>
    <t>Saldo Inicial de caja</t>
  </si>
  <si>
    <t>Flujo de caja del periodo</t>
  </si>
  <si>
    <t>Retiros de efectivo</t>
  </si>
  <si>
    <t>Compra de marca</t>
  </si>
  <si>
    <t>Pagos de préstamo (intereses)</t>
  </si>
  <si>
    <t>Pagos de gastos de publicidad</t>
  </si>
  <si>
    <t>Pago de sueldos</t>
  </si>
  <si>
    <t>Pagos a proveedores</t>
  </si>
  <si>
    <t>Egresos de fondos</t>
  </si>
  <si>
    <t>Cobro PF con intereses</t>
  </si>
  <si>
    <t>Cobranzas por ventas a clientes</t>
  </si>
  <si>
    <t>Ingresos de fondos</t>
  </si>
  <si>
    <t>MARZO</t>
  </si>
  <si>
    <t>FEBRERO</t>
  </si>
  <si>
    <t>Presupuesto de caja</t>
  </si>
  <si>
    <t>LEOPARDOS S.A.</t>
  </si>
  <si>
    <r>
      <t xml:space="preserve">Respecto a los </t>
    </r>
    <r>
      <rPr>
        <b/>
        <i/>
        <sz val="11"/>
        <color theme="1"/>
        <rFont val="Garamond"/>
        <family val="1"/>
      </rPr>
      <t>Anticipos a proveedores</t>
    </r>
    <r>
      <rPr>
        <i/>
        <sz val="11"/>
        <color theme="1"/>
        <rFont val="Garamond"/>
        <family val="1"/>
      </rPr>
      <t>, bajo normas internacionales (NIIF) se los suele clasificar como crédito, mientras que en las normas locales (RT) se suele clasificar como el bien al cual tienden (en tanto la seña congele precio), que en este caso se trataría de un bien de cambio.</t>
    </r>
  </si>
  <si>
    <t>n</t>
  </si>
  <si>
    <t>Retribución a un amigo para distribuir volantes en el barrio</t>
  </si>
  <si>
    <t>Permiso concedido por cinco años por la municipalidad para vender (con un costo)</t>
  </si>
  <si>
    <t>Vale firmado a un vecino, con el que puede retirar 2 helados</t>
  </si>
  <si>
    <t>COCODRILOS S.H.</t>
  </si>
  <si>
    <t>Otros Créditos</t>
  </si>
  <si>
    <t>IVA Crédito Fiscal</t>
  </si>
  <si>
    <t>Deudas comerciales / Otras deudas</t>
  </si>
  <si>
    <t>Cuentas de clientes por cobrar</t>
  </si>
  <si>
    <t>Banco Cataluña Cuenta Corriente</t>
  </si>
  <si>
    <t>Deudas sociales</t>
  </si>
  <si>
    <t>JIRAFAS S.I.</t>
  </si>
  <si>
    <t>Total Pasivo y PN</t>
  </si>
  <si>
    <t>Provisión</t>
  </si>
  <si>
    <t>Gasto teléfono</t>
  </si>
  <si>
    <t>ESP de Violeta S.H. al Momento 10</t>
  </si>
  <si>
    <t>Gasto librería</t>
  </si>
  <si>
    <t>ESP de Violeta S.H. al Momento 9</t>
  </si>
  <si>
    <t>Créditos</t>
  </si>
  <si>
    <t>Valores a dep.</t>
  </si>
  <si>
    <t>ESP de Violeta S.H. al Momento 8</t>
  </si>
  <si>
    <t>CS a pagar</t>
  </si>
  <si>
    <t>Cargas Soc.</t>
  </si>
  <si>
    <t>Banco</t>
  </si>
  <si>
    <t>ESP de Violeta S.H. al Momento 7</t>
  </si>
  <si>
    <t>Intereses</t>
  </si>
  <si>
    <t>ESP de Violeta S.H. al Momento 6</t>
  </si>
  <si>
    <r>
      <rPr>
        <i/>
        <sz val="11"/>
        <color theme="1"/>
        <rFont val="Calibri"/>
        <family val="2"/>
      </rPr>
      <t>~</t>
    </r>
    <r>
      <rPr>
        <i/>
        <sz val="11"/>
        <color theme="1"/>
        <rFont val="Garamond"/>
        <family val="1"/>
      </rPr>
      <t xml:space="preserve"> continúa ~</t>
    </r>
  </si>
  <si>
    <t xml:space="preserve"> Banco</t>
  </si>
  <si>
    <t>ESP de Violeta S.H. al Momento 5</t>
  </si>
  <si>
    <t>ESP de Violeta S.H. al Momento 4</t>
  </si>
  <si>
    <t>Costo ventas</t>
  </si>
  <si>
    <t>ESP de Violeta S.H. al Momento 3</t>
  </si>
  <si>
    <t>No hay movimientos contables</t>
  </si>
  <si>
    <t>ESP de Violeta S.H. al Momento 2</t>
  </si>
  <si>
    <t>Anticipos</t>
  </si>
  <si>
    <t>ESP de Violeta S.H. al Momento 1</t>
  </si>
  <si>
    <t>ESP de Violeta S.H. al Momento 0</t>
  </si>
  <si>
    <t>VIOLETA S.H.</t>
  </si>
  <si>
    <t>Proveedor</t>
  </si>
  <si>
    <t>Compra y pago de bienes</t>
  </si>
  <si>
    <t>Cliente potencial</t>
  </si>
  <si>
    <t>Recepción de pedido de cotización</t>
  </si>
  <si>
    <t>Proveedor.</t>
  </si>
  <si>
    <t>Entrega de bienes comprados.</t>
  </si>
  <si>
    <t>Locador/Locatario</t>
  </si>
  <si>
    <t>Servicio de alquiler.</t>
  </si>
  <si>
    <t>Ente.</t>
  </si>
  <si>
    <t>Pago de sueldos a los empleados.</t>
  </si>
  <si>
    <t>Pedido de compra a un proveedor.</t>
  </si>
  <si>
    <t>Recepción de bienes comprados.</t>
  </si>
  <si>
    <t>Sociedad.</t>
  </si>
  <si>
    <t>Constitución de una sociedad.</t>
  </si>
  <si>
    <t>Ajuste de precios a favor del ente.</t>
  </si>
  <si>
    <t>Cliente moroso, que adeuda intereses.</t>
  </si>
  <si>
    <t>Locador</t>
  </si>
  <si>
    <t>Cobranza de alquiler.</t>
  </si>
  <si>
    <t>Depósito de fondos</t>
  </si>
  <si>
    <t>Retiro de fondos</t>
  </si>
  <si>
    <t>Banco.</t>
  </si>
  <si>
    <t>Movimientos en cuenta bancaria</t>
  </si>
  <si>
    <t>Solicitud de cotización de servicios a un tercero.</t>
  </si>
  <si>
    <t>Solicitud de venta de un cliente.</t>
  </si>
  <si>
    <t>Proveedor (factura) y Ente (cheque)</t>
  </si>
  <si>
    <t>Compra de bienes, pagados con cheque</t>
  </si>
  <si>
    <t>Devolución de mercaderías a un proveedor.</t>
  </si>
  <si>
    <t>Ente (recibo) y Cliente (cheque)</t>
  </si>
  <si>
    <t>Cobranza de efectivo y cheques.</t>
  </si>
  <si>
    <t>Cliente</t>
  </si>
  <si>
    <t>Documentación de un crédito de un cliente.</t>
  </si>
  <si>
    <t>Venta de mercaderías</t>
  </si>
  <si>
    <t>Prestamista / Proveedor.</t>
  </si>
  <si>
    <t>Morosidad en el pago de una deuda.</t>
  </si>
  <si>
    <t>Prestador del servicio</t>
  </si>
  <si>
    <t>Pago de servicio de limpieza.</t>
  </si>
  <si>
    <t>Compra de mercaderías.</t>
  </si>
  <si>
    <t>Devolución de mercaderías a un cliente.</t>
  </si>
  <si>
    <t>Ente emisor</t>
  </si>
  <si>
    <t>Transacción</t>
  </si>
  <si>
    <t>Nº</t>
  </si>
  <si>
    <t>CELESTE S.A.</t>
  </si>
  <si>
    <t>Vale original, firmado por el sujeto que retiró los fondos.</t>
  </si>
  <si>
    <t>Nota de crédito original, emitida por el proveedor.</t>
  </si>
  <si>
    <t>Nota de débito original, emitida por el proveedor.</t>
  </si>
  <si>
    <t>Nota de débito duplicado, emitida por el ente.</t>
  </si>
  <si>
    <t>Contrato de garantía hipotecaria.</t>
  </si>
  <si>
    <t>Contrato de préstamo bancario.</t>
  </si>
  <si>
    <t>Nota de débito original, emitida por el banco o Extracto bancario.</t>
  </si>
  <si>
    <t>Boleta de extracción, emitida por el cajero automático o por el banco.</t>
  </si>
  <si>
    <t>Boleta de depósito, emitida por el cajero automático o por el banco.</t>
  </si>
  <si>
    <t>Contrato de alquiler y Recibo duplicado, emitido por el ente.</t>
  </si>
  <si>
    <t>Recibo duplicado, emitido por el ente. Cheque original.</t>
  </si>
  <si>
    <t>Recibo duplicado, emitido por el ente.</t>
  </si>
  <si>
    <t>Factura, Remito y Recibo duplicados, emitidos por el ente. Cheque original.</t>
  </si>
  <si>
    <t>Factura, Remito y Recibo duplicados, emitidos por el ente.</t>
  </si>
  <si>
    <t>Factura duplicada, emitida por el ente.</t>
  </si>
  <si>
    <t>Factura y Remito duplicados, emitido por el ente.</t>
  </si>
  <si>
    <t>Ticket original, emitido por la librería (equivale a Factura/Remito/Recibo).</t>
  </si>
  <si>
    <t>Contrato de alquiler y Recibo original, emitido por el locador.</t>
  </si>
  <si>
    <t>Factura, Remito y Recibo originales, emitidos por el proveedor.</t>
  </si>
  <si>
    <t>Recibo original, emitido por el proveedor. Talón de cheque.</t>
  </si>
  <si>
    <t>Recibo original, emitido por el proveedor.</t>
  </si>
  <si>
    <t>Documento a pagar duplicado, emitido por el ente.</t>
  </si>
  <si>
    <t>Factura y Remito originales, emitidos por el proveedor.</t>
  </si>
  <si>
    <t>Estatuto social, firmado por los accionistas.</t>
  </si>
  <si>
    <t>Contrato social, firmado por los socios o cuotapartistas.</t>
  </si>
  <si>
    <t>Documento</t>
  </si>
  <si>
    <t>AZUL S.A.</t>
  </si>
  <si>
    <t>12.000 - 9.350</t>
  </si>
  <si>
    <t>Margen neto =</t>
  </si>
  <si>
    <t>12.000 - 5.500</t>
  </si>
  <si>
    <t>Margen operativo =</t>
  </si>
  <si>
    <t>D)</t>
  </si>
  <si>
    <t>Pasivo y Capital + Resultados positivos</t>
  </si>
  <si>
    <t>Total Haber</t>
  </si>
  <si>
    <t>Activo + Resultados negativos</t>
  </si>
  <si>
    <t>Total Debe</t>
  </si>
  <si>
    <t>Control 2:</t>
  </si>
  <si>
    <t>Control 1:</t>
  </si>
  <si>
    <t>Gastos por servicios de limpieza</t>
  </si>
  <si>
    <t>Ventas de servicios</t>
  </si>
  <si>
    <t>Acreedores prendarios</t>
  </si>
  <si>
    <r>
      <t xml:space="preserve">Cheques diferidos a pagar </t>
    </r>
    <r>
      <rPr>
        <sz val="10"/>
        <color theme="0"/>
        <rFont val="Bodoni MT Condensed"/>
        <family val="1"/>
      </rPr>
      <t>Banco Santander Río</t>
    </r>
  </si>
  <si>
    <t>Proveedores de bienes de uso</t>
  </si>
  <si>
    <t>Proveedores de servicios</t>
  </si>
  <si>
    <t>Préstamos a los socios</t>
  </si>
  <si>
    <t>Banco Citibank Cta Cte</t>
  </si>
  <si>
    <t>Caja - Moneda extranjera</t>
  </si>
  <si>
    <t>Resultados positivos</t>
  </si>
  <si>
    <t>Resultados negativos</t>
  </si>
  <si>
    <t>Pasivo y Capital</t>
  </si>
  <si>
    <t>Mayorización y Hoja de 6 columnas:</t>
  </si>
  <si>
    <t>ByC)</t>
  </si>
  <si>
    <t>31/12/X0</t>
  </si>
  <si>
    <t>15/12/X0</t>
  </si>
  <si>
    <t>05/12/X0</t>
  </si>
  <si>
    <t>No debe realizarse ninguna registración.</t>
  </si>
  <si>
    <t>01/12/X0</t>
  </si>
  <si>
    <t>30/11/X0</t>
  </si>
  <si>
    <t>27/11/X0</t>
  </si>
  <si>
    <t>25/11/X0</t>
  </si>
  <si>
    <t>20/11/X0</t>
  </si>
  <si>
    <t>17/11/X0</t>
  </si>
  <si>
    <t>10/11/X0</t>
  </si>
  <si>
    <t>30/09/X0</t>
  </si>
  <si>
    <t>25/09/X0</t>
  </si>
  <si>
    <t>20/09/X0</t>
  </si>
  <si>
    <t>Cheques diferidos a pagar Banco Santander Río</t>
  </si>
  <si>
    <t>10/09/X0</t>
  </si>
  <si>
    <t>03/09/X0</t>
  </si>
  <si>
    <t>01/09/X0</t>
  </si>
  <si>
    <t xml:space="preserve">A) </t>
  </si>
  <si>
    <t>ROSA S.R.L.</t>
  </si>
  <si>
    <t>60.500 - 50.000</t>
  </si>
  <si>
    <t>60.500 - 20.000</t>
  </si>
  <si>
    <t>Margen bruto =</t>
  </si>
  <si>
    <t>Alquileres a pagar</t>
  </si>
  <si>
    <t>Alquileres a devengar</t>
  </si>
  <si>
    <t>Cheques diferidos a cobrar</t>
  </si>
  <si>
    <t>Mayorización y Balance de Saldos:</t>
  </si>
  <si>
    <t>31/05/X0</t>
  </si>
  <si>
    <t>17/05/X0</t>
  </si>
  <si>
    <t>15/05/X0</t>
  </si>
  <si>
    <t>20/05/X0</t>
  </si>
  <si>
    <t xml:space="preserve">                                                </t>
  </si>
  <si>
    <t>01/05/X0</t>
  </si>
  <si>
    <t>27/04/X0</t>
  </si>
  <si>
    <t>25/04/X0</t>
  </si>
  <si>
    <t>19/04/X0</t>
  </si>
  <si>
    <t>18/04/X0</t>
  </si>
  <si>
    <t>31/03/X0</t>
  </si>
  <si>
    <t>28/02/X0</t>
  </si>
  <si>
    <t>31/01/X0</t>
  </si>
  <si>
    <t>10/01/X0</t>
  </si>
  <si>
    <t>01/01/X0</t>
  </si>
  <si>
    <t>ROJO S.R.L.</t>
  </si>
  <si>
    <t>4.000 - 2.500</t>
  </si>
  <si>
    <t>Pasivos:</t>
  </si>
  <si>
    <t>Activos:</t>
  </si>
  <si>
    <t>Mercaderías falladas</t>
  </si>
  <si>
    <t>Préstamo de Gustavo Garrido</t>
  </si>
  <si>
    <t>Caja Moneda Extranjera</t>
  </si>
  <si>
    <t>Balance de saldos:</t>
  </si>
  <si>
    <t>∑ Saldos Acreedores:</t>
  </si>
  <si>
    <t>S.D.</t>
  </si>
  <si>
    <t>∑ Saldos Deudores:</t>
  </si>
  <si>
    <t>Control:</t>
  </si>
  <si>
    <t>(7)</t>
  </si>
  <si>
    <t>S.A.</t>
  </si>
  <si>
    <t>Ingresos y gastos:</t>
  </si>
  <si>
    <t>Capital:</t>
  </si>
  <si>
    <t>(8)</t>
  </si>
  <si>
    <t>Saldada</t>
  </si>
  <si>
    <t>Mayorización:</t>
  </si>
  <si>
    <t>Según Nota de Débito, emitida por el Banco Santander Río.</t>
  </si>
  <si>
    <t>Según Recibo original, emitido por Grapefruit S.A.</t>
  </si>
  <si>
    <t>Según Factura original, emitida por Grapefruit S.A. y Copia del documento a pagar.</t>
  </si>
  <si>
    <t>Según Siniestro / Remito interno de baja de mercaderías, emitido por Naranja S.H.</t>
  </si>
  <si>
    <t>Según Contrato de alquiler y Recibo original emitido por el locador.</t>
  </si>
  <si>
    <t>Según Ficha de Stock</t>
  </si>
  <si>
    <t>Según Factura duplicado, emitida por Naranja S.H.</t>
  </si>
  <si>
    <t>Según Boleta de depósito, emitida por el Banco Santander Río.</t>
  </si>
  <si>
    <t>Según Contrato Social, firmado entre los socios Garrido y Peralta.</t>
  </si>
  <si>
    <t>&lt;</t>
  </si>
  <si>
    <t>NARANJA S.H.</t>
  </si>
  <si>
    <t>VERDE S.H.</t>
  </si>
  <si>
    <t>Firma de un vale por retiro de fondos con fines personales.</t>
  </si>
  <si>
    <t>Reconocimiento de disminución de la deuda en cuenta corriente, por error de facturación.</t>
  </si>
  <si>
    <t>Aumento de la deuda con proveedores, por ajuste de precios.</t>
  </si>
  <si>
    <t>Comunicación al cliente de que adeuda intereses por mora en cuenta corriente.</t>
  </si>
  <si>
    <t>Contratación de un préstamo para la compra de un inmueble, firmando una hipoteca.</t>
  </si>
  <si>
    <t>Contratación de un préstamo bancario.</t>
  </si>
  <si>
    <t>Disminución de la cuenta corriente bancaria, por gastos de mantenimiento.</t>
  </si>
  <si>
    <t>Extracción de dinero en efectivo de la cuenta corriente bancaria.</t>
  </si>
  <si>
    <t>Depósito en la cuenta corriente bancaria de dinero en efectivo.</t>
  </si>
  <si>
    <t>Cobranza en efectivo de la prestación de un servicio de locación (alquiler).</t>
  </si>
  <si>
    <t>Cobranza de cheques de clientes, en concepto de anticipos para futuras ventas.</t>
  </si>
  <si>
    <t>Cobranza en efectivo de una venta realizada en cuenta corriente comercial.</t>
  </si>
  <si>
    <t>Venta de mercaderías, cobrando mediante cheques firmados por el cliente.</t>
  </si>
  <si>
    <t>Venta de mercaderías, cobrando dinero en efectivo.</t>
  </si>
  <si>
    <t>Venta de servicios en cuenta corriente comercial.</t>
  </si>
  <si>
    <t>Venta de mercaderías en cuenta corriente comercial.</t>
  </si>
  <si>
    <t>Pago en efectivo de gastos menores en una librería.</t>
  </si>
  <si>
    <t>Pago en efectivo del servicio del alquiler del local de ventas.</t>
  </si>
  <si>
    <t>Devolución de mercaderías a un proveedor, por encontrarse defectuosas.</t>
  </si>
  <si>
    <t>Compra de mercaderías, pagando en efectivo.</t>
  </si>
  <si>
    <t>Pago a un proveedor de mercaderías, entregando cheques al día.</t>
  </si>
  <si>
    <t>Pago con dinero en efectivo a un proveedor de mercaderías, en concepto de anticipo.</t>
  </si>
  <si>
    <t>Pago con dinero en efectivo a un proveedor de mercaderías, cancelando una deuda.</t>
  </si>
  <si>
    <t>Documentación de la deuda con el proveedor, firmando un pagaré.</t>
  </si>
  <si>
    <t>Compra de mercaderías, en cuenta corriente comercial</t>
  </si>
  <si>
    <t>Constitución de una nueva sociedad, establecida como sociedad anónima.</t>
  </si>
  <si>
    <t>Constitución de una nueva sociedad, establecida como S.R.L.</t>
  </si>
  <si>
    <r>
      <t xml:space="preserve">La variación es permutativa, pero la cuenta utilizada en el debe es incorrecta. Se debería debitar la cuenta de activo "Anticipo a proveedores" y no "Mercaderías", pues el concepto de la erogación no es una compra de mercaderías actualmente sino una </t>
    </r>
    <r>
      <rPr>
        <i/>
        <sz val="11"/>
        <color theme="1"/>
        <rFont val="Garamond"/>
        <family val="1"/>
      </rPr>
      <t>futura</t>
    </r>
    <r>
      <rPr>
        <sz val="11"/>
        <color theme="1"/>
        <rFont val="Garamond"/>
        <family val="1"/>
      </rPr>
      <t xml:space="preserve"> compra de mercaderías.</t>
    </r>
  </si>
  <si>
    <t>Como en el caso 3, hay una confusión entre el criterio del percibido con el del devengado.  Se trata de un anticipo recibido, por lo tanto no se puede considerar una ganancia aún, sino que es una obligación de dar de un servicio o bien, según la actividad de la empresa.  El asiento correcto sería el aumento de un activo por el modo de cobranza contra el aumento de un pasivo por la obligación de dar.</t>
  </si>
  <si>
    <t>El valor recuperable es el mayor entre el valor de utilización económica y el VNR (valor neto de realización). El valor de utilización económica se obtiene al descontar (utilizando una tasa apropiada que refleje el valor del dinero en el tiempo)  los flujos de fondos que ese activo generará en el futuro. El valor neto de realización se obtiene de el precio de venta de ese activo en el mercado, menos los gastos de la operación de venta (por ejemplo, la comisión del vendedor).</t>
  </si>
  <si>
    <t>Hay dos errores en esta afirmación:  El primero es que no hay separación de los entes, esto es que si se alquila el garaje de la casa del colega, la ganancia es de Sam y no de su empresa. El segundo error tiene que ver con la confusión del criterio del devengado con el percibido.  El hecho de cobrar por adelantado un alquiler no significa que se pueda considerar ganado.  La ganancia se dará a medida que vayan transcurriendo los meses del servicio de alquiler.</t>
  </si>
  <si>
    <t xml:space="preserve">El presupuesto financiero y el informe financiero arrojan un resultado obtenido con el criterio del "percibido", es decir, muestra la situación de caja y equivalente de caja.  En cambio, cuando hablamos de ganancias, como es este caso, o de pérdidas, se está utilizando el criterio del "devengado" cuyo saldo surge del Estado de Resultados.        
</t>
  </si>
  <si>
    <t xml:space="preserve">2) </t>
  </si>
  <si>
    <t>Activo. Las cuentas que crecen por el debe son las cuentas de Activo, y de Resultado negativo, únicamente. Si la variación patrimonial fue permutativa, no puede haber resultados. Por lo tanto, la única posibilidad es que la cuenta en cuestión haya sido de activo.</t>
  </si>
  <si>
    <t>AUCKLAND S.A.</t>
  </si>
  <si>
    <t xml:space="preserve">                                                      </t>
  </si>
  <si>
    <t>Abril</t>
  </si>
  <si>
    <t>Enero</t>
  </si>
  <si>
    <r>
      <t xml:space="preserve">A su vez, con cada presentación el Sistema de la A.F.I.P. emite un </t>
    </r>
    <r>
      <rPr>
        <b/>
        <i/>
        <sz val="11"/>
        <color theme="1"/>
        <rFont val="Garamond"/>
        <family val="1"/>
      </rPr>
      <t>Acuse de Presentación de la DDJJ</t>
    </r>
    <r>
      <rPr>
        <i/>
        <sz val="11"/>
        <color theme="1"/>
        <rFont val="Garamond"/>
        <family val="1"/>
      </rPr>
      <t xml:space="preserve">.
Finalmente, si la posición final es IVA Saldo a pagar, cuando se hace efectivo el pago, el Sistema de la AFIP emite un </t>
    </r>
    <r>
      <rPr>
        <b/>
        <i/>
        <sz val="11"/>
        <color theme="1"/>
        <rFont val="Garamond"/>
        <family val="1"/>
      </rPr>
      <t xml:space="preserve">Volante Electrónico de Pago </t>
    </r>
    <r>
      <rPr>
        <i/>
        <sz val="11"/>
        <color theme="1"/>
        <rFont val="Garamond"/>
        <family val="1"/>
      </rPr>
      <t>(VEP).</t>
    </r>
  </si>
  <si>
    <r>
      <rPr>
        <i/>
        <u/>
        <sz val="11"/>
        <color theme="1"/>
        <rFont val="Garamond"/>
        <family val="1"/>
      </rPr>
      <t>Documento de respaldo en todos los casos</t>
    </r>
    <r>
      <rPr>
        <i/>
        <sz val="11"/>
        <color theme="1"/>
        <rFont val="Garamond"/>
        <family val="1"/>
      </rPr>
      <t xml:space="preserve">: </t>
    </r>
    <r>
      <rPr>
        <b/>
        <i/>
        <sz val="11"/>
        <color theme="1"/>
        <rFont val="Garamond"/>
        <family val="1"/>
      </rPr>
      <t>Declaración Jurada de I.V.A.</t>
    </r>
    <r>
      <rPr>
        <i/>
        <sz val="11"/>
        <color theme="1"/>
        <rFont val="Garamond"/>
        <family val="1"/>
      </rPr>
      <t xml:space="preserve"> (Formulario 731) presentado por el contribuyente (Ibadán S.R.L.) ante la Administración Federal de Ingresos Públicos.</t>
    </r>
  </si>
  <si>
    <t>Mes</t>
  </si>
  <si>
    <t>Datos:</t>
  </si>
  <si>
    <t>IBADÁN S.R.L.</t>
  </si>
  <si>
    <t>En Banco Francés</t>
  </si>
  <si>
    <t>En caja</t>
  </si>
  <si>
    <t>Diferencia de cambio</t>
  </si>
  <si>
    <t>Cotización =</t>
  </si>
  <si>
    <t>Valor en pesos al 31/12</t>
  </si>
  <si>
    <t>▪</t>
  </si>
  <si>
    <t>Valor en pesos al 30/11</t>
  </si>
  <si>
    <t>Dólares comprados</t>
  </si>
  <si>
    <t>Diferencia de cambio Diciembre</t>
  </si>
  <si>
    <t>Cotización (6000/400) =</t>
  </si>
  <si>
    <t>Valor en pesos al 07/11</t>
  </si>
  <si>
    <t>Diferencia de cambio Noviembre</t>
  </si>
  <si>
    <t>Según Nota de débito bancaria / Extracto bancario / Talón de cheque</t>
  </si>
  <si>
    <t>Fondo Fijo</t>
  </si>
  <si>
    <t xml:space="preserve">                                                  </t>
  </si>
  <si>
    <t>Ver Cálculo Auxiliar 3</t>
  </si>
  <si>
    <t>Según publicaciones de cotización del dólar en medios públicos</t>
  </si>
  <si>
    <t>Según Informe de gastos con comprobantes adjuntos (fact. orig., rec. dup., vales)</t>
  </si>
  <si>
    <t>Anticipos de caja a rendir</t>
  </si>
  <si>
    <t>Gastos de limpieza</t>
  </si>
  <si>
    <t>Gastos de viáticos</t>
  </si>
  <si>
    <t>Anticipos de sueldo</t>
  </si>
  <si>
    <t>Gastos de librería</t>
  </si>
  <si>
    <t>Ver Cálculo Auxiliar 1</t>
  </si>
  <si>
    <t>Banco Francés Caja de Ahorro ME</t>
  </si>
  <si>
    <t>Según Informe de gastos con comprobantes adjuntos (facturas originales)</t>
  </si>
  <si>
    <t>Según Boleta de depósito / Nota de crédito bancaria / Extracto bancario</t>
  </si>
  <si>
    <t>Según Comprobante emitido por casa de cambio</t>
  </si>
  <si>
    <t>Según Boleta de extracción / Nota de débito bancaria / Extracto bancario</t>
  </si>
  <si>
    <t>FRANKFURT S.R.L.</t>
  </si>
  <si>
    <r>
      <t xml:space="preserve">* </t>
    </r>
    <r>
      <rPr>
        <i/>
        <u/>
        <sz val="11"/>
        <color theme="5" tint="-0.249977111117893"/>
        <rFont val="Garamond"/>
        <family val="1"/>
      </rPr>
      <t>Opciones alternativas</t>
    </r>
    <r>
      <rPr>
        <i/>
        <sz val="11"/>
        <color theme="5" tint="-0.249977111117893"/>
        <rFont val="Garamond"/>
        <family val="1"/>
      </rPr>
      <t>: ambas son correctas y puede optarse por cualquiera de ellas (sólo una, no ambas).</t>
    </r>
  </si>
  <si>
    <t>Según Factura duplicado de Quito S.A. y Reporte de baja de bien de uso.</t>
  </si>
  <si>
    <t>Resultado por venta de bien de uso</t>
  </si>
  <si>
    <t>OPCIÓN 2 *</t>
  </si>
  <si>
    <t>Según Reporte de baja de bien de uso.</t>
  </si>
  <si>
    <t>Costo de bien de uso vendido</t>
  </si>
  <si>
    <t>Según Factura duplicado de Quito S.A.</t>
  </si>
  <si>
    <t>Venta de bien de uso</t>
  </si>
  <si>
    <t>OPCIÓN 1 *</t>
  </si>
  <si>
    <t>Según Recibo original de FreshPalm S.A.</t>
  </si>
  <si>
    <t>Según Factura original de FreshPalm S.A.</t>
  </si>
  <si>
    <t>Según Factura y Recibo original de Casimiro Torpe.</t>
  </si>
  <si>
    <t>Gastos por mantenimiento</t>
  </si>
  <si>
    <t>Según Contrato de permuta</t>
  </si>
  <si>
    <t>Terreno</t>
  </si>
  <si>
    <t>Según Contrato Social</t>
  </si>
  <si>
    <t>QUITO S.A.</t>
  </si>
  <si>
    <t>Costo unitario (Costo/Cantidad de unidades)</t>
  </si>
  <si>
    <t>Costo =</t>
  </si>
  <si>
    <t>Costo =      (8.000 + 75)     -         0        + (200+300+100)</t>
  </si>
  <si>
    <t>Costo = Precio de contado - Descuentos + Gastos necesarios</t>
  </si>
  <si>
    <t>Costo unitario de la resma de papel</t>
  </si>
  <si>
    <t>I.V.A. (0,21*8500)</t>
  </si>
  <si>
    <t>Valor de mercaderías pendiente de registrar (500-425)</t>
  </si>
  <si>
    <t>Interés implícito de la operación (8500*0,05)</t>
  </si>
  <si>
    <t>Importe de compra pendiente de registrar</t>
  </si>
  <si>
    <t>Importe Facturado por la compra</t>
  </si>
  <si>
    <t>Importe Provisionado por la compra</t>
  </si>
  <si>
    <r>
      <t xml:space="preserve">Según Factura original. </t>
    </r>
    <r>
      <rPr>
        <b/>
        <i/>
        <sz val="11"/>
        <color rgb="FF00B050"/>
        <rFont val="Garamond"/>
        <family val="1"/>
      </rPr>
      <t>Ver cálculo auxiliar.</t>
    </r>
  </si>
  <si>
    <t>Interés negativo a devengar s/Proveedores</t>
  </si>
  <si>
    <t>Según Formulario de impuestos emitido por la municipalidad de Tres Arroyos.</t>
  </si>
  <si>
    <t>Según Informe de gastos de Madu Kumar (con comprobantes adjuntos).</t>
  </si>
  <si>
    <t>Según Remito original y Nota de recepción.</t>
  </si>
  <si>
    <t>Según Factura y Recibo original, de FastNSafe S.A.</t>
  </si>
  <si>
    <t>Según orden de compra y pedido de cotización</t>
  </si>
  <si>
    <t>Provisión de compras</t>
  </si>
  <si>
    <t>No debe realizarse ningún registro diario                                                                                                                                                                                                                                                                                                          (No hay ningún movimiento económico ni financiero de la entidad)</t>
  </si>
  <si>
    <t>EL CAIRO S.R.L.</t>
  </si>
  <si>
    <t>Marg. operativo =</t>
  </si>
  <si>
    <t>Préstamo Banco Itaú</t>
  </si>
  <si>
    <t>Crédito con socias</t>
  </si>
  <si>
    <t>Banco Itaú Cta Cte</t>
  </si>
  <si>
    <t>Balance de Saldos:</t>
  </si>
  <si>
    <t>Según Contrato de Préstamo y  Nota de débito bancaria / Extracto bancario</t>
  </si>
  <si>
    <t>Según Boleta de depósito / Extracto bancario / Nota de crédito bancaria</t>
  </si>
  <si>
    <t>Según Ficha de Stock.</t>
  </si>
  <si>
    <t>Según Factura, Remito y Recibo duplicado.</t>
  </si>
  <si>
    <t>Según Nota de débito bancaria / Extracto bancario</t>
  </si>
  <si>
    <t>Según Contrato de locación.</t>
  </si>
  <si>
    <t>Según Factura, Remito y Recibo original y Talón de cheque</t>
  </si>
  <si>
    <t>Según Recibo original y Talón de cheque</t>
  </si>
  <si>
    <t>Según Contrato de locación y Recibo original.</t>
  </si>
  <si>
    <t>Según Contrato de préstamo / Extracto bancario / Nota de crédito bancaria</t>
  </si>
  <si>
    <t>Según Boleta de depósito / Extracto bancario</t>
  </si>
  <si>
    <t>Según Factura original, Remito original</t>
  </si>
  <si>
    <t>YAKARTA S.H.</t>
  </si>
  <si>
    <t>OTTAWA S.I.</t>
  </si>
  <si>
    <t>Según Boleta de depósito</t>
  </si>
  <si>
    <t>No debe realizarse ningún registro</t>
  </si>
  <si>
    <t>Banco Continental C/C</t>
  </si>
  <si>
    <t>09/05/X0</t>
  </si>
  <si>
    <t>Según Recibo original</t>
  </si>
  <si>
    <t>Según Recibo duplicado</t>
  </si>
  <si>
    <t>a Banco Británico C/C</t>
  </si>
  <si>
    <t>07/05/X0</t>
  </si>
  <si>
    <t>Pago</t>
  </si>
  <si>
    <t>Cobranza</t>
  </si>
  <si>
    <t>Según Factura y Remito duplicados</t>
  </si>
  <si>
    <t>Según Factura y Remito originales</t>
  </si>
  <si>
    <t>04/05/X0</t>
  </si>
  <si>
    <t>Compra</t>
  </si>
  <si>
    <t>Venta</t>
  </si>
  <si>
    <t>1.000 / (1-0,5)</t>
  </si>
  <si>
    <t>(Ventas-1.000)/Ventas</t>
  </si>
  <si>
    <t>Resultado Bruto/Ventas</t>
  </si>
  <si>
    <t>Margen bruto</t>
  </si>
  <si>
    <t>03/05/X0</t>
  </si>
  <si>
    <t>Libro diario de LONDRES (Comprador)</t>
  </si>
  <si>
    <t>Libro diario de PARIS (Vendedor)</t>
  </si>
  <si>
    <t>PARÍS S.A.</t>
  </si>
  <si>
    <t>Intereses 15 días</t>
  </si>
  <si>
    <t>Intereses 1 mes</t>
  </si>
  <si>
    <t>Intereses 12 meses</t>
  </si>
  <si>
    <t>Dif. Cambio</t>
  </si>
  <si>
    <t>$ al 31-07</t>
  </si>
  <si>
    <t>$ al 15-07</t>
  </si>
  <si>
    <t>U$S</t>
  </si>
  <si>
    <r>
      <rPr>
        <b/>
        <i/>
        <u/>
        <sz val="11"/>
        <color rgb="FF00B050"/>
        <rFont val="Garamond"/>
        <family val="1"/>
      </rPr>
      <t>Tabla auxiliar</t>
    </r>
    <r>
      <rPr>
        <b/>
        <i/>
        <sz val="11"/>
        <color rgb="FF00B050"/>
        <rFont val="Garamond"/>
        <family val="1"/>
      </rPr>
      <t>: Préstamo en moneda extranjera</t>
    </r>
  </si>
  <si>
    <t>Provisión Gastos</t>
  </si>
  <si>
    <t>por la nota de débito enviada por el proveedor Exxe</t>
  </si>
  <si>
    <t>Intereses comerciales a pagar - ME</t>
  </si>
  <si>
    <t>por la revaluación de todos los pasivos en mon. extranjera</t>
  </si>
  <si>
    <t>Proveedores - ME</t>
  </si>
  <si>
    <t>Intereses financieros a pagar - ME</t>
  </si>
  <si>
    <t>por el préstamo en mon.extranjera a TC del día del préstamo</t>
  </si>
  <si>
    <t>por el Documento firmado el día 15/07 (compra computador)</t>
  </si>
  <si>
    <t>por el Documento recibido el día 01/07 (venta de mercaderías)</t>
  </si>
  <si>
    <t>Anticipos a proveedores - ME</t>
  </si>
  <si>
    <t>Ver tabla auxiliar</t>
  </si>
  <si>
    <t>Préstamo Banco Internacional - ME</t>
  </si>
  <si>
    <t>Banco Internacional Cta Cte</t>
  </si>
  <si>
    <t>DUBLIN S.A.</t>
  </si>
  <si>
    <t>5.000 * 0,23</t>
  </si>
  <si>
    <t>Faltante de provisionar asignable a cargas sociales</t>
  </si>
  <si>
    <t>6.150/1,23</t>
  </si>
  <si>
    <t>Faltante de provisionar asignable a sueldos</t>
  </si>
  <si>
    <t>30.750 - 24.600</t>
  </si>
  <si>
    <t>Faltante de provisionar total</t>
  </si>
  <si>
    <t>según Balance Inicial</t>
  </si>
  <si>
    <t>Provisión SAC Julio y Agosto</t>
  </si>
  <si>
    <t>15.375 *2</t>
  </si>
  <si>
    <t>Provisión SAC teórica por 2 meses</t>
  </si>
  <si>
    <t>Provisión SAC Septiembre</t>
  </si>
  <si>
    <r>
      <t>Cálculo auxiliar</t>
    </r>
    <r>
      <rPr>
        <b/>
        <i/>
        <sz val="11"/>
        <color theme="1"/>
        <rFont val="Garamond"/>
        <family val="1"/>
      </rPr>
      <t xml:space="preserve"> - Ajuste de la Provisión Inicial de SAC</t>
    </r>
  </si>
  <si>
    <t>Ver cálculo auxiliar</t>
  </si>
  <si>
    <t>Cargas sociales s/SAC</t>
  </si>
  <si>
    <t>SAC</t>
  </si>
  <si>
    <t>Retención IIGG a pagar</t>
  </si>
  <si>
    <t>Anticipos de sueldos</t>
  </si>
  <si>
    <t xml:space="preserve">Cargas sociales </t>
  </si>
  <si>
    <t xml:space="preserve">Sueldos </t>
  </si>
  <si>
    <t>SEÚL S.R.L.</t>
  </si>
  <si>
    <t>Banco Asiático Cta Cte</t>
  </si>
  <si>
    <t>Hipotecas a pagar Banco Asiático</t>
  </si>
  <si>
    <t>01/10/X0</t>
  </si>
  <si>
    <t>D</t>
  </si>
  <si>
    <t>31/08/X0</t>
  </si>
  <si>
    <t>21/08/X0</t>
  </si>
  <si>
    <t>01/08/X0</t>
  </si>
  <si>
    <t>31/07/X0</t>
  </si>
  <si>
    <t>21/07/X0</t>
  </si>
  <si>
    <t>12/07/X0</t>
  </si>
  <si>
    <t>10/07/X0</t>
  </si>
  <si>
    <t>30/06/X0</t>
  </si>
  <si>
    <t>Intereses comerciales a cobrar</t>
  </si>
  <si>
    <t>10/06/X0</t>
  </si>
  <si>
    <t>07/06/X0</t>
  </si>
  <si>
    <t>01/06/X0</t>
  </si>
  <si>
    <t>30/04/X0</t>
  </si>
  <si>
    <t>01/04/X0</t>
  </si>
  <si>
    <t>22/03/X0</t>
  </si>
  <si>
    <t>No corresponde realizar ninguna registración contable</t>
  </si>
  <si>
    <t>17/03/X0</t>
  </si>
  <si>
    <t>15/03/X0</t>
  </si>
  <si>
    <t>05/03/X0</t>
  </si>
  <si>
    <t>21/02/X0</t>
  </si>
  <si>
    <t>15/02/X0</t>
  </si>
  <si>
    <t>17/01/X0</t>
  </si>
  <si>
    <t>15/01/X0</t>
  </si>
  <si>
    <t>06/01/X0</t>
  </si>
  <si>
    <t>Documento a cobrar de Hefei</t>
  </si>
  <si>
    <t>mes</t>
  </si>
  <si>
    <t>Venta de servicios Hefei</t>
  </si>
  <si>
    <t>Documento a cobrar de Chengdu</t>
  </si>
  <si>
    <t>Préstamo Banco Asiático</t>
  </si>
  <si>
    <t>Interés implícito en venta Pekín</t>
  </si>
  <si>
    <t>Seguro contra incendios</t>
  </si>
  <si>
    <t>Préstamo Banco ICBC</t>
  </si>
  <si>
    <t>Sep</t>
  </si>
  <si>
    <t>Ago</t>
  </si>
  <si>
    <t>Jul</t>
  </si>
  <si>
    <t>Jun</t>
  </si>
  <si>
    <t>May</t>
  </si>
  <si>
    <t>Abr</t>
  </si>
  <si>
    <t>Mar</t>
  </si>
  <si>
    <t>Feb</t>
  </si>
  <si>
    <t>Ene</t>
  </si>
  <si>
    <t>Operación</t>
  </si>
  <si>
    <t>Agenda de devengamientos:</t>
  </si>
  <si>
    <t>HONG KONG S.A.</t>
  </si>
  <si>
    <t>Registro de Caracas s/NC Original</t>
  </si>
  <si>
    <t>Mercaderías - Café fuerte</t>
  </si>
  <si>
    <t>Mercaderías en mal estado</t>
  </si>
  <si>
    <t>Bonificaciones otorgadas</t>
  </si>
  <si>
    <t>Registro de Bogotá s/NC Duplicado</t>
  </si>
  <si>
    <t>Banco del Norte Cta Cte</t>
  </si>
  <si>
    <t>Registro de Caracas s/Recibo Original</t>
  </si>
  <si>
    <t>Banco Alpino Cta Cte</t>
  </si>
  <si>
    <t>Registro de Bogotá s/Recibo Duplicado</t>
  </si>
  <si>
    <t>Registro de Caracas s/Factura Original</t>
  </si>
  <si>
    <t>Reintegro de gastos</t>
  </si>
  <si>
    <t>Registro de Bogotá s/Factura Duplicado</t>
  </si>
  <si>
    <r>
      <t>01/07</t>
    </r>
    <r>
      <rPr>
        <b/>
        <sz val="11"/>
        <color theme="1"/>
        <rFont val="Garamond"/>
        <family val="1"/>
      </rPr>
      <t>. Compraventa bonificada</t>
    </r>
  </si>
  <si>
    <t>BOGOTÁ S.R.L.</t>
  </si>
  <si>
    <t>Según Facturas originales y Planilla de seguimiento de deudas comerciales.</t>
  </si>
  <si>
    <t>Intereses comerciales a pagar</t>
  </si>
  <si>
    <t>Cuentas a pagar</t>
  </si>
  <si>
    <t>Según Facturas duplicado, y Planilla interna de seguimiento de créditos.</t>
  </si>
  <si>
    <t>Deudores en mora</t>
  </si>
  <si>
    <t>Guillong S.I.</t>
  </si>
  <si>
    <t>15/04/X1</t>
  </si>
  <si>
    <t>Townsville S.A.</t>
  </si>
  <si>
    <t>Launceston S.A.</t>
  </si>
  <si>
    <t>Acacia S.R.L.</t>
  </si>
  <si>
    <t>01/02/X1</t>
  </si>
  <si>
    <t>Ballarat S.H.</t>
  </si>
  <si>
    <t>Canguro S.A.</t>
  </si>
  <si>
    <t>07/04/X1</t>
  </si>
  <si>
    <t>Newcastle S.A.</t>
  </si>
  <si>
    <t>15/05/X1</t>
  </si>
  <si>
    <t>Emú S.H.</t>
  </si>
  <si>
    <t>Goald Coast S.I.</t>
  </si>
  <si>
    <t>21/04/X1</t>
  </si>
  <si>
    <t>Ornitorrinco S.A.</t>
  </si>
  <si>
    <t>15/03/X1</t>
  </si>
  <si>
    <t>Brisbane S.A.</t>
  </si>
  <si>
    <t>05/04/X1</t>
  </si>
  <si>
    <t>Eucalipto S.A.</t>
  </si>
  <si>
    <t>21/03/X1</t>
  </si>
  <si>
    <t>Sydney S.A.</t>
  </si>
  <si>
    <t>Koala S.C.</t>
  </si>
  <si>
    <t>Melbourne S.A.</t>
  </si>
  <si>
    <t>Vence el:</t>
  </si>
  <si>
    <t>Importe</t>
  </si>
  <si>
    <t>CANBERRA S.R.L.</t>
  </si>
  <si>
    <t>Préstamo Sr. San Martín</t>
  </si>
  <si>
    <t>PARTE 4: Todos los casos</t>
  </si>
  <si>
    <t>Intereses negativos a devengar s/Prov.</t>
  </si>
  <si>
    <r>
      <t>PARTE 3: Intereses implícitos</t>
    </r>
    <r>
      <rPr>
        <b/>
        <sz val="11"/>
        <color theme="1"/>
        <rFont val="Garamond"/>
        <family val="1"/>
      </rPr>
      <t xml:space="preserve"> ~ Intereses comerciales ocultos</t>
    </r>
  </si>
  <si>
    <t>Ingresos por intereses financieros</t>
  </si>
  <si>
    <t>14 BIS</t>
  </si>
  <si>
    <t>Banco ICBC Plazo Fijo</t>
  </si>
  <si>
    <r>
      <t>PARTE 2: Intereses explícitos (incluidos</t>
    </r>
    <r>
      <rPr>
        <b/>
        <sz val="11"/>
        <color theme="1"/>
        <rFont val="Garamond"/>
        <family val="1"/>
      </rPr>
      <t>) ~ Pagarés y Plazos Fijos</t>
    </r>
  </si>
  <si>
    <r>
      <t>PARTE 1: Intereses explícitos (no incluidos</t>
    </r>
    <r>
      <rPr>
        <b/>
        <sz val="11"/>
        <color theme="1"/>
        <rFont val="Garamond"/>
        <family val="1"/>
      </rPr>
      <t>) ~ Préstamos y Notas de débito.</t>
    </r>
  </si>
  <si>
    <t>MADRID S.A.</t>
  </si>
  <si>
    <t>Pasivo corriente</t>
  </si>
  <si>
    <t>Análisis vertical</t>
  </si>
  <si>
    <t>Estados Contables</t>
  </si>
  <si>
    <t>Gastos a pagar</t>
  </si>
  <si>
    <t>Anticipos a proveedores de bienes de uso</t>
  </si>
  <si>
    <t>Mayorización y Balance de Saldos</t>
  </si>
  <si>
    <t>15 BIS</t>
  </si>
  <si>
    <t>11 BIS</t>
  </si>
  <si>
    <t>No debe realizarse ningún registro contable</t>
  </si>
  <si>
    <t>LUANDA S.A.</t>
  </si>
  <si>
    <t>Mg. Neto</t>
  </si>
  <si>
    <t>Mg. Operativo</t>
  </si>
  <si>
    <t>Mg. Bruto</t>
  </si>
  <si>
    <t>Análisis vertical del EERR</t>
  </si>
  <si>
    <t>Rdos. Fin.</t>
  </si>
  <si>
    <t>Gastos Com.</t>
  </si>
  <si>
    <t>Gastos Adm.</t>
  </si>
  <si>
    <t>Total PasivoyPN</t>
  </si>
  <si>
    <t>Total activo</t>
  </si>
  <si>
    <t>Rdo. neto</t>
  </si>
  <si>
    <t>Activo no cte.</t>
  </si>
  <si>
    <t>Rdos. financieros</t>
  </si>
  <si>
    <t>Rdo. operativo</t>
  </si>
  <si>
    <t>Activo corriente</t>
  </si>
  <si>
    <t>Gs. comerciales</t>
  </si>
  <si>
    <t>Gs. administrativos</t>
  </si>
  <si>
    <t>Rdo. bruto</t>
  </si>
  <si>
    <t>Ds. Sociales y Fisc.</t>
  </si>
  <si>
    <t>Créditos por venta</t>
  </si>
  <si>
    <t>Ds. Comerciales</t>
  </si>
  <si>
    <t>V</t>
  </si>
  <si>
    <t>DC</t>
  </si>
  <si>
    <t>BU</t>
  </si>
  <si>
    <t>BC</t>
  </si>
  <si>
    <t>DSYF</t>
  </si>
  <si>
    <t>OC</t>
  </si>
  <si>
    <t>CXV</t>
  </si>
  <si>
    <t>RF</t>
  </si>
  <si>
    <t>GC</t>
  </si>
  <si>
    <t>GA</t>
  </si>
  <si>
    <t>CV</t>
  </si>
  <si>
    <t>CyB</t>
  </si>
  <si>
    <r>
      <rPr>
        <b/>
        <u/>
        <sz val="11"/>
        <color theme="1"/>
        <rFont val="Garamond"/>
        <family val="1"/>
      </rPr>
      <t>Mayorización y Balance de Saldos</t>
    </r>
    <r>
      <rPr>
        <sz val="11"/>
        <color theme="1"/>
        <rFont val="Garamond"/>
        <family val="1"/>
      </rPr>
      <t xml:space="preserve"> (rubro abreviado)</t>
    </r>
  </si>
  <si>
    <t>6 bis</t>
  </si>
  <si>
    <t>MONTEVIDEO S.A.</t>
  </si>
  <si>
    <t>Según Recibo original / ND Bancaria</t>
  </si>
  <si>
    <t>Según Recibo duplicado / NC Bancaria</t>
  </si>
  <si>
    <t>a Banco Provincia C/C</t>
  </si>
  <si>
    <t>a Alquileres a cobrar</t>
  </si>
  <si>
    <t>Banco Santander Río C/C</t>
  </si>
  <si>
    <t>05/04/X0</t>
  </si>
  <si>
    <t>Según Boleta de depósito / NC Bancaria</t>
  </si>
  <si>
    <t>a Valores a depositar</t>
  </si>
  <si>
    <t>02/04/X0</t>
  </si>
  <si>
    <t>Según Contrato de Locación y Recibo original.</t>
  </si>
  <si>
    <t>Según Contrato de Locación y Recibo duplicado.</t>
  </si>
  <si>
    <t>a Alquileres a pagar</t>
  </si>
  <si>
    <t>a Ingresos por alquileres</t>
  </si>
  <si>
    <t>Alquileres a cobrar</t>
  </si>
  <si>
    <t>a Gastos por alquileres a devengar</t>
  </si>
  <si>
    <t>Ingresos por alquileres a devengar</t>
  </si>
  <si>
    <t>19/03/X0</t>
  </si>
  <si>
    <t>Según Talón de Cheque</t>
  </si>
  <si>
    <t>Según Cheque original</t>
  </si>
  <si>
    <t>a Cheques diferidos</t>
  </si>
  <si>
    <t>Cheques dif. a pagar Bco. Pcia.</t>
  </si>
  <si>
    <t>01/03/X0</t>
  </si>
  <si>
    <t>a Cheques diferidos a pagar Banco Provincia</t>
  </si>
  <si>
    <t>a Ingresos por alquileres a devengar</t>
  </si>
  <si>
    <t>Gastos por alquileres a devengar</t>
  </si>
  <si>
    <t>18/02/X0</t>
  </si>
  <si>
    <t>Libro diario de MONDRIAN (Locatario)</t>
  </si>
  <si>
    <t>Libro diario de REMBRANDT (Locador)</t>
  </si>
  <si>
    <t>AMSTERDAM S.R.L.</t>
  </si>
  <si>
    <t>Total Activos</t>
  </si>
  <si>
    <t>IIBB a Pagar</t>
  </si>
  <si>
    <t>Banco Ciudad Plazo Fijo</t>
  </si>
  <si>
    <t>Balance al 31/08/X0</t>
  </si>
  <si>
    <t>Seúl S.R.L.</t>
  </si>
  <si>
    <t>OK</t>
  </si>
  <si>
    <t>SALDO ACREEDOR</t>
  </si>
  <si>
    <t>SALDO DEUDOR</t>
  </si>
  <si>
    <t>HABER</t>
  </si>
  <si>
    <t>DEBE</t>
  </si>
  <si>
    <t>Préstamo recibido de Andrea a 2 años.</t>
  </si>
  <si>
    <t>Préstamo del banco ICBC a 5 años.</t>
  </si>
  <si>
    <t>Préstamo recibido de Luis, por 4 meses</t>
  </si>
  <si>
    <t>Caja y Bancos (1)</t>
  </si>
  <si>
    <t>Créditos por ventas (2)</t>
  </si>
  <si>
    <t>Bienes de cambio (3)</t>
  </si>
  <si>
    <t>Deudas comerciales (4)</t>
  </si>
  <si>
    <t>Capital social (5)</t>
  </si>
  <si>
    <t>ELFOS S.A.</t>
  </si>
  <si>
    <t>Punto de equilibrio</t>
  </si>
  <si>
    <t>Despejando:</t>
  </si>
  <si>
    <t>PV = 20 / 40%</t>
  </si>
  <si>
    <t>Precio de venta =</t>
  </si>
  <si>
    <t>Punto de equilibrio =</t>
  </si>
  <si>
    <t>Mano de obra directa</t>
  </si>
  <si>
    <t>Costo variable de producción</t>
  </si>
  <si>
    <t>Sueldo vendedor</t>
  </si>
  <si>
    <t>Alquiler (no productivo)</t>
  </si>
  <si>
    <t>Total ($)</t>
  </si>
  <si>
    <t>Unitario ($)</t>
  </si>
  <si>
    <t>uni.</t>
  </si>
  <si>
    <t>C</t>
  </si>
  <si>
    <r>
      <rPr>
        <b/>
        <i/>
        <sz val="11"/>
        <color rgb="FFFF0000"/>
        <rFont val="Garamond"/>
        <family val="1"/>
      </rPr>
      <t>a</t>
    </r>
    <r>
      <rPr>
        <b/>
        <sz val="11"/>
        <color theme="1"/>
        <rFont val="Garamond"/>
        <family val="1"/>
      </rPr>
      <t>+</t>
    </r>
    <r>
      <rPr>
        <b/>
        <i/>
        <sz val="11"/>
        <color rgb="FFFF0000"/>
        <rFont val="Garamond"/>
        <family val="1"/>
      </rPr>
      <t>b</t>
    </r>
    <r>
      <rPr>
        <b/>
        <sz val="11"/>
        <color theme="1"/>
        <rFont val="Garamond"/>
        <family val="1"/>
      </rPr>
      <t>+</t>
    </r>
    <r>
      <rPr>
        <b/>
        <sz val="11"/>
        <color rgb="FFFF0000"/>
        <rFont val="Garamond"/>
        <family val="1"/>
      </rPr>
      <t>c</t>
    </r>
  </si>
  <si>
    <t>por fórmula del P. Equilibrio</t>
  </si>
  <si>
    <t>P.Eq. =  costos fijos / contribución marginal unitaria</t>
  </si>
  <si>
    <t>por fórmula del margen bruto:</t>
  </si>
  <si>
    <t>reemplazando con los datos:</t>
  </si>
  <si>
    <t>despejando el precio de venta:</t>
  </si>
  <si>
    <t>Margen bruto = resultado bruto / ventas netas</t>
  </si>
  <si>
    <t>60% = (precio de venta unitario - 20) / precio de venta unitario</t>
  </si>
  <si>
    <r>
      <t xml:space="preserve">(A) </t>
    </r>
    <r>
      <rPr>
        <b/>
        <u/>
        <sz val="11"/>
        <color theme="1"/>
        <rFont val="Garamond"/>
        <family val="1"/>
      </rPr>
      <t>Cálculo del margen bruto</t>
    </r>
  </si>
  <si>
    <r>
      <t xml:space="preserve">(B) </t>
    </r>
    <r>
      <rPr>
        <b/>
        <u/>
        <sz val="11"/>
        <color theme="1"/>
        <rFont val="Garamond"/>
        <family val="1"/>
      </rPr>
      <t>Cálculo del punto de equilibrio</t>
    </r>
  </si>
  <si>
    <t>Banco Oriental C/C</t>
  </si>
  <si>
    <t>Banco Oriental Cta Cte</t>
  </si>
  <si>
    <t>10/01/X1</t>
  </si>
  <si>
    <t>12/01/X1</t>
  </si>
  <si>
    <t>28/01/X1</t>
  </si>
  <si>
    <t>31/01/X1</t>
  </si>
  <si>
    <t>Gasto por impuesto a los ingresos brutos</t>
  </si>
  <si>
    <t>Impuesto a los ingresos brutos a pagar</t>
  </si>
  <si>
    <t>FENIX S.A.</t>
  </si>
  <si>
    <t>Unidades producidas</t>
  </si>
  <si>
    <t>Unidades vendidas</t>
  </si>
  <si>
    <t>Precio de venta unitario</t>
  </si>
  <si>
    <t>Fijo</t>
  </si>
  <si>
    <t>Variable</t>
  </si>
  <si>
    <t>E</t>
  </si>
  <si>
    <t>F</t>
  </si>
  <si>
    <t>Comisiones</t>
  </si>
  <si>
    <t>Nombre cta. contable</t>
  </si>
  <si>
    <t>(I)</t>
  </si>
  <si>
    <t>(II)</t>
  </si>
  <si>
    <t>CF = 2.320.036 + 1.252.372 + 1.081.192</t>
  </si>
  <si>
    <t>CF =</t>
  </si>
  <si>
    <t>cmu = Precio de venta unitario - Costo variable unitario</t>
  </si>
  <si>
    <t>cmu = 120 -    (10.305.000 / 180.000) + (172.800 / 144.000)</t>
  </si>
  <si>
    <t>Por lo tanto: PE = 4.653.000 / 61,55</t>
  </si>
  <si>
    <t>Punto de equilibrio en unidades (PE) = Costos fijos  (CF) / Contribución marginal unitaria (cmu)</t>
  </si>
  <si>
    <t>Punto de equlibrio en unidades =</t>
  </si>
  <si>
    <t>Punto de equilibrio en pesos (PE$) = PE * Precio de venta unitario</t>
  </si>
  <si>
    <t>Por lo tanto PE$ = 75.607 * $120</t>
  </si>
  <si>
    <t>Punto de equilibrio en pesos =</t>
  </si>
  <si>
    <r>
      <t xml:space="preserve">2) </t>
    </r>
    <r>
      <rPr>
        <b/>
        <u/>
        <sz val="11"/>
        <color theme="1"/>
        <rFont val="Garamond"/>
        <family val="1"/>
      </rPr>
      <t>Cálculo del punto de equilibrio</t>
    </r>
    <r>
      <rPr>
        <b/>
        <sz val="11"/>
        <color theme="1"/>
        <rFont val="Garamond"/>
        <family val="1"/>
      </rPr>
      <t>:</t>
    </r>
  </si>
  <si>
    <r>
      <t xml:space="preserve">1) </t>
    </r>
    <r>
      <rPr>
        <b/>
        <u/>
        <sz val="11"/>
        <color theme="1"/>
        <rFont val="Garamond"/>
        <family val="1"/>
      </rPr>
      <t>Clasificación de costos y gastos</t>
    </r>
    <r>
      <rPr>
        <b/>
        <sz val="11"/>
        <color theme="1"/>
        <rFont val="Garamond"/>
        <family val="1"/>
      </rPr>
      <t>:</t>
    </r>
  </si>
  <si>
    <r>
      <t xml:space="preserve">3) </t>
    </r>
    <r>
      <rPr>
        <b/>
        <u/>
        <sz val="11"/>
        <color theme="1"/>
        <rFont val="Garamond"/>
        <family val="1"/>
      </rPr>
      <t>Asientos</t>
    </r>
    <r>
      <rPr>
        <b/>
        <sz val="11"/>
        <color theme="1"/>
        <rFont val="Garamond"/>
        <family val="1"/>
      </rPr>
      <t>:</t>
    </r>
  </si>
  <si>
    <t>(R-)-</t>
  </si>
  <si>
    <t>Sueldos - Producción</t>
  </si>
  <si>
    <t>Cargas sociales - Producción</t>
  </si>
  <si>
    <t>Depreciaciones - Producción</t>
  </si>
  <si>
    <t>Gastos varios - Producción</t>
  </si>
  <si>
    <t>Asiento de producción en proceso:</t>
  </si>
  <si>
    <t>Asiento de terminación de la producción:</t>
  </si>
  <si>
    <t>Asiento de costo de ventas de la producción terminada:</t>
  </si>
  <si>
    <t>Precio de venta unitario = Costo de venta unitario * (1 + Mark up)</t>
  </si>
  <si>
    <t>Costo de venta unitario = 10.100.028,80 / 144.000</t>
  </si>
  <si>
    <r>
      <t xml:space="preserve">4) </t>
    </r>
    <r>
      <rPr>
        <b/>
        <u/>
        <sz val="11"/>
        <color theme="1"/>
        <rFont val="Garamond"/>
        <family val="1"/>
      </rPr>
      <t>Cálculo de mark up</t>
    </r>
    <r>
      <rPr>
        <b/>
        <sz val="11"/>
        <color theme="1"/>
        <rFont val="Garamond"/>
        <family val="1"/>
      </rPr>
      <t xml:space="preserve"> (método costo plus)</t>
    </r>
  </si>
  <si>
    <t xml:space="preserve">Costo de venta unitario = </t>
  </si>
  <si>
    <t>Precio de venta unitario = Costo de venta unitario + Ganancia bruta por unidad</t>
  </si>
  <si>
    <t>Precio de venta unitario =</t>
  </si>
  <si>
    <t>Precio de venta unitario = 70,14 + 70</t>
  </si>
  <si>
    <t xml:space="preserve">Por lo tanto: </t>
  </si>
  <si>
    <t>140,14 = 70,14 * (1+ Mark up)</t>
  </si>
  <si>
    <t>Mark up = (140,14 / 70,14) - 1</t>
  </si>
  <si>
    <t>Mark up = 1</t>
  </si>
  <si>
    <t>Banco Europeo Cta Cte</t>
  </si>
  <si>
    <t>Balance de saldos al 31/03/X0</t>
  </si>
  <si>
    <t>&gt; Aumento de Previsión por Deudores Incobrables</t>
  </si>
  <si>
    <t>&gt; Valor Residual de Bienes de Uso vendidos</t>
  </si>
  <si>
    <t>Descripción</t>
  </si>
  <si>
    <t>Aumento neto de efectivo y equivalentes de efectivo.</t>
  </si>
  <si>
    <t>Aumento neto de deudas comerciales.</t>
  </si>
  <si>
    <t>Pagos por adquisiciones de bienes de uso.</t>
  </si>
  <si>
    <t>Disminución neta de bienes de cambio.</t>
  </si>
  <si>
    <t>Cobros de ingresos por intereses de inversiones.</t>
  </si>
  <si>
    <t>Pagos por adquisiciones de activos intangibles.</t>
  </si>
  <si>
    <t>Pagos por cancelaciones de préstamos bancarios.</t>
  </si>
  <si>
    <t>Resultado neto del ejercicio.</t>
  </si>
  <si>
    <t>Pago por compra de participación en ente relacionado.</t>
  </si>
  <si>
    <t>Aumento neto de créditos por ventas.</t>
  </si>
  <si>
    <t>Disminución neta de cargas fiscales a pagar.</t>
  </si>
  <si>
    <t>Pagos de gastos por intereses bancarios.</t>
  </si>
  <si>
    <t>Depreciaciones de bienes de uso (cargo a resultado).</t>
  </si>
  <si>
    <t>Pagos por distribución de dividendos en efectivo.</t>
  </si>
  <si>
    <t>Aumento neto de préstamos con sociedades relacionadas.</t>
  </si>
  <si>
    <t>Aumento neto de remuneraciones y cs. sociales a pagar.</t>
  </si>
  <si>
    <t>Aumento neto de previsiones por litigios en curso.</t>
  </si>
  <si>
    <t>Aporte de capital y prima de emisión en efectivo.</t>
  </si>
  <si>
    <t>Cobro de ingresos por dividendos en efectivo.</t>
  </si>
  <si>
    <t>Pagos de gastos por intereses con proveedores.</t>
  </si>
  <si>
    <t>Amortizaciones de activos intangibles (cargo a resultado).</t>
  </si>
  <si>
    <t>Aumento neto de crédito por venta de inmueble.</t>
  </si>
  <si>
    <t>Diferencia de cambio generada por créditos por ventas.</t>
  </si>
  <si>
    <t>Cobros de ingresos por intereses con clientes.</t>
  </si>
  <si>
    <t>Resultado por tenencia de bienes de cambio.</t>
  </si>
  <si>
    <t>Diferencia de cambio generada por efectivo.</t>
  </si>
  <si>
    <t>Valor residual de Bienes de uso vendidos.</t>
  </si>
  <si>
    <t>Cobro de precio de venta de bien de uso vendido.</t>
  </si>
  <si>
    <t>MASTODONTES S.A.</t>
  </si>
  <si>
    <t>Solución sugerida:</t>
  </si>
  <si>
    <t xml:space="preserve">Ingresos de fondos: </t>
  </si>
  <si>
    <t>Aporte de capital</t>
  </si>
  <si>
    <t>Cantidad vendida</t>
  </si>
  <si>
    <t>&gt; 50 * 0,7</t>
  </si>
  <si>
    <t>Egresos de fondos:</t>
  </si>
  <si>
    <t>Compra de combi</t>
  </si>
  <si>
    <t>Pago de comisión</t>
  </si>
  <si>
    <t>Saldo final</t>
  </si>
  <si>
    <t>&gt; 50 * 6.000</t>
  </si>
  <si>
    <t>&gt; 35* 6.000</t>
  </si>
  <si>
    <t>Total PN (Inversión socios)</t>
  </si>
  <si>
    <t>Venta total en pesos</t>
  </si>
  <si>
    <t xml:space="preserve">Entradas de bienes de cambio </t>
  </si>
  <si>
    <t>Salidas de bienes de cambio</t>
  </si>
  <si>
    <t>Saldo Caja y bancos 31-05</t>
  </si>
  <si>
    <t>Saldo Bienes de cambio 31-05</t>
  </si>
  <si>
    <t>Caja y bancos y Bienes de cambio:</t>
  </si>
  <si>
    <t>Resultado operativo e Inversión de los socios:</t>
  </si>
  <si>
    <t>BALLENAS S.R.L.</t>
  </si>
  <si>
    <r>
      <t xml:space="preserve">Cobranzas por ventas </t>
    </r>
    <r>
      <rPr>
        <b/>
        <i/>
        <sz val="11"/>
        <color rgb="FFFF0000"/>
        <rFont val="Garamond"/>
        <family val="1"/>
      </rPr>
      <t>(C.A. 1)</t>
    </r>
  </si>
  <si>
    <t>&gt; Sueldos: 12.000 + Comisiones: 52.500.</t>
  </si>
  <si>
    <t>Patrimonio neto</t>
  </si>
  <si>
    <t>Inversiones</t>
  </si>
  <si>
    <t>Activos intangibles</t>
  </si>
  <si>
    <t>Deudas fiscales</t>
  </si>
  <si>
    <t>Total pasivo corriente</t>
  </si>
  <si>
    <t>Total activo corriente</t>
  </si>
  <si>
    <t>Total pasivo no corriente</t>
  </si>
  <si>
    <t>Total pasivo</t>
  </si>
  <si>
    <t>Total activo no corriente</t>
  </si>
  <si>
    <t>Total patrimonio neto</t>
  </si>
  <si>
    <t>Total pasivo y P.N.</t>
  </si>
  <si>
    <t>JAGUARES S.A.</t>
  </si>
  <si>
    <t>No es necesario realizar ninguna registración.</t>
  </si>
  <si>
    <t>•</t>
  </si>
  <si>
    <t>Ver Solución a</t>
  </si>
  <si>
    <r>
      <rPr>
        <u/>
        <sz val="11"/>
        <rFont val="Garamond"/>
        <family val="1"/>
      </rPr>
      <t>Unidad 2</t>
    </r>
    <r>
      <rPr>
        <sz val="11"/>
        <rFont val="Garamond"/>
        <family val="1"/>
      </rPr>
      <t>: La ecuación patrimonial y las variaciones patrimoniales</t>
    </r>
  </si>
  <si>
    <r>
      <rPr>
        <u/>
        <sz val="11"/>
        <rFont val="Garamond"/>
        <family val="1"/>
      </rPr>
      <t>Unidad 3</t>
    </r>
    <r>
      <rPr>
        <sz val="11"/>
        <rFont val="Garamond"/>
        <family val="1"/>
      </rPr>
      <t>: Introducción a los estados contables básicos</t>
    </r>
  </si>
  <si>
    <r>
      <rPr>
        <u/>
        <sz val="11"/>
        <rFont val="Garamond"/>
        <family val="1"/>
      </rPr>
      <t>Unidad 4</t>
    </r>
    <r>
      <rPr>
        <sz val="11"/>
        <rFont val="Garamond"/>
        <family val="1"/>
      </rPr>
      <t>: El procesamiento contable</t>
    </r>
  </si>
  <si>
    <t>Soluciones sugeridas a los Adicionales</t>
  </si>
  <si>
    <t>Carga fabril (Costo fijo de producción)</t>
  </si>
  <si>
    <t>Costo total de producción</t>
  </si>
  <si>
    <t>Costos fijos totales</t>
  </si>
  <si>
    <t>300 = 15.000 / (pecio de venta unitario - 14)</t>
  </si>
  <si>
    <t>PV = (15.000 / 300) + 14</t>
  </si>
  <si>
    <t>GRIFOS S.A.</t>
  </si>
  <si>
    <t>Cabernet</t>
  </si>
  <si>
    <t>Pinot Noir</t>
  </si>
  <si>
    <t>Producción total</t>
  </si>
  <si>
    <t>$ Total</t>
  </si>
  <si>
    <t>Materia Prima y MOD</t>
  </si>
  <si>
    <t>Envase y corcho</t>
  </si>
  <si>
    <t>Total costo variable de producción</t>
  </si>
  <si>
    <t>Sueldo enólogo</t>
  </si>
  <si>
    <t>CS enólogo</t>
  </si>
  <si>
    <t>SAC enólogo</t>
  </si>
  <si>
    <t>Alquiler bodega</t>
  </si>
  <si>
    <t>Mark up</t>
  </si>
  <si>
    <t>Contribución marginal</t>
  </si>
  <si>
    <t>Margen de contribución</t>
  </si>
  <si>
    <t>$ Unit.</t>
  </si>
  <si>
    <t>Total costos fijos de producción</t>
  </si>
  <si>
    <t>Costo de producción total</t>
  </si>
  <si>
    <t>Comisión vendedor (costo var. de comerc.)</t>
  </si>
  <si>
    <t>Sueldos comercialización y administración</t>
  </si>
  <si>
    <t>Cargas sociales comercialización y administración</t>
  </si>
  <si>
    <t>SAC comercialización y administración</t>
  </si>
  <si>
    <t>Alquiler comercialización y administración</t>
  </si>
  <si>
    <t>MAMUT S.A.</t>
  </si>
  <si>
    <t>Estado de Flujo de Efectivo</t>
  </si>
  <si>
    <t>al 31/12/X2 - comparativo con el ejercicio anterior</t>
  </si>
  <si>
    <t>por el ejercicio finalizado al 31/12/x2 - comparativo con el ejercicio anterior</t>
  </si>
  <si>
    <t>31/12/X2</t>
  </si>
  <si>
    <t>31/12/X1</t>
  </si>
  <si>
    <t>Variación de fondos</t>
  </si>
  <si>
    <t>Efectivo y equivalentes al cierre</t>
  </si>
  <si>
    <r>
      <t xml:space="preserve">Inversiones transitorias </t>
    </r>
    <r>
      <rPr>
        <b/>
        <i/>
        <sz val="10"/>
        <color theme="1"/>
        <rFont val="Garamond"/>
        <family val="1"/>
      </rPr>
      <t>(Nota I)</t>
    </r>
  </si>
  <si>
    <t>Efectivo y equivalentes al inicio</t>
  </si>
  <si>
    <r>
      <t xml:space="preserve">Otras deudas   </t>
    </r>
    <r>
      <rPr>
        <b/>
        <i/>
        <sz val="10"/>
        <color theme="1"/>
        <rFont val="Garamond"/>
        <family val="1"/>
      </rPr>
      <t>(Nota III)</t>
    </r>
  </si>
  <si>
    <t>Variación neta de fondos</t>
  </si>
  <si>
    <r>
      <t xml:space="preserve">Gastos de administración     </t>
    </r>
    <r>
      <rPr>
        <b/>
        <i/>
        <sz val="10"/>
        <color theme="1"/>
        <rFont val="Garamond"/>
        <family val="1"/>
      </rPr>
      <t>(Nota IV)</t>
    </r>
  </si>
  <si>
    <r>
      <t xml:space="preserve">Gastos de comercialización  </t>
    </r>
    <r>
      <rPr>
        <b/>
        <i/>
        <sz val="10"/>
        <color theme="1"/>
        <rFont val="Garamond"/>
        <family val="1"/>
      </rPr>
      <t xml:space="preserve"> (Nota IV)</t>
    </r>
  </si>
  <si>
    <t>Actividades operativas</t>
  </si>
  <si>
    <t>Aporte de los socios</t>
  </si>
  <si>
    <t>Pasivo no corriente</t>
  </si>
  <si>
    <t>Activo no corriente</t>
  </si>
  <si>
    <t xml:space="preserve">Deudas financieras </t>
  </si>
  <si>
    <r>
      <t xml:space="preserve">1) </t>
    </r>
    <r>
      <rPr>
        <u/>
        <sz val="10"/>
        <color theme="1"/>
        <rFont val="Garamond"/>
        <family val="1"/>
      </rPr>
      <t>Ajustes por resultados no erogables</t>
    </r>
  </si>
  <si>
    <t>Total Pasivo no corriente</t>
  </si>
  <si>
    <t>Depreciaciones y amortizaciones</t>
  </si>
  <si>
    <r>
      <t xml:space="preserve">Bienes intangibles          </t>
    </r>
    <r>
      <rPr>
        <b/>
        <i/>
        <sz val="10"/>
        <color theme="1"/>
        <rFont val="Garamond"/>
        <family val="1"/>
      </rPr>
      <t>(Nota II)</t>
    </r>
  </si>
  <si>
    <r>
      <t xml:space="preserve">Resultados financieros          </t>
    </r>
    <r>
      <rPr>
        <b/>
        <i/>
        <sz val="10"/>
        <color theme="1"/>
        <rFont val="Garamond"/>
        <family val="1"/>
      </rPr>
      <t>(Nota V)</t>
    </r>
  </si>
  <si>
    <r>
      <t xml:space="preserve">2) </t>
    </r>
    <r>
      <rPr>
        <u/>
        <sz val="10"/>
        <color theme="1"/>
        <rFont val="Garamond"/>
        <family val="1"/>
      </rPr>
      <t>Ajustes por variaciones en el capital de trabajo</t>
    </r>
  </si>
  <si>
    <t>Disminución de Créditos por ventas</t>
  </si>
  <si>
    <t>Dividendos en acciones</t>
  </si>
  <si>
    <t>P.N. (según estado repectivo)</t>
  </si>
  <si>
    <t>Aumento de Bienes de cambio</t>
  </si>
  <si>
    <t>Total Pasivo y P.N.</t>
  </si>
  <si>
    <t xml:space="preserve">Nota IV: Cuadro de gastos </t>
  </si>
  <si>
    <t>Disminución de Deudas comerciales</t>
  </si>
  <si>
    <t>Administrativos</t>
  </si>
  <si>
    <t>Comerciales</t>
  </si>
  <si>
    <t>Aumento de Deudas sociales y fiscales</t>
  </si>
  <si>
    <t>Gastos por sueldos</t>
  </si>
  <si>
    <t>Disminución de Otras deudas operativas</t>
  </si>
  <si>
    <t>Nota III: Otras deudas</t>
  </si>
  <si>
    <r>
      <t xml:space="preserve">3) </t>
    </r>
    <r>
      <rPr>
        <u/>
        <sz val="10"/>
        <color theme="1"/>
        <rFont val="Garamond"/>
        <family val="1"/>
      </rPr>
      <t>Ajustes por resultados no operativos</t>
    </r>
  </si>
  <si>
    <t>Préstamo de los socios</t>
  </si>
  <si>
    <t>Depreciaciones Bienes de Uso</t>
  </si>
  <si>
    <t>Gastos operativos a pagar</t>
  </si>
  <si>
    <t>Flujo neto de fondos generado por las Actividades Operativas</t>
  </si>
  <si>
    <t>Actividades de inversión</t>
  </si>
  <si>
    <t>Nota I: Inversiones transitorias</t>
  </si>
  <si>
    <t>Aumento de Bienes intangibles</t>
  </si>
  <si>
    <t>Banco Europeo P.F. 60 días</t>
  </si>
  <si>
    <t>Flujo neto de fondos aplicado en las Actividades de Inversión</t>
  </si>
  <si>
    <t>Nota V: Resultados financieros</t>
  </si>
  <si>
    <t>Nota II: Bienes intangibles.</t>
  </si>
  <si>
    <t>Gastos por intereses proveedores (operativos)</t>
  </si>
  <si>
    <t>Actividades de financiación</t>
  </si>
  <si>
    <t>El aumento corresponde a la adquisición de la marca "Los Glaciares" de vida útil indefinida.</t>
  </si>
  <si>
    <t>Gastos por intereses préstamo financiero</t>
  </si>
  <si>
    <t>Aumento de deudas financieras</t>
  </si>
  <si>
    <t>Aporte en efectivo</t>
  </si>
  <si>
    <t>Aporte</t>
  </si>
  <si>
    <t>Flujo neto de fondos aplicado en las Actividades de Financiación</t>
  </si>
  <si>
    <t>Dividendos</t>
  </si>
  <si>
    <t>Destinado por Resolución de A.G.O. del día 15/05/X2:</t>
  </si>
  <si>
    <t>por el ejercicio finalizado al 31/12/X2</t>
  </si>
  <si>
    <r>
      <t xml:space="preserve">1) </t>
    </r>
    <r>
      <rPr>
        <u/>
        <sz val="12"/>
        <color theme="1"/>
        <rFont val="Garamond"/>
        <family val="1"/>
      </rPr>
      <t>Ajustes por resultados no erogables</t>
    </r>
  </si>
  <si>
    <r>
      <t xml:space="preserve">2) </t>
    </r>
    <r>
      <rPr>
        <u/>
        <sz val="12"/>
        <color theme="1"/>
        <rFont val="Garamond"/>
        <family val="1"/>
      </rPr>
      <t>Ajustes por variaciones en el capital de trabajo</t>
    </r>
  </si>
  <si>
    <r>
      <t xml:space="preserve">3) </t>
    </r>
    <r>
      <rPr>
        <u/>
        <sz val="12"/>
        <color theme="1"/>
        <rFont val="Garamond"/>
        <family val="1"/>
      </rPr>
      <t>Ajustes por resultados no operativos</t>
    </r>
  </si>
  <si>
    <t>ELEFANTES S.H.</t>
  </si>
  <si>
    <t>Ingresos por dividendos en entidades medidas al costo</t>
  </si>
  <si>
    <t>Resultados por participaciones en subsidiarias</t>
  </si>
  <si>
    <t>Flujo neto de fondos generado en las Actividades de Financiación</t>
  </si>
  <si>
    <t>Nota 4: Resultados de inversiones</t>
  </si>
  <si>
    <t>Pago de dividendos en efectivo</t>
  </si>
  <si>
    <t>Disminución de deudas financieras</t>
  </si>
  <si>
    <t>Diferencia de cambio, generada por efectivo en moneda extranjera</t>
  </si>
  <si>
    <t>Gastos por intereses financieros, por préstamos bancarios</t>
  </si>
  <si>
    <t>Gastos por intereses comerciales, por deudas con proveedores</t>
  </si>
  <si>
    <t>Ingresos por intereses comerciales, por créditos con clientes</t>
  </si>
  <si>
    <t>Nota 3: Resultados financieros</t>
  </si>
  <si>
    <t>Aumento de bienes intangibles</t>
  </si>
  <si>
    <t>Compra de acciones ordinarias</t>
  </si>
  <si>
    <t>Valor residual 31/12/X2</t>
  </si>
  <si>
    <t>Depreciaciones del ejercicio</t>
  </si>
  <si>
    <t>P. Venta</t>
  </si>
  <si>
    <t>Valor residual terreno vendido</t>
  </si>
  <si>
    <t>Adquisición de edificio</t>
  </si>
  <si>
    <t>Valor residual 31/12/X1</t>
  </si>
  <si>
    <t>Nota 2: Bienes de uso</t>
  </si>
  <si>
    <t>Ingreso por venta de terreno</t>
  </si>
  <si>
    <t>Otros gastos</t>
  </si>
  <si>
    <t>Acciones ordinarias Red S.A.</t>
  </si>
  <si>
    <r>
      <t xml:space="preserve">3) </t>
    </r>
    <r>
      <rPr>
        <u/>
        <sz val="11"/>
        <color theme="1"/>
        <rFont val="Garamond"/>
        <family val="1"/>
      </rPr>
      <t>Ajustes por resultados no operativos</t>
    </r>
  </si>
  <si>
    <t>Banco Marfil Plazo Fijo 60 días</t>
  </si>
  <si>
    <t>Publicidad y promoción</t>
  </si>
  <si>
    <t>Depreciaciones de bienes de uso</t>
  </si>
  <si>
    <t>Nota 1: Inversiones transitorias</t>
  </si>
  <si>
    <t>Sueldos y cargas sociales</t>
  </si>
  <si>
    <r>
      <t xml:space="preserve">2) </t>
    </r>
    <r>
      <rPr>
        <u/>
        <sz val="11"/>
        <color theme="1"/>
        <rFont val="Garamond"/>
        <family val="1"/>
      </rPr>
      <t>Ajustes por variaciones en el capital de trabajo</t>
    </r>
  </si>
  <si>
    <t>Anexo I</t>
  </si>
  <si>
    <t>Resultado antes de impuesto a las ganancias</t>
  </si>
  <si>
    <t>(según estado respectivo)</t>
  </si>
  <si>
    <r>
      <t xml:space="preserve">Resultados de inversiones       </t>
    </r>
    <r>
      <rPr>
        <i/>
        <sz val="11"/>
        <color theme="1"/>
        <rFont val="Garamond"/>
        <family val="1"/>
      </rPr>
      <t>Nota 5</t>
    </r>
  </si>
  <si>
    <r>
      <rPr>
        <sz val="11"/>
        <color theme="1"/>
        <rFont val="Garamond"/>
        <family val="1"/>
      </rPr>
      <t xml:space="preserve">Resultados financieros       </t>
    </r>
    <r>
      <rPr>
        <i/>
        <sz val="11"/>
        <color theme="1"/>
        <rFont val="Garamond"/>
        <family val="1"/>
      </rPr>
      <t xml:space="preserve">     Nota 4</t>
    </r>
  </si>
  <si>
    <r>
      <t xml:space="preserve">1) </t>
    </r>
    <r>
      <rPr>
        <u/>
        <sz val="11"/>
        <color theme="1"/>
        <rFont val="Garamond"/>
        <family val="1"/>
      </rPr>
      <t>Ajustes por resultados no erogables</t>
    </r>
  </si>
  <si>
    <t>Nota 2</t>
  </si>
  <si>
    <t>Saldos al 31/12/X2</t>
  </si>
  <si>
    <t>Resultado del ejercicio X2</t>
  </si>
  <si>
    <r>
      <t xml:space="preserve">Otros resultados operativos    </t>
    </r>
    <r>
      <rPr>
        <i/>
        <sz val="11"/>
        <color theme="1"/>
        <rFont val="Garamond"/>
        <family val="1"/>
      </rPr>
      <t>Nota 3</t>
    </r>
  </si>
  <si>
    <t>Distribución de dividendos en efectivo</t>
  </si>
  <si>
    <r>
      <t xml:space="preserve">Gastos de comercialización    </t>
    </r>
    <r>
      <rPr>
        <i/>
        <sz val="11"/>
        <color theme="1"/>
        <rFont val="Garamond"/>
        <family val="1"/>
      </rPr>
      <t>Anexo I</t>
    </r>
  </si>
  <si>
    <t>Distribución de dividendos en acciones</t>
  </si>
  <si>
    <r>
      <t xml:space="preserve">Gastos de administración       </t>
    </r>
    <r>
      <rPr>
        <i/>
        <sz val="11"/>
        <color theme="1"/>
        <rFont val="Garamond"/>
        <family val="1"/>
      </rPr>
      <t>Anexo I</t>
    </r>
  </si>
  <si>
    <t>Aportes de los propietarios</t>
  </si>
  <si>
    <t>Saldos al 31/12/X1</t>
  </si>
  <si>
    <t>Nota 1</t>
  </si>
  <si>
    <t>Ingresos por ventas, netos</t>
  </si>
  <si>
    <t>ELEFANTES</t>
  </si>
  <si>
    <r>
      <t>03/07</t>
    </r>
    <r>
      <rPr>
        <b/>
        <sz val="11"/>
        <color theme="1"/>
        <rFont val="Garamond"/>
        <family val="1"/>
      </rPr>
      <t>. Pago/Cobranza</t>
    </r>
  </si>
  <si>
    <r>
      <t>04/07</t>
    </r>
    <r>
      <rPr>
        <b/>
        <sz val="11"/>
        <color theme="1"/>
        <rFont val="Garamond"/>
        <family val="1"/>
      </rPr>
      <t>. Devolución de venta (afectada con bonificación).</t>
    </r>
  </si>
  <si>
    <t>Diferencia de cambio - ganancia</t>
  </si>
  <si>
    <t>Diferencia de cambio - pérdida</t>
  </si>
  <si>
    <t>15-A</t>
  </si>
  <si>
    <t>15-B</t>
  </si>
  <si>
    <t>15-C</t>
  </si>
  <si>
    <t>21-B</t>
  </si>
  <si>
    <t>23-B</t>
  </si>
  <si>
    <r>
      <rPr>
        <u/>
        <sz val="11"/>
        <rFont val="Garamond"/>
        <family val="1"/>
      </rPr>
      <t>Unidad 7 - Parte 3</t>
    </r>
    <r>
      <rPr>
        <sz val="11"/>
        <rFont val="Garamond"/>
        <family val="1"/>
      </rPr>
      <t>: Medición del costo de producción</t>
    </r>
  </si>
  <si>
    <r>
      <rPr>
        <u/>
        <sz val="11"/>
        <rFont val="Garamond"/>
        <family val="1"/>
      </rPr>
      <t>Unidad 7 - Partes 1 y 2</t>
    </r>
    <r>
      <rPr>
        <sz val="11"/>
        <rFont val="Garamond"/>
        <family val="1"/>
      </rPr>
      <t>: Consumo de activos</t>
    </r>
  </si>
  <si>
    <r>
      <rPr>
        <u/>
        <sz val="11"/>
        <rFont val="Garamond"/>
        <family val="1"/>
      </rPr>
      <t>Unidad 8 - Parte 1</t>
    </r>
    <r>
      <rPr>
        <sz val="11"/>
        <rFont val="Garamond"/>
        <family val="1"/>
      </rPr>
      <t>: Financiación del negocio, Pasivo y Patrimonio Neto.</t>
    </r>
  </si>
  <si>
    <r>
      <rPr>
        <u/>
        <sz val="11"/>
        <rFont val="Garamond"/>
        <family val="1"/>
      </rPr>
      <t>Unidad 8 - Partes 3 y 4</t>
    </r>
    <r>
      <rPr>
        <sz val="11"/>
        <rFont val="Garamond"/>
        <family val="1"/>
      </rPr>
      <t>: Bienes intangibles e Inversiones.</t>
    </r>
  </si>
  <si>
    <r>
      <rPr>
        <u/>
        <sz val="11"/>
        <rFont val="Garamond"/>
        <family val="1"/>
      </rPr>
      <t>Unidad 9</t>
    </r>
    <r>
      <rPr>
        <sz val="11"/>
        <rFont val="Garamond"/>
        <family val="1"/>
      </rPr>
      <t>: Preparación de Estados Contables</t>
    </r>
  </si>
  <si>
    <r>
      <rPr>
        <u/>
        <sz val="11"/>
        <rFont val="Garamond"/>
        <family val="1"/>
      </rPr>
      <t>Unidad 8 - Partes 2 y 5</t>
    </r>
    <r>
      <rPr>
        <sz val="11"/>
        <rFont val="Garamond"/>
        <family val="1"/>
      </rPr>
      <t>: Contingencias y Cierre de ejercicio.</t>
    </r>
  </si>
  <si>
    <t>BRONCE S.A.</t>
  </si>
  <si>
    <r>
      <rPr>
        <u/>
        <sz val="11"/>
        <rFont val="Garamond"/>
        <family val="1"/>
      </rPr>
      <t>Unidad 6 - Parte 2</t>
    </r>
    <r>
      <rPr>
        <sz val="11"/>
        <rFont val="Garamond"/>
        <family val="1"/>
      </rPr>
      <t>: Registración de operaciones básicas II</t>
    </r>
  </si>
  <si>
    <r>
      <rPr>
        <u/>
        <sz val="11"/>
        <rFont val="Garamond"/>
        <family val="1"/>
      </rPr>
      <t>Unidad 6 - Parte 1</t>
    </r>
    <r>
      <rPr>
        <sz val="11"/>
        <rFont val="Garamond"/>
        <family val="1"/>
      </rPr>
      <t>: Registración de operaciones básicas I</t>
    </r>
  </si>
  <si>
    <t>Resolución Ejercitación Adicional LUNA S.A.</t>
  </si>
  <si>
    <t>CASO 1: BASES DE MEDICIÓN</t>
  </si>
  <si>
    <t>i.</t>
  </si>
  <si>
    <t>Bases de medición</t>
  </si>
  <si>
    <t>Según direccionalidad</t>
  </si>
  <si>
    <t>Valores de entrada</t>
  </si>
  <si>
    <t>Valores de salida</t>
  </si>
  <si>
    <t>Según temporalidad</t>
  </si>
  <si>
    <t>Valores históricos</t>
  </si>
  <si>
    <t>CH</t>
  </si>
  <si>
    <t>Valores corrientes</t>
  </si>
  <si>
    <t>CR</t>
  </si>
  <si>
    <t>VU, VNR, VR</t>
  </si>
  <si>
    <t>ii.</t>
  </si>
  <si>
    <t>Valor futuro = Valor actual * (1 + Tasa de interés)</t>
  </si>
  <si>
    <t>Valor futuro = 100.000 * (1+10%)</t>
  </si>
  <si>
    <t>Valor futuro = 100.000 * 1,1</t>
  </si>
  <si>
    <t>Valor futuro = 110.000</t>
  </si>
  <si>
    <t>100.000 = Valor actual * (1 + 10%)</t>
  </si>
  <si>
    <t>Valor actual = 100.000 / 1,1</t>
  </si>
  <si>
    <t xml:space="preserve">Valor actual = </t>
  </si>
  <si>
    <t>Primer espacio: VALOR NOMINAL</t>
  </si>
  <si>
    <t>Segundo espacio: MÉTODO DE LA TASA EFECTIVA</t>
  </si>
  <si>
    <t>Tercer espacio: VALOR RAZONABLE</t>
  </si>
  <si>
    <t>CASO 2: VALOR RECUPERABLE</t>
  </si>
  <si>
    <t>VNR y VU</t>
  </si>
  <si>
    <t>No. El valor recuperable no es una base de medición, pues los elementos financieros no son susceptibles de ser medidos subsecuentemente en función de este valor, sino que funciona como una regla límite para evaluar la recuperabilidad de los activos.</t>
  </si>
  <si>
    <t>iii.a.</t>
  </si>
  <si>
    <t>Verdadero.</t>
  </si>
  <si>
    <t>iii.b.</t>
  </si>
  <si>
    <t>iii.c.</t>
  </si>
  <si>
    <t>Falso. La regla de valor límite sólo opera en que caso que el valor en libros del bien exceda su valor recuperable, pero si el valor recuperable supera el valor en libros, no corresponde un cambio en la medición del activo, sino que simplemente se concluye que el valor en libros es recuperable.</t>
  </si>
  <si>
    <t>Mercurio</t>
  </si>
  <si>
    <t>Venus</t>
  </si>
  <si>
    <t>Marte</t>
  </si>
  <si>
    <t>Júpiter</t>
  </si>
  <si>
    <t>VNR</t>
  </si>
  <si>
    <t>VU</t>
  </si>
  <si>
    <t>¿Hay problema de recuperabilidad?</t>
  </si>
  <si>
    <t>Medición del terreno al cierre</t>
  </si>
  <si>
    <t>CASO 3: MONEDAS, MONEDAS, MONEDAS</t>
  </si>
  <si>
    <t>Término</t>
  </si>
  <si>
    <t>Principio contable</t>
  </si>
  <si>
    <t>Moneda de cuenta</t>
  </si>
  <si>
    <t>Cuestión contable fundamental</t>
  </si>
  <si>
    <t>Unidad de medida</t>
  </si>
  <si>
    <t>Moneda del entorno económico primario</t>
  </si>
  <si>
    <t>Moneda funcional</t>
  </si>
  <si>
    <t>Moneda de poder adquisitivo uniforme</t>
  </si>
  <si>
    <t>Moneda homogénea</t>
  </si>
  <si>
    <t>Moneda de reporte</t>
  </si>
  <si>
    <t>Moneda de presentación</t>
  </si>
  <si>
    <t>CASO 4: AJUSTE POR INFLACIÓN</t>
  </si>
  <si>
    <t>Generaría una pérdida: Dinero en efectivo y Crédito a cobrar a un cliente.</t>
  </si>
  <si>
    <t>Generaría una ganancia: Préstamo sin cláusula de actualización monetaria y Deuda a pagar a proveedores a 30 días.</t>
  </si>
  <si>
    <t xml:space="preserve">a. Se produciría una pérdida, originada por el efecto inflacionario sufrido por el dinero en efectivo. </t>
  </si>
  <si>
    <t>b. En este caso, no se produciría ningún resultado, porque Capital y Mercaderías no representan partidas monetarias.</t>
  </si>
  <si>
    <t>iii.</t>
  </si>
  <si>
    <t>Balance al cierre:</t>
  </si>
  <si>
    <t xml:space="preserve">Escenario A: </t>
  </si>
  <si>
    <t xml:space="preserve">Escenario B: </t>
  </si>
  <si>
    <t xml:space="preserve">Escenario C: </t>
  </si>
  <si>
    <t>Préstamo</t>
  </si>
  <si>
    <t xml:space="preserve">Escenario D: </t>
  </si>
  <si>
    <t>CASO 5: INTEGRACIÓN</t>
  </si>
  <si>
    <t>Primer espacio:</t>
  </si>
  <si>
    <t>B. Valores corrientes</t>
  </si>
  <si>
    <t>Segundo espacio:</t>
  </si>
  <si>
    <t>E. Resultados por valuación a valores corrientes</t>
  </si>
  <si>
    <t>A. Valores históricos</t>
  </si>
  <si>
    <t>C. Rubros monetarios</t>
  </si>
  <si>
    <t>F. Resultados por exposición a la inflación</t>
  </si>
  <si>
    <t>iv.</t>
  </si>
  <si>
    <t>D. Rubros no monetarios</t>
  </si>
  <si>
    <t>Resolución Ejercitación Adicional SOL S.A.</t>
  </si>
  <si>
    <t>(a) CH -MN</t>
  </si>
  <si>
    <t>(b) CH -MH</t>
  </si>
  <si>
    <t>(c) CR -MN</t>
  </si>
  <si>
    <t>(d) CR -MH</t>
  </si>
  <si>
    <t>Costo venta</t>
  </si>
  <si>
    <t>Rdo. Bruto</t>
  </si>
  <si>
    <t>RXT</t>
  </si>
  <si>
    <t>REI</t>
  </si>
  <si>
    <t>Rdo. Neto</t>
  </si>
  <si>
    <t>INTANGIBLE</t>
  </si>
  <si>
    <t>, M MKNJNOJN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</si>
</sst>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43" formatCode="_-* #,##0.00_-;\-* #,##0.00_-;_-* &quot;-&quot;??_-;_-@_-"/>
    <numFmt numFmtId="164" formatCode="_(* #,##0.00_);_(* \(#,##0.00\);_(* &quot;-&quot;??_);_(@_)"/>
    <numFmt numFmtId="165" formatCode="_ &quot;$&quot;\ * #,##0.00_ ;_ &quot;$&quot;\ * \-#,##0.00_ ;_ &quot;$&quot;\ * &quot;-&quot;??_ ;_ @_ "/>
    <numFmt numFmtId="166" formatCode="_ * #,##0.00_ ;_ * \-#,##0.00_ ;_ * &quot;-&quot;??_ ;_ @_ "/>
    <numFmt numFmtId="167" formatCode="_ * #,##0_ ;_ * \-#,##0_ ;_ * &quot;-&quot;??_ ;_ @_ "/>
    <numFmt numFmtId="168" formatCode="_ * #,##0.000_ ;_ * \-#,##0.000_ ;_ * &quot;-&quot;??_ ;_ @_ "/>
    <numFmt numFmtId="169" formatCode="_ * #,##0_ ;_ * \(#,##0\)_ ;_ * &quot;-&quot;??_ ;_ @_ "/>
    <numFmt numFmtId="170" formatCode="_ &quot;$&quot;\ * #,##0_ ;_ &quot;$&quot;\ * \-#,##0_ ;_ &quot;$&quot;\ * &quot;-&quot;??_ ;_ @_ "/>
    <numFmt numFmtId="171" formatCode="_ * #,##0.0000_ ;_ * \-#,##0.0000_ ;_ * &quot;-&quot;??_ ;_ @_ "/>
    <numFmt numFmtId="172" formatCode="_ * #,##0.00000_ ;_ * \-#,##0.00000_ ;_ * &quot;-&quot;??_ ;_ @_ "/>
    <numFmt numFmtId="173" formatCode="_ * ###_ ;_ * \-###_ ;_ * &quot;-&quot;_ ;_ @_ "/>
    <numFmt numFmtId="174" formatCode="#,###;\(#,###\);&quot;  -  &quot;;@\ "/>
    <numFmt numFmtId="175" formatCode="#,###;\(#,###\);&quot;-&quot;;@\ "/>
    <numFmt numFmtId="176" formatCode="_ * #,##0_ ;_ * \(#,##0\)_ ;_ * &quot;-&quot;_ ;_ @_ "/>
    <numFmt numFmtId="177" formatCode="_ * #,##0.0_ ;_ * \-#,##0.0_ ;_ * &quot;-&quot;??_ ;_ @_ "/>
    <numFmt numFmtId="178" formatCode="_ * #,##0.00_ ;_ * \(#,##0.00\)_ ;_ * &quot;-&quot;??_ ;_ @_ "/>
    <numFmt numFmtId="179" formatCode="#,##0_ ;\-#,##0\ "/>
    <numFmt numFmtId="180" formatCode="0.0%"/>
    <numFmt numFmtId="181" formatCode="_ * #,##0\ _ ;_ * \(#,##0\)_ ;_ * &quot;-&quot;??_ ;_ @_ "/>
    <numFmt numFmtId="182" formatCode="_ * #,##0\ _ ;_ * \(#,##0\)_ ;_ * &quot; - &quot;??_ ;_ @_ "/>
    <numFmt numFmtId="183" formatCode="_ * #,##0\ _ ;_ * \(#,##0\)_ ;_ * &quot;-&quot;_ ;_ @_ "/>
    <numFmt numFmtId="184" formatCode="[$USD]\ #,##0;[$USD]\ \-#,##0"/>
    <numFmt numFmtId="185" formatCode="#,##0.00_ ;\-#,##0.00\ "/>
    <numFmt numFmtId="186" formatCode="_ * #,##0.00000000_ ;_ * \-#,##0.00000000_ ;_ * &quot;-&quot;??_ ;_ @_ "/>
    <numFmt numFmtId="187" formatCode="_-* #,##0.00\ _€_-;\-* #,##0.00\ _€_-;_-* &quot;-&quot;??\ _€_-;_-@_-"/>
    <numFmt numFmtId="188" formatCode="_-* #,##0\ _€_-;\-* #,##0\ _€_-;_-* &quot;-&quot;??\ _€_-;_-@_-"/>
    <numFmt numFmtId="189" formatCode="_ * #,##0.00\ _ ;_ * \(#,##0.00\)_ ;_ * &quot;-&quot;_ ;_ @_ "/>
    <numFmt numFmtId="190" formatCode="_ * #,##0\ ;_ * \(#,##0\);_ * &quot;-&quot;\ ;_ @_ "/>
    <numFmt numFmtId="191" formatCode="_ * #,##0.00\ ;_ * \(#,##0.00\);_ * &quot;-&quot;\ ;_ @_ "/>
    <numFmt numFmtId="192" formatCode="_-* #,##0_-;\-* #,##0_-;_-* &quot;-&quot;??_-;_-@_-"/>
  </numFmts>
  <fonts count="169" x14ac:knownFonts="1">
    <font>
      <sz val="11"/>
      <color theme="1"/>
      <name val="Calibri"/>
      <family val="2"/>
      <scheme val="minor"/>
    </font>
    <font>
      <sz val="11"/>
      <color theme="1"/>
      <name val="Calibri"/>
      <family val="2"/>
      <scheme val="minor"/>
    </font>
    <font>
      <sz val="11"/>
      <color theme="1"/>
      <name val="Garamond"/>
      <family val="1"/>
    </font>
    <font>
      <b/>
      <sz val="11"/>
      <color theme="1"/>
      <name val="Garamond"/>
      <family val="1"/>
    </font>
    <font>
      <b/>
      <i/>
      <sz val="11"/>
      <color theme="1"/>
      <name val="Garamond"/>
      <family val="1"/>
    </font>
    <font>
      <b/>
      <u/>
      <sz val="11"/>
      <color theme="1"/>
      <name val="Garamond"/>
      <family val="1"/>
    </font>
    <font>
      <i/>
      <sz val="11"/>
      <color theme="1"/>
      <name val="Garamond"/>
      <family val="1"/>
    </font>
    <font>
      <strike/>
      <sz val="11"/>
      <color theme="1"/>
      <name val="Garamond"/>
      <family val="1"/>
    </font>
    <font>
      <sz val="9"/>
      <color theme="1"/>
      <name val="Garamond"/>
      <family val="1"/>
    </font>
    <font>
      <i/>
      <sz val="9"/>
      <color theme="1"/>
      <name val="Garamond"/>
      <family val="1"/>
    </font>
    <font>
      <sz val="10"/>
      <color theme="1"/>
      <name val="Garamond"/>
      <family val="1"/>
    </font>
    <font>
      <u val="singleAccounting"/>
      <sz val="11"/>
      <color theme="1"/>
      <name val="Garamond"/>
      <family val="1"/>
    </font>
    <font>
      <i/>
      <u/>
      <sz val="11"/>
      <color theme="1"/>
      <name val="Garamond"/>
      <family val="1"/>
    </font>
    <font>
      <b/>
      <sz val="9"/>
      <color theme="1"/>
      <name val="Garamond"/>
      <family val="1"/>
    </font>
    <font>
      <b/>
      <i/>
      <sz val="9"/>
      <color theme="1"/>
      <name val="Garamond"/>
      <family val="1"/>
    </font>
    <font>
      <b/>
      <i/>
      <sz val="8"/>
      <color theme="1"/>
      <name val="Garamond"/>
      <family val="1"/>
    </font>
    <font>
      <b/>
      <sz val="12"/>
      <color theme="1"/>
      <name val="MV Boli"/>
    </font>
    <font>
      <sz val="10"/>
      <color theme="1"/>
      <name val="MV Boli"/>
    </font>
    <font>
      <sz val="10"/>
      <color theme="1"/>
      <name val="Calibri"/>
      <family val="2"/>
      <scheme val="minor"/>
    </font>
    <font>
      <u/>
      <sz val="10"/>
      <color theme="1"/>
      <name val="MV Boli"/>
    </font>
    <font>
      <b/>
      <i/>
      <sz val="11"/>
      <color rgb="FF00B050"/>
      <name val="Garamond"/>
      <family val="1"/>
    </font>
    <font>
      <b/>
      <sz val="10"/>
      <color theme="1"/>
      <name val="Garamond"/>
      <family val="1"/>
    </font>
    <font>
      <b/>
      <sz val="8"/>
      <color theme="1"/>
      <name val="Garamond"/>
      <family val="1"/>
    </font>
    <font>
      <b/>
      <i/>
      <u/>
      <sz val="11"/>
      <color theme="1"/>
      <name val="Garamond"/>
      <family val="1"/>
    </font>
    <font>
      <b/>
      <i/>
      <sz val="16"/>
      <color rgb="FFFF0000"/>
      <name val="Garamond"/>
      <family val="1"/>
    </font>
    <font>
      <b/>
      <i/>
      <sz val="10"/>
      <color theme="1"/>
      <name val="Garamond"/>
      <family val="1"/>
    </font>
    <font>
      <i/>
      <sz val="8"/>
      <color theme="1"/>
      <name val="Garamond"/>
      <family val="1"/>
    </font>
    <font>
      <b/>
      <i/>
      <sz val="11"/>
      <color rgb="FFFF0000"/>
      <name val="Garamond"/>
      <family val="1"/>
    </font>
    <font>
      <sz val="9"/>
      <color theme="1"/>
      <name val="Arial Narrow"/>
      <family val="2"/>
    </font>
    <font>
      <sz val="10"/>
      <color theme="1"/>
      <name val="Arial Narrow"/>
      <family val="2"/>
    </font>
    <font>
      <u val="singleAccounting"/>
      <sz val="9"/>
      <color theme="1"/>
      <name val="Arial Narrow"/>
      <family val="2"/>
    </font>
    <font>
      <sz val="9"/>
      <color rgb="FF00B050"/>
      <name val="Arial Narrow"/>
      <family val="2"/>
    </font>
    <font>
      <b/>
      <sz val="10"/>
      <color rgb="FF00B050"/>
      <name val="Garamond"/>
      <family val="1"/>
    </font>
    <font>
      <u/>
      <sz val="11"/>
      <color theme="1"/>
      <name val="Garamond"/>
      <family val="1"/>
    </font>
    <font>
      <u/>
      <sz val="9"/>
      <color theme="1"/>
      <name val="Garamond"/>
      <family val="1"/>
    </font>
    <font>
      <i/>
      <sz val="10"/>
      <color theme="1"/>
      <name val="Garamond"/>
      <family val="1"/>
    </font>
    <font>
      <sz val="12"/>
      <color theme="1"/>
      <name val="Garamond"/>
      <family val="1"/>
    </font>
    <font>
      <sz val="10"/>
      <name val="Arial"/>
      <family val="2"/>
    </font>
    <font>
      <sz val="11"/>
      <name val="Garamond"/>
      <family val="1"/>
    </font>
    <font>
      <b/>
      <sz val="11"/>
      <name val="Garamond"/>
      <family val="1"/>
    </font>
    <font>
      <i/>
      <sz val="11"/>
      <name val="Garamond"/>
      <family val="1"/>
    </font>
    <font>
      <b/>
      <sz val="9"/>
      <color theme="1"/>
      <name val="Arial Narrow"/>
      <family val="2"/>
    </font>
    <font>
      <b/>
      <sz val="12"/>
      <color theme="1"/>
      <name val="Garamond"/>
      <family val="1"/>
    </font>
    <font>
      <b/>
      <u/>
      <sz val="12"/>
      <color theme="1"/>
      <name val="Garamond"/>
      <family val="1"/>
    </font>
    <font>
      <sz val="12"/>
      <color theme="1"/>
      <name val="Calibri"/>
      <family val="2"/>
    </font>
    <font>
      <sz val="11"/>
      <color theme="1"/>
      <name val="Wingdings"/>
      <charset val="2"/>
    </font>
    <font>
      <sz val="11"/>
      <color rgb="FF00B050"/>
      <name val="Garamond"/>
      <family val="1"/>
    </font>
    <font>
      <sz val="11"/>
      <color rgb="FF0000FF"/>
      <name val="Garamond"/>
      <family val="1"/>
    </font>
    <font>
      <sz val="11"/>
      <color rgb="FFFF0000"/>
      <name val="Garamond"/>
      <family val="1"/>
    </font>
    <font>
      <i/>
      <sz val="11"/>
      <color theme="3"/>
      <name val="Garamond"/>
      <family val="1"/>
    </font>
    <font>
      <i/>
      <u/>
      <sz val="11"/>
      <color theme="3"/>
      <name val="Garamond"/>
      <family val="1"/>
    </font>
    <font>
      <b/>
      <i/>
      <sz val="11"/>
      <color theme="3"/>
      <name val="Garamond"/>
      <family val="1"/>
    </font>
    <font>
      <i/>
      <u/>
      <sz val="11"/>
      <name val="Garamond"/>
      <family val="1"/>
    </font>
    <font>
      <b/>
      <u/>
      <sz val="11"/>
      <name val="Garamond"/>
      <family val="1"/>
    </font>
    <font>
      <i/>
      <sz val="11"/>
      <color theme="1"/>
      <name val="Arial Narrow"/>
      <family val="2"/>
    </font>
    <font>
      <u/>
      <sz val="10"/>
      <color theme="1"/>
      <name val="Garamond"/>
      <family val="1"/>
    </font>
    <font>
      <sz val="10"/>
      <name val="Garamond"/>
      <family val="1"/>
    </font>
    <font>
      <i/>
      <sz val="11"/>
      <color rgb="FF0070C0"/>
      <name val="Garamond"/>
      <family val="1"/>
    </font>
    <font>
      <sz val="11"/>
      <color rgb="FF0070C0"/>
      <name val="Garamond"/>
      <family val="1"/>
    </font>
    <font>
      <b/>
      <i/>
      <sz val="11"/>
      <color rgb="FF0070C0"/>
      <name val="Garamond"/>
      <family val="1"/>
    </font>
    <font>
      <sz val="11"/>
      <color theme="1"/>
      <name val="Palatino Linotype"/>
      <family val="1"/>
    </font>
    <font>
      <i/>
      <sz val="12"/>
      <color theme="1"/>
      <name val="Garamond"/>
      <family val="1"/>
    </font>
    <font>
      <i/>
      <u/>
      <sz val="12"/>
      <color theme="1"/>
      <name val="Garamond"/>
      <family val="1"/>
    </font>
    <font>
      <sz val="12"/>
      <color theme="1"/>
      <name val="Wingdings 3"/>
      <family val="1"/>
      <charset val="2"/>
    </font>
    <font>
      <sz val="12"/>
      <color theme="1"/>
      <name val="Palatino Linotype"/>
      <family val="1"/>
    </font>
    <font>
      <sz val="8"/>
      <color theme="1"/>
      <name val="Garamond"/>
      <family val="1"/>
    </font>
    <font>
      <b/>
      <sz val="11"/>
      <color rgb="FFDA32BA"/>
      <name val="Garamond"/>
      <family val="1"/>
    </font>
    <font>
      <sz val="11"/>
      <color indexed="8"/>
      <name val="Garamond"/>
      <family val="1"/>
    </font>
    <font>
      <sz val="11"/>
      <color rgb="FF000000"/>
      <name val="Garamond"/>
      <family val="1"/>
    </font>
    <font>
      <u/>
      <sz val="11"/>
      <color indexed="8"/>
      <name val="Garamond"/>
      <family val="1"/>
    </font>
    <font>
      <b/>
      <sz val="11"/>
      <color rgb="FF00B0F0"/>
      <name val="Garamond"/>
      <family val="1"/>
    </font>
    <font>
      <b/>
      <sz val="11"/>
      <color indexed="14"/>
      <name val="Garamond"/>
      <family val="1"/>
    </font>
    <font>
      <b/>
      <sz val="11"/>
      <color indexed="40"/>
      <name val="Garamond"/>
      <family val="1"/>
    </font>
    <font>
      <sz val="11"/>
      <color indexed="14"/>
      <name val="Garamond"/>
      <family val="1"/>
    </font>
    <font>
      <u/>
      <sz val="11"/>
      <name val="Garamond"/>
      <family val="1"/>
    </font>
    <font>
      <u/>
      <sz val="11"/>
      <color indexed="40"/>
      <name val="Garamond"/>
      <family val="1"/>
    </font>
    <font>
      <u val="singleAccounting"/>
      <sz val="11"/>
      <name val="Garamond"/>
      <family val="1"/>
    </font>
    <font>
      <b/>
      <sz val="11"/>
      <color rgb="FF66CCFF"/>
      <name val="Garamond"/>
      <family val="1"/>
    </font>
    <font>
      <b/>
      <sz val="11"/>
      <color rgb="FFFF3399"/>
      <name val="Garamond"/>
      <family val="1"/>
    </font>
    <font>
      <sz val="9"/>
      <color theme="1"/>
      <name val="Arial"/>
      <family val="2"/>
    </font>
    <font>
      <i/>
      <u val="singleAccounting"/>
      <sz val="11"/>
      <color theme="1"/>
      <name val="Garamond"/>
      <family val="1"/>
    </font>
    <font>
      <sz val="11"/>
      <color theme="1"/>
      <name val="Calibri"/>
      <family val="2"/>
    </font>
    <font>
      <i/>
      <sz val="11"/>
      <color rgb="FFFF0000"/>
      <name val="Garamond"/>
      <family val="1"/>
    </font>
    <font>
      <b/>
      <i/>
      <sz val="11"/>
      <name val="Garamond"/>
      <family val="1"/>
    </font>
    <font>
      <i/>
      <sz val="11"/>
      <color rgb="FF000000"/>
      <name val="Garamond"/>
      <family val="1"/>
    </font>
    <font>
      <i/>
      <sz val="10.5"/>
      <color rgb="FF000000"/>
      <name val="Garamond"/>
      <family val="1"/>
    </font>
    <font>
      <sz val="18"/>
      <color theme="1"/>
      <name val="Webdings"/>
      <family val="1"/>
      <charset val="2"/>
    </font>
    <font>
      <b/>
      <i/>
      <u/>
      <sz val="12"/>
      <color theme="1"/>
      <name val="Garamond"/>
      <family val="1"/>
    </font>
    <font>
      <b/>
      <sz val="10"/>
      <name val="Garamond"/>
      <family val="1"/>
    </font>
    <font>
      <i/>
      <sz val="11"/>
      <color rgb="FFFF0000"/>
      <name val="Wingdings"/>
      <charset val="2"/>
    </font>
    <font>
      <i/>
      <sz val="11"/>
      <color rgb="FF00B050"/>
      <name val="Wingdings"/>
      <charset val="2"/>
    </font>
    <font>
      <b/>
      <sz val="11"/>
      <color rgb="FFFF0000"/>
      <name val="Garamond"/>
      <family val="1"/>
    </font>
    <font>
      <b/>
      <i/>
      <sz val="12"/>
      <color theme="1"/>
      <name val="Garamond"/>
      <family val="1"/>
    </font>
    <font>
      <strike/>
      <sz val="9"/>
      <color theme="1"/>
      <name val="Garamond"/>
      <family val="1"/>
    </font>
    <font>
      <sz val="9"/>
      <name val="Garamond"/>
      <family val="1"/>
    </font>
    <font>
      <b/>
      <i/>
      <u/>
      <sz val="11"/>
      <color rgb="FF00B050"/>
      <name val="Garamond"/>
      <family val="1"/>
    </font>
    <font>
      <b/>
      <sz val="10"/>
      <name val="Arial"/>
      <family val="2"/>
    </font>
    <font>
      <u/>
      <sz val="12"/>
      <color theme="1"/>
      <name val="Garamond"/>
      <family val="1"/>
    </font>
    <font>
      <sz val="12"/>
      <color theme="1"/>
      <name val="Symbol"/>
      <family val="1"/>
      <charset val="2"/>
    </font>
    <font>
      <b/>
      <u/>
      <sz val="12"/>
      <color theme="1"/>
      <name val="Book Antiqua"/>
      <family val="1"/>
    </font>
    <font>
      <sz val="12"/>
      <color theme="1"/>
      <name val="Book Antiqua"/>
      <family val="1"/>
    </font>
    <font>
      <sz val="8"/>
      <color theme="1"/>
      <name val="Book Antiqua"/>
      <family val="1"/>
    </font>
    <font>
      <sz val="11"/>
      <color theme="1"/>
      <name val="Book Antiqua"/>
      <family val="1"/>
    </font>
    <font>
      <b/>
      <sz val="8"/>
      <color theme="1"/>
      <name val="Book Antiqua"/>
      <family val="1"/>
    </font>
    <font>
      <b/>
      <sz val="12"/>
      <color theme="0"/>
      <name val="Garamond"/>
      <family val="1"/>
    </font>
    <font>
      <b/>
      <sz val="9"/>
      <color theme="1"/>
      <name val="Book Antiqua"/>
      <family val="1"/>
    </font>
    <font>
      <sz val="10"/>
      <color theme="1"/>
      <name val="Book Antiqua"/>
      <family val="1"/>
    </font>
    <font>
      <b/>
      <sz val="10"/>
      <color theme="1"/>
      <name val="Book Antiqua"/>
      <family val="1"/>
    </font>
    <font>
      <i/>
      <sz val="10"/>
      <color theme="1"/>
      <name val="Book Antiqua"/>
      <family val="1"/>
    </font>
    <font>
      <i/>
      <sz val="11"/>
      <color theme="1"/>
      <name val="Book Antiqua"/>
      <family val="1"/>
    </font>
    <font>
      <b/>
      <sz val="11"/>
      <color theme="1"/>
      <name val="Book Antiqua"/>
      <family val="1"/>
    </font>
    <font>
      <sz val="9"/>
      <color theme="1"/>
      <name val="Book Antiqua"/>
      <family val="1"/>
    </font>
    <font>
      <b/>
      <i/>
      <sz val="11"/>
      <color rgb="FF000000"/>
      <name val="Garamond"/>
      <family val="1"/>
    </font>
    <font>
      <b/>
      <u val="singleAccounting"/>
      <sz val="11"/>
      <color theme="1"/>
      <name val="Garamond"/>
      <family val="1"/>
    </font>
    <font>
      <b/>
      <sz val="11"/>
      <color rgb="FF000000"/>
      <name val="Garamond"/>
      <family val="1"/>
    </font>
    <font>
      <b/>
      <i/>
      <sz val="10"/>
      <color rgb="FF000000"/>
      <name val="Garamond"/>
      <family val="1"/>
    </font>
    <font>
      <i/>
      <sz val="10"/>
      <name val="Garamond"/>
      <family val="1"/>
    </font>
    <font>
      <sz val="10"/>
      <color rgb="FF000000"/>
      <name val="Garamond"/>
      <family val="1"/>
    </font>
    <font>
      <b/>
      <i/>
      <sz val="10"/>
      <name val="Garamond"/>
      <family val="1"/>
    </font>
    <font>
      <b/>
      <sz val="10"/>
      <color rgb="FF000000"/>
      <name val="Garamond"/>
      <family val="1"/>
    </font>
    <font>
      <b/>
      <u/>
      <sz val="10"/>
      <name val="Arial"/>
      <family val="2"/>
    </font>
    <font>
      <b/>
      <u val="doubleAccounting"/>
      <sz val="11"/>
      <name val="Garamond"/>
      <family val="1"/>
    </font>
    <font>
      <b/>
      <i/>
      <sz val="11"/>
      <color rgb="FFFF9933"/>
      <name val="Garamond"/>
      <family val="1"/>
    </font>
    <font>
      <u/>
      <sz val="10"/>
      <name val="Arial"/>
      <family val="2"/>
    </font>
    <font>
      <i/>
      <sz val="10"/>
      <name val="Arial"/>
      <family val="2"/>
    </font>
    <font>
      <b/>
      <sz val="12"/>
      <color rgb="FF000000"/>
      <name val="Garamond"/>
      <family val="1"/>
    </font>
    <font>
      <sz val="12"/>
      <color rgb="FF000000"/>
      <name val="Garamond"/>
      <family val="1"/>
    </font>
    <font>
      <i/>
      <sz val="12"/>
      <color rgb="FF000000"/>
      <name val="Garamond"/>
      <family val="1"/>
    </font>
    <font>
      <b/>
      <u/>
      <sz val="12"/>
      <color rgb="FF000000"/>
      <name val="Garamond"/>
      <family val="1"/>
    </font>
    <font>
      <u val="singleAccounting"/>
      <sz val="12"/>
      <color rgb="FF000000"/>
      <name val="Garamond"/>
      <family val="1"/>
    </font>
    <font>
      <u val="singleAccounting"/>
      <sz val="12"/>
      <color theme="1"/>
      <name val="Garamond"/>
      <family val="1"/>
    </font>
    <font>
      <u/>
      <sz val="12"/>
      <color rgb="FF000000"/>
      <name val="Garamond"/>
      <family val="1"/>
    </font>
    <font>
      <sz val="11"/>
      <color theme="1"/>
      <name val="Marlett"/>
      <charset val="2"/>
    </font>
    <font>
      <b/>
      <sz val="11"/>
      <color theme="0"/>
      <name val="Garamond"/>
      <family val="1"/>
    </font>
    <font>
      <b/>
      <sz val="8"/>
      <color rgb="FF00B050"/>
      <name val="Wingdings"/>
      <charset val="2"/>
    </font>
    <font>
      <sz val="11"/>
      <color rgb="FF333399"/>
      <name val="Garamond"/>
      <family val="1"/>
    </font>
    <font>
      <i/>
      <sz val="11"/>
      <color rgb="FF333399"/>
      <name val="Garamond"/>
      <family val="1"/>
    </font>
    <font>
      <b/>
      <i/>
      <u/>
      <sz val="10"/>
      <color theme="1"/>
      <name val="Garamond"/>
      <family val="1"/>
    </font>
    <font>
      <i/>
      <sz val="11"/>
      <color theme="1"/>
      <name val="Calibri"/>
      <family val="2"/>
    </font>
    <font>
      <sz val="11"/>
      <color theme="1"/>
      <name val="Bodoni MT Condensed"/>
      <family val="1"/>
    </font>
    <font>
      <sz val="10"/>
      <color theme="1"/>
      <name val="Bodoni MT Condensed"/>
      <family val="1"/>
    </font>
    <font>
      <sz val="10"/>
      <color theme="0"/>
      <name val="Bodoni MT Condensed"/>
      <family val="1"/>
    </font>
    <font>
      <b/>
      <u/>
      <sz val="9"/>
      <color theme="1"/>
      <name val="Garamond"/>
      <family val="1"/>
    </font>
    <font>
      <b/>
      <i/>
      <sz val="11"/>
      <color rgb="FF002060"/>
      <name val="Garamond"/>
      <family val="1"/>
    </font>
    <font>
      <sz val="10"/>
      <name val="Cambria"/>
      <family val="2"/>
      <scheme val="major"/>
    </font>
    <font>
      <strike/>
      <sz val="8"/>
      <color theme="1"/>
      <name val="Garamond"/>
      <family val="1"/>
    </font>
    <font>
      <i/>
      <u/>
      <sz val="8"/>
      <color theme="1"/>
      <name val="Garamond"/>
      <family val="1"/>
    </font>
    <font>
      <i/>
      <sz val="11"/>
      <color theme="5" tint="-0.249977111117893"/>
      <name val="Garamond"/>
      <family val="1"/>
    </font>
    <font>
      <i/>
      <u/>
      <sz val="11"/>
      <color theme="5" tint="-0.249977111117893"/>
      <name val="Garamond"/>
      <family val="1"/>
    </font>
    <font>
      <b/>
      <i/>
      <u/>
      <sz val="11"/>
      <name val="Garamond"/>
      <family val="1"/>
    </font>
    <font>
      <sz val="11"/>
      <color theme="1"/>
      <name val="Agency FB"/>
      <family val="2"/>
    </font>
    <font>
      <sz val="11"/>
      <color theme="1"/>
      <name val="Gill Sans MT Condensed"/>
      <family val="2"/>
    </font>
    <font>
      <b/>
      <sz val="11"/>
      <color rgb="FF00B050"/>
      <name val="Garamond"/>
      <family val="1"/>
    </font>
    <font>
      <sz val="12"/>
      <color theme="1"/>
      <name val="Wingdings"/>
      <charset val="2"/>
    </font>
    <font>
      <u/>
      <sz val="11"/>
      <color theme="10"/>
      <name val="Calibri"/>
      <family val="2"/>
      <scheme val="minor"/>
    </font>
    <font>
      <u/>
      <sz val="22"/>
      <color rgb="FF0070C0"/>
      <name val="Wingdings"/>
      <charset val="2"/>
    </font>
    <font>
      <b/>
      <sz val="9"/>
      <color theme="0"/>
      <name val="Garamond"/>
      <family val="1"/>
    </font>
    <font>
      <b/>
      <sz val="9"/>
      <name val="Garamond"/>
      <family val="1"/>
    </font>
    <font>
      <b/>
      <sz val="9"/>
      <color rgb="FFFF0000"/>
      <name val="Garamond"/>
      <family val="1"/>
    </font>
    <font>
      <b/>
      <u/>
      <sz val="10"/>
      <color theme="1"/>
      <name val="Garamond"/>
      <family val="1"/>
    </font>
    <font>
      <u val="singleAccounting"/>
      <sz val="10"/>
      <color theme="1"/>
      <name val="Garamond"/>
      <family val="1"/>
    </font>
    <font>
      <i/>
      <u/>
      <sz val="10"/>
      <color theme="1"/>
      <name val="Garamond"/>
      <family val="1"/>
    </font>
    <font>
      <i/>
      <u/>
      <sz val="9"/>
      <color theme="1"/>
      <name val="Garamond"/>
      <family val="1"/>
    </font>
    <font>
      <u val="singleAccounting"/>
      <sz val="12"/>
      <color theme="1"/>
      <name val="Calibri"/>
      <family val="2"/>
    </font>
    <font>
      <b/>
      <u/>
      <sz val="8"/>
      <color theme="1"/>
      <name val="Calibri"/>
      <family val="2"/>
    </font>
    <font>
      <sz val="8"/>
      <color theme="1"/>
      <name val="Calibri"/>
      <family val="2"/>
    </font>
    <font>
      <b/>
      <sz val="8"/>
      <color theme="1"/>
      <name val="Calibri"/>
      <family val="2"/>
    </font>
    <font>
      <u/>
      <sz val="8"/>
      <color theme="1"/>
      <name val="Calibri"/>
      <family val="2"/>
    </font>
    <font>
      <i/>
      <sz val="8"/>
      <color theme="1"/>
      <name val="Calibri"/>
      <family val="2"/>
    </font>
  </fonts>
  <fills count="38">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DDF2DA"/>
        <bgColor indexed="64"/>
      </patternFill>
    </fill>
    <fill>
      <patternFill patternType="solid">
        <fgColor rgb="FFFFFFE1"/>
        <bgColor indexed="64"/>
      </patternFill>
    </fill>
    <fill>
      <patternFill patternType="solid">
        <fgColor rgb="FFEFFFEF"/>
        <bgColor indexed="64"/>
      </patternFill>
    </fill>
    <fill>
      <patternFill patternType="solid">
        <fgColor theme="4" tint="0.59999389629810485"/>
        <bgColor indexed="64"/>
      </patternFill>
    </fill>
    <fill>
      <patternFill patternType="solid">
        <fgColor rgb="FFECF2F8"/>
        <bgColor indexed="64"/>
      </patternFill>
    </fill>
    <fill>
      <patternFill patternType="solid">
        <fgColor theme="0"/>
        <bgColor indexed="64"/>
      </patternFill>
    </fill>
    <fill>
      <patternFill patternType="solid">
        <fgColor theme="8" tint="0.79998168889431442"/>
        <bgColor indexed="64"/>
      </patternFill>
    </fill>
    <fill>
      <patternFill patternType="solid">
        <fgColor rgb="FFEAF0F6"/>
        <bgColor indexed="64"/>
      </patternFill>
    </fill>
    <fill>
      <patternFill patternType="solid">
        <fgColor rgb="FFE9FECE"/>
        <bgColor indexed="64"/>
      </patternFill>
    </fill>
    <fill>
      <patternFill patternType="solid">
        <fgColor theme="3" tint="0.79998168889431442"/>
        <bgColor indexed="64"/>
      </patternFill>
    </fill>
    <fill>
      <patternFill patternType="solid">
        <fgColor rgb="FFE3D6EE"/>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B3FFB3"/>
        <bgColor indexed="64"/>
      </patternFill>
    </fill>
    <fill>
      <patternFill patternType="solid">
        <fgColor theme="5"/>
        <bgColor indexed="64"/>
      </patternFill>
    </fill>
    <fill>
      <patternFill patternType="solid">
        <fgColor theme="9" tint="0.59999389629810485"/>
        <bgColor indexed="64"/>
      </patternFill>
    </fill>
    <fill>
      <patternFill patternType="solid">
        <fgColor theme="4"/>
        <bgColor indexed="64"/>
      </patternFill>
    </fill>
    <fill>
      <patternFill patternType="solid">
        <fgColor theme="5" tint="0.39997558519241921"/>
        <bgColor indexed="64"/>
      </patternFill>
    </fill>
    <fill>
      <patternFill patternType="solid">
        <fgColor rgb="FFCCFFCC"/>
        <bgColor indexed="64"/>
      </patternFill>
    </fill>
    <fill>
      <patternFill patternType="solid">
        <fgColor rgb="FFFFFFFF"/>
        <bgColor indexed="64"/>
      </patternFill>
    </fill>
    <fill>
      <patternFill patternType="solid">
        <fgColor theme="6" tint="0.59999389629810485"/>
        <bgColor indexed="64"/>
      </patternFill>
    </fill>
    <fill>
      <patternFill patternType="solid">
        <fgColor rgb="FFFFFFCC"/>
        <bgColor indexed="64"/>
      </patternFill>
    </fill>
    <fill>
      <patternFill patternType="solid">
        <fgColor rgb="FFDBFAD2"/>
        <bgColor indexed="64"/>
      </patternFill>
    </fill>
    <fill>
      <patternFill patternType="solid">
        <fgColor theme="1"/>
        <bgColor indexed="64"/>
      </patternFill>
    </fill>
    <fill>
      <patternFill patternType="solid">
        <fgColor theme="6" tint="0.39997558519241921"/>
        <bgColor indexed="64"/>
      </patternFill>
    </fill>
    <fill>
      <patternFill patternType="solid">
        <fgColor rgb="FFE2F3FE"/>
        <bgColor indexed="64"/>
      </patternFill>
    </fill>
    <fill>
      <patternFill patternType="solid">
        <fgColor rgb="FF0070C0"/>
        <bgColor indexed="64"/>
      </patternFill>
    </fill>
    <fill>
      <patternFill patternType="solid">
        <fgColor theme="3"/>
        <bgColor indexed="64"/>
      </patternFill>
    </fill>
    <fill>
      <patternFill patternType="solid">
        <fgColor theme="1" tint="0.499984740745262"/>
        <bgColor indexed="64"/>
      </patternFill>
    </fill>
    <fill>
      <patternFill patternType="solid">
        <fgColor indexed="9"/>
        <bgColor indexed="64"/>
      </patternFill>
    </fill>
    <fill>
      <patternFill patternType="solid">
        <fgColor theme="2" tint="-9.9978637043366805E-2"/>
        <bgColor indexed="64"/>
      </patternFill>
    </fill>
    <fill>
      <patternFill patternType="solid">
        <fgColor rgb="FFFFFF00"/>
        <bgColor indexed="64"/>
      </patternFill>
    </fill>
  </fills>
  <borders count="10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thin">
        <color indexed="64"/>
      </left>
      <right style="thin">
        <color indexed="64"/>
      </right>
      <top/>
      <bottom/>
      <diagonal/>
    </border>
    <border>
      <left style="dotted">
        <color auto="1"/>
      </left>
      <right/>
      <top/>
      <bottom/>
      <diagonal/>
    </border>
    <border>
      <left/>
      <right style="dotted">
        <color auto="1"/>
      </right>
      <top/>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thin">
        <color indexed="64"/>
      </bottom>
      <diagonal/>
    </border>
    <border>
      <left/>
      <right style="dotted">
        <color auto="1"/>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top/>
      <bottom style="thin">
        <color theme="0" tint="-0.24994659260841701"/>
      </bottom>
      <diagonal/>
    </border>
    <border>
      <left/>
      <right style="thin">
        <color indexed="64"/>
      </right>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diagonal/>
    </border>
    <border>
      <left/>
      <right/>
      <top style="thin">
        <color theme="0" tint="-0.24994659260841701"/>
      </top>
      <bottom/>
      <diagonal/>
    </border>
    <border>
      <left/>
      <right style="thin">
        <color indexed="64"/>
      </right>
      <top style="thin">
        <color theme="0" tint="-0.24994659260841701"/>
      </top>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thin">
        <color indexed="64"/>
      </left>
      <right/>
      <top style="thin">
        <color indexed="64"/>
      </top>
      <bottom style="thin">
        <color theme="0" tint="-0.24994659260841701"/>
      </bottom>
      <diagonal/>
    </border>
    <border>
      <left/>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top style="thin">
        <color theme="0" tint="-0.24994659260841701"/>
      </top>
      <bottom/>
      <diagonal/>
    </border>
    <border>
      <left style="thin">
        <color indexed="64"/>
      </left>
      <right style="thin">
        <color indexed="64"/>
      </right>
      <top style="thin">
        <color indexed="64"/>
      </top>
      <bottom style="medium">
        <color indexed="64"/>
      </bottom>
      <diagonal/>
    </border>
    <border>
      <left style="medium">
        <color auto="1"/>
      </left>
      <right/>
      <top/>
      <bottom/>
      <diagonal/>
    </border>
    <border>
      <left/>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top/>
      <bottom style="medium">
        <color auto="1"/>
      </bottom>
      <diagonal/>
    </border>
    <border>
      <left/>
      <right/>
      <top style="medium">
        <color auto="1"/>
      </top>
      <bottom/>
      <diagonal/>
    </border>
    <border>
      <left style="medium">
        <color auto="1"/>
      </left>
      <right/>
      <top style="medium">
        <color auto="1"/>
      </top>
      <bottom/>
      <diagonal/>
    </border>
    <border>
      <left/>
      <right/>
      <top style="thin">
        <color auto="1"/>
      </top>
      <bottom style="medium">
        <color rgb="FFFFC000"/>
      </bottom>
      <diagonal/>
    </border>
    <border>
      <left style="medium">
        <color auto="1"/>
      </left>
      <right/>
      <top style="thin">
        <color auto="1"/>
      </top>
      <bottom style="medium">
        <color rgb="FFEECE0C"/>
      </bottom>
      <diagonal/>
    </border>
    <border>
      <left/>
      <right style="medium">
        <color auto="1"/>
      </right>
      <top/>
      <bottom/>
      <diagonal/>
    </border>
    <border>
      <left/>
      <right style="medium">
        <color auto="1"/>
      </right>
      <top style="medium">
        <color theme="5" tint="-0.24994659260841701"/>
      </top>
      <bottom/>
      <diagonal/>
    </border>
    <border>
      <left style="thin">
        <color auto="1"/>
      </left>
      <right/>
      <top style="medium">
        <color theme="5" tint="-0.24994659260841701"/>
      </top>
      <bottom/>
      <diagonal/>
    </border>
    <border>
      <left/>
      <right style="thin">
        <color auto="1"/>
      </right>
      <top style="medium">
        <color theme="5" tint="-0.24994659260841701"/>
      </top>
      <bottom/>
      <diagonal/>
    </border>
    <border>
      <left/>
      <right style="medium">
        <color auto="1"/>
      </right>
      <top style="medium">
        <color auto="1"/>
      </top>
      <bottom style="medium">
        <color theme="5" tint="-0.24994659260841701"/>
      </bottom>
      <diagonal/>
    </border>
    <border>
      <left/>
      <right/>
      <top style="medium">
        <color auto="1"/>
      </top>
      <bottom style="medium">
        <color theme="5" tint="-0.24994659260841701"/>
      </bottom>
      <diagonal/>
    </border>
    <border>
      <left style="medium">
        <color auto="1"/>
      </left>
      <right/>
      <top style="medium">
        <color auto="1"/>
      </top>
      <bottom style="medium">
        <color theme="5"/>
      </bottom>
      <diagonal/>
    </border>
    <border>
      <left/>
      <right style="medium">
        <color auto="1"/>
      </right>
      <top style="medium">
        <color auto="1"/>
      </top>
      <bottom style="medium">
        <color rgb="FF00B050"/>
      </bottom>
      <diagonal/>
    </border>
    <border>
      <left/>
      <right/>
      <top style="medium">
        <color auto="1"/>
      </top>
      <bottom style="medium">
        <color rgb="FF00B050"/>
      </bottom>
      <diagonal/>
    </border>
    <border>
      <left style="medium">
        <color auto="1"/>
      </left>
      <right/>
      <top style="medium">
        <color auto="1"/>
      </top>
      <bottom style="medium">
        <color rgb="FF4DBB5F"/>
      </bottom>
      <diagonal/>
    </border>
    <border>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style="thin">
        <color rgb="FF333399"/>
      </left>
      <right style="thin">
        <color rgb="FF333399"/>
      </right>
      <top/>
      <bottom style="thin">
        <color rgb="FF333399"/>
      </bottom>
      <diagonal/>
    </border>
    <border>
      <left style="thin">
        <color rgb="FF333399"/>
      </left>
      <right style="thin">
        <color rgb="FF333399"/>
      </right>
      <top style="thin">
        <color rgb="FF333399"/>
      </top>
      <bottom/>
      <diagonal/>
    </border>
    <border>
      <left/>
      <right style="medium">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rgb="FF333399"/>
      </left>
      <right style="thin">
        <color rgb="FF333399"/>
      </right>
      <top/>
      <bottom/>
      <diagonal/>
    </border>
    <border>
      <left/>
      <right style="thin">
        <color rgb="FF333399"/>
      </right>
      <top/>
      <bottom style="thin">
        <color rgb="FF333399"/>
      </bottom>
      <diagonal/>
    </border>
    <border>
      <left/>
      <right/>
      <top/>
      <bottom style="thin">
        <color rgb="FF333399"/>
      </bottom>
      <diagonal/>
    </border>
    <border>
      <left style="thin">
        <color rgb="FF333399"/>
      </left>
      <right/>
      <top/>
      <bottom style="thin">
        <color rgb="FF333399"/>
      </bottom>
      <diagonal/>
    </border>
    <border>
      <left/>
      <right style="thin">
        <color rgb="FF333399"/>
      </right>
      <top style="thin">
        <color rgb="FF333399"/>
      </top>
      <bottom/>
      <diagonal/>
    </border>
    <border>
      <left/>
      <right/>
      <top style="thin">
        <color rgb="FF333399"/>
      </top>
      <bottom/>
      <diagonal/>
    </border>
    <border>
      <left style="thin">
        <color rgb="FF333399"/>
      </left>
      <right/>
      <top style="thin">
        <color rgb="FF333399"/>
      </top>
      <bottom/>
      <diagonal/>
    </border>
    <border>
      <left/>
      <right style="medium">
        <color auto="1"/>
      </right>
      <top/>
      <bottom style="thin">
        <color auto="1"/>
      </bottom>
      <diagonal/>
    </border>
    <border>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s>
  <cellStyleXfs count="18">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37" fillId="0" borderId="0"/>
    <xf numFmtId="166" fontId="37" fillId="0" borderId="0" applyFont="0" applyFill="0" applyBorder="0" applyAlignment="0" applyProtection="0"/>
    <xf numFmtId="0" fontId="37" fillId="0" borderId="0"/>
    <xf numFmtId="166" fontId="37" fillId="0" borderId="0" applyFont="0" applyFill="0" applyBorder="0" applyAlignment="0" applyProtection="0"/>
    <xf numFmtId="0" fontId="37" fillId="0" borderId="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87" fontId="1" fillId="0" borderId="0" applyFont="0" applyFill="0" applyBorder="0" applyAlignment="0" applyProtection="0"/>
    <xf numFmtId="0" fontId="154" fillId="0" borderId="0" applyNumberFormat="0" applyFill="0" applyBorder="0" applyAlignment="0" applyProtection="0"/>
    <xf numFmtId="37" fontId="37" fillId="0" borderId="0"/>
    <xf numFmtId="164" fontId="37" fillId="0" borderId="0" applyFont="0" applyFill="0" applyBorder="0" applyAlignment="0" applyProtection="0"/>
    <xf numFmtId="0" fontId="37" fillId="0" borderId="0"/>
    <xf numFmtId="0" fontId="37" fillId="0" borderId="0"/>
  </cellStyleXfs>
  <cellXfs count="3251">
    <xf numFmtId="0" fontId="0" fillId="0" borderId="0" xfId="0"/>
    <xf numFmtId="0" fontId="2" fillId="0" borderId="1"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10" xfId="0" applyFont="1" applyBorder="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9" xfId="0" applyFont="1" applyBorder="1" applyAlignment="1">
      <alignment vertical="center"/>
    </xf>
    <xf numFmtId="0" fontId="2" fillId="0" borderId="9" xfId="0" applyFont="1" applyBorder="1" applyAlignment="1">
      <alignment horizontal="left" vertical="center" indent="1"/>
    </xf>
    <xf numFmtId="166" fontId="2" fillId="0" borderId="0" xfId="1" applyFont="1" applyAlignment="1">
      <alignment vertical="center"/>
    </xf>
    <xf numFmtId="0" fontId="2" fillId="0" borderId="6" xfId="0" applyFont="1" applyBorder="1" applyAlignment="1">
      <alignment horizontal="left" vertical="center" indent="4"/>
    </xf>
    <xf numFmtId="0" fontId="2" fillId="0" borderId="0" xfId="0" applyFont="1" applyBorder="1" applyAlignment="1">
      <alignment horizontal="left" vertical="center" indent="4"/>
    </xf>
    <xf numFmtId="0" fontId="8" fillId="0" borderId="0" xfId="0" applyFont="1" applyBorder="1" applyAlignment="1">
      <alignment horizontal="center" vertical="center"/>
    </xf>
    <xf numFmtId="0" fontId="8" fillId="0" borderId="0" xfId="0" applyFont="1" applyAlignment="1">
      <alignment horizontal="center" vertical="center"/>
    </xf>
    <xf numFmtId="0" fontId="2" fillId="0" borderId="0" xfId="0" applyFont="1" applyBorder="1" applyAlignment="1">
      <alignment horizontal="left" vertical="center"/>
    </xf>
    <xf numFmtId="0" fontId="7" fillId="0" borderId="6" xfId="0" applyFont="1" applyBorder="1" applyAlignment="1">
      <alignment horizontal="center" vertical="center"/>
    </xf>
    <xf numFmtId="0" fontId="7" fillId="0" borderId="5" xfId="0" applyFont="1" applyBorder="1" applyAlignment="1">
      <alignment horizontal="center" vertical="center"/>
    </xf>
    <xf numFmtId="166" fontId="2" fillId="0" borderId="0" xfId="1" applyFont="1" applyBorder="1" applyAlignment="1">
      <alignment vertical="center"/>
    </xf>
    <xf numFmtId="0" fontId="2" fillId="0" borderId="0" xfId="0" applyFont="1" applyBorder="1" applyAlignment="1">
      <alignment horizontal="left" vertical="center" indent="1"/>
    </xf>
    <xf numFmtId="0" fontId="2" fillId="0" borderId="0" xfId="0" applyFont="1" applyBorder="1" applyAlignment="1">
      <alignment horizontal="right" vertical="center" indent="1"/>
    </xf>
    <xf numFmtId="0" fontId="5" fillId="0" borderId="0" xfId="0" applyFont="1" applyBorder="1" applyAlignment="1">
      <alignment vertical="center"/>
    </xf>
    <xf numFmtId="166" fontId="2" fillId="0" borderId="6" xfId="1" applyFont="1" applyBorder="1" applyAlignment="1">
      <alignment vertical="center"/>
    </xf>
    <xf numFmtId="0" fontId="8" fillId="0" borderId="1" xfId="0" applyFont="1" applyBorder="1" applyAlignment="1">
      <alignment horizontal="center" vertical="center"/>
    </xf>
    <xf numFmtId="0" fontId="8" fillId="0" borderId="6" xfId="0" applyFont="1" applyBorder="1" applyAlignment="1">
      <alignment horizontal="center" vertical="center"/>
    </xf>
    <xf numFmtId="166" fontId="2" fillId="0" borderId="10" xfId="1" applyFont="1" applyBorder="1" applyAlignment="1">
      <alignment vertical="center"/>
    </xf>
    <xf numFmtId="0" fontId="7" fillId="0" borderId="0" xfId="0" applyFont="1" applyBorder="1" applyAlignment="1">
      <alignment horizontal="center" vertical="center"/>
    </xf>
    <xf numFmtId="0" fontId="8" fillId="0" borderId="0" xfId="0" applyFont="1" applyAlignment="1">
      <alignment horizontal="center" vertical="center"/>
    </xf>
    <xf numFmtId="0" fontId="6" fillId="0" borderId="0" xfId="0" applyFont="1" applyBorder="1" applyAlignment="1">
      <alignment vertical="center"/>
    </xf>
    <xf numFmtId="0" fontId="12" fillId="0" borderId="6" xfId="0" applyFont="1" applyBorder="1" applyAlignment="1">
      <alignment horizontal="center" vertical="center"/>
    </xf>
    <xf numFmtId="0" fontId="2" fillId="0" borderId="4" xfId="0" applyFont="1" applyFill="1" applyBorder="1" applyAlignment="1">
      <alignment horizontal="center" vertical="center"/>
    </xf>
    <xf numFmtId="0" fontId="2" fillId="0" borderId="1" xfId="0" applyFont="1" applyBorder="1" applyAlignment="1">
      <alignment horizontal="left" vertical="center" indent="1"/>
    </xf>
    <xf numFmtId="0" fontId="6" fillId="0" borderId="9" xfId="0" applyFont="1" applyBorder="1" applyAlignment="1">
      <alignment horizontal="left" vertical="center" indent="1"/>
    </xf>
    <xf numFmtId="0" fontId="3" fillId="0" borderId="8" xfId="0" applyFont="1" applyFill="1" applyBorder="1" applyAlignment="1">
      <alignment horizontal="center" vertical="center"/>
    </xf>
    <xf numFmtId="0" fontId="2" fillId="0" borderId="6" xfId="0" applyFont="1" applyBorder="1" applyAlignment="1">
      <alignment horizontal="left" vertical="center" indent="1"/>
    </xf>
    <xf numFmtId="0" fontId="2" fillId="0" borderId="6" xfId="0" applyFont="1" applyBorder="1" applyAlignment="1">
      <alignment horizontal="right" vertical="center" indent="1"/>
    </xf>
    <xf numFmtId="0" fontId="2" fillId="0" borderId="6" xfId="0" applyFont="1" applyBorder="1" applyAlignment="1">
      <alignment horizontal="left" vertical="center"/>
    </xf>
    <xf numFmtId="0" fontId="2" fillId="0" borderId="10" xfId="0" applyFont="1" applyBorder="1" applyAlignment="1">
      <alignment horizontal="left" vertical="center" indent="4"/>
    </xf>
    <xf numFmtId="0" fontId="2" fillId="0" borderId="0" xfId="0" applyFont="1" applyFill="1" applyBorder="1" applyAlignment="1">
      <alignment horizontal="center" vertical="center"/>
    </xf>
    <xf numFmtId="0" fontId="14" fillId="2" borderId="2" xfId="0" applyFont="1" applyFill="1" applyBorder="1" applyAlignment="1">
      <alignment horizontal="center" vertical="center"/>
    </xf>
    <xf numFmtId="166" fontId="2" fillId="0" borderId="9" xfId="1" applyFont="1" applyBorder="1" applyAlignment="1">
      <alignment horizontal="center" vertical="center"/>
    </xf>
    <xf numFmtId="166" fontId="2" fillId="0" borderId="0" xfId="1" applyFont="1" applyBorder="1" applyAlignment="1">
      <alignment horizontal="center" vertical="center"/>
    </xf>
    <xf numFmtId="0" fontId="2" fillId="0" borderId="0" xfId="0" applyFont="1" applyBorder="1" applyAlignment="1">
      <alignment horizontal="center" vertical="center"/>
    </xf>
    <xf numFmtId="166" fontId="2" fillId="0" borderId="5" xfId="1" applyFont="1" applyBorder="1" applyAlignment="1">
      <alignment horizontal="center" vertical="center"/>
    </xf>
    <xf numFmtId="166" fontId="2" fillId="0" borderId="6" xfId="1" applyFont="1" applyBorder="1" applyAlignment="1">
      <alignment horizontal="center" vertic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168" fontId="2" fillId="0" borderId="0" xfId="1" applyNumberFormat="1" applyFont="1" applyAlignment="1">
      <alignment horizontal="center" vertical="center"/>
    </xf>
    <xf numFmtId="0" fontId="6" fillId="0" borderId="0" xfId="0" applyFont="1" applyBorder="1" applyAlignment="1">
      <alignment horizontal="left" vertical="center"/>
    </xf>
    <xf numFmtId="167" fontId="2" fillId="0" borderId="0" xfId="1" applyNumberFormat="1" applyFont="1" applyBorder="1" applyAlignment="1">
      <alignment horizontal="center" vertical="center"/>
    </xf>
    <xf numFmtId="0" fontId="3" fillId="0" borderId="0" xfId="0" applyFont="1" applyBorder="1" applyAlignment="1">
      <alignment horizontal="center" vertical="center"/>
    </xf>
    <xf numFmtId="0" fontId="8" fillId="0" borderId="0" xfId="0" applyFont="1" applyBorder="1" applyAlignment="1">
      <alignment horizontal="center" vertical="center"/>
    </xf>
    <xf numFmtId="166" fontId="3" fillId="0" borderId="0" xfId="1" applyFont="1" applyBorder="1" applyAlignment="1">
      <alignment horizontal="center"/>
    </xf>
    <xf numFmtId="0" fontId="7" fillId="0" borderId="6" xfId="0" applyFont="1" applyBorder="1" applyAlignment="1">
      <alignment horizontal="center" vertical="center"/>
    </xf>
    <xf numFmtId="0" fontId="9" fillId="0" borderId="6" xfId="0" applyFont="1" applyBorder="1" applyAlignment="1">
      <alignment horizontal="center" vertical="center"/>
    </xf>
    <xf numFmtId="0" fontId="2" fillId="0" borderId="1" xfId="0" applyFont="1" applyBorder="1" applyAlignment="1">
      <alignment horizontal="center" vertical="center"/>
    </xf>
    <xf numFmtId="166" fontId="2" fillId="0" borderId="9" xfId="1" applyFont="1" applyBorder="1" applyAlignment="1">
      <alignment horizontal="center" vertical="center"/>
    </xf>
    <xf numFmtId="166" fontId="2" fillId="0" borderId="0" xfId="1" applyFont="1" applyBorder="1" applyAlignment="1">
      <alignment horizontal="center" vertical="center"/>
    </xf>
    <xf numFmtId="166" fontId="2" fillId="0" borderId="8" xfId="1" applyFont="1" applyBorder="1" applyAlignment="1">
      <alignment horizontal="center" vertic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0" fontId="2" fillId="0" borderId="0" xfId="0" applyFont="1" applyBorder="1" applyAlignment="1">
      <alignment horizontal="center" vertical="center"/>
    </xf>
    <xf numFmtId="167" fontId="2" fillId="0" borderId="0" xfId="1" applyNumberFormat="1"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indent="1"/>
    </xf>
    <xf numFmtId="0" fontId="2" fillId="0" borderId="9" xfId="0" applyFont="1" applyBorder="1" applyAlignment="1">
      <alignment horizontal="left" vertical="center" indent="1"/>
    </xf>
    <xf numFmtId="0" fontId="2" fillId="0" borderId="6" xfId="0" applyFont="1" applyBorder="1" applyAlignment="1">
      <alignment horizontal="left" vertical="center" indent="1"/>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12" xfId="0" applyFont="1" applyBorder="1" applyAlignment="1">
      <alignment vertical="center"/>
    </xf>
    <xf numFmtId="0" fontId="2" fillId="0" borderId="11" xfId="0" applyFont="1" applyBorder="1" applyAlignment="1">
      <alignment vertical="center"/>
    </xf>
    <xf numFmtId="0" fontId="2" fillId="0" borderId="11" xfId="0" applyFont="1" applyBorder="1" applyAlignment="1">
      <alignment horizontal="center" vertical="center"/>
    </xf>
    <xf numFmtId="0" fontId="6" fillId="0" borderId="0" xfId="0" applyFont="1" applyAlignment="1">
      <alignment vertical="center"/>
    </xf>
    <xf numFmtId="0" fontId="17" fillId="0" borderId="3" xfId="0" applyFont="1" applyBorder="1"/>
    <xf numFmtId="0" fontId="17" fillId="0" borderId="1" xfId="0" applyFont="1" applyBorder="1"/>
    <xf numFmtId="0" fontId="17" fillId="0" borderId="4" xfId="0" applyFont="1" applyBorder="1"/>
    <xf numFmtId="0" fontId="17" fillId="0" borderId="0" xfId="0" applyFont="1"/>
    <xf numFmtId="0" fontId="17" fillId="0" borderId="9" xfId="0" applyFont="1" applyBorder="1"/>
    <xf numFmtId="0" fontId="18" fillId="0" borderId="0" xfId="0" applyFont="1" applyBorder="1"/>
    <xf numFmtId="0" fontId="17" fillId="0" borderId="0" xfId="0" applyFont="1" applyBorder="1"/>
    <xf numFmtId="0" fontId="17" fillId="0" borderId="8" xfId="0" applyFont="1" applyBorder="1"/>
    <xf numFmtId="0" fontId="19" fillId="0" borderId="0" xfId="0" applyFont="1" applyBorder="1"/>
    <xf numFmtId="169" fontId="17" fillId="0" borderId="0" xfId="1" applyNumberFormat="1" applyFont="1" applyBorder="1"/>
    <xf numFmtId="167" fontId="17" fillId="0" borderId="0" xfId="1" applyNumberFormat="1" applyFont="1" applyBorder="1"/>
    <xf numFmtId="167" fontId="17" fillId="0" borderId="0" xfId="0" applyNumberFormat="1" applyFont="1" applyBorder="1"/>
    <xf numFmtId="167" fontId="17" fillId="0" borderId="15" xfId="0" applyNumberFormat="1" applyFont="1" applyBorder="1"/>
    <xf numFmtId="0" fontId="17" fillId="0" borderId="5" xfId="0" applyFont="1" applyBorder="1"/>
    <xf numFmtId="0" fontId="17" fillId="0" borderId="6" xfId="0" applyFont="1" applyBorder="1"/>
    <xf numFmtId="0" fontId="17" fillId="0" borderId="7" xfId="0" applyFont="1" applyBorder="1"/>
    <xf numFmtId="0" fontId="17" fillId="0" borderId="0" xfId="0" applyFont="1" applyAlignment="1"/>
    <xf numFmtId="0" fontId="17" fillId="0" borderId="2" xfId="0" applyFont="1" applyBorder="1"/>
    <xf numFmtId="0" fontId="16" fillId="0" borderId="0" xfId="0" applyFont="1" applyBorder="1" applyAlignment="1">
      <alignment horizontal="left" indent="8"/>
    </xf>
    <xf numFmtId="0" fontId="5" fillId="0" borderId="0" xfId="0" applyFont="1" applyAlignment="1">
      <alignment horizontal="left" vertical="center"/>
    </xf>
    <xf numFmtId="3" fontId="2" fillId="0" borderId="0" xfId="0" applyNumberFormat="1" applyFont="1" applyBorder="1" applyAlignment="1">
      <alignment vertical="center"/>
    </xf>
    <xf numFmtId="167" fontId="2" fillId="0" borderId="0" xfId="1" applyNumberFormat="1" applyFont="1" applyAlignment="1">
      <alignment vertical="center"/>
    </xf>
    <xf numFmtId="166" fontId="3" fillId="0" borderId="0" xfId="1" applyFont="1" applyBorder="1" applyAlignment="1"/>
    <xf numFmtId="0" fontId="4" fillId="0" borderId="0" xfId="0" applyFont="1" applyAlignment="1">
      <alignment horizontal="left" vertical="center"/>
    </xf>
    <xf numFmtId="167" fontId="2" fillId="0" borderId="0" xfId="1" applyNumberFormat="1" applyFont="1" applyBorder="1" applyAlignment="1">
      <alignment horizontal="left" vertical="center" indent="4"/>
    </xf>
    <xf numFmtId="0" fontId="20" fillId="0" borderId="9" xfId="0" applyFont="1" applyBorder="1" applyAlignment="1">
      <alignment horizontal="left" vertical="center" indent="1"/>
    </xf>
    <xf numFmtId="0" fontId="2" fillId="0" borderId="8" xfId="0" applyFont="1" applyFill="1" applyBorder="1" applyAlignment="1">
      <alignment horizontal="center" vertical="center"/>
    </xf>
    <xf numFmtId="0" fontId="15" fillId="0" borderId="0" xfId="0" applyFont="1" applyFill="1" applyBorder="1" applyAlignment="1">
      <alignment horizontal="center" vertical="center"/>
    </xf>
    <xf numFmtId="0" fontId="2" fillId="0" borderId="0" xfId="1" applyNumberFormat="1" applyFont="1" applyBorder="1" applyAlignment="1">
      <alignment horizontal="center" vertical="center"/>
    </xf>
    <xf numFmtId="0" fontId="20" fillId="0" borderId="5" xfId="0" applyFont="1" applyBorder="1" applyAlignment="1">
      <alignment horizontal="left" vertical="center" indent="1"/>
    </xf>
    <xf numFmtId="0" fontId="6" fillId="0" borderId="0" xfId="0" applyFont="1" applyAlignment="1">
      <alignment horizontal="left" vertical="center"/>
    </xf>
    <xf numFmtId="0" fontId="23" fillId="0" borderId="0" xfId="0" applyFont="1" applyAlignment="1">
      <alignment horizontal="left" vertical="center"/>
    </xf>
    <xf numFmtId="0" fontId="4" fillId="2" borderId="2" xfId="0" applyFont="1" applyFill="1" applyBorder="1" applyAlignment="1">
      <alignment horizontal="center" vertical="center"/>
    </xf>
    <xf numFmtId="0" fontId="24" fillId="0" borderId="0" xfId="0" applyFont="1"/>
    <xf numFmtId="0" fontId="2" fillId="0" borderId="0" xfId="0" applyFont="1" applyAlignment="1">
      <alignment horizontal="left" vertical="center" indent="1"/>
    </xf>
    <xf numFmtId="0" fontId="25" fillId="2" borderId="2" xfId="0" applyFont="1" applyFill="1" applyBorder="1" applyAlignment="1">
      <alignment horizontal="center" vertical="center"/>
    </xf>
    <xf numFmtId="0" fontId="4" fillId="0" borderId="0" xfId="0" applyFont="1" applyBorder="1" applyAlignment="1">
      <alignment vertical="center"/>
    </xf>
    <xf numFmtId="0" fontId="12" fillId="0" borderId="0" xfId="0" applyFont="1" applyBorder="1" applyAlignment="1">
      <alignment vertical="center"/>
    </xf>
    <xf numFmtId="167" fontId="8" fillId="0" borderId="0" xfId="1" applyNumberFormat="1" applyFont="1" applyAlignment="1">
      <alignment horizontal="center" vertical="center"/>
    </xf>
    <xf numFmtId="167" fontId="2" fillId="0" borderId="13" xfId="1" applyNumberFormat="1" applyFont="1" applyBorder="1" applyAlignment="1">
      <alignment horizontal="center" vertical="center"/>
    </xf>
    <xf numFmtId="167" fontId="2" fillId="0" borderId="22" xfId="1" applyNumberFormat="1" applyFont="1" applyBorder="1" applyAlignment="1">
      <alignment horizontal="center" vertical="center"/>
    </xf>
    <xf numFmtId="167" fontId="2" fillId="0" borderId="22" xfId="1" applyNumberFormat="1" applyFont="1" applyBorder="1" applyAlignment="1">
      <alignment vertical="center"/>
    </xf>
    <xf numFmtId="167" fontId="2" fillId="0" borderId="13" xfId="1" applyNumberFormat="1" applyFont="1" applyBorder="1" applyAlignment="1">
      <alignment vertical="center"/>
    </xf>
    <xf numFmtId="167" fontId="11" fillId="0" borderId="22" xfId="1" applyNumberFormat="1" applyFont="1" applyBorder="1" applyAlignment="1">
      <alignment horizontal="center" vertical="center"/>
    </xf>
    <xf numFmtId="167" fontId="11" fillId="0" borderId="22" xfId="1" applyNumberFormat="1" applyFont="1" applyBorder="1" applyAlignment="1">
      <alignment vertical="center"/>
    </xf>
    <xf numFmtId="167" fontId="2" fillId="0" borderId="3" xfId="1" applyNumberFormat="1" applyFont="1" applyBorder="1" applyAlignment="1">
      <alignment vertical="center"/>
    </xf>
    <xf numFmtId="167" fontId="2" fillId="0" borderId="9" xfId="1" applyNumberFormat="1" applyFont="1" applyBorder="1" applyAlignment="1">
      <alignment vertical="center"/>
    </xf>
    <xf numFmtId="167" fontId="2" fillId="0" borderId="5" xfId="1" applyNumberFormat="1" applyFont="1" applyBorder="1" applyAlignment="1">
      <alignment vertical="center"/>
    </xf>
    <xf numFmtId="167" fontId="2" fillId="0" borderId="14" xfId="1" applyNumberFormat="1" applyFont="1" applyBorder="1" applyAlignment="1">
      <alignment vertical="center"/>
    </xf>
    <xf numFmtId="0" fontId="3" fillId="4" borderId="2" xfId="0" applyFont="1" applyFill="1" applyBorder="1" applyAlignment="1">
      <alignment horizontal="center" vertical="center"/>
    </xf>
    <xf numFmtId="0" fontId="3" fillId="4" borderId="12" xfId="0" applyFont="1" applyFill="1" applyBorder="1" applyAlignment="1">
      <alignment horizontal="center" vertical="center"/>
    </xf>
    <xf numFmtId="0" fontId="10" fillId="0" borderId="0" xfId="0" applyFont="1" applyBorder="1" applyAlignment="1">
      <alignment horizontal="left" vertical="center"/>
    </xf>
    <xf numFmtId="166" fontId="2" fillId="0" borderId="0" xfId="1" applyFont="1" applyAlignment="1">
      <alignment vertical="center" wrapText="1"/>
    </xf>
    <xf numFmtId="167" fontId="26" fillId="0" borderId="0" xfId="1" applyNumberFormat="1" applyFont="1" applyAlignment="1">
      <alignment vertical="center"/>
    </xf>
    <xf numFmtId="166" fontId="6" fillId="0" borderId="11" xfId="1" applyFont="1" applyBorder="1" applyAlignment="1">
      <alignment vertical="center"/>
    </xf>
    <xf numFmtId="0" fontId="2" fillId="4" borderId="3" xfId="0" applyFont="1" applyFill="1" applyBorder="1" applyAlignment="1">
      <alignment vertical="center"/>
    </xf>
    <xf numFmtId="0" fontId="2" fillId="4" borderId="4" xfId="0" applyFont="1" applyFill="1" applyBorder="1" applyAlignment="1">
      <alignment horizontal="center" vertical="center"/>
    </xf>
    <xf numFmtId="0" fontId="2" fillId="4" borderId="5" xfId="0" applyFont="1" applyFill="1" applyBorder="1" applyAlignment="1">
      <alignment horizontal="left" vertical="center" indent="4"/>
    </xf>
    <xf numFmtId="0" fontId="2" fillId="4" borderId="7" xfId="0" applyFont="1" applyFill="1" applyBorder="1" applyAlignment="1">
      <alignment horizontal="left" vertical="center" indent="4"/>
    </xf>
    <xf numFmtId="0" fontId="4" fillId="0" borderId="0" xfId="0" applyFont="1" applyAlignment="1">
      <alignment horizontal="center" vertical="center"/>
    </xf>
    <xf numFmtId="0" fontId="4" fillId="0" borderId="0" xfId="0" applyFont="1" applyBorder="1" applyAlignment="1">
      <alignment horizontal="left" vertical="center"/>
    </xf>
    <xf numFmtId="166" fontId="6" fillId="0" borderId="0" xfId="1" applyFont="1" applyAlignment="1">
      <alignment vertical="center"/>
    </xf>
    <xf numFmtId="0" fontId="27" fillId="0" borderId="0" xfId="0" applyFont="1" applyAlignment="1">
      <alignment horizontal="right" vertical="center"/>
    </xf>
    <xf numFmtId="0" fontId="2" fillId="0" borderId="1" xfId="0" applyFont="1" applyBorder="1" applyAlignment="1">
      <alignment horizontal="left" vertical="center" indent="4"/>
    </xf>
    <xf numFmtId="166" fontId="2" fillId="0" borderId="1" xfId="1" applyFont="1" applyBorder="1" applyAlignment="1">
      <alignment vertical="center"/>
    </xf>
    <xf numFmtId="167" fontId="28" fillId="0" borderId="13" xfId="1" applyNumberFormat="1" applyFont="1" applyBorder="1" applyAlignment="1">
      <alignment horizontal="center" vertical="center"/>
    </xf>
    <xf numFmtId="167" fontId="28" fillId="0" borderId="13" xfId="1" applyNumberFormat="1" applyFont="1" applyBorder="1" applyAlignment="1">
      <alignment vertical="center"/>
    </xf>
    <xf numFmtId="167" fontId="28" fillId="0" borderId="22" xfId="1" applyNumberFormat="1" applyFont="1" applyBorder="1" applyAlignment="1">
      <alignment vertical="center"/>
    </xf>
    <xf numFmtId="167" fontId="30" fillId="0" borderId="22" xfId="1" applyNumberFormat="1" applyFont="1" applyBorder="1" applyAlignment="1">
      <alignment vertical="center"/>
    </xf>
    <xf numFmtId="171" fontId="2" fillId="0" borderId="0" xfId="0" applyNumberFormat="1" applyFont="1" applyAlignment="1">
      <alignment vertical="center"/>
    </xf>
    <xf numFmtId="172" fontId="2" fillId="0" borderId="0" xfId="0" applyNumberFormat="1" applyFont="1" applyAlignment="1">
      <alignment vertical="center"/>
    </xf>
    <xf numFmtId="167" fontId="31" fillId="0" borderId="22" xfId="1" applyNumberFormat="1" applyFont="1" applyBorder="1" applyAlignment="1">
      <alignment horizontal="center" vertical="center"/>
    </xf>
    <xf numFmtId="0" fontId="21" fillId="4" borderId="2" xfId="0" applyFont="1" applyFill="1" applyBorder="1" applyAlignment="1">
      <alignment horizontal="center" vertical="center"/>
    </xf>
    <xf numFmtId="0" fontId="21" fillId="4" borderId="12" xfId="0" applyFont="1" applyFill="1" applyBorder="1" applyAlignment="1">
      <alignment horizontal="center" vertical="center"/>
    </xf>
    <xf numFmtId="167" fontId="28" fillId="0" borderId="2" xfId="1" applyNumberFormat="1" applyFont="1" applyBorder="1" applyAlignment="1">
      <alignment horizontal="center" vertical="center"/>
    </xf>
    <xf numFmtId="167" fontId="28" fillId="0" borderId="2" xfId="1" applyNumberFormat="1" applyFont="1" applyBorder="1" applyAlignment="1">
      <alignment vertical="center"/>
    </xf>
    <xf numFmtId="167" fontId="31" fillId="0" borderId="2" xfId="1" applyNumberFormat="1" applyFont="1" applyBorder="1" applyAlignment="1">
      <alignment vertical="center"/>
    </xf>
    <xf numFmtId="0" fontId="29" fillId="3" borderId="12" xfId="0" applyFont="1" applyFill="1" applyBorder="1" applyAlignment="1">
      <alignment horizontal="center" vertical="center"/>
    </xf>
    <xf numFmtId="16" fontId="29" fillId="3" borderId="12" xfId="0" applyNumberFormat="1" applyFont="1" applyFill="1" applyBorder="1" applyAlignment="1">
      <alignment horizontal="center" vertical="center" textRotation="90"/>
    </xf>
    <xf numFmtId="169" fontId="28" fillId="0" borderId="2" xfId="1" applyNumberFormat="1"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167" fontId="6" fillId="0" borderId="11" xfId="1" applyNumberFormat="1" applyFont="1" applyBorder="1" applyAlignment="1">
      <alignment vertical="center"/>
    </xf>
    <xf numFmtId="167" fontId="6" fillId="0" borderId="4" xfId="1" applyNumberFormat="1" applyFont="1" applyBorder="1" applyAlignment="1">
      <alignment vertical="center"/>
    </xf>
    <xf numFmtId="167" fontId="6" fillId="0" borderId="8" xfId="1" applyNumberFormat="1" applyFont="1" applyBorder="1" applyAlignment="1">
      <alignment vertical="center"/>
    </xf>
    <xf numFmtId="167" fontId="6" fillId="0" borderId="7" xfId="1" applyNumberFormat="1" applyFont="1" applyBorder="1" applyAlignment="1">
      <alignment vertical="center"/>
    </xf>
    <xf numFmtId="0" fontId="27" fillId="0" borderId="0" xfId="0" applyFont="1" applyAlignment="1">
      <alignment horizontal="right" vertical="center" indent="1"/>
    </xf>
    <xf numFmtId="0" fontId="2" fillId="0" borderId="0" xfId="0" applyFont="1" applyAlignment="1">
      <alignment horizontal="right" vertical="center" indent="1"/>
    </xf>
    <xf numFmtId="167" fontId="6" fillId="0" borderId="0" xfId="1" applyNumberFormat="1" applyFont="1" applyBorder="1" applyAlignment="1">
      <alignment vertical="center"/>
    </xf>
    <xf numFmtId="167" fontId="6" fillId="0" borderId="6" xfId="1" applyNumberFormat="1" applyFont="1" applyBorder="1" applyAlignment="1">
      <alignment vertical="center"/>
    </xf>
    <xf numFmtId="0" fontId="33" fillId="0" borderId="3" xfId="0" applyFont="1" applyBorder="1" applyAlignment="1">
      <alignment vertical="center"/>
    </xf>
    <xf numFmtId="0" fontId="8" fillId="0" borderId="0" xfId="0" applyFont="1" applyAlignment="1">
      <alignment horizontal="left" vertical="center"/>
    </xf>
    <xf numFmtId="166" fontId="2" fillId="0" borderId="9" xfId="1" applyFont="1" applyFill="1" applyBorder="1" applyAlignment="1">
      <alignment horizontal="center" vertical="center"/>
    </xf>
    <xf numFmtId="166" fontId="2" fillId="0" borderId="0" xfId="1" applyFont="1" applyFill="1" applyBorder="1" applyAlignment="1">
      <alignment horizontal="center" vertical="center"/>
    </xf>
    <xf numFmtId="0" fontId="8" fillId="0" borderId="0" xfId="0" applyFont="1" applyFill="1" applyAlignment="1">
      <alignment horizontal="left" vertical="center"/>
    </xf>
    <xf numFmtId="0" fontId="34" fillId="0" borderId="0" xfId="0" applyFont="1" applyFill="1" applyAlignment="1">
      <alignment horizontal="left" vertical="center"/>
    </xf>
    <xf numFmtId="0" fontId="2" fillId="0" borderId="0" xfId="0" applyFont="1" applyFill="1" applyBorder="1" applyAlignment="1">
      <alignment horizontal="left" vertical="center" indent="4"/>
    </xf>
    <xf numFmtId="0" fontId="8" fillId="0" borderId="0" xfId="0" applyFont="1" applyFill="1" applyAlignment="1">
      <alignment horizontal="center" vertical="center"/>
    </xf>
    <xf numFmtId="0" fontId="2" fillId="0" borderId="0" xfId="0" applyFont="1" applyFill="1" applyAlignment="1">
      <alignment vertical="center"/>
    </xf>
    <xf numFmtId="166" fontId="2" fillId="0" borderId="0" xfId="1" applyFont="1" applyFill="1" applyAlignment="1">
      <alignment vertical="center"/>
    </xf>
    <xf numFmtId="0" fontId="33" fillId="0" borderId="0" xfId="0" applyFont="1" applyFill="1" applyBorder="1" applyAlignment="1">
      <alignment horizontal="left" vertical="center" indent="4"/>
    </xf>
    <xf numFmtId="0" fontId="34" fillId="0" borderId="0" xfId="0" applyFont="1" applyFill="1" applyAlignment="1">
      <alignment horizontal="center" vertical="center"/>
    </xf>
    <xf numFmtId="0" fontId="33" fillId="0" borderId="0" xfId="0" applyFont="1" applyFill="1" applyAlignment="1">
      <alignment vertical="center"/>
    </xf>
    <xf numFmtId="166" fontId="33" fillId="0" borderId="0" xfId="1" applyFont="1" applyFill="1" applyAlignment="1">
      <alignment vertical="center"/>
    </xf>
    <xf numFmtId="166" fontId="35" fillId="0" borderId="0" xfId="1" applyFont="1" applyAlignment="1">
      <alignment horizontal="left" vertical="center" indent="1"/>
    </xf>
    <xf numFmtId="0" fontId="10" fillId="0" borderId="0" xfId="0" applyFont="1" applyAlignment="1">
      <alignment horizontal="left" vertic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166" fontId="2" fillId="0" borderId="9" xfId="1" applyFont="1" applyBorder="1" applyAlignment="1">
      <alignment horizontal="center" vertical="center"/>
    </xf>
    <xf numFmtId="166" fontId="2" fillId="0" borderId="0" xfId="1" applyFont="1" applyBorder="1" applyAlignment="1">
      <alignment horizontal="center" vertical="center"/>
    </xf>
    <xf numFmtId="166" fontId="2" fillId="0" borderId="5" xfId="1" applyFont="1" applyBorder="1" applyAlignment="1">
      <alignment horizontal="center" vertical="center"/>
    </xf>
    <xf numFmtId="166" fontId="2" fillId="0" borderId="0" xfId="1" applyFont="1" applyAlignment="1">
      <alignment horizontal="center" vertical="center"/>
    </xf>
    <xf numFmtId="0" fontId="2" fillId="0" borderId="0" xfId="0" applyFont="1" applyBorder="1" applyAlignment="1">
      <alignment horizontal="center" vertical="center"/>
    </xf>
    <xf numFmtId="0" fontId="12" fillId="0" borderId="0" xfId="0" applyFont="1" applyBorder="1" applyAlignment="1">
      <alignment horizontal="center" vertical="center"/>
    </xf>
    <xf numFmtId="0" fontId="13" fillId="0" borderId="10" xfId="0" applyFont="1" applyBorder="1" applyAlignment="1">
      <alignment horizontal="center" vertical="center"/>
    </xf>
    <xf numFmtId="166" fontId="2" fillId="0" borderId="6" xfId="1"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8" fillId="0" borderId="20" xfId="0" applyFont="1" applyBorder="1" applyAlignment="1">
      <alignment horizontal="center" vertical="center"/>
    </xf>
    <xf numFmtId="0" fontId="6" fillId="0" borderId="0" xfId="0" applyFont="1" applyBorder="1" applyAlignment="1">
      <alignment horizontal="left" vertical="center" indent="1"/>
    </xf>
    <xf numFmtId="0" fontId="2" fillId="0" borderId="6" xfId="0" applyFont="1" applyBorder="1" applyAlignment="1">
      <alignment horizontal="left" vertical="center"/>
    </xf>
    <xf numFmtId="0" fontId="2" fillId="0" borderId="10" xfId="0" applyFont="1" applyBorder="1" applyAlignment="1">
      <alignment horizontal="center" vertical="center"/>
    </xf>
    <xf numFmtId="0" fontId="2" fillId="0" borderId="0" xfId="0" applyFont="1" applyBorder="1" applyAlignment="1">
      <alignment horizontal="left"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left" vertical="center" indent="1"/>
    </xf>
    <xf numFmtId="0" fontId="2" fillId="0" borderId="0" xfId="0" applyFont="1" applyBorder="1" applyAlignment="1">
      <alignment horizontal="left" vertical="center" indent="1"/>
    </xf>
    <xf numFmtId="0" fontId="2" fillId="0" borderId="5" xfId="0" applyFont="1" applyBorder="1" applyAlignment="1">
      <alignment horizontal="left" vertical="center" indent="1"/>
    </xf>
    <xf numFmtId="0" fontId="2" fillId="0" borderId="6" xfId="0" applyFont="1" applyBorder="1" applyAlignment="1">
      <alignment horizontal="left" vertical="center" indent="1"/>
    </xf>
    <xf numFmtId="0" fontId="6" fillId="0" borderId="5" xfId="0" applyFont="1" applyBorder="1" applyAlignment="1">
      <alignment horizontal="left" vertical="center" indent="1"/>
    </xf>
    <xf numFmtId="0" fontId="15" fillId="2" borderId="2" xfId="0" applyFont="1" applyFill="1" applyBorder="1" applyAlignment="1">
      <alignment horizontal="center" vertical="center"/>
    </xf>
    <xf numFmtId="0" fontId="38" fillId="0" borderId="0" xfId="4" applyFont="1" applyBorder="1" applyAlignment="1">
      <alignment horizontal="center"/>
    </xf>
    <xf numFmtId="0" fontId="38" fillId="0" borderId="3" xfId="4" applyFont="1" applyBorder="1" applyAlignment="1">
      <alignment horizontal="left" indent="1"/>
    </xf>
    <xf numFmtId="0" fontId="38" fillId="0" borderId="1" xfId="4" applyFont="1" applyBorder="1" applyAlignment="1">
      <alignment horizontal="left" indent="1"/>
    </xf>
    <xf numFmtId="0" fontId="38" fillId="0" borderId="9" xfId="4" applyFont="1" applyBorder="1" applyAlignment="1">
      <alignment horizontal="left" indent="1"/>
    </xf>
    <xf numFmtId="0" fontId="38" fillId="0" borderId="0" xfId="4" applyFont="1" applyBorder="1" applyAlignment="1">
      <alignment horizontal="left" indent="1"/>
    </xf>
    <xf numFmtId="0" fontId="38" fillId="0" borderId="0" xfId="4" applyFont="1" applyBorder="1"/>
    <xf numFmtId="14" fontId="38" fillId="0" borderId="0" xfId="4" applyNumberFormat="1" applyFont="1" applyBorder="1"/>
    <xf numFmtId="0" fontId="38" fillId="0" borderId="0" xfId="4" applyFont="1" applyBorder="1" applyAlignment="1">
      <alignment horizontal="left"/>
    </xf>
    <xf numFmtId="167" fontId="39" fillId="0" borderId="0" xfId="5" applyNumberFormat="1" applyFont="1" applyBorder="1" applyAlignment="1">
      <alignment horizontal="center" vertical="center"/>
    </xf>
    <xf numFmtId="166" fontId="38" fillId="0" borderId="9" xfId="1" applyFont="1" applyBorder="1" applyAlignment="1">
      <alignment horizontal="center"/>
    </xf>
    <xf numFmtId="166" fontId="38" fillId="0" borderId="8" xfId="1" applyFont="1" applyBorder="1" applyAlignment="1">
      <alignment horizontal="center"/>
    </xf>
    <xf numFmtId="167" fontId="38" fillId="0" borderId="0" xfId="5" applyNumberFormat="1" applyFont="1" applyBorder="1" applyAlignment="1">
      <alignment horizontal="left" vertical="center"/>
    </xf>
    <xf numFmtId="166" fontId="38" fillId="0" borderId="0" xfId="1" applyFont="1" applyBorder="1" applyAlignment="1">
      <alignment horizontal="center"/>
    </xf>
    <xf numFmtId="16" fontId="38" fillId="0" borderId="0" xfId="4" applyNumberFormat="1" applyFont="1" applyBorder="1"/>
    <xf numFmtId="0" fontId="38" fillId="0" borderId="5" xfId="4" applyFont="1" applyBorder="1" applyAlignment="1">
      <alignment horizontal="left" indent="1"/>
    </xf>
    <xf numFmtId="0" fontId="38" fillId="0" borderId="6" xfId="4" applyFont="1" applyBorder="1" applyAlignment="1">
      <alignment horizontal="left" indent="1"/>
    </xf>
    <xf numFmtId="0" fontId="38" fillId="0" borderId="6" xfId="4" applyFont="1" applyBorder="1"/>
    <xf numFmtId="0" fontId="20" fillId="0" borderId="9" xfId="4" applyFont="1" applyBorder="1" applyAlignment="1">
      <alignment horizontal="left" indent="1"/>
    </xf>
    <xf numFmtId="0" fontId="38" fillId="0" borderId="6" xfId="4" applyFont="1" applyBorder="1" applyAlignment="1">
      <alignment horizontal="left"/>
    </xf>
    <xf numFmtId="0" fontId="3" fillId="0" borderId="10" xfId="0" applyFont="1" applyBorder="1" applyAlignment="1">
      <alignment horizontal="left" vertical="center" indent="4"/>
    </xf>
    <xf numFmtId="0" fontId="3" fillId="0" borderId="10" xfId="0" applyFont="1" applyBorder="1" applyAlignment="1">
      <alignment vertical="center"/>
    </xf>
    <xf numFmtId="166" fontId="3" fillId="0" borderId="10" xfId="1" applyFont="1" applyBorder="1" applyAlignment="1">
      <alignment vertical="center"/>
    </xf>
    <xf numFmtId="0" fontId="4" fillId="4" borderId="2" xfId="0" applyFont="1" applyFill="1" applyBorder="1" applyAlignment="1">
      <alignment horizontal="center" vertical="center"/>
    </xf>
    <xf numFmtId="166" fontId="38" fillId="0" borderId="5" xfId="1" applyFont="1" applyBorder="1" applyAlignment="1">
      <alignment horizontal="center"/>
    </xf>
    <xf numFmtId="166" fontId="38" fillId="0" borderId="6" xfId="1" applyFont="1" applyBorder="1" applyAlignment="1">
      <alignment horizontal="center"/>
    </xf>
    <xf numFmtId="0" fontId="7" fillId="0" borderId="0" xfId="0" applyFont="1" applyBorder="1" applyAlignment="1">
      <alignment horizontal="left" vertical="center" indent="1"/>
    </xf>
    <xf numFmtId="166" fontId="35" fillId="0" borderId="0" xfId="1" applyFont="1" applyAlignment="1">
      <alignment vertical="center"/>
    </xf>
    <xf numFmtId="0" fontId="7" fillId="0" borderId="0" xfId="0" applyFont="1" applyAlignment="1">
      <alignment vertical="center"/>
    </xf>
    <xf numFmtId="166" fontId="3" fillId="4" borderId="12" xfId="1" applyFont="1" applyFill="1" applyBorder="1" applyAlignment="1">
      <alignment horizontal="center" vertical="center"/>
    </xf>
    <xf numFmtId="0" fontId="3" fillId="0" borderId="0" xfId="0" applyFont="1" applyBorder="1" applyAlignment="1">
      <alignment horizontal="left" vertical="center" indent="4"/>
    </xf>
    <xf numFmtId="0" fontId="13" fillId="0" borderId="0" xfId="0" applyFont="1" applyAlignment="1">
      <alignment horizontal="center" vertical="center"/>
    </xf>
    <xf numFmtId="0" fontId="3" fillId="0" borderId="0" xfId="0" applyFont="1" applyAlignment="1">
      <alignment vertical="center"/>
    </xf>
    <xf numFmtId="166" fontId="3" fillId="0" borderId="0" xfId="1" applyFont="1" applyAlignment="1">
      <alignment vertical="center"/>
    </xf>
    <xf numFmtId="166" fontId="8" fillId="0" borderId="0" xfId="0" applyNumberFormat="1" applyFont="1" applyAlignment="1">
      <alignment horizontal="center" vertical="center"/>
    </xf>
    <xf numFmtId="173" fontId="8" fillId="2" borderId="12" xfId="0" applyNumberFormat="1" applyFont="1" applyFill="1" applyBorder="1" applyAlignment="1">
      <alignment vertical="center"/>
    </xf>
    <xf numFmtId="173" fontId="8" fillId="2" borderId="12" xfId="1" applyNumberFormat="1" applyFont="1" applyFill="1" applyBorder="1" applyAlignment="1">
      <alignment vertical="center"/>
    </xf>
    <xf numFmtId="0" fontId="40" fillId="0" borderId="12" xfId="4" applyFont="1" applyBorder="1" applyAlignment="1"/>
    <xf numFmtId="0" fontId="40" fillId="0" borderId="10" xfId="4" applyFont="1" applyBorder="1" applyAlignment="1"/>
    <xf numFmtId="174" fontId="28" fillId="0" borderId="2" xfId="1" applyNumberFormat="1" applyFont="1" applyBorder="1" applyAlignment="1">
      <alignment horizontal="right" vertical="center"/>
    </xf>
    <xf numFmtId="0" fontId="40" fillId="0" borderId="25" xfId="4" applyFont="1" applyBorder="1" applyAlignment="1"/>
    <xf numFmtId="0" fontId="40" fillId="0" borderId="26" xfId="4" applyFont="1" applyBorder="1" applyAlignment="1"/>
    <xf numFmtId="0" fontId="8" fillId="0" borderId="0" xfId="0" applyFont="1" applyAlignment="1">
      <alignment horizontal="right" vertical="center"/>
    </xf>
    <xf numFmtId="0" fontId="2" fillId="0" borderId="0" xfId="0" applyFont="1" applyAlignment="1">
      <alignment horizontal="right" vertical="center"/>
    </xf>
    <xf numFmtId="0" fontId="8" fillId="0" borderId="0" xfId="0" applyNumberFormat="1" applyFont="1" applyAlignment="1">
      <alignment horizontal="right" vertical="center"/>
    </xf>
    <xf numFmtId="166" fontId="2" fillId="0" borderId="0" xfId="1" applyFont="1" applyAlignment="1">
      <alignment horizontal="right" vertical="center"/>
    </xf>
    <xf numFmtId="0" fontId="4" fillId="0" borderId="12" xfId="0" applyFont="1" applyBorder="1" applyAlignment="1">
      <alignment vertical="center"/>
    </xf>
    <xf numFmtId="0" fontId="4" fillId="0" borderId="10" xfId="0" applyFont="1" applyBorder="1" applyAlignment="1">
      <alignment vertical="center"/>
    </xf>
    <xf numFmtId="175" fontId="41" fillId="0" borderId="12" xfId="1" applyNumberFormat="1" applyFont="1" applyBorder="1" applyAlignment="1">
      <alignment horizontal="right" vertical="center"/>
    </xf>
    <xf numFmtId="175" fontId="41" fillId="0" borderId="2" xfId="1" applyNumberFormat="1" applyFont="1" applyBorder="1" applyAlignment="1">
      <alignment horizontal="right" vertical="center"/>
    </xf>
    <xf numFmtId="0" fontId="8" fillId="0" borderId="0" xfId="1" applyNumberFormat="1" applyFont="1" applyBorder="1" applyAlignment="1">
      <alignment vertical="center"/>
    </xf>
    <xf numFmtId="0" fontId="5" fillId="0" borderId="0" xfId="0" applyFont="1" applyBorder="1" applyAlignment="1">
      <alignment horizontal="left" vertical="center"/>
    </xf>
    <xf numFmtId="0" fontId="8" fillId="0" borderId="0" xfId="0" applyFont="1" applyAlignment="1">
      <alignment vertical="center"/>
    </xf>
    <xf numFmtId="0" fontId="8" fillId="0" borderId="1" xfId="0" applyFont="1" applyBorder="1" applyAlignment="1">
      <alignment vertical="center"/>
    </xf>
    <xf numFmtId="0" fontId="8" fillId="0" borderId="0" xfId="0" applyFont="1" applyBorder="1" applyAlignment="1">
      <alignment vertical="center"/>
    </xf>
    <xf numFmtId="0" fontId="2" fillId="8" borderId="9" xfId="0" applyFont="1" applyFill="1" applyBorder="1" applyAlignment="1">
      <alignment vertical="center"/>
    </xf>
    <xf numFmtId="0" fontId="2" fillId="8" borderId="0" xfId="0" applyFont="1" applyFill="1" applyBorder="1" applyAlignment="1">
      <alignment vertical="center"/>
    </xf>
    <xf numFmtId="0" fontId="8" fillId="8" borderId="0" xfId="0" applyFont="1" applyFill="1" applyBorder="1" applyAlignment="1">
      <alignment vertical="center"/>
    </xf>
    <xf numFmtId="0" fontId="8" fillId="8" borderId="0" xfId="0" applyFont="1" applyFill="1" applyBorder="1" applyAlignment="1">
      <alignment horizontal="center" vertical="center"/>
    </xf>
    <xf numFmtId="0" fontId="6" fillId="0" borderId="0" xfId="0" applyFont="1" applyAlignment="1">
      <alignment horizontal="left" vertical="center" indent="1"/>
    </xf>
    <xf numFmtId="176" fontId="2" fillId="0" borderId="0" xfId="0" applyNumberFormat="1" applyFont="1" applyBorder="1" applyAlignment="1">
      <alignment vertical="center"/>
    </xf>
    <xf numFmtId="176" fontId="2" fillId="0" borderId="8" xfId="0" applyNumberFormat="1" applyFont="1" applyBorder="1" applyAlignment="1">
      <alignment vertical="center"/>
    </xf>
    <xf numFmtId="0" fontId="2" fillId="0" borderId="9" xfId="0" applyFont="1" applyBorder="1" applyAlignment="1">
      <alignment horizontal="left" vertical="center" indent="2"/>
    </xf>
    <xf numFmtId="0" fontId="2" fillId="8" borderId="5" xfId="0" applyFont="1" applyFill="1" applyBorder="1" applyAlignment="1">
      <alignment vertical="center"/>
    </xf>
    <xf numFmtId="0" fontId="2" fillId="8" borderId="6" xfId="0" applyFont="1" applyFill="1" applyBorder="1" applyAlignment="1">
      <alignment vertical="center"/>
    </xf>
    <xf numFmtId="0" fontId="8" fillId="8" borderId="6" xfId="0" applyFont="1" applyFill="1" applyBorder="1" applyAlignment="1">
      <alignment vertical="center"/>
    </xf>
    <xf numFmtId="0" fontId="8" fillId="8" borderId="6" xfId="0" applyFont="1" applyFill="1" applyBorder="1" applyAlignment="1">
      <alignment horizontal="center" vertical="center"/>
    </xf>
    <xf numFmtId="0" fontId="2" fillId="3" borderId="9" xfId="0" applyFont="1" applyFill="1" applyBorder="1" applyAlignment="1">
      <alignment vertical="center"/>
    </xf>
    <xf numFmtId="0" fontId="2" fillId="3" borderId="0" xfId="0" applyFont="1" applyFill="1" applyBorder="1" applyAlignment="1">
      <alignment horizontal="left" vertical="center" indent="4"/>
    </xf>
    <xf numFmtId="166" fontId="2" fillId="3" borderId="0" xfId="1" applyFont="1" applyFill="1" applyBorder="1" applyAlignment="1">
      <alignment vertical="center"/>
    </xf>
    <xf numFmtId="166" fontId="2" fillId="0" borderId="4" xfId="1" applyFont="1" applyBorder="1" applyAlignment="1">
      <alignment vertical="center"/>
    </xf>
    <xf numFmtId="0" fontId="2" fillId="3" borderId="5" xfId="0" applyFont="1" applyFill="1" applyBorder="1" applyAlignment="1">
      <alignment vertical="center"/>
    </xf>
    <xf numFmtId="0" fontId="2" fillId="3" borderId="6" xfId="0" applyFont="1" applyFill="1" applyBorder="1" applyAlignment="1">
      <alignment horizontal="left" vertical="center" indent="4"/>
    </xf>
    <xf numFmtId="166" fontId="2" fillId="3" borderId="6" xfId="1" applyFont="1" applyFill="1" applyBorder="1" applyAlignment="1">
      <alignment vertical="center"/>
    </xf>
    <xf numFmtId="0" fontId="2" fillId="2" borderId="12" xfId="0" applyFont="1" applyFill="1" applyBorder="1" applyAlignment="1">
      <alignment vertical="center"/>
    </xf>
    <xf numFmtId="0" fontId="2" fillId="2" borderId="10" xfId="0" applyFont="1" applyFill="1" applyBorder="1" applyAlignment="1">
      <alignment horizontal="left" vertical="center" indent="4"/>
    </xf>
    <xf numFmtId="0" fontId="2" fillId="2" borderId="5" xfId="0" applyFont="1" applyFill="1" applyBorder="1" applyAlignment="1">
      <alignment vertical="center"/>
    </xf>
    <xf numFmtId="0" fontId="2" fillId="2" borderId="6" xfId="0" applyFont="1" applyFill="1" applyBorder="1" applyAlignment="1">
      <alignment horizontal="left" vertical="center" indent="4"/>
    </xf>
    <xf numFmtId="166" fontId="2" fillId="2" borderId="6" xfId="1" applyFont="1" applyFill="1" applyBorder="1" applyAlignment="1">
      <alignment vertical="center"/>
    </xf>
    <xf numFmtId="0" fontId="2" fillId="9" borderId="0" xfId="0" applyFont="1" applyFill="1" applyBorder="1"/>
    <xf numFmtId="0" fontId="42" fillId="9" borderId="3" xfId="0" applyFont="1" applyFill="1" applyBorder="1" applyAlignment="1">
      <alignment horizontal="justify" vertical="center" wrapText="1"/>
    </xf>
    <xf numFmtId="0" fontId="42" fillId="9" borderId="4" xfId="0" applyFont="1" applyFill="1" applyBorder="1" applyAlignment="1">
      <alignment horizontal="center" vertical="center" wrapText="1"/>
    </xf>
    <xf numFmtId="0" fontId="2" fillId="9" borderId="4" xfId="0" applyFont="1" applyFill="1" applyBorder="1" applyAlignment="1">
      <alignment horizontal="center"/>
    </xf>
    <xf numFmtId="0" fontId="36" fillId="9" borderId="9" xfId="0" applyFont="1" applyFill="1" applyBorder="1" applyAlignment="1">
      <alignment horizontal="justify" vertical="center" wrapText="1"/>
    </xf>
    <xf numFmtId="169" fontId="36" fillId="9" borderId="8" xfId="0" applyNumberFormat="1" applyFont="1" applyFill="1" applyBorder="1" applyAlignment="1">
      <alignment horizontal="justify" vertical="center" wrapText="1"/>
    </xf>
    <xf numFmtId="0" fontId="36" fillId="9" borderId="5" xfId="0" applyFont="1" applyFill="1" applyBorder="1" applyAlignment="1">
      <alignment horizontal="justify" vertical="center" wrapText="1"/>
    </xf>
    <xf numFmtId="169" fontId="2" fillId="9" borderId="7" xfId="0" applyNumberFormat="1" applyFont="1" applyFill="1" applyBorder="1"/>
    <xf numFmtId="169" fontId="2" fillId="9" borderId="4" xfId="0" applyNumberFormat="1" applyFont="1" applyFill="1" applyBorder="1"/>
    <xf numFmtId="169" fontId="2" fillId="9" borderId="8" xfId="0" applyNumberFormat="1" applyFont="1" applyFill="1" applyBorder="1"/>
    <xf numFmtId="169" fontId="36" fillId="9" borderId="7" xfId="0" applyNumberFormat="1" applyFont="1" applyFill="1" applyBorder="1" applyAlignment="1">
      <alignment horizontal="justify" vertical="center" wrapText="1"/>
    </xf>
    <xf numFmtId="0" fontId="36" fillId="4" borderId="12" xfId="0" applyFont="1" applyFill="1" applyBorder="1"/>
    <xf numFmtId="169" fontId="42" fillId="4" borderId="11" xfId="0" applyNumberFormat="1" applyFont="1" applyFill="1" applyBorder="1"/>
    <xf numFmtId="0" fontId="36" fillId="9" borderId="0" xfId="0" applyFont="1" applyFill="1" applyBorder="1"/>
    <xf numFmtId="0" fontId="36" fillId="2" borderId="2" xfId="0" applyFont="1" applyFill="1" applyBorder="1" applyAlignment="1">
      <alignment horizontal="center" vertical="center"/>
    </xf>
    <xf numFmtId="0" fontId="36" fillId="2" borderId="2" xfId="0" applyFont="1" applyFill="1" applyBorder="1" applyAlignment="1">
      <alignment horizontal="center" vertical="center" wrapText="1"/>
    </xf>
    <xf numFmtId="0" fontId="36" fillId="9" borderId="2" xfId="0" applyFont="1" applyFill="1" applyBorder="1"/>
    <xf numFmtId="0" fontId="43" fillId="9" borderId="3" xfId="0" applyFont="1" applyFill="1" applyBorder="1"/>
    <xf numFmtId="169" fontId="36" fillId="9" borderId="4" xfId="0" applyNumberFormat="1" applyFont="1" applyFill="1" applyBorder="1" applyAlignment="1">
      <alignment horizontal="justify" vertical="center" wrapText="1"/>
    </xf>
    <xf numFmtId="0" fontId="43" fillId="9" borderId="1" xfId="0" applyFont="1" applyFill="1" applyBorder="1"/>
    <xf numFmtId="0" fontId="36" fillId="9" borderId="9" xfId="0" applyFont="1" applyFill="1" applyBorder="1"/>
    <xf numFmtId="167" fontId="36" fillId="9" borderId="8" xfId="1" applyNumberFormat="1" applyFont="1" applyFill="1" applyBorder="1" applyAlignment="1">
      <alignment horizontal="justify" vertical="center" wrapText="1"/>
    </xf>
    <xf numFmtId="166" fontId="36" fillId="9" borderId="0" xfId="1" applyFont="1" applyFill="1" applyBorder="1"/>
    <xf numFmtId="0" fontId="42" fillId="9" borderId="0" xfId="0" applyFont="1" applyFill="1" applyBorder="1"/>
    <xf numFmtId="167" fontId="42" fillId="9" borderId="8" xfId="1" applyNumberFormat="1" applyFont="1" applyFill="1" applyBorder="1" applyAlignment="1">
      <alignment horizontal="justify" vertical="center" wrapText="1"/>
    </xf>
    <xf numFmtId="166" fontId="36" fillId="9" borderId="0" xfId="0" applyNumberFormat="1" applyFont="1" applyFill="1" applyBorder="1"/>
    <xf numFmtId="167" fontId="36" fillId="9" borderId="4" xfId="1" applyNumberFormat="1" applyFont="1" applyFill="1" applyBorder="1" applyAlignment="1">
      <alignment horizontal="justify" vertical="center" wrapText="1"/>
    </xf>
    <xf numFmtId="0" fontId="36" fillId="9" borderId="5" xfId="0" applyFont="1" applyFill="1" applyBorder="1"/>
    <xf numFmtId="167" fontId="36" fillId="9" borderId="7" xfId="1" applyNumberFormat="1" applyFont="1" applyFill="1" applyBorder="1" applyAlignment="1">
      <alignment horizontal="justify" vertical="center" wrapText="1"/>
    </xf>
    <xf numFmtId="0" fontId="42" fillId="10" borderId="12" xfId="0" applyFont="1" applyFill="1" applyBorder="1"/>
    <xf numFmtId="169" fontId="42" fillId="10" borderId="11" xfId="0" applyNumberFormat="1" applyFont="1" applyFill="1" applyBorder="1"/>
    <xf numFmtId="0" fontId="2" fillId="0" borderId="0" xfId="0" applyFont="1" applyFill="1" applyBorder="1" applyAlignment="1">
      <alignment vertical="center"/>
    </xf>
    <xf numFmtId="166" fontId="3" fillId="0" borderId="0" xfId="1" applyFont="1" applyFill="1" applyBorder="1" applyAlignment="1"/>
    <xf numFmtId="0" fontId="3"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4"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Border="1" applyAlignment="1">
      <alignment horizontal="center" vertical="center" wrapText="1"/>
    </xf>
    <xf numFmtId="167" fontId="38" fillId="0" borderId="9" xfId="1" applyNumberFormat="1" applyFont="1" applyBorder="1" applyAlignment="1">
      <alignment horizontal="center"/>
    </xf>
    <xf numFmtId="167" fontId="38" fillId="0" borderId="8" xfId="1" applyNumberFormat="1" applyFont="1" applyBorder="1" applyAlignment="1">
      <alignment horizontal="center"/>
    </xf>
    <xf numFmtId="0" fontId="7" fillId="0" borderId="0" xfId="0" applyFont="1" applyFill="1" applyBorder="1" applyAlignment="1">
      <alignment horizontal="left" vertical="center" indent="1"/>
    </xf>
    <xf numFmtId="0" fontId="13" fillId="0" borderId="0" xfId="0" applyFont="1" applyFill="1" applyBorder="1" applyAlignment="1">
      <alignment horizontal="center" vertical="center"/>
    </xf>
    <xf numFmtId="166" fontId="38" fillId="0" borderId="0" xfId="1" applyFont="1" applyFill="1" applyBorder="1" applyAlignment="1">
      <alignment horizontal="center"/>
    </xf>
    <xf numFmtId="0" fontId="4" fillId="0" borderId="0" xfId="0" applyFont="1" applyBorder="1" applyAlignment="1">
      <alignment horizontal="center" vertical="center"/>
    </xf>
    <xf numFmtId="0" fontId="13" fillId="0" borderId="0" xfId="0" applyFont="1" applyBorder="1" applyAlignment="1">
      <alignment vertical="center"/>
    </xf>
    <xf numFmtId="0" fontId="39" fillId="0" borderId="0" xfId="4" applyFont="1" applyBorder="1" applyAlignment="1">
      <alignment horizontal="center"/>
    </xf>
    <xf numFmtId="0" fontId="39" fillId="0" borderId="0" xfId="4" applyFont="1" applyBorder="1" applyAlignment="1">
      <alignment horizontal="left" indent="1"/>
    </xf>
    <xf numFmtId="0" fontId="54" fillId="9" borderId="0" xfId="0" applyFont="1" applyFill="1" applyBorder="1" applyAlignment="1">
      <alignment horizontal="center" vertical="center"/>
    </xf>
    <xf numFmtId="0" fontId="38" fillId="0" borderId="1" xfId="4" applyFont="1" applyBorder="1" applyAlignment="1">
      <alignment horizontal="left"/>
    </xf>
    <xf numFmtId="0" fontId="39" fillId="0" borderId="0" xfId="6" applyFont="1" applyAlignment="1">
      <alignment horizontal="center"/>
    </xf>
    <xf numFmtId="0" fontId="38" fillId="0" borderId="0" xfId="6" applyFont="1"/>
    <xf numFmtId="49" fontId="38" fillId="0" borderId="0" xfId="6" applyNumberFormat="1" applyFont="1"/>
    <xf numFmtId="0" fontId="39" fillId="0" borderId="0" xfId="6" applyFont="1"/>
    <xf numFmtId="49" fontId="39" fillId="0" borderId="0" xfId="6" applyNumberFormat="1" applyFont="1" applyAlignment="1">
      <alignment horizontal="center"/>
    </xf>
    <xf numFmtId="167" fontId="38" fillId="0" borderId="0" xfId="7" applyNumberFormat="1" applyFont="1" applyAlignment="1">
      <alignment horizontal="center"/>
    </xf>
    <xf numFmtId="49" fontId="38" fillId="0" borderId="0" xfId="6" applyNumberFormat="1" applyFont="1" applyBorder="1"/>
    <xf numFmtId="49" fontId="38" fillId="0" borderId="0" xfId="6" applyNumberFormat="1" applyFont="1" applyBorder="1" applyAlignment="1">
      <alignment horizontal="center"/>
    </xf>
    <xf numFmtId="0" fontId="38" fillId="0" borderId="3" xfId="6" applyFont="1" applyBorder="1" applyAlignment="1">
      <alignment horizontal="left" indent="1"/>
    </xf>
    <xf numFmtId="0" fontId="38" fillId="0" borderId="9" xfId="6" applyFont="1" applyBorder="1"/>
    <xf numFmtId="167" fontId="38" fillId="0" borderId="0" xfId="7" applyNumberFormat="1" applyFont="1" applyBorder="1" applyAlignment="1">
      <alignment horizontal="center"/>
    </xf>
    <xf numFmtId="0" fontId="38" fillId="0" borderId="9" xfId="6" applyFont="1" applyFill="1" applyBorder="1" applyAlignment="1">
      <alignment horizontal="left" indent="1"/>
    </xf>
    <xf numFmtId="0" fontId="38" fillId="0" borderId="0" xfId="6" applyFont="1" applyFill="1" applyBorder="1"/>
    <xf numFmtId="0" fontId="38" fillId="0" borderId="9" xfId="6" applyFont="1" applyBorder="1" applyAlignment="1">
      <alignment horizontal="left" indent="1"/>
    </xf>
    <xf numFmtId="0" fontId="38" fillId="0" borderId="6" xfId="6" applyFont="1" applyBorder="1"/>
    <xf numFmtId="0" fontId="38" fillId="0" borderId="0" xfId="6" applyFont="1" applyBorder="1"/>
    <xf numFmtId="0" fontId="33" fillId="0" borderId="0" xfId="0" applyFont="1" applyBorder="1" applyAlignment="1">
      <alignment horizontal="left" vertical="center" indent="4"/>
    </xf>
    <xf numFmtId="0" fontId="2" fillId="0" borderId="3" xfId="0" applyFont="1" applyBorder="1" applyAlignment="1">
      <alignment horizontal="left" vertical="center" indent="1"/>
    </xf>
    <xf numFmtId="0" fontId="2" fillId="0" borderId="7" xfId="0" applyFont="1" applyBorder="1" applyAlignment="1">
      <alignment vertical="center"/>
    </xf>
    <xf numFmtId="14" fontId="38" fillId="0" borderId="1" xfId="4" applyNumberFormat="1" applyFont="1" applyBorder="1"/>
    <xf numFmtId="167" fontId="38" fillId="0" borderId="0" xfId="1" applyNumberFormat="1" applyFont="1" applyBorder="1" applyAlignment="1">
      <alignment horizontal="center"/>
    </xf>
    <xf numFmtId="0" fontId="2" fillId="9" borderId="0" xfId="0" applyFont="1" applyFill="1" applyBorder="1" applyAlignment="1">
      <alignment horizontal="left" vertical="center" indent="1"/>
    </xf>
    <xf numFmtId="0" fontId="38" fillId="9" borderId="0" xfId="4" applyFont="1" applyFill="1" applyBorder="1" applyAlignment="1">
      <alignment horizontal="left" indent="1"/>
    </xf>
    <xf numFmtId="0" fontId="2" fillId="9" borderId="0" xfId="0" applyFont="1" applyFill="1" applyBorder="1" applyAlignment="1">
      <alignment horizontal="right" vertical="center" indent="1"/>
    </xf>
    <xf numFmtId="0" fontId="38" fillId="9" borderId="0" xfId="4" applyFont="1" applyFill="1" applyBorder="1" applyAlignment="1">
      <alignment horizontal="left"/>
    </xf>
    <xf numFmtId="0" fontId="2" fillId="9" borderId="0" xfId="0" applyFont="1" applyFill="1" applyBorder="1" applyAlignment="1">
      <alignment horizontal="center" vertical="center"/>
    </xf>
    <xf numFmtId="0" fontId="2" fillId="9" borderId="0" xfId="0" applyFont="1" applyFill="1" applyBorder="1" applyAlignment="1">
      <alignment vertical="center"/>
    </xf>
    <xf numFmtId="0" fontId="57" fillId="9" borderId="9" xfId="4" applyFont="1" applyFill="1" applyBorder="1" applyAlignment="1">
      <alignment horizontal="left" indent="1"/>
    </xf>
    <xf numFmtId="14" fontId="38" fillId="9" borderId="0" xfId="4" applyNumberFormat="1" applyFont="1" applyFill="1" applyBorder="1"/>
    <xf numFmtId="0" fontId="58" fillId="9" borderId="0" xfId="0" applyFont="1" applyFill="1" applyBorder="1" applyAlignment="1">
      <alignment horizontal="right" vertical="center" indent="1"/>
    </xf>
    <xf numFmtId="0" fontId="57" fillId="9" borderId="0" xfId="4" applyFont="1" applyFill="1" applyBorder="1" applyAlignment="1">
      <alignment horizontal="left"/>
    </xf>
    <xf numFmtId="0" fontId="59" fillId="0" borderId="9" xfId="4" applyFont="1" applyBorder="1" applyAlignment="1">
      <alignment horizontal="left" indent="1"/>
    </xf>
    <xf numFmtId="0" fontId="58" fillId="9" borderId="0" xfId="4" applyFont="1" applyFill="1" applyBorder="1" applyAlignment="1">
      <alignment horizontal="left"/>
    </xf>
    <xf numFmtId="168" fontId="2" fillId="0" borderId="0" xfId="1" applyNumberFormat="1" applyFont="1" applyBorder="1" applyAlignment="1">
      <alignment horizontal="center" vertical="center"/>
    </xf>
    <xf numFmtId="0" fontId="23" fillId="0" borderId="0" xfId="0" applyFont="1" applyBorder="1" applyAlignment="1">
      <alignment horizontal="left" vertical="center"/>
    </xf>
    <xf numFmtId="0" fontId="2" fillId="0" borderId="0" xfId="0" applyFont="1" applyBorder="1" applyAlignment="1">
      <alignment vertical="center" wrapText="1"/>
    </xf>
    <xf numFmtId="9" fontId="2" fillId="0" borderId="0" xfId="1" applyNumberFormat="1" applyFont="1" applyAlignment="1">
      <alignment horizontal="left" vertical="center"/>
    </xf>
    <xf numFmtId="166" fontId="2" fillId="0" borderId="0" xfId="1" applyFont="1" applyAlignment="1">
      <alignment horizontal="left" vertical="center"/>
    </xf>
    <xf numFmtId="3" fontId="8" fillId="0" borderId="0" xfId="1" applyNumberFormat="1" applyFont="1" applyAlignment="1">
      <alignment horizontal="center" vertical="center"/>
    </xf>
    <xf numFmtId="3" fontId="8" fillId="0" borderId="0" xfId="1" applyNumberFormat="1" applyFont="1" applyAlignment="1">
      <alignment vertical="center"/>
    </xf>
    <xf numFmtId="0" fontId="60" fillId="9" borderId="0" xfId="0" applyFont="1" applyFill="1" applyAlignment="1">
      <alignment vertical="center"/>
    </xf>
    <xf numFmtId="0" fontId="60" fillId="9" borderId="0" xfId="0" applyFont="1" applyFill="1" applyAlignment="1">
      <alignment horizontal="center" vertical="center"/>
    </xf>
    <xf numFmtId="0" fontId="36" fillId="9" borderId="0" xfId="0" applyFont="1" applyFill="1" applyAlignment="1">
      <alignment vertical="center"/>
    </xf>
    <xf numFmtId="0" fontId="61" fillId="11" borderId="2" xfId="0" applyFont="1" applyFill="1" applyBorder="1" applyAlignment="1">
      <alignment horizontal="center" vertical="center" wrapText="1"/>
    </xf>
    <xf numFmtId="0" fontId="36" fillId="9" borderId="2" xfId="0" applyFont="1" applyFill="1" applyBorder="1" applyAlignment="1">
      <alignment vertical="center"/>
    </xf>
    <xf numFmtId="167" fontId="36" fillId="0" borderId="2" xfId="1" applyNumberFormat="1" applyFont="1" applyBorder="1" applyAlignment="1">
      <alignment horizontal="right" vertical="center"/>
    </xf>
    <xf numFmtId="0" fontId="36" fillId="9" borderId="13" xfId="0" applyFont="1" applyFill="1" applyBorder="1" applyAlignment="1">
      <alignment vertical="center"/>
    </xf>
    <xf numFmtId="178" fontId="36" fillId="9" borderId="22" xfId="1" applyNumberFormat="1" applyFont="1" applyFill="1" applyBorder="1" applyAlignment="1">
      <alignment horizontal="center" vertical="center"/>
    </xf>
    <xf numFmtId="178" fontId="36" fillId="9" borderId="22" xfId="1" applyNumberFormat="1" applyFont="1" applyFill="1" applyBorder="1" applyAlignment="1">
      <alignment vertical="center"/>
    </xf>
    <xf numFmtId="178" fontId="36" fillId="9" borderId="9" xfId="1" applyNumberFormat="1" applyFont="1" applyFill="1" applyBorder="1" applyAlignment="1">
      <alignment horizontal="center" vertical="center"/>
    </xf>
    <xf numFmtId="0" fontId="36" fillId="9" borderId="22" xfId="0" applyFont="1" applyFill="1" applyBorder="1" applyAlignment="1">
      <alignment horizontal="left" vertical="center" wrapText="1" indent="1"/>
    </xf>
    <xf numFmtId="0" fontId="36" fillId="9" borderId="22" xfId="0" applyFont="1" applyFill="1" applyBorder="1" applyAlignment="1">
      <alignment horizontal="left" vertical="center" indent="1"/>
    </xf>
    <xf numFmtId="0" fontId="36" fillId="9" borderId="22" xfId="0" applyFont="1" applyFill="1" applyBorder="1" applyAlignment="1">
      <alignment vertical="center"/>
    </xf>
    <xf numFmtId="0" fontId="36" fillId="9" borderId="34" xfId="0" applyFont="1" applyFill="1" applyBorder="1" applyAlignment="1">
      <alignment vertical="center"/>
    </xf>
    <xf numFmtId="178" fontId="36" fillId="9" borderId="34" xfId="1" applyNumberFormat="1" applyFont="1" applyFill="1" applyBorder="1" applyAlignment="1">
      <alignment horizontal="center" vertical="center"/>
    </xf>
    <xf numFmtId="178" fontId="36" fillId="9" borderId="29" xfId="1" applyNumberFormat="1" applyFont="1" applyFill="1" applyBorder="1" applyAlignment="1">
      <alignment horizontal="center" vertical="center"/>
    </xf>
    <xf numFmtId="178" fontId="36" fillId="9" borderId="34" xfId="1" applyNumberFormat="1" applyFont="1" applyFill="1" applyBorder="1" applyAlignment="1">
      <alignment vertical="center"/>
    </xf>
    <xf numFmtId="0" fontId="36" fillId="9" borderId="35" xfId="0" applyFont="1" applyFill="1" applyBorder="1" applyAlignment="1">
      <alignment vertical="center"/>
    </xf>
    <xf numFmtId="178" fontId="36" fillId="9" borderId="35" xfId="1" applyNumberFormat="1" applyFont="1" applyFill="1" applyBorder="1" applyAlignment="1">
      <alignment horizontal="center" vertical="center"/>
    </xf>
    <xf numFmtId="178" fontId="36" fillId="9" borderId="35" xfId="1" applyNumberFormat="1" applyFont="1" applyFill="1" applyBorder="1" applyAlignment="1">
      <alignment vertical="center"/>
    </xf>
    <xf numFmtId="0" fontId="36" fillId="9" borderId="0" xfId="0" applyFont="1" applyFill="1" applyAlignment="1">
      <alignment horizontal="center" vertical="center"/>
    </xf>
    <xf numFmtId="169" fontId="36" fillId="0" borderId="2" xfId="1" applyNumberFormat="1" applyFont="1" applyBorder="1" applyAlignment="1">
      <alignment horizontal="right" vertical="center"/>
    </xf>
    <xf numFmtId="169" fontId="36" fillId="9" borderId="22" xfId="1" applyNumberFormat="1" applyFont="1" applyFill="1" applyBorder="1" applyAlignment="1">
      <alignment horizontal="center" vertical="center"/>
    </xf>
    <xf numFmtId="169" fontId="36" fillId="9" borderId="22" xfId="1" applyNumberFormat="1" applyFont="1" applyFill="1" applyBorder="1" applyAlignment="1">
      <alignment vertical="center"/>
    </xf>
    <xf numFmtId="169" fontId="36" fillId="9" borderId="9" xfId="1" applyNumberFormat="1" applyFont="1" applyFill="1" applyBorder="1" applyAlignment="1">
      <alignment horizontal="center" vertical="center"/>
    </xf>
    <xf numFmtId="0" fontId="36" fillId="9" borderId="34" xfId="0" applyFont="1" applyFill="1" applyBorder="1" applyAlignment="1">
      <alignment horizontal="left" vertical="center" indent="1"/>
    </xf>
    <xf numFmtId="169" fontId="36" fillId="9" borderId="34" xfId="1" applyNumberFormat="1" applyFont="1" applyFill="1" applyBorder="1" applyAlignment="1">
      <alignment horizontal="center" vertical="center"/>
    </xf>
    <xf numFmtId="169" fontId="36" fillId="9" borderId="29" xfId="1" applyNumberFormat="1" applyFont="1" applyFill="1" applyBorder="1" applyAlignment="1">
      <alignment horizontal="center" vertical="center"/>
    </xf>
    <xf numFmtId="169" fontId="36" fillId="9" borderId="34" xfId="1" applyNumberFormat="1" applyFont="1" applyFill="1" applyBorder="1" applyAlignment="1">
      <alignment vertical="center"/>
    </xf>
    <xf numFmtId="169" fontId="36" fillId="9" borderId="35" xfId="1" applyNumberFormat="1" applyFont="1" applyFill="1" applyBorder="1" applyAlignment="1">
      <alignment horizontal="center" vertical="center"/>
    </xf>
    <xf numFmtId="0" fontId="2" fillId="9" borderId="0" xfId="0" applyFont="1" applyFill="1" applyAlignment="1">
      <alignment horizontal="center" vertical="center"/>
    </xf>
    <xf numFmtId="167" fontId="36" fillId="9" borderId="13" xfId="1" applyNumberFormat="1" applyFont="1" applyFill="1" applyBorder="1" applyAlignment="1">
      <alignment horizontal="center" vertical="center" wrapText="1"/>
    </xf>
    <xf numFmtId="167" fontId="36" fillId="9" borderId="4" xfId="1" applyNumberFormat="1" applyFont="1" applyFill="1" applyBorder="1" applyAlignment="1">
      <alignment horizontal="center" vertical="center" wrapText="1"/>
    </xf>
    <xf numFmtId="0" fontId="36" fillId="9" borderId="9" xfId="0" applyFont="1" applyFill="1" applyBorder="1" applyAlignment="1">
      <alignment horizontal="right" vertical="center" wrapText="1" indent="1"/>
    </xf>
    <xf numFmtId="0" fontId="36" fillId="9" borderId="0" xfId="0" applyFont="1" applyFill="1" applyBorder="1" applyAlignment="1">
      <alignment vertical="center" wrapText="1"/>
    </xf>
    <xf numFmtId="167" fontId="36" fillId="9" borderId="22" xfId="1" applyNumberFormat="1" applyFont="1" applyFill="1" applyBorder="1" applyAlignment="1">
      <alignment horizontal="center" vertical="center" wrapText="1"/>
    </xf>
    <xf numFmtId="167" fontId="36" fillId="9" borderId="8" xfId="1" applyNumberFormat="1" applyFont="1" applyFill="1" applyBorder="1" applyAlignment="1">
      <alignment horizontal="center" vertical="center" wrapText="1"/>
    </xf>
    <xf numFmtId="0" fontId="36" fillId="9" borderId="5" xfId="0" applyFont="1" applyFill="1" applyBorder="1" applyAlignment="1">
      <alignment horizontal="right" vertical="center" wrapText="1" indent="1"/>
    </xf>
    <xf numFmtId="0" fontId="36" fillId="9" borderId="6" xfId="0" applyFont="1" applyFill="1" applyBorder="1" applyAlignment="1">
      <alignment vertical="center" wrapText="1"/>
    </xf>
    <xf numFmtId="167" fontId="36" fillId="9" borderId="14" xfId="1" applyNumberFormat="1" applyFont="1" applyFill="1" applyBorder="1" applyAlignment="1">
      <alignment horizontal="center" vertical="center" wrapText="1"/>
    </xf>
    <xf numFmtId="167" fontId="36" fillId="9" borderId="7" xfId="1" applyNumberFormat="1" applyFont="1" applyFill="1" applyBorder="1" applyAlignment="1">
      <alignment horizontal="center" vertical="center" wrapText="1"/>
    </xf>
    <xf numFmtId="0" fontId="2" fillId="9" borderId="0" xfId="0" applyFont="1" applyFill="1" applyAlignment="1">
      <alignment vertical="center"/>
    </xf>
    <xf numFmtId="167" fontId="60" fillId="9" borderId="0" xfId="1" applyNumberFormat="1" applyFont="1" applyFill="1" applyAlignment="1">
      <alignment horizontal="center" vertical="center"/>
    </xf>
    <xf numFmtId="0" fontId="42" fillId="9" borderId="0" xfId="0" applyFont="1" applyFill="1" applyAlignment="1">
      <alignment horizontal="center"/>
    </xf>
    <xf numFmtId="0" fontId="42" fillId="9" borderId="0" xfId="0" applyFont="1" applyFill="1" applyAlignment="1"/>
    <xf numFmtId="167" fontId="36" fillId="9" borderId="0" xfId="1" applyNumberFormat="1" applyFont="1" applyFill="1" applyAlignment="1">
      <alignment vertical="center"/>
    </xf>
    <xf numFmtId="0" fontId="36" fillId="9" borderId="8" xfId="0" applyFont="1" applyFill="1" applyBorder="1" applyAlignment="1">
      <alignment vertical="center"/>
    </xf>
    <xf numFmtId="167" fontId="36" fillId="9" borderId="22" xfId="1" applyNumberFormat="1" applyFont="1" applyFill="1" applyBorder="1" applyAlignment="1">
      <alignment vertical="center"/>
    </xf>
    <xf numFmtId="0" fontId="42" fillId="9" borderId="0" xfId="0" applyFont="1" applyFill="1" applyAlignment="1">
      <alignment vertical="center"/>
    </xf>
    <xf numFmtId="0" fontId="36" fillId="9" borderId="8" xfId="0" applyFont="1" applyFill="1" applyBorder="1" applyAlignment="1">
      <alignment horizontal="center" vertical="center"/>
    </xf>
    <xf numFmtId="0" fontId="36" fillId="9" borderId="8" xfId="0" applyFont="1" applyFill="1" applyBorder="1" applyAlignment="1">
      <alignment vertical="center" wrapText="1"/>
    </xf>
    <xf numFmtId="167" fontId="36" fillId="9" borderId="8" xfId="1" applyNumberFormat="1" applyFont="1" applyFill="1" applyBorder="1" applyAlignment="1">
      <alignment vertical="center"/>
    </xf>
    <xf numFmtId="0" fontId="36" fillId="9" borderId="7" xfId="0" applyFont="1" applyFill="1" applyBorder="1" applyAlignment="1">
      <alignment vertical="center" wrapText="1"/>
    </xf>
    <xf numFmtId="0" fontId="36" fillId="9" borderId="3" xfId="0" applyFont="1" applyFill="1" applyBorder="1" applyAlignment="1">
      <alignment horizontal="left" vertical="center" wrapText="1" indent="1"/>
    </xf>
    <xf numFmtId="0" fontId="36" fillId="9" borderId="1" xfId="0" applyFont="1" applyFill="1" applyBorder="1" applyAlignment="1">
      <alignment horizontal="left" vertical="center" wrapText="1" indent="1"/>
    </xf>
    <xf numFmtId="0" fontId="36" fillId="9" borderId="0" xfId="0" applyFont="1" applyFill="1" applyBorder="1" applyAlignment="1">
      <alignment horizontal="right" vertical="center" wrapText="1" indent="1"/>
    </xf>
    <xf numFmtId="167" fontId="36" fillId="9" borderId="0" xfId="1" applyNumberFormat="1" applyFont="1" applyFill="1" applyBorder="1" applyAlignment="1">
      <alignment horizontal="center" vertical="center" wrapText="1"/>
    </xf>
    <xf numFmtId="166" fontId="60" fillId="9" borderId="0" xfId="1" applyFont="1" applyFill="1" applyAlignment="1">
      <alignment vertical="center"/>
    </xf>
    <xf numFmtId="0" fontId="64" fillId="9" borderId="0" xfId="0" applyFont="1" applyFill="1" applyAlignment="1">
      <alignment vertical="center"/>
    </xf>
    <xf numFmtId="0" fontId="65" fillId="0" borderId="0" xfId="0" applyFont="1" applyAlignment="1">
      <alignment horizontal="center" vertical="center"/>
    </xf>
    <xf numFmtId="166" fontId="65" fillId="0" borderId="0" xfId="1" applyFont="1" applyAlignment="1">
      <alignment vertical="center"/>
    </xf>
    <xf numFmtId="0" fontId="65" fillId="0" borderId="0" xfId="0" applyFont="1" applyAlignment="1">
      <alignment vertical="center"/>
    </xf>
    <xf numFmtId="0" fontId="2" fillId="0" borderId="0" xfId="0" applyFont="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xf>
    <xf numFmtId="49" fontId="38" fillId="0" borderId="0" xfId="8" applyNumberFormat="1" applyFont="1" applyBorder="1" applyAlignment="1">
      <alignment horizontal="center"/>
    </xf>
    <xf numFmtId="0" fontId="38" fillId="0" borderId="3" xfId="8" applyFont="1" applyBorder="1" applyAlignment="1">
      <alignment horizontal="left" indent="1"/>
    </xf>
    <xf numFmtId="0" fontId="38" fillId="0" borderId="9" xfId="8" applyFont="1" applyFill="1" applyBorder="1" applyAlignment="1">
      <alignment horizontal="left" indent="1"/>
    </xf>
    <xf numFmtId="167" fontId="38" fillId="0" borderId="9" xfId="9" applyNumberFormat="1" applyFont="1" applyBorder="1" applyAlignment="1">
      <alignment horizontal="center"/>
    </xf>
    <xf numFmtId="167" fontId="38" fillId="0" borderId="8" xfId="9" applyNumberFormat="1" applyFont="1" applyBorder="1" applyAlignment="1">
      <alignment horizontal="center"/>
    </xf>
    <xf numFmtId="167" fontId="38" fillId="0" borderId="0" xfId="9" applyNumberFormat="1" applyFont="1" applyBorder="1" applyAlignment="1">
      <alignment horizontal="center"/>
    </xf>
    <xf numFmtId="0" fontId="38" fillId="0" borderId="9" xfId="8" applyFont="1" applyBorder="1" applyAlignment="1">
      <alignment horizontal="left" indent="1"/>
    </xf>
    <xf numFmtId="0" fontId="38" fillId="0" borderId="5" xfId="8" applyFont="1" applyBorder="1" applyAlignment="1">
      <alignment horizontal="left" indent="1"/>
    </xf>
    <xf numFmtId="0" fontId="38" fillId="0" borderId="5" xfId="8" applyFont="1" applyFill="1" applyBorder="1" applyAlignment="1">
      <alignment horizontal="left" indent="1"/>
    </xf>
    <xf numFmtId="0" fontId="38" fillId="0" borderId="0" xfId="8" applyFont="1" applyFill="1" applyBorder="1" applyAlignment="1">
      <alignment horizontal="left" indent="1"/>
    </xf>
    <xf numFmtId="0" fontId="39" fillId="9" borderId="0" xfId="0" applyFont="1" applyFill="1" applyAlignment="1">
      <alignment horizontal="center"/>
    </xf>
    <xf numFmtId="0" fontId="5" fillId="9" borderId="0" xfId="0" applyFont="1" applyFill="1"/>
    <xf numFmtId="0" fontId="0" fillId="9" borderId="0" xfId="0" applyFill="1"/>
    <xf numFmtId="0" fontId="23" fillId="9" borderId="16" xfId="0" applyFont="1" applyFill="1" applyBorder="1"/>
    <xf numFmtId="0" fontId="0" fillId="9" borderId="17" xfId="0" applyFill="1" applyBorder="1"/>
    <xf numFmtId="0" fontId="8" fillId="0" borderId="17" xfId="0" applyFont="1" applyBorder="1" applyAlignment="1">
      <alignment horizontal="center" vertical="center"/>
    </xf>
    <xf numFmtId="0" fontId="2" fillId="0" borderId="17" xfId="0" applyFont="1" applyBorder="1" applyAlignment="1">
      <alignment vertical="center"/>
    </xf>
    <xf numFmtId="166" fontId="2" fillId="0" borderId="17" xfId="1" applyFont="1" applyBorder="1" applyAlignment="1">
      <alignment vertical="center"/>
    </xf>
    <xf numFmtId="166" fontId="2" fillId="0" borderId="18" xfId="1" applyFont="1" applyBorder="1" applyAlignment="1">
      <alignment vertical="center"/>
    </xf>
    <xf numFmtId="0" fontId="2" fillId="9" borderId="23" xfId="0" applyFont="1" applyFill="1" applyBorder="1"/>
    <xf numFmtId="0" fontId="66" fillId="9" borderId="0" xfId="0" applyFont="1" applyFill="1" applyBorder="1" applyAlignment="1">
      <alignment horizontal="left" readingOrder="1"/>
    </xf>
    <xf numFmtId="0" fontId="0" fillId="9" borderId="0" xfId="0" applyFill="1" applyBorder="1"/>
    <xf numFmtId="166" fontId="2" fillId="0" borderId="24" xfId="1" applyFont="1" applyBorder="1" applyAlignment="1">
      <alignment vertical="center"/>
    </xf>
    <xf numFmtId="0" fontId="68" fillId="9" borderId="0" xfId="0" applyFont="1" applyFill="1" applyBorder="1" applyAlignment="1">
      <alignment horizontal="left" readingOrder="1"/>
    </xf>
    <xf numFmtId="0" fontId="38" fillId="9" borderId="0" xfId="0" applyFont="1" applyFill="1" applyBorder="1" applyAlignment="1">
      <alignment horizontal="left" readingOrder="1"/>
    </xf>
    <xf numFmtId="0" fontId="70" fillId="9" borderId="0" xfId="0" applyFont="1" applyFill="1" applyBorder="1" applyAlignment="1">
      <alignment horizontal="left" readingOrder="1"/>
    </xf>
    <xf numFmtId="0" fontId="6" fillId="9" borderId="0" xfId="0" applyFont="1" applyFill="1" applyBorder="1" applyAlignment="1">
      <alignment horizontal="center"/>
    </xf>
    <xf numFmtId="0" fontId="3" fillId="0" borderId="0" xfId="0" applyFont="1" applyBorder="1" applyAlignment="1">
      <alignment horizontal="left" vertical="center"/>
    </xf>
    <xf numFmtId="0" fontId="2" fillId="9" borderId="19" xfId="0" applyFont="1" applyFill="1" applyBorder="1"/>
    <xf numFmtId="0" fontId="39" fillId="9" borderId="20" xfId="0" applyFont="1" applyFill="1" applyBorder="1"/>
    <xf numFmtId="0" fontId="0" fillId="9" borderId="20" xfId="0" applyFill="1" applyBorder="1"/>
    <xf numFmtId="0" fontId="2" fillId="0" borderId="20" xfId="0" applyFont="1" applyBorder="1" applyAlignment="1">
      <alignment vertical="center"/>
    </xf>
    <xf numFmtId="166" fontId="2" fillId="0" borderId="20" xfId="1" applyFont="1" applyBorder="1" applyAlignment="1">
      <alignment vertical="center"/>
    </xf>
    <xf numFmtId="166" fontId="2" fillId="0" borderId="21" xfId="1" applyFont="1" applyBorder="1" applyAlignment="1">
      <alignment vertical="center"/>
    </xf>
    <xf numFmtId="0" fontId="2" fillId="9" borderId="0" xfId="0" applyFont="1" applyFill="1"/>
    <xf numFmtId="0" fontId="38" fillId="9" borderId="0" xfId="0" applyFont="1" applyFill="1" applyBorder="1"/>
    <xf numFmtId="0" fontId="37" fillId="9" borderId="0" xfId="0" applyFont="1" applyFill="1" applyBorder="1"/>
    <xf numFmtId="0" fontId="2" fillId="0" borderId="24" xfId="0" applyFont="1" applyBorder="1" applyAlignment="1">
      <alignment vertical="center"/>
    </xf>
    <xf numFmtId="0" fontId="74" fillId="9" borderId="0" xfId="0" applyFont="1" applyFill="1" applyBorder="1"/>
    <xf numFmtId="0" fontId="2" fillId="0" borderId="23" xfId="0" applyFont="1" applyBorder="1" applyAlignment="1">
      <alignment vertical="center"/>
    </xf>
    <xf numFmtId="0" fontId="40" fillId="9" borderId="0" xfId="0" applyFont="1" applyFill="1" applyBorder="1" applyAlignment="1">
      <alignment horizontal="right" indent="2"/>
    </xf>
    <xf numFmtId="165" fontId="38" fillId="9" borderId="23" xfId="2" applyFont="1" applyFill="1" applyBorder="1"/>
    <xf numFmtId="0" fontId="77" fillId="9" borderId="0" xfId="0" applyFont="1" applyFill="1" applyBorder="1"/>
    <xf numFmtId="9" fontId="38" fillId="9" borderId="0" xfId="0" applyNumberFormat="1" applyFont="1" applyFill="1" applyBorder="1" applyAlignment="1">
      <alignment horizontal="center"/>
    </xf>
    <xf numFmtId="0" fontId="39" fillId="9" borderId="0" xfId="0" applyFont="1" applyFill="1" applyBorder="1"/>
    <xf numFmtId="0" fontId="2" fillId="0" borderId="19" xfId="0" applyFont="1" applyBorder="1" applyAlignment="1">
      <alignment horizontal="left" vertical="center" indent="4"/>
    </xf>
    <xf numFmtId="0" fontId="2" fillId="0" borderId="20" xfId="0" applyFont="1" applyBorder="1" applyAlignment="1">
      <alignment horizontal="left" vertical="center" indent="4"/>
    </xf>
    <xf numFmtId="0" fontId="7" fillId="0" borderId="6" xfId="0" applyFont="1" applyBorder="1" applyAlignment="1">
      <alignment vertical="center"/>
    </xf>
    <xf numFmtId="0" fontId="38" fillId="9" borderId="0" xfId="0" applyFont="1" applyFill="1" applyBorder="1" applyAlignment="1">
      <alignment horizontal="center"/>
    </xf>
    <xf numFmtId="0" fontId="38" fillId="9" borderId="3" xfId="0" applyFont="1" applyFill="1" applyBorder="1" applyAlignment="1">
      <alignment horizontal="left" indent="1"/>
    </xf>
    <xf numFmtId="0" fontId="2" fillId="9" borderId="1" xfId="0" applyFont="1" applyFill="1" applyBorder="1"/>
    <xf numFmtId="0" fontId="38" fillId="9" borderId="9" xfId="0" applyFont="1" applyFill="1" applyBorder="1" applyAlignment="1">
      <alignment horizontal="left" indent="1"/>
    </xf>
    <xf numFmtId="0" fontId="38" fillId="9" borderId="9" xfId="0" applyFont="1" applyFill="1" applyBorder="1"/>
    <xf numFmtId="0" fontId="38" fillId="9" borderId="5" xfId="0" applyFont="1" applyFill="1" applyBorder="1" applyAlignment="1">
      <alignment horizontal="left" indent="1"/>
    </xf>
    <xf numFmtId="0" fontId="2" fillId="9" borderId="6" xfId="0" applyFont="1" applyFill="1" applyBorder="1"/>
    <xf numFmtId="0" fontId="2" fillId="9" borderId="3" xfId="0" applyFont="1" applyFill="1" applyBorder="1" applyAlignment="1">
      <alignment horizontal="left" indent="1"/>
    </xf>
    <xf numFmtId="0" fontId="2" fillId="0" borderId="1" xfId="0" applyFont="1" applyBorder="1" applyAlignment="1">
      <alignment horizontal="left" vertical="center" indent="5"/>
    </xf>
    <xf numFmtId="0" fontId="2" fillId="9" borderId="9" xfId="0" applyFont="1" applyFill="1" applyBorder="1" applyAlignment="1">
      <alignment horizontal="left" indent="1"/>
    </xf>
    <xf numFmtId="0" fontId="2" fillId="0" borderId="0" xfId="0" applyFont="1" applyBorder="1" applyAlignment="1">
      <alignment horizontal="left" vertical="center" indent="5"/>
    </xf>
    <xf numFmtId="0" fontId="2" fillId="0" borderId="8" xfId="0" applyFont="1" applyBorder="1" applyAlignment="1">
      <alignment vertical="center"/>
    </xf>
    <xf numFmtId="0" fontId="2" fillId="0" borderId="9" xfId="0" applyFont="1" applyBorder="1" applyAlignment="1">
      <alignment horizontal="left" vertical="center" indent="5"/>
    </xf>
    <xf numFmtId="0" fontId="2" fillId="0" borderId="0" xfId="0" applyFont="1" applyBorder="1" applyAlignment="1">
      <alignment horizontal="left" vertical="center" indent="2"/>
    </xf>
    <xf numFmtId="0" fontId="2" fillId="9" borderId="0" xfId="0" applyFont="1" applyFill="1" applyBorder="1" applyAlignment="1">
      <alignment horizontal="left"/>
    </xf>
    <xf numFmtId="166" fontId="2" fillId="0" borderId="9" xfId="1" applyFont="1" applyBorder="1" applyAlignment="1">
      <alignment vertical="center"/>
    </xf>
    <xf numFmtId="166" fontId="2" fillId="0" borderId="8" xfId="1" applyFont="1" applyBorder="1" applyAlignment="1">
      <alignment vertical="center"/>
    </xf>
    <xf numFmtId="0" fontId="2" fillId="0" borderId="5" xfId="0" applyFont="1" applyBorder="1" applyAlignment="1">
      <alignment horizontal="left" vertical="center" indent="5"/>
    </xf>
    <xf numFmtId="0" fontId="2" fillId="0" borderId="6" xfId="0" applyFont="1" applyBorder="1" applyAlignment="1">
      <alignment horizontal="left" vertical="center" indent="5"/>
    </xf>
    <xf numFmtId="0" fontId="2" fillId="0" borderId="6" xfId="0" applyFont="1" applyBorder="1" applyAlignment="1">
      <alignment horizontal="left" vertical="center" indent="2"/>
    </xf>
    <xf numFmtId="0" fontId="2" fillId="9" borderId="6" xfId="0" applyFont="1" applyFill="1" applyBorder="1" applyAlignment="1">
      <alignment horizontal="left"/>
    </xf>
    <xf numFmtId="166" fontId="2" fillId="0" borderId="5" xfId="1" applyFont="1" applyBorder="1" applyAlignment="1">
      <alignment vertical="center"/>
    </xf>
    <xf numFmtId="166" fontId="2" fillId="0" borderId="7" xfId="1" applyFont="1" applyBorder="1" applyAlignment="1">
      <alignment vertical="center"/>
    </xf>
    <xf numFmtId="0" fontId="23" fillId="0" borderId="0" xfId="0" applyFont="1" applyBorder="1" applyAlignment="1">
      <alignment vertical="center"/>
    </xf>
    <xf numFmtId="0" fontId="6" fillId="0" borderId="0" xfId="0" applyFont="1" applyBorder="1" applyAlignment="1">
      <alignment horizontal="left" vertical="center" indent="3"/>
    </xf>
    <xf numFmtId="0" fontId="77" fillId="0" borderId="0" xfId="0" applyFont="1" applyAlignment="1">
      <alignment vertical="center"/>
    </xf>
    <xf numFmtId="166" fontId="6" fillId="0" borderId="0" xfId="1" applyFont="1" applyAlignment="1">
      <alignment horizontal="center" vertical="center" wrapText="1"/>
    </xf>
    <xf numFmtId="0" fontId="78" fillId="0" borderId="0" xfId="0" applyFont="1" applyAlignment="1">
      <alignment vertical="center"/>
    </xf>
    <xf numFmtId="0" fontId="3" fillId="9" borderId="0" xfId="0" applyFont="1" applyFill="1" applyAlignment="1">
      <alignment vertical="center" wrapText="1"/>
    </xf>
    <xf numFmtId="0" fontId="4" fillId="9" borderId="0" xfId="0" applyFont="1" applyFill="1" applyAlignment="1">
      <alignment vertical="center"/>
    </xf>
    <xf numFmtId="167" fontId="2" fillId="9" borderId="0" xfId="5" applyNumberFormat="1" applyFont="1" applyFill="1" applyAlignment="1">
      <alignment vertical="center"/>
    </xf>
    <xf numFmtId="167" fontId="2" fillId="9" borderId="0" xfId="5" applyNumberFormat="1" applyFont="1" applyFill="1" applyAlignment="1">
      <alignment horizontal="left" vertical="center"/>
    </xf>
    <xf numFmtId="167" fontId="79" fillId="9" borderId="0" xfId="5" applyNumberFormat="1" applyFont="1" applyFill="1" applyAlignment="1">
      <alignment vertical="center"/>
    </xf>
    <xf numFmtId="0" fontId="2" fillId="9" borderId="0" xfId="0" applyFont="1" applyFill="1" applyAlignment="1">
      <alignment vertical="center" wrapText="1"/>
    </xf>
    <xf numFmtId="167" fontId="2" fillId="0" borderId="0" xfId="5" applyNumberFormat="1" applyFont="1" applyFill="1" applyBorder="1" applyAlignment="1">
      <alignment horizontal="center" vertical="center"/>
    </xf>
    <xf numFmtId="0" fontId="2" fillId="0" borderId="37" xfId="0" applyFont="1" applyBorder="1" applyAlignment="1">
      <alignment horizontal="left" vertical="center" indent="4"/>
    </xf>
    <xf numFmtId="0" fontId="3" fillId="0" borderId="37" xfId="0" applyFont="1" applyBorder="1" applyAlignment="1">
      <alignment horizontal="left" vertical="center" indent="2"/>
    </xf>
    <xf numFmtId="0" fontId="2" fillId="0" borderId="37" xfId="0" applyFont="1" applyBorder="1" applyAlignment="1">
      <alignment horizontal="center" vertical="center"/>
    </xf>
    <xf numFmtId="0" fontId="2" fillId="0" borderId="37" xfId="0" applyFont="1" applyBorder="1" applyAlignment="1">
      <alignment vertical="center"/>
    </xf>
    <xf numFmtId="166" fontId="2" fillId="0" borderId="37" xfId="1" applyFont="1" applyBorder="1" applyAlignment="1">
      <alignment vertical="center"/>
    </xf>
    <xf numFmtId="0" fontId="45" fillId="0" borderId="0" xfId="0" applyFont="1" applyBorder="1" applyAlignment="1">
      <alignment horizontal="center" vertical="center"/>
    </xf>
    <xf numFmtId="0" fontId="12" fillId="0" borderId="0" xfId="0" applyFont="1" applyAlignment="1">
      <alignment vertical="center"/>
    </xf>
    <xf numFmtId="167" fontId="2" fillId="9" borderId="0" xfId="5" applyNumberFormat="1" applyFont="1" applyFill="1" applyAlignment="1">
      <alignment horizontal="center" vertical="center"/>
    </xf>
    <xf numFmtId="167" fontId="2" fillId="9" borderId="0" xfId="5" applyNumberFormat="1" applyFont="1" applyFill="1" applyBorder="1" applyAlignment="1">
      <alignment horizontal="left" vertical="center" indent="1"/>
    </xf>
    <xf numFmtId="167" fontId="2" fillId="9" borderId="0" xfId="5" applyNumberFormat="1" applyFont="1" applyFill="1" applyBorder="1" applyAlignment="1">
      <alignment horizontal="center" vertical="center"/>
    </xf>
    <xf numFmtId="0" fontId="12" fillId="0" borderId="0" xfId="1" applyNumberFormat="1" applyFont="1" applyAlignment="1">
      <alignment horizontal="left" vertical="center" indent="2"/>
    </xf>
    <xf numFmtId="166" fontId="80" fillId="0" borderId="0" xfId="1" applyFont="1" applyAlignment="1">
      <alignment horizontal="left" vertical="center"/>
    </xf>
    <xf numFmtId="166" fontId="6" fillId="0" borderId="0" xfId="1" applyFont="1" applyAlignment="1">
      <alignment horizontal="left" vertical="center" indent="2"/>
    </xf>
    <xf numFmtId="166" fontId="6" fillId="0" borderId="0" xfId="1" applyFont="1" applyBorder="1" applyAlignment="1">
      <alignment vertical="center"/>
    </xf>
    <xf numFmtId="166" fontId="6" fillId="0" borderId="0" xfId="1" applyFont="1" applyBorder="1" applyAlignment="1">
      <alignment horizontal="left" vertical="center" indent="2"/>
    </xf>
    <xf numFmtId="0" fontId="12" fillId="0" borderId="0" xfId="0" applyFont="1" applyAlignment="1">
      <alignment horizontal="left" vertical="center" indent="1"/>
    </xf>
    <xf numFmtId="167" fontId="6" fillId="9" borderId="0" xfId="5" applyNumberFormat="1" applyFont="1" applyFill="1" applyAlignment="1">
      <alignment horizontal="left" vertical="center" indent="1"/>
    </xf>
    <xf numFmtId="0" fontId="40" fillId="0" borderId="0" xfId="0" applyFont="1" applyAlignment="1">
      <alignment vertical="center"/>
    </xf>
    <xf numFmtId="0" fontId="5" fillId="0" borderId="0" xfId="5" applyNumberFormat="1" applyFont="1" applyFill="1" applyAlignment="1">
      <alignment vertical="center"/>
    </xf>
    <xf numFmtId="167" fontId="2" fillId="0" borderId="0" xfId="0" applyNumberFormat="1" applyFont="1" applyFill="1" applyAlignment="1">
      <alignment vertical="center"/>
    </xf>
    <xf numFmtId="0" fontId="2" fillId="0" borderId="0" xfId="0" applyFont="1" applyFill="1" applyAlignment="1">
      <alignment horizontal="center" vertical="center"/>
    </xf>
    <xf numFmtId="0" fontId="6" fillId="0" borderId="0" xfId="0" applyFont="1" applyFill="1" applyAlignment="1">
      <alignment vertical="center"/>
    </xf>
    <xf numFmtId="167" fontId="6" fillId="0" borderId="0" xfId="5" applyNumberFormat="1" applyFont="1" applyFill="1" applyAlignment="1">
      <alignment vertical="center"/>
    </xf>
    <xf numFmtId="166" fontId="2" fillId="0" borderId="0" xfId="5" applyFont="1" applyFill="1" applyAlignment="1">
      <alignment horizontal="center" vertical="center"/>
    </xf>
    <xf numFmtId="0" fontId="84" fillId="0" borderId="0" xfId="0" applyFont="1"/>
    <xf numFmtId="0" fontId="85" fillId="0" borderId="0" xfId="0" applyFont="1"/>
    <xf numFmtId="0" fontId="5" fillId="0" borderId="0" xfId="0" applyFont="1" applyFill="1" applyAlignment="1">
      <alignment horizontal="left" vertical="center"/>
    </xf>
    <xf numFmtId="166" fontId="2" fillId="0" borderId="0" xfId="5" applyFont="1" applyFill="1" applyAlignment="1">
      <alignment vertical="center"/>
    </xf>
    <xf numFmtId="0" fontId="5" fillId="0" borderId="0" xfId="0" applyFont="1" applyFill="1" applyAlignment="1">
      <alignment vertical="center"/>
    </xf>
    <xf numFmtId="0" fontId="86" fillId="0" borderId="0" xfId="0" applyFont="1" applyBorder="1" applyAlignment="1">
      <alignment horizontal="center" vertical="center"/>
    </xf>
    <xf numFmtId="0" fontId="35" fillId="0" borderId="0" xfId="0" applyFont="1" applyAlignment="1">
      <alignment vertical="center"/>
    </xf>
    <xf numFmtId="166" fontId="4" fillId="0" borderId="0" xfId="1" applyFont="1" applyAlignment="1">
      <alignment vertical="center"/>
    </xf>
    <xf numFmtId="0" fontId="87" fillId="0" borderId="0" xfId="0" applyFont="1"/>
    <xf numFmtId="0" fontId="36" fillId="0" borderId="0" xfId="0" applyFont="1"/>
    <xf numFmtId="0" fontId="36" fillId="9" borderId="0" xfId="0" applyFont="1" applyFill="1" applyAlignment="1">
      <alignment vertical="center" wrapText="1"/>
    </xf>
    <xf numFmtId="167" fontId="42" fillId="13" borderId="38" xfId="1" applyNumberFormat="1" applyFont="1" applyFill="1" applyBorder="1" applyAlignment="1">
      <alignment horizontal="center" vertical="center" wrapText="1"/>
    </xf>
    <xf numFmtId="167" fontId="42" fillId="14" borderId="28" xfId="1" applyNumberFormat="1" applyFont="1" applyFill="1" applyBorder="1" applyAlignment="1">
      <alignment horizontal="center" vertical="center" wrapText="1"/>
    </xf>
    <xf numFmtId="167" fontId="42" fillId="14" borderId="27" xfId="1" applyNumberFormat="1" applyFont="1" applyFill="1" applyBorder="1" applyAlignment="1">
      <alignment horizontal="center" vertical="center" wrapText="1"/>
    </xf>
    <xf numFmtId="0" fontId="36" fillId="0" borderId="0" xfId="0" applyFont="1" applyAlignment="1">
      <alignment wrapText="1"/>
    </xf>
    <xf numFmtId="0" fontId="43" fillId="9" borderId="0" xfId="0" applyFont="1" applyFill="1" applyAlignment="1">
      <alignment vertical="center" wrapText="1"/>
    </xf>
    <xf numFmtId="0" fontId="36" fillId="9" borderId="9" xfId="0" applyFont="1" applyFill="1" applyBorder="1" applyAlignment="1">
      <alignment vertical="center"/>
    </xf>
    <xf numFmtId="167" fontId="36" fillId="9" borderId="9" xfId="1" applyNumberFormat="1" applyFont="1" applyFill="1" applyBorder="1" applyAlignment="1">
      <alignment vertical="center"/>
    </xf>
    <xf numFmtId="49" fontId="42" fillId="9" borderId="8" xfId="1" applyNumberFormat="1" applyFont="1" applyFill="1" applyBorder="1" applyAlignment="1">
      <alignment vertical="center"/>
    </xf>
    <xf numFmtId="0" fontId="42" fillId="9" borderId="0" xfId="0" applyFont="1" applyFill="1" applyAlignment="1">
      <alignment vertical="center" wrapText="1"/>
    </xf>
    <xf numFmtId="167" fontId="42" fillId="9" borderId="22" xfId="1" applyNumberFormat="1" applyFont="1" applyFill="1" applyBorder="1" applyAlignment="1">
      <alignment vertical="center"/>
    </xf>
    <xf numFmtId="167" fontId="42" fillId="9" borderId="9" xfId="1" applyNumberFormat="1" applyFont="1" applyFill="1" applyBorder="1" applyAlignment="1">
      <alignment vertical="center"/>
    </xf>
    <xf numFmtId="167" fontId="42" fillId="9" borderId="8" xfId="1" applyNumberFormat="1" applyFont="1" applyFill="1" applyBorder="1" applyAlignment="1">
      <alignment vertical="center"/>
    </xf>
    <xf numFmtId="167" fontId="36" fillId="9" borderId="14" xfId="1" applyNumberFormat="1" applyFont="1" applyFill="1" applyBorder="1" applyAlignment="1">
      <alignment vertical="center"/>
    </xf>
    <xf numFmtId="167" fontId="36" fillId="9" borderId="0" xfId="1" applyNumberFormat="1" applyFont="1" applyFill="1" applyBorder="1" applyAlignment="1">
      <alignment vertical="center"/>
    </xf>
    <xf numFmtId="9" fontId="36" fillId="9" borderId="9" xfId="3" applyFont="1" applyFill="1" applyBorder="1" applyAlignment="1">
      <alignment vertical="center"/>
    </xf>
    <xf numFmtId="9" fontId="36" fillId="9" borderId="8" xfId="3" applyFont="1" applyFill="1" applyBorder="1" applyAlignment="1">
      <alignment vertical="center"/>
    </xf>
    <xf numFmtId="9" fontId="36" fillId="9" borderId="9" xfId="3" applyNumberFormat="1" applyFont="1" applyFill="1" applyBorder="1" applyAlignment="1">
      <alignment vertical="center"/>
    </xf>
    <xf numFmtId="166" fontId="36" fillId="9" borderId="0" xfId="1" applyFont="1" applyFill="1" applyBorder="1" applyAlignment="1">
      <alignment horizontal="center" vertical="center"/>
    </xf>
    <xf numFmtId="166" fontId="36" fillId="9" borderId="9" xfId="1" applyFont="1" applyFill="1" applyBorder="1" applyAlignment="1">
      <alignment horizontal="center" vertical="center"/>
    </xf>
    <xf numFmtId="166" fontId="36" fillId="9" borderId="8" xfId="1" applyFont="1" applyFill="1" applyBorder="1" applyAlignment="1">
      <alignment horizontal="center" vertical="center"/>
    </xf>
    <xf numFmtId="165" fontId="36" fillId="9" borderId="0" xfId="2" applyFont="1" applyFill="1" applyBorder="1" applyAlignment="1">
      <alignment vertical="center"/>
    </xf>
    <xf numFmtId="165" fontId="36" fillId="9" borderId="9" xfId="2" applyFont="1" applyFill="1" applyBorder="1" applyAlignment="1">
      <alignment vertical="center"/>
    </xf>
    <xf numFmtId="165" fontId="36" fillId="9" borderId="8" xfId="2" applyFont="1" applyFill="1" applyBorder="1" applyAlignment="1">
      <alignment vertical="center"/>
    </xf>
    <xf numFmtId="165" fontId="36" fillId="9" borderId="9" xfId="2" applyNumberFormat="1" applyFont="1" applyFill="1" applyBorder="1" applyAlignment="1">
      <alignment vertical="center"/>
    </xf>
    <xf numFmtId="165" fontId="36" fillId="9" borderId="8" xfId="2" applyNumberFormat="1" applyFont="1" applyFill="1" applyBorder="1" applyAlignment="1">
      <alignment vertical="center"/>
    </xf>
    <xf numFmtId="9" fontId="36" fillId="9" borderId="9" xfId="2" applyNumberFormat="1" applyFont="1" applyFill="1" applyBorder="1" applyAlignment="1">
      <alignment vertical="center"/>
    </xf>
    <xf numFmtId="9" fontId="36" fillId="9" borderId="8" xfId="2" applyNumberFormat="1" applyFont="1" applyFill="1" applyBorder="1" applyAlignment="1">
      <alignment vertical="center"/>
    </xf>
    <xf numFmtId="168" fontId="36" fillId="9" borderId="9" xfId="1" applyNumberFormat="1" applyFont="1" applyFill="1" applyBorder="1" applyAlignment="1">
      <alignment horizontal="center" vertical="center"/>
    </xf>
    <xf numFmtId="168" fontId="36" fillId="9" borderId="8" xfId="1" applyNumberFormat="1" applyFont="1" applyFill="1" applyBorder="1" applyAlignment="1">
      <alignment horizontal="center" vertical="center"/>
    </xf>
    <xf numFmtId="9" fontId="36" fillId="9" borderId="5" xfId="3" applyNumberFormat="1" applyFont="1" applyFill="1" applyBorder="1" applyAlignment="1">
      <alignment vertical="center"/>
    </xf>
    <xf numFmtId="9" fontId="36" fillId="9" borderId="7" xfId="3" applyNumberFormat="1" applyFont="1" applyFill="1" applyBorder="1" applyAlignment="1">
      <alignment vertical="center"/>
    </xf>
    <xf numFmtId="9" fontId="36" fillId="9" borderId="5" xfId="3" applyFont="1" applyFill="1" applyBorder="1" applyAlignment="1">
      <alignment vertical="center"/>
    </xf>
    <xf numFmtId="0" fontId="3" fillId="0" borderId="0" xfId="0" applyFont="1"/>
    <xf numFmtId="0" fontId="2" fillId="0" borderId="0" xfId="0" applyFont="1"/>
    <xf numFmtId="0" fontId="38" fillId="2" borderId="2" xfId="4" applyFont="1" applyFill="1" applyBorder="1" applyAlignment="1">
      <alignment horizontal="center"/>
    </xf>
    <xf numFmtId="0" fontId="2" fillId="0" borderId="12" xfId="0" applyFont="1" applyBorder="1" applyAlignment="1">
      <alignment horizontal="left" vertical="center" indent="1"/>
    </xf>
    <xf numFmtId="167" fontId="38" fillId="0" borderId="2" xfId="1" applyNumberFormat="1" applyFont="1" applyBorder="1"/>
    <xf numFmtId="9" fontId="38" fillId="0" borderId="2" xfId="3" applyNumberFormat="1" applyFont="1" applyBorder="1" applyAlignment="1">
      <alignment horizontal="center"/>
    </xf>
    <xf numFmtId="9" fontId="38" fillId="0" borderId="2" xfId="3" applyFont="1" applyBorder="1" applyAlignment="1">
      <alignment horizontal="center"/>
    </xf>
    <xf numFmtId="0" fontId="2" fillId="0" borderId="28" xfId="0" applyFont="1" applyBorder="1" applyAlignment="1">
      <alignment horizontal="left" vertical="center" indent="1"/>
    </xf>
    <xf numFmtId="167" fontId="38" fillId="0" borderId="38" xfId="1" applyNumberFormat="1" applyFont="1" applyBorder="1"/>
    <xf numFmtId="180" fontId="38" fillId="0" borderId="38" xfId="3" applyNumberFormat="1" applyFont="1" applyBorder="1" applyAlignment="1">
      <alignment horizontal="center"/>
    </xf>
    <xf numFmtId="0" fontId="2" fillId="0" borderId="14" xfId="0" applyFont="1" applyBorder="1" applyAlignment="1">
      <alignment horizontal="left" vertical="center" indent="1"/>
    </xf>
    <xf numFmtId="167" fontId="38" fillId="0" borderId="14" xfId="1" applyNumberFormat="1" applyFont="1" applyBorder="1"/>
    <xf numFmtId="0" fontId="2" fillId="0" borderId="6" xfId="0" applyFont="1" applyBorder="1" applyAlignment="1">
      <alignment horizontal="center"/>
    </xf>
    <xf numFmtId="0" fontId="2" fillId="0" borderId="0" xfId="0" applyFont="1" applyBorder="1" applyAlignment="1">
      <alignment horizontal="center"/>
    </xf>
    <xf numFmtId="0" fontId="12" fillId="0" borderId="0" xfId="0" applyFont="1" applyBorder="1" applyAlignment="1">
      <alignment horizontal="left" vertical="center" indent="1"/>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38" fillId="0" borderId="0" xfId="4" applyNumberFormat="1" applyFont="1" applyBorder="1" applyAlignment="1">
      <alignment horizontal="center"/>
    </xf>
    <xf numFmtId="49" fontId="38" fillId="0" borderId="0" xfId="4" applyNumberFormat="1" applyFont="1" applyFill="1" applyBorder="1" applyAlignment="1">
      <alignment horizontal="center"/>
    </xf>
    <xf numFmtId="0" fontId="38" fillId="0" borderId="1" xfId="4" applyNumberFormat="1" applyFont="1" applyBorder="1" applyAlignment="1">
      <alignment horizontal="center"/>
    </xf>
    <xf numFmtId="0" fontId="38" fillId="0" borderId="1" xfId="4" applyFont="1" applyBorder="1"/>
    <xf numFmtId="0" fontId="38" fillId="0" borderId="0" xfId="4" applyNumberFormat="1" applyFont="1" applyBorder="1" applyAlignment="1">
      <alignment horizontal="left"/>
    </xf>
    <xf numFmtId="0" fontId="4" fillId="2" borderId="12" xfId="0" applyFont="1" applyFill="1" applyBorder="1" applyAlignment="1">
      <alignment horizontal="center" vertical="center"/>
    </xf>
    <xf numFmtId="0" fontId="38" fillId="0" borderId="9" xfId="4" applyNumberFormat="1" applyFont="1" applyBorder="1" applyAlignment="1">
      <alignment horizontal="left" indent="1"/>
    </xf>
    <xf numFmtId="0" fontId="38" fillId="0" borderId="6" xfId="4" applyNumberFormat="1" applyFont="1" applyBorder="1" applyAlignment="1">
      <alignment horizontal="center"/>
    </xf>
    <xf numFmtId="166" fontId="38" fillId="0" borderId="7" xfId="1" applyFont="1" applyBorder="1" applyAlignment="1">
      <alignment horizontal="center"/>
    </xf>
    <xf numFmtId="49" fontId="37" fillId="0" borderId="0" xfId="4" applyNumberFormat="1" applyFont="1" applyFill="1" applyBorder="1" applyAlignment="1">
      <alignment horizontal="center"/>
    </xf>
    <xf numFmtId="0" fontId="37" fillId="0" borderId="0" xfId="4" applyFont="1" applyBorder="1"/>
    <xf numFmtId="0" fontId="37" fillId="0" borderId="0" xfId="4" applyNumberFormat="1" applyFont="1" applyBorder="1" applyAlignment="1">
      <alignment horizontal="center"/>
    </xf>
    <xf numFmtId="0" fontId="38" fillId="0" borderId="3" xfId="4" applyFont="1" applyBorder="1" applyAlignment="1">
      <alignment horizontal="left"/>
    </xf>
    <xf numFmtId="0" fontId="38" fillId="0" borderId="5" xfId="4" applyNumberFormat="1" applyFont="1" applyBorder="1" applyAlignment="1">
      <alignment horizontal="left" indent="2"/>
    </xf>
    <xf numFmtId="49" fontId="53" fillId="0" borderId="0" xfId="4" applyNumberFormat="1" applyFont="1"/>
    <xf numFmtId="0" fontId="38" fillId="0" borderId="0" xfId="4" applyFont="1"/>
    <xf numFmtId="0" fontId="39" fillId="12" borderId="0" xfId="4" applyFont="1" applyFill="1" applyBorder="1"/>
    <xf numFmtId="0" fontId="2" fillId="12" borderId="0" xfId="0" applyFont="1" applyFill="1" applyBorder="1" applyAlignment="1">
      <alignment vertical="center"/>
    </xf>
    <xf numFmtId="0" fontId="2" fillId="12" borderId="0" xfId="0" applyFont="1" applyFill="1" applyBorder="1" applyAlignment="1">
      <alignment horizontal="left" vertical="center" indent="4"/>
    </xf>
    <xf numFmtId="0" fontId="3" fillId="12" borderId="0" xfId="0" applyFont="1" applyFill="1" applyBorder="1" applyAlignment="1">
      <alignment horizontal="center" vertical="center"/>
    </xf>
    <xf numFmtId="0" fontId="38" fillId="12" borderId="0" xfId="4" applyFont="1" applyFill="1" applyBorder="1"/>
    <xf numFmtId="166" fontId="89" fillId="0" borderId="0" xfId="1" applyFont="1" applyBorder="1" applyAlignment="1">
      <alignment horizontal="center" vertical="center"/>
    </xf>
    <xf numFmtId="0" fontId="48" fillId="0" borderId="0" xfId="0" applyFont="1" applyBorder="1" applyAlignment="1">
      <alignment vertical="center"/>
    </xf>
    <xf numFmtId="166" fontId="48" fillId="0" borderId="0" xfId="1" applyFont="1" applyBorder="1" applyAlignment="1">
      <alignment vertical="center"/>
    </xf>
    <xf numFmtId="166" fontId="90" fillId="0" borderId="0" xfId="1" applyFont="1" applyBorder="1" applyAlignment="1">
      <alignment horizontal="center" vertical="center"/>
    </xf>
    <xf numFmtId="0" fontId="46" fillId="0" borderId="0" xfId="0" applyFont="1" applyBorder="1" applyAlignment="1">
      <alignment vertical="center"/>
    </xf>
    <xf numFmtId="0" fontId="83" fillId="16" borderId="2" xfId="4" applyFont="1" applyFill="1" applyBorder="1" applyAlignment="1">
      <alignment horizontal="center"/>
    </xf>
    <xf numFmtId="49" fontId="38" fillId="0" borderId="0" xfId="4" applyNumberFormat="1" applyFont="1" applyBorder="1" applyAlignment="1">
      <alignment horizontal="center"/>
    </xf>
    <xf numFmtId="0" fontId="38" fillId="0" borderId="3" xfId="4" applyFont="1" applyBorder="1"/>
    <xf numFmtId="0" fontId="38" fillId="0" borderId="4" xfId="4" applyFont="1" applyBorder="1"/>
    <xf numFmtId="167" fontId="2" fillId="0" borderId="4" xfId="1" applyNumberFormat="1" applyFont="1" applyBorder="1" applyAlignment="1">
      <alignment vertical="center"/>
    </xf>
    <xf numFmtId="0" fontId="38" fillId="0" borderId="9" xfId="4" applyFont="1" applyBorder="1"/>
    <xf numFmtId="0" fontId="38" fillId="0" borderId="8" xfId="4" applyFont="1" applyBorder="1"/>
    <xf numFmtId="0" fontId="7" fillId="0" borderId="0" xfId="0" applyFont="1" applyBorder="1" applyAlignment="1">
      <alignment vertical="center"/>
    </xf>
    <xf numFmtId="167" fontId="38" fillId="0" borderId="8" xfId="5" applyNumberFormat="1" applyFont="1" applyBorder="1" applyAlignment="1">
      <alignment horizontal="right"/>
    </xf>
    <xf numFmtId="0" fontId="38" fillId="0" borderId="5" xfId="4" applyFont="1" applyBorder="1"/>
    <xf numFmtId="0" fontId="38" fillId="0" borderId="7" xfId="4" applyFont="1" applyBorder="1"/>
    <xf numFmtId="49" fontId="38" fillId="0" borderId="0" xfId="4" applyNumberFormat="1" applyFont="1" applyBorder="1"/>
    <xf numFmtId="0" fontId="38" fillId="12" borderId="0" xfId="4" applyFont="1" applyFill="1" applyBorder="1" applyAlignment="1"/>
    <xf numFmtId="49" fontId="39" fillId="0" borderId="0" xfId="4" applyNumberFormat="1" applyFont="1" applyBorder="1"/>
    <xf numFmtId="167" fontId="39" fillId="0" borderId="0" xfId="5" applyNumberFormat="1" applyFont="1" applyBorder="1" applyAlignment="1">
      <alignment horizontal="center"/>
    </xf>
    <xf numFmtId="0" fontId="38" fillId="0" borderId="9" xfId="4" applyFont="1" applyBorder="1" applyAlignment="1">
      <alignment horizontal="left"/>
    </xf>
    <xf numFmtId="167" fontId="38" fillId="0" borderId="9" xfId="5" applyNumberFormat="1" applyFont="1" applyBorder="1" applyAlignment="1">
      <alignment horizontal="center"/>
    </xf>
    <xf numFmtId="167" fontId="38" fillId="0" borderId="8" xfId="5" applyNumberFormat="1" applyFont="1" applyBorder="1" applyAlignment="1">
      <alignment horizontal="center"/>
    </xf>
    <xf numFmtId="0" fontId="38" fillId="0" borderId="5" xfId="4" applyFont="1" applyBorder="1" applyAlignment="1">
      <alignment horizontal="left"/>
    </xf>
    <xf numFmtId="167" fontId="38" fillId="0" borderId="0" xfId="5" applyNumberFormat="1" applyFont="1" applyBorder="1"/>
    <xf numFmtId="0" fontId="2" fillId="12" borderId="0" xfId="0" applyFont="1" applyFill="1" applyBorder="1" applyAlignment="1">
      <alignment horizontal="center" vertical="center"/>
    </xf>
    <xf numFmtId="166" fontId="90" fillId="0" borderId="0" xfId="1" applyFont="1" applyAlignment="1">
      <alignment horizontal="center" vertical="center"/>
    </xf>
    <xf numFmtId="166" fontId="46" fillId="0" borderId="0" xfId="1" applyFont="1" applyAlignment="1">
      <alignment vertical="center"/>
    </xf>
    <xf numFmtId="166" fontId="89" fillId="0" borderId="0" xfId="1" applyFont="1" applyAlignment="1">
      <alignment horizontal="center" vertical="center"/>
    </xf>
    <xf numFmtId="166" fontId="48" fillId="0" borderId="0" xfId="1" applyFont="1" applyAlignment="1">
      <alignment vertical="center"/>
    </xf>
    <xf numFmtId="166" fontId="91" fillId="0" borderId="0" xfId="1" applyFont="1" applyAlignment="1">
      <alignment horizontal="center" vertical="center"/>
    </xf>
    <xf numFmtId="0" fontId="33" fillId="0" borderId="0" xfId="0" applyFont="1" applyBorder="1" applyAlignment="1">
      <alignment vertical="center"/>
    </xf>
    <xf numFmtId="0" fontId="4" fillId="17" borderId="2" xfId="0" applyFont="1" applyFill="1" applyBorder="1" applyAlignment="1">
      <alignment horizontal="center" vertical="center"/>
    </xf>
    <xf numFmtId="16" fontId="2" fillId="0" borderId="0" xfId="0" applyNumberFormat="1" applyFont="1" applyBorder="1" applyAlignment="1">
      <alignment horizontal="left" vertical="center" indent="4"/>
    </xf>
    <xf numFmtId="0" fontId="20" fillId="0" borderId="5" xfId="4" applyFont="1" applyBorder="1" applyAlignment="1">
      <alignment horizontal="left" indent="1"/>
    </xf>
    <xf numFmtId="0" fontId="61" fillId="0" borderId="0" xfId="0" applyFont="1" applyFill="1" applyBorder="1" applyAlignment="1">
      <alignment horizontal="left"/>
    </xf>
    <xf numFmtId="3" fontId="61" fillId="9" borderId="0" xfId="0" applyNumberFormat="1" applyFont="1" applyFill="1" applyBorder="1" applyAlignment="1">
      <alignment horizontal="center"/>
    </xf>
    <xf numFmtId="3" fontId="36" fillId="9" borderId="0" xfId="0" applyNumberFormat="1" applyFont="1" applyFill="1" applyBorder="1" applyAlignment="1">
      <alignment horizontal="center"/>
    </xf>
    <xf numFmtId="3" fontId="92" fillId="9" borderId="0" xfId="0" applyNumberFormat="1" applyFont="1" applyFill="1" applyBorder="1" applyAlignment="1">
      <alignment horizontal="center"/>
    </xf>
    <xf numFmtId="0" fontId="6" fillId="0" borderId="0" xfId="0" applyFont="1" applyAlignment="1">
      <alignment horizontal="left" vertical="center" indent="2"/>
    </xf>
    <xf numFmtId="166" fontId="37" fillId="0" borderId="0" xfId="1" applyFont="1" applyBorder="1" applyAlignment="1">
      <alignment horizontal="center"/>
    </xf>
    <xf numFmtId="0" fontId="8" fillId="0" borderId="0" xfId="0" applyFont="1" applyBorder="1" applyAlignment="1">
      <alignment horizontal="left" vertical="center" indent="4"/>
    </xf>
    <xf numFmtId="166" fontId="8" fillId="0" borderId="0" xfId="1" applyFont="1" applyAlignment="1">
      <alignment vertical="center"/>
    </xf>
    <xf numFmtId="0" fontId="38" fillId="0" borderId="1" xfId="4" applyNumberFormat="1" applyFont="1" applyBorder="1" applyAlignment="1">
      <alignment horizontal="left" indent="1"/>
    </xf>
    <xf numFmtId="0" fontId="38" fillId="0" borderId="0" xfId="4" applyNumberFormat="1" applyFont="1" applyBorder="1"/>
    <xf numFmtId="166" fontId="94" fillId="0" borderId="9" xfId="1" applyFont="1" applyBorder="1" applyAlignment="1">
      <alignment horizontal="center"/>
    </xf>
    <xf numFmtId="166" fontId="94" fillId="0" borderId="8" xfId="1" applyFont="1" applyBorder="1" applyAlignment="1">
      <alignment horizontal="center"/>
    </xf>
    <xf numFmtId="166" fontId="94" fillId="0" borderId="0" xfId="1" applyFont="1" applyBorder="1" applyAlignment="1">
      <alignment horizontal="center"/>
    </xf>
    <xf numFmtId="0" fontId="38" fillId="0" borderId="6" xfId="4" applyNumberFormat="1" applyFont="1" applyBorder="1"/>
    <xf numFmtId="0" fontId="95" fillId="0" borderId="9" xfId="0" applyFont="1" applyBorder="1" applyAlignment="1">
      <alignment horizontal="left" vertical="center" indent="1"/>
    </xf>
    <xf numFmtId="0" fontId="93" fillId="0" borderId="0" xfId="0" applyFont="1" applyBorder="1" applyAlignment="1">
      <alignment horizontal="left" vertical="center" indent="1"/>
    </xf>
    <xf numFmtId="14" fontId="13" fillId="0" borderId="0" xfId="0" applyNumberFormat="1" applyFont="1" applyFill="1" applyBorder="1" applyAlignment="1">
      <alignment horizontal="center" vertical="center"/>
    </xf>
    <xf numFmtId="0" fontId="93" fillId="0" borderId="0" xfId="0" applyFont="1" applyBorder="1" applyAlignment="1">
      <alignment horizontal="center" vertical="center"/>
    </xf>
    <xf numFmtId="0" fontId="40" fillId="0" borderId="0" xfId="4" applyFont="1" applyBorder="1" applyAlignment="1">
      <alignment wrapText="1"/>
    </xf>
    <xf numFmtId="0" fontId="40" fillId="0" borderId="8" xfId="4" applyFont="1" applyBorder="1" applyAlignment="1">
      <alignment wrapText="1"/>
    </xf>
    <xf numFmtId="0" fontId="40" fillId="0" borderId="9" xfId="4" applyFont="1" applyBorder="1" applyAlignment="1">
      <alignment wrapText="1"/>
    </xf>
    <xf numFmtId="0" fontId="40" fillId="0" borderId="5" xfId="4" applyFont="1" applyBorder="1" applyAlignment="1">
      <alignment wrapText="1"/>
    </xf>
    <xf numFmtId="0" fontId="40" fillId="0" borderId="6" xfId="4" applyFont="1" applyBorder="1" applyAlignment="1">
      <alignment wrapText="1"/>
    </xf>
    <xf numFmtId="0" fontId="40" fillId="0" borderId="7" xfId="4" applyFont="1" applyBorder="1" applyAlignment="1">
      <alignment wrapText="1"/>
    </xf>
    <xf numFmtId="174" fontId="2" fillId="0" borderId="0" xfId="0" applyNumberFormat="1" applyFont="1" applyBorder="1" applyAlignment="1">
      <alignment horizontal="center" vertical="center"/>
    </xf>
    <xf numFmtId="0" fontId="39" fillId="0" borderId="0" xfId="0" applyFont="1" applyFill="1" applyBorder="1"/>
    <xf numFmtId="0" fontId="38" fillId="0" borderId="0" xfId="0" applyFont="1" applyFill="1" applyBorder="1"/>
    <xf numFmtId="0" fontId="36" fillId="9" borderId="0" xfId="0" applyFont="1" applyFill="1"/>
    <xf numFmtId="0" fontId="97" fillId="2" borderId="2" xfId="0" applyFont="1" applyFill="1" applyBorder="1" applyAlignment="1">
      <alignment horizontal="center" vertical="center"/>
    </xf>
    <xf numFmtId="0" fontId="98" fillId="9" borderId="2" xfId="0" applyFont="1" applyFill="1" applyBorder="1" applyAlignment="1">
      <alignment horizontal="left" vertical="center" indent="1"/>
    </xf>
    <xf numFmtId="0" fontId="36" fillId="9" borderId="2" xfId="0" applyFont="1" applyFill="1" applyBorder="1" applyAlignment="1">
      <alignment horizontal="center" vertical="center"/>
    </xf>
    <xf numFmtId="0" fontId="36" fillId="9" borderId="2" xfId="0" applyFont="1" applyFill="1" applyBorder="1" applyAlignment="1">
      <alignment horizontal="left" vertical="center" indent="1"/>
    </xf>
    <xf numFmtId="170" fontId="36" fillId="9" borderId="2" xfId="2" applyNumberFormat="1" applyFont="1" applyFill="1" applyBorder="1" applyAlignment="1">
      <alignment horizontal="center" vertical="center"/>
    </xf>
    <xf numFmtId="170" fontId="36" fillId="9" borderId="2" xfId="2" applyNumberFormat="1" applyFont="1" applyFill="1" applyBorder="1" applyAlignment="1">
      <alignment horizontal="center"/>
    </xf>
    <xf numFmtId="0" fontId="99" fillId="9" borderId="0" xfId="0" applyFont="1" applyFill="1" applyBorder="1" applyAlignment="1">
      <alignment horizontal="justify" vertical="center" wrapText="1"/>
    </xf>
    <xf numFmtId="0" fontId="100" fillId="9" borderId="0" xfId="0" applyFont="1" applyFill="1" applyBorder="1" applyAlignment="1">
      <alignment horizontal="justify" vertical="center" wrapText="1"/>
    </xf>
    <xf numFmtId="0" fontId="100" fillId="9" borderId="0" xfId="0" applyFont="1" applyFill="1"/>
    <xf numFmtId="0" fontId="36" fillId="9" borderId="0" xfId="0" applyFont="1" applyFill="1" applyAlignment="1">
      <alignment horizontal="left" indent="14"/>
    </xf>
    <xf numFmtId="0" fontId="104" fillId="22" borderId="2" xfId="0" applyFont="1" applyFill="1" applyBorder="1" applyAlignment="1">
      <alignment horizontal="center" vertical="center" wrapText="1"/>
    </xf>
    <xf numFmtId="0" fontId="42" fillId="18" borderId="2" xfId="0" applyFont="1" applyFill="1" applyBorder="1" applyAlignment="1">
      <alignment horizontal="left" vertical="center" wrapText="1" indent="1"/>
    </xf>
    <xf numFmtId="167" fontId="42" fillId="18" borderId="2" xfId="1" applyNumberFormat="1" applyFont="1" applyFill="1" applyBorder="1" applyAlignment="1">
      <alignment horizontal="right" vertical="center" wrapText="1" indent="1"/>
    </xf>
    <xf numFmtId="0" fontId="61" fillId="0" borderId="39" xfId="0" applyFont="1" applyBorder="1" applyAlignment="1">
      <alignment horizontal="left" vertical="center" wrapText="1" indent="1"/>
    </xf>
    <xf numFmtId="167" fontId="36" fillId="0" borderId="39" xfId="1" applyNumberFormat="1" applyFont="1" applyBorder="1" applyAlignment="1">
      <alignment horizontal="right" vertical="center" wrapText="1" indent="1"/>
    </xf>
    <xf numFmtId="0" fontId="105" fillId="23" borderId="2" xfId="0" applyFont="1" applyFill="1" applyBorder="1" applyAlignment="1">
      <alignment horizontal="center" vertical="center" wrapText="1"/>
    </xf>
    <xf numFmtId="0" fontId="105" fillId="23" borderId="10" xfId="0" applyFont="1" applyFill="1" applyBorder="1" applyAlignment="1">
      <alignment horizontal="center" vertical="center" wrapText="1"/>
    </xf>
    <xf numFmtId="0" fontId="105" fillId="23" borderId="11" xfId="0" applyFont="1" applyFill="1" applyBorder="1" applyAlignment="1">
      <alignment horizontal="center" vertical="center" wrapText="1"/>
    </xf>
    <xf numFmtId="0" fontId="61" fillId="0" borderId="40" xfId="0" applyFont="1" applyBorder="1" applyAlignment="1">
      <alignment horizontal="left" vertical="center" wrapText="1" indent="1"/>
    </xf>
    <xf numFmtId="167" fontId="36" fillId="0" borderId="40" xfId="1" applyNumberFormat="1" applyFont="1" applyBorder="1" applyAlignment="1">
      <alignment horizontal="right" vertical="center" wrapText="1" indent="1"/>
    </xf>
    <xf numFmtId="166" fontId="106" fillId="21" borderId="2" xfId="1" applyFont="1" applyFill="1" applyBorder="1" applyAlignment="1">
      <alignment horizontal="left" vertical="center" wrapText="1" indent="1"/>
    </xf>
    <xf numFmtId="166" fontId="107" fillId="21" borderId="11" xfId="1" applyFont="1" applyFill="1" applyBorder="1" applyAlignment="1">
      <alignment horizontal="left" vertical="center" wrapText="1" indent="1"/>
    </xf>
    <xf numFmtId="0" fontId="102" fillId="0" borderId="39" xfId="0" applyFont="1" applyBorder="1" applyAlignment="1">
      <alignment horizontal="center" vertical="center" wrapText="1"/>
    </xf>
    <xf numFmtId="0" fontId="108" fillId="0" borderId="41" xfId="0" applyFont="1" applyBorder="1" applyAlignment="1">
      <alignment horizontal="left" vertical="center" wrapText="1" indent="1"/>
    </xf>
    <xf numFmtId="167" fontId="102" fillId="0" borderId="39" xfId="1" applyNumberFormat="1" applyFont="1" applyBorder="1" applyAlignment="1">
      <alignment horizontal="left" vertical="center" wrapText="1" indent="1"/>
    </xf>
    <xf numFmtId="166" fontId="102" fillId="0" borderId="39" xfId="1" applyFont="1" applyBorder="1" applyAlignment="1">
      <alignment horizontal="left" vertical="center" wrapText="1" indent="1"/>
    </xf>
    <xf numFmtId="167" fontId="102" fillId="0" borderId="42" xfId="1" applyNumberFormat="1" applyFont="1" applyBorder="1" applyAlignment="1">
      <alignment horizontal="left" vertical="center" wrapText="1" indent="1"/>
    </xf>
    <xf numFmtId="0" fontId="102" fillId="0" borderId="40" xfId="0" applyFont="1" applyBorder="1" applyAlignment="1">
      <alignment horizontal="center" vertical="center" wrapText="1"/>
    </xf>
    <xf numFmtId="0" fontId="108" fillId="0" borderId="43" xfId="0" applyFont="1" applyBorder="1" applyAlignment="1">
      <alignment horizontal="left" vertical="center" wrapText="1" indent="1"/>
    </xf>
    <xf numFmtId="167" fontId="102" fillId="0" borderId="40" xfId="1" applyNumberFormat="1" applyFont="1" applyBorder="1" applyAlignment="1">
      <alignment horizontal="left" vertical="center" wrapText="1" indent="1"/>
    </xf>
    <xf numFmtId="166" fontId="102" fillId="0" borderId="40" xfId="1" applyFont="1" applyBorder="1" applyAlignment="1">
      <alignment horizontal="left" vertical="center" wrapText="1" indent="1"/>
    </xf>
    <xf numFmtId="167" fontId="102" fillId="0" borderId="44" xfId="1" applyNumberFormat="1" applyFont="1" applyBorder="1" applyAlignment="1">
      <alignment horizontal="left" vertical="center" wrapText="1" indent="1"/>
    </xf>
    <xf numFmtId="0" fontId="109" fillId="0" borderId="43" xfId="0" applyFont="1" applyBorder="1" applyAlignment="1">
      <alignment horizontal="left" vertical="center" wrapText="1" indent="1"/>
    </xf>
    <xf numFmtId="0" fontId="61" fillId="0" borderId="45" xfId="0" applyFont="1" applyBorder="1" applyAlignment="1">
      <alignment horizontal="left" vertical="center" wrapText="1" indent="1"/>
    </xf>
    <xf numFmtId="167" fontId="36" fillId="0" borderId="45" xfId="1" applyNumberFormat="1" applyFont="1" applyBorder="1" applyAlignment="1">
      <alignment horizontal="right" vertical="center" wrapText="1" indent="1"/>
    </xf>
    <xf numFmtId="167" fontId="42" fillId="18" borderId="2" xfId="1" applyNumberFormat="1" applyFont="1" applyFill="1" applyBorder="1" applyAlignment="1">
      <alignment horizontal="left" vertical="center" wrapText="1" indent="2"/>
    </xf>
    <xf numFmtId="0" fontId="102" fillId="0" borderId="45" xfId="0" applyFont="1" applyBorder="1" applyAlignment="1">
      <alignment horizontal="center" vertical="center" wrapText="1"/>
    </xf>
    <xf numFmtId="0" fontId="109" fillId="0" borderId="46" xfId="0" applyFont="1" applyBorder="1" applyAlignment="1">
      <alignment horizontal="left" vertical="center" wrapText="1" indent="1"/>
    </xf>
    <xf numFmtId="167" fontId="102" fillId="0" borderId="45" xfId="1" applyNumberFormat="1" applyFont="1" applyBorder="1" applyAlignment="1">
      <alignment horizontal="left" vertical="top" wrapText="1" indent="1"/>
    </xf>
    <xf numFmtId="167" fontId="102" fillId="0" borderId="45" xfId="1" applyNumberFormat="1" applyFont="1" applyBorder="1" applyAlignment="1">
      <alignment horizontal="left" vertical="center" wrapText="1" indent="1"/>
    </xf>
    <xf numFmtId="167" fontId="102" fillId="0" borderId="47" xfId="1" applyNumberFormat="1" applyFont="1" applyBorder="1" applyAlignment="1">
      <alignment horizontal="left" vertical="center" wrapText="1" indent="1"/>
    </xf>
    <xf numFmtId="166" fontId="102" fillId="21" borderId="2" xfId="1" applyFont="1" applyFill="1" applyBorder="1" applyAlignment="1">
      <alignment horizontal="left" vertical="top" wrapText="1" indent="1"/>
    </xf>
    <xf numFmtId="166" fontId="110" fillId="21" borderId="11" xfId="1" applyFont="1" applyFill="1" applyBorder="1" applyAlignment="1">
      <alignment horizontal="left" vertical="center" wrapText="1" indent="1"/>
    </xf>
    <xf numFmtId="0" fontId="111" fillId="9" borderId="0" xfId="0" applyFont="1" applyFill="1"/>
    <xf numFmtId="0" fontId="3" fillId="9" borderId="0" xfId="0" applyFont="1" applyFill="1"/>
    <xf numFmtId="0" fontId="42" fillId="2" borderId="2" xfId="0" applyFont="1" applyFill="1" applyBorder="1" applyAlignment="1">
      <alignment horizontal="center" vertical="center" wrapText="1"/>
    </xf>
    <xf numFmtId="0" fontId="92" fillId="2" borderId="2" xfId="0" applyFont="1" applyFill="1" applyBorder="1" applyAlignment="1">
      <alignment horizontal="center" vertical="center" wrapText="1"/>
    </xf>
    <xf numFmtId="16" fontId="36" fillId="9" borderId="2" xfId="0" applyNumberFormat="1" applyFont="1" applyFill="1" applyBorder="1" applyAlignment="1">
      <alignment horizontal="center" vertical="center" wrapText="1"/>
    </xf>
    <xf numFmtId="0" fontId="36" fillId="9" borderId="2" xfId="0" applyFont="1" applyFill="1" applyBorder="1" applyAlignment="1">
      <alignment horizontal="left" vertical="center" wrapText="1"/>
    </xf>
    <xf numFmtId="0" fontId="36" fillId="9" borderId="2" xfId="0" applyFont="1" applyFill="1" applyBorder="1" applyAlignment="1">
      <alignment horizontal="center" vertical="center" wrapText="1"/>
    </xf>
    <xf numFmtId="3" fontId="36" fillId="9" borderId="2" xfId="0" applyNumberFormat="1" applyFont="1" applyFill="1" applyBorder="1" applyAlignment="1">
      <alignment horizontal="center" vertical="center" wrapText="1"/>
    </xf>
    <xf numFmtId="0" fontId="36" fillId="9" borderId="2" xfId="0" applyFont="1" applyFill="1" applyBorder="1" applyAlignment="1">
      <alignment horizontal="justify" vertical="center" wrapText="1"/>
    </xf>
    <xf numFmtId="0" fontId="61" fillId="0" borderId="6" xfId="0" applyFont="1" applyBorder="1" applyAlignment="1">
      <alignment horizontal="center"/>
    </xf>
    <xf numFmtId="0" fontId="104" fillId="20" borderId="2" xfId="0" applyFont="1" applyFill="1" applyBorder="1" applyAlignment="1">
      <alignment horizontal="center" vertical="center" wrapText="1"/>
    </xf>
    <xf numFmtId="0" fontId="61" fillId="0" borderId="2" xfId="0" applyFont="1" applyBorder="1" applyAlignment="1">
      <alignment horizontal="left" vertical="center" wrapText="1" indent="1"/>
    </xf>
    <xf numFmtId="170" fontId="36" fillId="0" borderId="2" xfId="2" applyNumberFormat="1" applyFont="1" applyBorder="1" applyAlignment="1">
      <alignment horizontal="center" vertical="center" wrapText="1"/>
    </xf>
    <xf numFmtId="0" fontId="61" fillId="0" borderId="0" xfId="0" applyFont="1" applyAlignment="1">
      <alignment horizontal="left" indent="1"/>
    </xf>
    <xf numFmtId="0" fontId="68" fillId="25" borderId="48" xfId="0" applyFont="1" applyFill="1" applyBorder="1" applyAlignment="1">
      <alignment horizontal="left" indent="1"/>
    </xf>
    <xf numFmtId="0" fontId="68" fillId="25" borderId="41" xfId="0" applyFont="1" applyFill="1" applyBorder="1" applyAlignment="1">
      <alignment horizontal="left"/>
    </xf>
    <xf numFmtId="0" fontId="68" fillId="25" borderId="49" xfId="0" applyFont="1" applyFill="1" applyBorder="1" applyAlignment="1">
      <alignment horizontal="left" indent="1"/>
    </xf>
    <xf numFmtId="0" fontId="68" fillId="25" borderId="43" xfId="0" applyFont="1" applyFill="1" applyBorder="1" applyAlignment="1">
      <alignment horizontal="left"/>
    </xf>
    <xf numFmtId="0" fontId="68" fillId="25" borderId="50" xfId="0" applyFont="1" applyFill="1" applyBorder="1" applyAlignment="1">
      <alignment horizontal="left" indent="1"/>
    </xf>
    <xf numFmtId="0" fontId="68" fillId="25" borderId="51" xfId="0" applyFont="1" applyFill="1" applyBorder="1" applyAlignment="1">
      <alignment horizontal="left"/>
    </xf>
    <xf numFmtId="0" fontId="2" fillId="0" borderId="53" xfId="0" applyFont="1" applyBorder="1" applyAlignment="1">
      <alignment horizontal="left" vertical="center" indent="4"/>
    </xf>
    <xf numFmtId="0" fontId="2" fillId="0" borderId="54" xfId="0" applyFont="1" applyBorder="1" applyAlignment="1">
      <alignment horizontal="left" vertical="center" indent="4"/>
    </xf>
    <xf numFmtId="0" fontId="8" fillId="0" borderId="54" xfId="0" applyFont="1" applyBorder="1" applyAlignment="1">
      <alignment horizontal="center" vertical="center"/>
    </xf>
    <xf numFmtId="0" fontId="2" fillId="0" borderId="54" xfId="0" applyFont="1" applyBorder="1" applyAlignment="1">
      <alignment vertical="center"/>
    </xf>
    <xf numFmtId="166" fontId="2" fillId="0" borderId="54" xfId="1" applyFont="1" applyBorder="1" applyAlignment="1">
      <alignment vertical="center"/>
    </xf>
    <xf numFmtId="166" fontId="2" fillId="0" borderId="55" xfId="1" applyFont="1" applyBorder="1" applyAlignment="1">
      <alignment vertical="center"/>
    </xf>
    <xf numFmtId="0" fontId="2" fillId="0" borderId="56" xfId="0" applyFont="1" applyBorder="1" applyAlignment="1">
      <alignment vertical="center"/>
    </xf>
    <xf numFmtId="166" fontId="2" fillId="0" borderId="57" xfId="1" applyFont="1" applyBorder="1" applyAlignment="1">
      <alignment vertical="center"/>
    </xf>
    <xf numFmtId="0" fontId="2" fillId="0" borderId="56" xfId="0" applyFont="1" applyFill="1" applyBorder="1"/>
    <xf numFmtId="167" fontId="38" fillId="0" borderId="0" xfId="5" applyNumberFormat="1" applyFont="1" applyFill="1" applyBorder="1"/>
    <xf numFmtId="0" fontId="2" fillId="0" borderId="0" xfId="0" applyFont="1" applyFill="1" applyBorder="1"/>
    <xf numFmtId="0" fontId="3" fillId="0" borderId="12" xfId="0" applyFont="1" applyFill="1" applyBorder="1"/>
    <xf numFmtId="0" fontId="3" fillId="0" borderId="10" xfId="0" applyFont="1" applyBorder="1" applyAlignment="1">
      <alignment horizontal="center" vertical="center"/>
    </xf>
    <xf numFmtId="0" fontId="6" fillId="0" borderId="0" xfId="0" applyFont="1" applyFill="1" applyBorder="1" applyAlignment="1">
      <alignment horizontal="left" indent="3"/>
    </xf>
    <xf numFmtId="0" fontId="3" fillId="0" borderId="28" xfId="0" applyFont="1" applyFill="1" applyBorder="1"/>
    <xf numFmtId="0" fontId="3" fillId="0" borderId="15" xfId="0" applyFont="1" applyBorder="1" applyAlignment="1">
      <alignment vertical="center"/>
    </xf>
    <xf numFmtId="0" fontId="3" fillId="0" borderId="15" xfId="0" applyFont="1" applyBorder="1" applyAlignment="1">
      <alignment horizontal="left" vertical="center" indent="4"/>
    </xf>
    <xf numFmtId="0" fontId="3" fillId="0" borderId="15" xfId="0" applyFont="1" applyBorder="1" applyAlignment="1">
      <alignment horizontal="center" vertical="center"/>
    </xf>
    <xf numFmtId="0" fontId="2" fillId="0" borderId="15" xfId="0" applyFont="1" applyBorder="1" applyAlignment="1">
      <alignment vertical="center"/>
    </xf>
    <xf numFmtId="0" fontId="2" fillId="0" borderId="58" xfId="0" applyFont="1" applyFill="1" applyBorder="1" applyAlignment="1">
      <alignment horizontal="left" vertical="center" indent="4"/>
    </xf>
    <xf numFmtId="0" fontId="2" fillId="0" borderId="37" xfId="0" applyFont="1" applyFill="1" applyBorder="1" applyAlignment="1">
      <alignment horizontal="left" vertical="center" indent="4"/>
    </xf>
    <xf numFmtId="0" fontId="8" fillId="0" borderId="37" xfId="0" applyFont="1" applyBorder="1" applyAlignment="1">
      <alignment horizontal="center" vertical="center"/>
    </xf>
    <xf numFmtId="166" fontId="2" fillId="0" borderId="59" xfId="1" applyFont="1" applyBorder="1" applyAlignment="1">
      <alignment vertical="center"/>
    </xf>
    <xf numFmtId="0" fontId="2" fillId="0" borderId="53" xfId="0" applyFont="1" applyBorder="1" applyAlignment="1">
      <alignment horizontal="center" vertical="center"/>
    </xf>
    <xf numFmtId="0" fontId="2" fillId="0" borderId="54" xfId="0" applyFont="1" applyFill="1" applyBorder="1" applyAlignment="1">
      <alignment horizontal="left" vertical="center" indent="4"/>
    </xf>
    <xf numFmtId="0" fontId="8" fillId="0" borderId="54" xfId="0" applyFont="1" applyFill="1" applyBorder="1" applyAlignment="1">
      <alignment horizontal="center" vertical="center"/>
    </xf>
    <xf numFmtId="0" fontId="2" fillId="0" borderId="54" xfId="0" applyFont="1" applyFill="1" applyBorder="1" applyAlignment="1">
      <alignment vertical="center"/>
    </xf>
    <xf numFmtId="0" fontId="2" fillId="0" borderId="55" xfId="0" applyFont="1" applyBorder="1" applyAlignment="1">
      <alignment vertical="center"/>
    </xf>
    <xf numFmtId="0" fontId="2" fillId="0" borderId="56" xfId="0" applyFont="1" applyBorder="1" applyAlignment="1">
      <alignment horizontal="center" vertical="center"/>
    </xf>
    <xf numFmtId="0" fontId="2" fillId="0" borderId="57" xfId="0" applyFont="1" applyBorder="1" applyAlignment="1">
      <alignment vertical="center"/>
    </xf>
    <xf numFmtId="166" fontId="38" fillId="0" borderId="0" xfId="5" applyFont="1" applyFill="1" applyBorder="1"/>
    <xf numFmtId="49" fontId="5" fillId="0" borderId="3" xfId="5" applyNumberFormat="1" applyFont="1" applyFill="1" applyBorder="1" applyAlignment="1">
      <alignment horizontal="left" indent="1"/>
    </xf>
    <xf numFmtId="0" fontId="2" fillId="0" borderId="1" xfId="0" applyFont="1" applyFill="1" applyBorder="1"/>
    <xf numFmtId="0" fontId="2" fillId="0" borderId="1" xfId="0" applyFont="1" applyFill="1" applyBorder="1" applyAlignment="1">
      <alignment vertical="center"/>
    </xf>
    <xf numFmtId="49" fontId="5" fillId="0" borderId="3" xfId="0" applyNumberFormat="1" applyFont="1" applyFill="1" applyBorder="1" applyAlignment="1">
      <alignment horizontal="left" indent="1"/>
    </xf>
    <xf numFmtId="166" fontId="3" fillId="0" borderId="9" xfId="5" applyFont="1" applyFill="1" applyBorder="1" applyAlignment="1">
      <alignment horizontal="left" indent="2"/>
    </xf>
    <xf numFmtId="0" fontId="3" fillId="0" borderId="9" xfId="0" applyFont="1" applyFill="1" applyBorder="1" applyAlignment="1">
      <alignment horizontal="left" indent="2"/>
    </xf>
    <xf numFmtId="166" fontId="38" fillId="0" borderId="9" xfId="5" applyFont="1" applyFill="1" applyBorder="1" applyAlignment="1">
      <alignment horizontal="left" indent="2"/>
    </xf>
    <xf numFmtId="166" fontId="2" fillId="0" borderId="0" xfId="0" applyNumberFormat="1" applyFont="1" applyFill="1" applyBorder="1"/>
    <xf numFmtId="0" fontId="2" fillId="0" borderId="9" xfId="0" applyFont="1" applyFill="1" applyBorder="1" applyAlignment="1">
      <alignment horizontal="left" indent="2"/>
    </xf>
    <xf numFmtId="167" fontId="2" fillId="0" borderId="0" xfId="0" applyNumberFormat="1" applyFont="1" applyFill="1" applyBorder="1"/>
    <xf numFmtId="166" fontId="39" fillId="0" borderId="9" xfId="5" applyFont="1" applyFill="1" applyBorder="1" applyAlignment="1">
      <alignment horizontal="left" indent="2"/>
    </xf>
    <xf numFmtId="0" fontId="3" fillId="0" borderId="9" xfId="0" applyFont="1" applyBorder="1" applyAlignment="1">
      <alignment horizontal="left" vertical="center" indent="1"/>
    </xf>
    <xf numFmtId="166" fontId="3" fillId="0" borderId="0" xfId="5" applyFont="1" applyFill="1" applyBorder="1"/>
    <xf numFmtId="0" fontId="6" fillId="0" borderId="9" xfId="0" applyFont="1" applyBorder="1" applyAlignment="1">
      <alignment horizontal="left" vertical="center" indent="2"/>
    </xf>
    <xf numFmtId="166" fontId="3" fillId="0" borderId="12" xfId="5" applyFont="1" applyFill="1" applyBorder="1" applyAlignment="1">
      <alignment horizontal="left"/>
    </xf>
    <xf numFmtId="166" fontId="3" fillId="0" borderId="0" xfId="5" applyFont="1" applyFill="1" applyBorder="1" applyAlignment="1">
      <alignment horizontal="left"/>
    </xf>
    <xf numFmtId="167" fontId="3" fillId="0" borderId="0" xfId="1" applyNumberFormat="1" applyFont="1" applyFill="1" applyBorder="1" applyAlignment="1">
      <alignment horizontal="center" vertical="center"/>
    </xf>
    <xf numFmtId="0" fontId="3" fillId="0" borderId="0" xfId="0" applyFont="1" applyFill="1" applyBorder="1"/>
    <xf numFmtId="0" fontId="2" fillId="0" borderId="58" xfId="0" applyFont="1" applyBorder="1" applyAlignment="1">
      <alignment horizontal="center" vertical="center"/>
    </xf>
    <xf numFmtId="0" fontId="2" fillId="0" borderId="59" xfId="0" applyFont="1" applyBorder="1" applyAlignment="1">
      <alignment vertical="center"/>
    </xf>
    <xf numFmtId="0" fontId="68" fillId="25" borderId="60" xfId="0" applyFont="1" applyFill="1" applyBorder="1" applyAlignment="1">
      <alignment horizontal="left" indent="1"/>
    </xf>
    <xf numFmtId="0" fontId="68" fillId="25" borderId="61" xfId="0" applyFont="1" applyFill="1" applyBorder="1" applyAlignment="1">
      <alignment horizontal="left"/>
    </xf>
    <xf numFmtId="166" fontId="3" fillId="0" borderId="6" xfId="5" applyFont="1" applyFill="1" applyBorder="1"/>
    <xf numFmtId="0" fontId="2" fillId="0" borderId="8" xfId="0" applyFont="1" applyFill="1" applyBorder="1" applyAlignment="1">
      <alignment vertical="center"/>
    </xf>
    <xf numFmtId="167" fontId="3" fillId="0" borderId="8" xfId="1" applyNumberFormat="1" applyFont="1" applyFill="1" applyBorder="1" applyAlignment="1">
      <alignment horizontal="center" vertical="center"/>
    </xf>
    <xf numFmtId="167" fontId="113" fillId="0" borderId="0" xfId="1" applyNumberFormat="1" applyFont="1" applyFill="1" applyBorder="1" applyAlignment="1">
      <alignment horizontal="center" vertical="center"/>
    </xf>
    <xf numFmtId="167" fontId="113" fillId="0" borderId="8" xfId="1" applyNumberFormat="1" applyFont="1" applyFill="1" applyBorder="1" applyAlignment="1">
      <alignment horizontal="center" vertical="center"/>
    </xf>
    <xf numFmtId="0" fontId="3" fillId="0" borderId="5" xfId="0" applyFont="1" applyBorder="1" applyAlignment="1">
      <alignment horizontal="left" vertical="center" indent="1"/>
    </xf>
    <xf numFmtId="0" fontId="10" fillId="0" borderId="0" xfId="0" applyFont="1" applyAlignment="1">
      <alignment horizontal="center" vertical="center"/>
    </xf>
    <xf numFmtId="0" fontId="10" fillId="0" borderId="0" xfId="0" applyFont="1" applyAlignment="1">
      <alignment vertical="center"/>
    </xf>
    <xf numFmtId="0" fontId="2" fillId="0" borderId="0" xfId="0" applyFont="1" applyFill="1" applyBorder="1" applyAlignment="1"/>
    <xf numFmtId="181" fontId="2" fillId="0" borderId="0" xfId="1" applyNumberFormat="1" applyFont="1" applyBorder="1" applyAlignment="1">
      <alignment horizontal="center" vertical="center"/>
    </xf>
    <xf numFmtId="0" fontId="120" fillId="0" borderId="0" xfId="0" applyFont="1"/>
    <xf numFmtId="167" fontId="37" fillId="0" borderId="0" xfId="11" applyNumberFormat="1"/>
    <xf numFmtId="0" fontId="2" fillId="0" borderId="0" xfId="0" applyFont="1" applyAlignment="1">
      <alignment horizontal="left" indent="2"/>
    </xf>
    <xf numFmtId="0" fontId="39" fillId="0" borderId="0" xfId="0" applyFont="1"/>
    <xf numFmtId="0" fontId="38" fillId="0" borderId="0" xfId="0" applyFont="1" applyAlignment="1">
      <alignment horizontal="left" indent="4"/>
    </xf>
    <xf numFmtId="0" fontId="39" fillId="0" borderId="0" xfId="0" applyFont="1" applyAlignment="1"/>
    <xf numFmtId="182" fontId="38" fillId="0" borderId="0" xfId="1" applyNumberFormat="1" applyFont="1" applyAlignment="1">
      <alignment horizontal="center"/>
    </xf>
    <xf numFmtId="0" fontId="38" fillId="0" borderId="0" xfId="0" applyFont="1" applyAlignment="1">
      <alignment horizontal="left" indent="3"/>
    </xf>
    <xf numFmtId="0" fontId="39" fillId="0" borderId="0" xfId="0" applyFont="1" applyAlignment="1">
      <alignment vertical="center"/>
    </xf>
    <xf numFmtId="0" fontId="121" fillId="0" borderId="0" xfId="0" applyFont="1" applyAlignment="1">
      <alignment horizontal="left" indent="2"/>
    </xf>
    <xf numFmtId="0" fontId="38" fillId="0" borderId="0" xfId="0" applyFont="1" applyAlignment="1">
      <alignment horizontal="left" indent="2"/>
    </xf>
    <xf numFmtId="0" fontId="122" fillId="0" borderId="0" xfId="0" applyFont="1" applyAlignment="1">
      <alignment horizontal="left" indent="2"/>
    </xf>
    <xf numFmtId="0" fontId="2" fillId="0" borderId="0" xfId="0" applyFont="1" applyAlignment="1">
      <alignment horizontal="left" vertical="center" indent="4"/>
    </xf>
    <xf numFmtId="0" fontId="38" fillId="0" borderId="0" xfId="0" applyFont="1" applyBorder="1" applyAlignment="1">
      <alignment horizontal="left" indent="3"/>
    </xf>
    <xf numFmtId="0" fontId="39" fillId="0" borderId="0" xfId="0" applyFont="1" applyBorder="1"/>
    <xf numFmtId="0" fontId="40" fillId="0" borderId="0" xfId="0" applyFont="1" applyAlignment="1">
      <alignment horizontal="left" indent="4"/>
    </xf>
    <xf numFmtId="0" fontId="96" fillId="9" borderId="0" xfId="0" applyFont="1" applyFill="1"/>
    <xf numFmtId="0" fontId="123" fillId="9" borderId="0" xfId="0" applyFont="1" applyFill="1"/>
    <xf numFmtId="0" fontId="124" fillId="9" borderId="0" xfId="0" applyFont="1" applyFill="1"/>
    <xf numFmtId="4" fontId="2" fillId="0" borderId="0" xfId="0" applyNumberFormat="1" applyFont="1" applyAlignment="1">
      <alignment vertical="center"/>
    </xf>
    <xf numFmtId="0" fontId="37" fillId="9" borderId="0" xfId="0" applyFont="1" applyFill="1"/>
    <xf numFmtId="0" fontId="42" fillId="9" borderId="0" xfId="0" applyFont="1" applyFill="1" applyAlignment="1">
      <alignment horizontal="justify" vertical="center"/>
    </xf>
    <xf numFmtId="14" fontId="97" fillId="9" borderId="0" xfId="0" applyNumberFormat="1" applyFont="1" applyFill="1"/>
    <xf numFmtId="0" fontId="36" fillId="9" borderId="0" xfId="0" applyFont="1" applyFill="1" applyAlignment="1">
      <alignment horizontal="justify" vertical="center"/>
    </xf>
    <xf numFmtId="167" fontId="36" fillId="9" borderId="0" xfId="1" applyNumberFormat="1" applyFont="1" applyFill="1"/>
    <xf numFmtId="167" fontId="42" fillId="9" borderId="10" xfId="1" applyNumberFormat="1" applyFont="1" applyFill="1" applyBorder="1"/>
    <xf numFmtId="167" fontId="42" fillId="9" borderId="6" xfId="1" applyNumberFormat="1" applyFont="1" applyFill="1" applyBorder="1"/>
    <xf numFmtId="0" fontId="42" fillId="9" borderId="0" xfId="0" applyFont="1" applyFill="1"/>
    <xf numFmtId="0" fontId="97" fillId="9" borderId="0" xfId="0" applyFont="1" applyFill="1"/>
    <xf numFmtId="0" fontId="36" fillId="9" borderId="0" xfId="0" applyFont="1" applyFill="1" applyAlignment="1">
      <alignment horizontal="left" indent="1"/>
    </xf>
    <xf numFmtId="0" fontId="125" fillId="9" borderId="0" xfId="0" applyFont="1" applyFill="1" applyBorder="1" applyAlignment="1">
      <alignment horizontal="left" vertical="center" wrapText="1" indent="1"/>
    </xf>
    <xf numFmtId="167" fontId="36" fillId="9" borderId="0" xfId="1" applyNumberFormat="1" applyFont="1" applyFill="1" applyBorder="1"/>
    <xf numFmtId="0" fontId="36" fillId="9" borderId="0" xfId="0" applyFont="1" applyFill="1" applyBorder="1" applyAlignment="1">
      <alignment horizontal="left" indent="1"/>
    </xf>
    <xf numFmtId="0" fontId="42" fillId="9" borderId="3" xfId="0" applyFont="1" applyFill="1" applyBorder="1" applyAlignment="1">
      <alignment horizontal="left" indent="1"/>
    </xf>
    <xf numFmtId="167" fontId="128" fillId="9" borderId="1" xfId="1" applyNumberFormat="1" applyFont="1" applyFill="1" applyBorder="1" applyAlignment="1">
      <alignment horizontal="center" vertical="center" wrapText="1"/>
    </xf>
    <xf numFmtId="167" fontId="128" fillId="9" borderId="4" xfId="1" applyNumberFormat="1" applyFont="1" applyFill="1" applyBorder="1" applyAlignment="1">
      <alignment horizontal="center" vertical="center" wrapText="1"/>
    </xf>
    <xf numFmtId="0" fontId="125" fillId="9" borderId="3" xfId="0" applyFont="1" applyFill="1" applyBorder="1" applyAlignment="1">
      <alignment horizontal="left" vertical="center" wrapText="1" indent="1"/>
    </xf>
    <xf numFmtId="0" fontId="36" fillId="9" borderId="3" xfId="0" applyFont="1" applyFill="1" applyBorder="1"/>
    <xf numFmtId="0" fontId="36" fillId="9" borderId="1" xfId="0" applyFont="1" applyFill="1" applyBorder="1"/>
    <xf numFmtId="0" fontId="36" fillId="9" borderId="4" xfId="0" applyFont="1" applyFill="1" applyBorder="1"/>
    <xf numFmtId="0" fontId="128" fillId="9" borderId="9" xfId="0" applyFont="1" applyFill="1" applyBorder="1" applyAlignment="1">
      <alignment horizontal="left" vertical="center" wrapText="1" indent="1"/>
    </xf>
    <xf numFmtId="167" fontId="126" fillId="9" borderId="0" xfId="1" applyNumberFormat="1" applyFont="1" applyFill="1" applyBorder="1" applyAlignment="1">
      <alignment vertical="center" wrapText="1"/>
    </xf>
    <xf numFmtId="167" fontId="126" fillId="9" borderId="8" xfId="1" applyNumberFormat="1" applyFont="1" applyFill="1" applyBorder="1" applyAlignment="1">
      <alignment horizontal="right" vertical="center" wrapText="1"/>
    </xf>
    <xf numFmtId="167" fontId="36" fillId="9" borderId="8" xfId="1" applyNumberFormat="1" applyFont="1" applyFill="1" applyBorder="1"/>
    <xf numFmtId="0" fontId="43" fillId="9" borderId="0" xfId="0" applyFont="1" applyFill="1" applyBorder="1" applyAlignment="1">
      <alignment horizontal="center"/>
    </xf>
    <xf numFmtId="0" fontId="36" fillId="9" borderId="8" xfId="0" applyFont="1" applyFill="1" applyBorder="1"/>
    <xf numFmtId="0" fontId="126" fillId="9" borderId="9" xfId="0" applyFont="1" applyFill="1" applyBorder="1" applyAlignment="1">
      <alignment horizontal="left" vertical="center" wrapText="1" indent="1"/>
    </xf>
    <xf numFmtId="167" fontId="126" fillId="9" borderId="0" xfId="1" applyNumberFormat="1" applyFont="1" applyFill="1" applyBorder="1" applyAlignment="1">
      <alignment horizontal="right" vertical="center" wrapText="1"/>
    </xf>
    <xf numFmtId="0" fontId="36" fillId="9" borderId="0" xfId="0" applyFont="1" applyFill="1" applyBorder="1" applyAlignment="1">
      <alignment horizontal="justify" vertical="center" wrapText="1"/>
    </xf>
    <xf numFmtId="183" fontId="36" fillId="9" borderId="0" xfId="0" applyNumberFormat="1" applyFont="1" applyFill="1" applyBorder="1" applyAlignment="1">
      <alignment horizontal="right" vertical="center" wrapText="1"/>
    </xf>
    <xf numFmtId="167" fontId="126" fillId="9" borderId="8" xfId="1" applyNumberFormat="1" applyFont="1" applyFill="1" applyBorder="1" applyAlignment="1">
      <alignment horizontal="center" vertical="center" wrapText="1"/>
    </xf>
    <xf numFmtId="167" fontId="129" fillId="9" borderId="0" xfId="1" applyNumberFormat="1" applyFont="1" applyFill="1" applyBorder="1" applyAlignment="1">
      <alignment horizontal="right" vertical="center" wrapText="1"/>
    </xf>
    <xf numFmtId="166" fontId="129" fillId="9" borderId="8" xfId="1" applyFont="1" applyFill="1" applyBorder="1" applyAlignment="1">
      <alignment horizontal="center" vertical="center" wrapText="1"/>
    </xf>
    <xf numFmtId="167" fontId="129" fillId="9" borderId="8" xfId="1" applyNumberFormat="1" applyFont="1" applyFill="1" applyBorder="1" applyAlignment="1">
      <alignment horizontal="right" vertical="center" wrapText="1"/>
    </xf>
    <xf numFmtId="0" fontId="125" fillId="9" borderId="9" xfId="0" applyFont="1" applyFill="1" applyBorder="1" applyAlignment="1">
      <alignment horizontal="left" vertical="center" wrapText="1" indent="1"/>
    </xf>
    <xf numFmtId="167" fontId="125" fillId="9" borderId="0" xfId="1" applyNumberFormat="1" applyFont="1" applyFill="1" applyBorder="1" applyAlignment="1">
      <alignment horizontal="right" vertical="center" wrapText="1"/>
    </xf>
    <xf numFmtId="167" fontId="125" fillId="9" borderId="8" xfId="1" applyNumberFormat="1" applyFont="1" applyFill="1" applyBorder="1" applyAlignment="1">
      <alignment horizontal="right" vertical="center" wrapText="1"/>
    </xf>
    <xf numFmtId="0" fontId="42" fillId="9" borderId="12" xfId="0" applyFont="1" applyFill="1" applyBorder="1" applyAlignment="1">
      <alignment horizontal="justify" vertical="center" wrapText="1"/>
    </xf>
    <xf numFmtId="183" fontId="42" fillId="9" borderId="11" xfId="0" applyNumberFormat="1" applyFont="1" applyFill="1" applyBorder="1" applyAlignment="1">
      <alignment horizontal="right" vertical="center" wrapText="1"/>
    </xf>
    <xf numFmtId="167" fontId="129" fillId="9" borderId="8" xfId="1" applyNumberFormat="1" applyFont="1" applyFill="1" applyBorder="1" applyAlignment="1">
      <alignment horizontal="center" vertical="center" wrapText="1"/>
    </xf>
    <xf numFmtId="0" fontId="42" fillId="9" borderId="3" xfId="0" applyFont="1" applyFill="1" applyBorder="1" applyAlignment="1">
      <alignment horizontal="left" vertical="center" wrapText="1" indent="1"/>
    </xf>
    <xf numFmtId="167" fontId="126" fillId="9" borderId="1" xfId="1" applyNumberFormat="1" applyFont="1" applyFill="1" applyBorder="1" applyAlignment="1">
      <alignment vertical="center" wrapText="1"/>
    </xf>
    <xf numFmtId="167" fontId="126" fillId="9" borderId="4" xfId="1" applyNumberFormat="1" applyFont="1" applyFill="1" applyBorder="1" applyAlignment="1">
      <alignment horizontal="right" vertical="center" wrapText="1"/>
    </xf>
    <xf numFmtId="183" fontId="130" fillId="9" borderId="0" xfId="0" applyNumberFormat="1" applyFont="1" applyFill="1" applyAlignment="1">
      <alignment horizontal="right" vertical="center" wrapText="1"/>
    </xf>
    <xf numFmtId="0" fontId="36" fillId="9" borderId="6" xfId="0" applyFont="1" applyFill="1" applyBorder="1"/>
    <xf numFmtId="0" fontId="36" fillId="9" borderId="7" xfId="0" applyFont="1" applyFill="1" applyBorder="1"/>
    <xf numFmtId="183" fontId="130" fillId="9" borderId="0" xfId="0" applyNumberFormat="1" applyFont="1" applyFill="1" applyBorder="1" applyAlignment="1">
      <alignment horizontal="right" vertical="center" wrapText="1"/>
    </xf>
    <xf numFmtId="183" fontId="130" fillId="9" borderId="8" xfId="0" applyNumberFormat="1" applyFont="1" applyFill="1" applyBorder="1" applyAlignment="1">
      <alignment horizontal="right" vertical="center" wrapText="1"/>
    </xf>
    <xf numFmtId="167" fontId="131" fillId="9" borderId="0" xfId="1" applyNumberFormat="1" applyFont="1" applyFill="1" applyBorder="1" applyAlignment="1">
      <alignment horizontal="right" vertical="center" wrapText="1"/>
    </xf>
    <xf numFmtId="167" fontId="131" fillId="9" borderId="8" xfId="1" applyNumberFormat="1" applyFont="1" applyFill="1" applyBorder="1" applyAlignment="1">
      <alignment horizontal="right" vertical="center" wrapText="1"/>
    </xf>
    <xf numFmtId="0" fontId="42" fillId="9" borderId="5" xfId="0" applyFont="1" applyFill="1" applyBorder="1" applyAlignment="1">
      <alignment horizontal="left" indent="1"/>
    </xf>
    <xf numFmtId="167" fontId="42" fillId="9" borderId="6" xfId="0" applyNumberFormat="1" applyFont="1" applyFill="1" applyBorder="1"/>
    <xf numFmtId="167" fontId="42" fillId="9" borderId="7" xfId="0" applyNumberFormat="1" applyFont="1" applyFill="1" applyBorder="1"/>
    <xf numFmtId="0" fontId="125" fillId="9" borderId="12" xfId="0" applyFont="1" applyFill="1" applyBorder="1" applyAlignment="1">
      <alignment horizontal="left" vertical="center" wrapText="1" indent="1"/>
    </xf>
    <xf numFmtId="167" fontId="125" fillId="9" borderId="10" xfId="1" applyNumberFormat="1" applyFont="1" applyFill="1" applyBorder="1" applyAlignment="1">
      <alignment horizontal="right" vertical="center" wrapText="1"/>
    </xf>
    <xf numFmtId="167" fontId="125" fillId="9" borderId="11" xfId="1" applyNumberFormat="1" applyFont="1" applyFill="1" applyBorder="1" applyAlignment="1">
      <alignment horizontal="right" vertical="center" wrapText="1"/>
    </xf>
    <xf numFmtId="0" fontId="36" fillId="9" borderId="0" xfId="0" applyFont="1" applyFill="1" applyBorder="1" applyAlignment="1">
      <alignment horizontal="left" vertical="top" wrapText="1" indent="1"/>
    </xf>
    <xf numFmtId="167" fontId="36" fillId="9" borderId="0" xfId="1" applyNumberFormat="1" applyFont="1" applyFill="1" applyBorder="1" applyAlignment="1">
      <alignment vertical="top" wrapText="1"/>
    </xf>
    <xf numFmtId="0" fontId="42" fillId="9" borderId="0" xfId="0" applyFont="1" applyFill="1" applyBorder="1" applyAlignment="1">
      <alignment horizontal="center" vertical="center" wrapText="1"/>
    </xf>
    <xf numFmtId="0" fontId="43" fillId="9" borderId="0" xfId="0" applyFont="1" applyFill="1" applyBorder="1" applyAlignment="1">
      <alignment horizontal="center" vertical="center" wrapText="1"/>
    </xf>
    <xf numFmtId="0" fontId="43" fillId="9" borderId="0" xfId="0" applyFont="1" applyFill="1" applyBorder="1" applyAlignment="1">
      <alignment horizontal="left" vertical="center"/>
    </xf>
    <xf numFmtId="0" fontId="43" fillId="9" borderId="0" xfId="0" applyFont="1" applyFill="1" applyBorder="1"/>
    <xf numFmtId="0" fontId="42" fillId="9" borderId="0" xfId="0" applyFont="1" applyFill="1" applyBorder="1" applyAlignment="1">
      <alignment vertical="center" wrapText="1"/>
    </xf>
    <xf numFmtId="0" fontId="42" fillId="9" borderId="0" xfId="0" applyFont="1" applyFill="1" applyBorder="1" applyAlignment="1">
      <alignment horizontal="left" vertical="center"/>
    </xf>
    <xf numFmtId="0" fontId="36" fillId="9" borderId="0" xfId="0" applyFont="1" applyFill="1" applyBorder="1" applyAlignment="1">
      <alignment horizontal="left" vertical="center" wrapText="1" indent="2"/>
    </xf>
    <xf numFmtId="0" fontId="42" fillId="3" borderId="2" xfId="0" applyFont="1" applyFill="1" applyBorder="1" applyAlignment="1">
      <alignment horizontal="center" vertical="center" wrapText="1"/>
    </xf>
    <xf numFmtId="0" fontId="43" fillId="9" borderId="0" xfId="0" applyFont="1" applyFill="1" applyBorder="1" applyAlignment="1">
      <alignment horizontal="left" vertical="center" wrapText="1" indent="2"/>
    </xf>
    <xf numFmtId="167" fontId="36" fillId="9" borderId="2" xfId="1" applyNumberFormat="1" applyFont="1" applyFill="1" applyBorder="1" applyAlignment="1">
      <alignment vertical="center" wrapText="1"/>
    </xf>
    <xf numFmtId="167" fontId="36" fillId="9" borderId="2" xfId="1" applyNumberFormat="1" applyFont="1" applyFill="1" applyBorder="1" applyAlignment="1">
      <alignment horizontal="right" vertical="center" wrapText="1"/>
    </xf>
    <xf numFmtId="0" fontId="36" fillId="9" borderId="0" xfId="0" applyFont="1" applyFill="1" applyBorder="1" applyAlignment="1">
      <alignment horizontal="left" vertical="center" wrapText="1" indent="4"/>
    </xf>
    <xf numFmtId="167" fontId="36" fillId="9" borderId="0" xfId="1" applyNumberFormat="1" applyFont="1" applyFill="1" applyBorder="1" applyAlignment="1">
      <alignment horizontal="right" vertical="center" wrapText="1"/>
    </xf>
    <xf numFmtId="167" fontId="36" fillId="9" borderId="0" xfId="1" applyNumberFormat="1" applyFont="1" applyFill="1" applyBorder="1" applyAlignment="1">
      <alignment horizontal="left" vertical="center"/>
    </xf>
    <xf numFmtId="0" fontId="42" fillId="9" borderId="0" xfId="0" applyFont="1" applyFill="1" applyBorder="1" applyAlignment="1">
      <alignment horizontal="left" vertical="center" wrapText="1" indent="2"/>
    </xf>
    <xf numFmtId="183" fontId="42" fillId="9" borderId="1" xfId="0" applyNumberFormat="1" applyFont="1" applyFill="1" applyBorder="1" applyAlignment="1">
      <alignment horizontal="right" vertical="center" wrapText="1"/>
    </xf>
    <xf numFmtId="167" fontId="62" fillId="9" borderId="13" xfId="1" applyNumberFormat="1" applyFont="1" applyFill="1" applyBorder="1" applyAlignment="1">
      <alignment vertical="center" wrapText="1"/>
    </xf>
    <xf numFmtId="167" fontId="36" fillId="9" borderId="13" xfId="1" applyNumberFormat="1" applyFont="1" applyFill="1" applyBorder="1" applyAlignment="1">
      <alignment horizontal="right" vertical="center" wrapText="1"/>
    </xf>
    <xf numFmtId="167" fontId="36" fillId="9" borderId="22" xfId="1" applyNumberFormat="1" applyFont="1" applyFill="1" applyBorder="1" applyAlignment="1">
      <alignment vertical="center" wrapText="1"/>
    </xf>
    <xf numFmtId="167" fontId="36" fillId="9" borderId="22" xfId="1" applyNumberFormat="1" applyFont="1" applyFill="1" applyBorder="1" applyAlignment="1">
      <alignment horizontal="right" vertical="center" wrapText="1"/>
    </xf>
    <xf numFmtId="183" fontId="36" fillId="9" borderId="22" xfId="0" applyNumberFormat="1" applyFont="1" applyFill="1" applyBorder="1" applyAlignment="1">
      <alignment horizontal="right" vertical="center" wrapText="1"/>
    </xf>
    <xf numFmtId="167" fontId="36" fillId="9" borderId="14" xfId="1" applyNumberFormat="1" applyFont="1" applyFill="1" applyBorder="1" applyAlignment="1">
      <alignment horizontal="left" vertical="center" wrapText="1" indent="1"/>
    </xf>
    <xf numFmtId="167" fontId="36" fillId="9" borderId="14" xfId="1" applyNumberFormat="1" applyFont="1" applyFill="1" applyBorder="1" applyAlignment="1">
      <alignment horizontal="right" vertical="center" wrapText="1"/>
    </xf>
    <xf numFmtId="183" fontId="36" fillId="9" borderId="14" xfId="0" applyNumberFormat="1" applyFont="1" applyFill="1" applyBorder="1" applyAlignment="1">
      <alignment horizontal="right" vertical="center" wrapText="1"/>
    </xf>
    <xf numFmtId="167" fontId="42" fillId="9" borderId="10" xfId="1" applyNumberFormat="1" applyFont="1" applyFill="1" applyBorder="1" applyAlignment="1">
      <alignment horizontal="right" vertical="center" wrapText="1"/>
    </xf>
    <xf numFmtId="167" fontId="36" fillId="9" borderId="64" xfId="1" applyNumberFormat="1" applyFont="1" applyFill="1" applyBorder="1" applyAlignment="1">
      <alignment vertical="center" wrapText="1"/>
    </xf>
    <xf numFmtId="167" fontId="36" fillId="9" borderId="64" xfId="1" applyNumberFormat="1" applyFont="1" applyFill="1" applyBorder="1" applyAlignment="1">
      <alignment horizontal="right" vertical="center" wrapText="1"/>
    </xf>
    <xf numFmtId="167" fontId="42" fillId="9" borderId="14" xfId="1" applyNumberFormat="1" applyFont="1" applyFill="1" applyBorder="1" applyAlignment="1">
      <alignment vertical="center" wrapText="1"/>
    </xf>
    <xf numFmtId="167" fontId="42" fillId="9" borderId="14" xfId="1" applyNumberFormat="1" applyFont="1" applyFill="1" applyBorder="1" applyAlignment="1">
      <alignment horizontal="right" vertical="center" wrapText="1"/>
    </xf>
    <xf numFmtId="167" fontId="36" fillId="9" borderId="0" xfId="0" applyNumberFormat="1" applyFont="1" applyFill="1"/>
    <xf numFmtId="9" fontId="36" fillId="9" borderId="0" xfId="3" applyFont="1" applyFill="1"/>
    <xf numFmtId="183" fontId="42" fillId="9" borderId="15" xfId="0" applyNumberFormat="1" applyFont="1" applyFill="1" applyBorder="1" applyAlignment="1">
      <alignment horizontal="right" vertical="center" wrapText="1"/>
    </xf>
    <xf numFmtId="167" fontId="42" fillId="9" borderId="15" xfId="1" applyNumberFormat="1" applyFont="1" applyFill="1" applyBorder="1" applyAlignment="1">
      <alignment horizontal="right" vertical="center" wrapText="1"/>
    </xf>
    <xf numFmtId="167" fontId="42" fillId="9" borderId="0" xfId="1" applyNumberFormat="1" applyFont="1" applyFill="1" applyBorder="1" applyAlignment="1">
      <alignment horizontal="left" vertical="center"/>
    </xf>
    <xf numFmtId="167" fontId="42" fillId="9" borderId="0" xfId="1" applyNumberFormat="1" applyFont="1" applyFill="1" applyBorder="1" applyAlignment="1">
      <alignment vertical="center" wrapText="1"/>
    </xf>
    <xf numFmtId="0" fontId="43" fillId="9" borderId="0" xfId="0" applyFont="1" applyFill="1" applyBorder="1" applyAlignment="1">
      <alignment vertical="center" wrapText="1"/>
    </xf>
    <xf numFmtId="0" fontId="61" fillId="9" borderId="0" xfId="0" applyFont="1" applyFill="1" applyBorder="1"/>
    <xf numFmtId="0" fontId="36" fillId="9" borderId="6" xfId="0" applyFont="1" applyFill="1" applyBorder="1" applyAlignment="1">
      <alignment horizontal="left"/>
    </xf>
    <xf numFmtId="0" fontId="36" fillId="9" borderId="0" xfId="0" applyFont="1" applyFill="1" applyAlignment="1">
      <alignment horizontal="left"/>
    </xf>
    <xf numFmtId="0" fontId="8" fillId="0" borderId="0" xfId="0" applyFont="1" applyBorder="1" applyAlignment="1">
      <alignment horizontal="right" vertical="center"/>
    </xf>
    <xf numFmtId="0" fontId="2" fillId="0" borderId="0" xfId="0" applyFont="1" applyBorder="1" applyAlignment="1">
      <alignment horizontal="right" vertical="center"/>
    </xf>
    <xf numFmtId="0" fontId="2" fillId="0" borderId="0" xfId="0" applyFont="1" applyFill="1" applyBorder="1" applyAlignment="1">
      <alignment horizontal="right" vertical="center"/>
    </xf>
    <xf numFmtId="166" fontId="2" fillId="0" borderId="0" xfId="1" applyFont="1" applyBorder="1" applyAlignment="1">
      <alignment horizontal="right" vertical="center"/>
    </xf>
    <xf numFmtId="0" fontId="3" fillId="0" borderId="0" xfId="0" applyFont="1" applyFill="1" applyBorder="1" applyAlignment="1">
      <alignment horizontal="center" vertical="top"/>
    </xf>
    <xf numFmtId="0" fontId="2" fillId="0" borderId="0" xfId="0" applyFont="1" applyFill="1" applyBorder="1" applyAlignment="1">
      <alignment horizontal="left" vertical="top"/>
    </xf>
    <xf numFmtId="0" fontId="7" fillId="0" borderId="0" xfId="0" applyFont="1" applyFill="1" applyBorder="1" applyAlignment="1">
      <alignment horizontal="center" vertical="top"/>
    </xf>
    <xf numFmtId="0" fontId="3" fillId="0" borderId="0" xfId="0" applyFont="1" applyFill="1" applyBorder="1" applyAlignment="1">
      <alignment vertical="top"/>
    </xf>
    <xf numFmtId="0" fontId="12" fillId="0" borderId="0" xfId="0" applyFont="1" applyFill="1" applyBorder="1" applyAlignment="1">
      <alignment horizontal="center" vertical="top"/>
    </xf>
    <xf numFmtId="166" fontId="3" fillId="0" borderId="0" xfId="1" applyFont="1" applyFill="1" applyBorder="1" applyAlignment="1">
      <alignment vertical="top"/>
    </xf>
    <xf numFmtId="0" fontId="2" fillId="0" borderId="0" xfId="0" applyFont="1" applyFill="1" applyBorder="1" applyAlignment="1">
      <alignment horizontal="center" vertical="top"/>
    </xf>
    <xf numFmtId="0" fontId="2" fillId="0" borderId="3" xfId="0" applyFont="1" applyFill="1" applyBorder="1" applyAlignment="1">
      <alignment horizontal="left" vertical="top"/>
    </xf>
    <xf numFmtId="0" fontId="2" fillId="0" borderId="1" xfId="0" applyFont="1" applyFill="1" applyBorder="1" applyAlignment="1">
      <alignment horizontal="left" vertical="top"/>
    </xf>
    <xf numFmtId="0" fontId="7" fillId="0" borderId="1" xfId="0" applyFont="1" applyFill="1" applyBorder="1" applyAlignment="1">
      <alignment horizontal="center" vertical="top"/>
    </xf>
    <xf numFmtId="0" fontId="2" fillId="0" borderId="1" xfId="0" applyFont="1" applyFill="1" applyBorder="1" applyAlignment="1">
      <alignment horizontal="center" vertical="top"/>
    </xf>
    <xf numFmtId="0" fontId="2" fillId="0" borderId="4" xfId="0" applyFont="1" applyFill="1" applyBorder="1" applyAlignment="1">
      <alignment horizontal="center" vertical="top"/>
    </xf>
    <xf numFmtId="0" fontId="2" fillId="0" borderId="3" xfId="0" applyFont="1" applyFill="1" applyBorder="1" applyAlignment="1">
      <alignment horizontal="center" vertical="top"/>
    </xf>
    <xf numFmtId="0" fontId="2" fillId="0" borderId="4" xfId="0" applyFont="1" applyFill="1" applyBorder="1" applyAlignment="1">
      <alignment vertical="top"/>
    </xf>
    <xf numFmtId="0" fontId="2" fillId="0" borderId="0" xfId="0" applyFont="1" applyFill="1" applyBorder="1" applyAlignment="1">
      <alignment vertical="top"/>
    </xf>
    <xf numFmtId="166" fontId="2" fillId="0" borderId="0" xfId="1" applyFont="1" applyFill="1" applyBorder="1" applyAlignment="1">
      <alignment vertical="top"/>
    </xf>
    <xf numFmtId="0" fontId="2" fillId="0" borderId="5" xfId="0" applyFont="1" applyFill="1" applyBorder="1" applyAlignment="1">
      <alignment horizontal="left" vertical="top"/>
    </xf>
    <xf numFmtId="0" fontId="2" fillId="0" borderId="6" xfId="0" applyFont="1" applyFill="1" applyBorder="1" applyAlignment="1">
      <alignment horizontal="right" vertical="top"/>
    </xf>
    <xf numFmtId="0" fontId="2" fillId="0" borderId="6" xfId="0" applyFont="1" applyFill="1" applyBorder="1" applyAlignment="1">
      <alignment vertical="top"/>
    </xf>
    <xf numFmtId="0" fontId="2" fillId="0" borderId="6" xfId="0" applyFont="1" applyFill="1" applyBorder="1" applyAlignment="1">
      <alignment horizontal="center" vertical="top"/>
    </xf>
    <xf numFmtId="0" fontId="2" fillId="0" borderId="7" xfId="0" applyFont="1" applyFill="1" applyBorder="1" applyAlignment="1">
      <alignment horizontal="center" vertical="top"/>
    </xf>
    <xf numFmtId="0" fontId="2" fillId="0" borderId="5" xfId="0" applyFont="1" applyFill="1" applyBorder="1" applyAlignment="1">
      <alignment horizontal="center" vertical="top"/>
    </xf>
    <xf numFmtId="0" fontId="4" fillId="0" borderId="0" xfId="0" applyFont="1" applyFill="1" applyBorder="1" applyAlignment="1">
      <alignment horizontal="center" vertical="top"/>
    </xf>
    <xf numFmtId="0" fontId="7" fillId="0" borderId="0" xfId="0" applyFont="1" applyFill="1" applyBorder="1" applyAlignment="1">
      <alignment vertical="top"/>
    </xf>
    <xf numFmtId="0" fontId="6" fillId="0" borderId="0" xfId="0" applyFont="1" applyFill="1" applyBorder="1" applyAlignment="1">
      <alignment horizontal="left" vertical="top"/>
    </xf>
    <xf numFmtId="0" fontId="2" fillId="0" borderId="0" xfId="0" applyFont="1" applyFill="1" applyBorder="1" applyAlignment="1">
      <alignment horizontal="right" vertical="top"/>
    </xf>
    <xf numFmtId="166" fontId="2" fillId="0" borderId="0" xfId="1" applyFont="1" applyFill="1" applyBorder="1" applyAlignment="1">
      <alignment horizontal="center" vertical="top"/>
    </xf>
    <xf numFmtId="0" fontId="45" fillId="0" borderId="0" xfId="0" applyFont="1" applyFill="1" applyBorder="1" applyAlignment="1">
      <alignment horizontal="center" vertical="top"/>
    </xf>
    <xf numFmtId="0" fontId="2" fillId="0" borderId="0" xfId="0" applyFont="1" applyFill="1" applyBorder="1" applyAlignment="1">
      <alignment horizontal="justify" vertical="top" wrapText="1"/>
    </xf>
    <xf numFmtId="0" fontId="25" fillId="0" borderId="0" xfId="0" applyFont="1" applyFill="1" applyBorder="1" applyAlignment="1">
      <alignment horizontal="center" vertical="top"/>
    </xf>
    <xf numFmtId="0" fontId="6" fillId="0" borderId="0" xfId="0" applyFont="1" applyFill="1" applyBorder="1" applyAlignment="1">
      <alignment horizontal="justify" vertical="top" wrapText="1"/>
    </xf>
    <xf numFmtId="0" fontId="2" fillId="0" borderId="0" xfId="0" applyFont="1" applyAlignment="1">
      <alignment horizontal="center" vertical="top"/>
    </xf>
    <xf numFmtId="0" fontId="2" fillId="0" borderId="0" xfId="0" applyFont="1" applyBorder="1" applyAlignment="1">
      <alignment horizontal="left" vertical="top"/>
    </xf>
    <xf numFmtId="0" fontId="8" fillId="0" borderId="0" xfId="0" applyFont="1" applyAlignment="1">
      <alignment horizontal="center" vertical="top"/>
    </xf>
    <xf numFmtId="0" fontId="2" fillId="0" borderId="0" xfId="0" applyFont="1" applyAlignment="1">
      <alignment vertical="top"/>
    </xf>
    <xf numFmtId="166" fontId="2" fillId="0" borderId="0" xfId="1" applyFont="1" applyAlignment="1">
      <alignment vertical="top"/>
    </xf>
    <xf numFmtId="0" fontId="2" fillId="0" borderId="0" xfId="0" applyFont="1" applyBorder="1" applyAlignment="1">
      <alignment horizontal="center" vertical="top"/>
    </xf>
    <xf numFmtId="0" fontId="8" fillId="0" borderId="0" xfId="0" applyFont="1" applyBorder="1" applyAlignment="1">
      <alignment horizontal="center" vertical="top"/>
    </xf>
    <xf numFmtId="0" fontId="2" fillId="0" borderId="0" xfId="0" applyFont="1" applyBorder="1" applyAlignment="1">
      <alignment vertical="top"/>
    </xf>
    <xf numFmtId="166" fontId="2" fillId="0" borderId="0" xfId="1" applyFont="1" applyBorder="1" applyAlignment="1">
      <alignment vertical="top"/>
    </xf>
    <xf numFmtId="0" fontId="3" fillId="0" borderId="0" xfId="0" applyFont="1" applyAlignment="1">
      <alignment horizontal="center" vertical="top"/>
    </xf>
    <xf numFmtId="0" fontId="2" fillId="0" borderId="0" xfId="0" applyFont="1" applyBorder="1" applyAlignment="1">
      <alignment horizontal="justify" vertical="top" wrapText="1"/>
    </xf>
    <xf numFmtId="0" fontId="3" fillId="0" borderId="0" xfId="0" applyFont="1" applyBorder="1" applyAlignment="1">
      <alignment horizontal="center" vertical="top"/>
    </xf>
    <xf numFmtId="0" fontId="2" fillId="0" borderId="0" xfId="0" applyFont="1" applyBorder="1" applyAlignment="1">
      <alignment horizontal="center" vertical="top" wrapText="1"/>
    </xf>
    <xf numFmtId="166" fontId="2" fillId="0" borderId="5" xfId="1" applyFont="1" applyBorder="1" applyAlignment="1">
      <alignment horizontal="center" vertical="center"/>
    </xf>
    <xf numFmtId="166" fontId="2" fillId="0" borderId="7" xfId="1" applyFont="1" applyBorder="1" applyAlignment="1">
      <alignment horizontal="center" vertical="center"/>
    </xf>
    <xf numFmtId="166" fontId="2" fillId="0" borderId="6" xfId="1" applyFont="1" applyBorder="1" applyAlignment="1">
      <alignment horizontal="center" vertical="center"/>
    </xf>
    <xf numFmtId="167" fontId="2" fillId="0" borderId="0" xfId="1" applyNumberFormat="1" applyFont="1" applyBorder="1" applyAlignment="1">
      <alignment horizontal="center" vertical="center"/>
    </xf>
    <xf numFmtId="0" fontId="6" fillId="0" borderId="9" xfId="0" applyFont="1" applyBorder="1" applyAlignment="1">
      <alignment horizontal="left" vertical="center" indent="1"/>
    </xf>
    <xf numFmtId="0" fontId="6" fillId="0" borderId="0" xfId="0" applyFont="1" applyBorder="1" applyAlignment="1">
      <alignment horizontal="left" vertical="center" indent="1"/>
    </xf>
    <xf numFmtId="167" fontId="2" fillId="0" borderId="2" xfId="1" applyNumberFormat="1" applyFont="1" applyBorder="1" applyAlignment="1">
      <alignment horizontal="center" vertical="center"/>
    </xf>
    <xf numFmtId="0" fontId="7" fillId="0" borderId="9" xfId="0" applyFont="1" applyBorder="1" applyAlignment="1">
      <alignment horizontal="center" vertic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166" fontId="2" fillId="0" borderId="9" xfId="1" applyFont="1" applyBorder="1" applyAlignment="1">
      <alignment horizontal="center" vertical="center"/>
    </xf>
    <xf numFmtId="166" fontId="2" fillId="0" borderId="0" xfId="1" applyFont="1" applyBorder="1" applyAlignment="1">
      <alignment horizontal="center" vertical="center"/>
    </xf>
    <xf numFmtId="166" fontId="2" fillId="0" borderId="8" xfId="1" applyFont="1" applyBorder="1" applyAlignment="1">
      <alignment horizontal="center" vertical="center"/>
    </xf>
    <xf numFmtId="166" fontId="2" fillId="0" borderId="0" xfId="1" applyFont="1" applyAlignment="1">
      <alignment horizontal="center" vertical="center"/>
    </xf>
    <xf numFmtId="0" fontId="6" fillId="0" borderId="0" xfId="0" applyFont="1" applyBorder="1" applyAlignment="1">
      <alignment horizontal="center" vertical="center"/>
    </xf>
    <xf numFmtId="166" fontId="2" fillId="0" borderId="9" xfId="1" applyFont="1" applyFill="1" applyBorder="1" applyAlignment="1">
      <alignment horizontal="center" vertical="center"/>
    </xf>
    <xf numFmtId="166" fontId="2" fillId="0" borderId="0" xfId="1" applyFont="1" applyFill="1" applyBorder="1" applyAlignment="1">
      <alignment horizontal="center" vertical="center"/>
    </xf>
    <xf numFmtId="3" fontId="2" fillId="0" borderId="0" xfId="0" applyNumberFormat="1" applyFont="1" applyBorder="1" applyAlignment="1">
      <alignment horizontal="center" vertical="center"/>
    </xf>
    <xf numFmtId="166" fontId="2" fillId="0" borderId="8" xfId="1" applyFont="1" applyFill="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2" fillId="0" borderId="0" xfId="0" applyFont="1" applyBorder="1" applyAlignment="1">
      <alignment horizontal="center" vertical="center"/>
    </xf>
    <xf numFmtId="0" fontId="13" fillId="0" borderId="0"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0" xfId="0" applyFont="1" applyAlignment="1">
      <alignment horizontal="center" vertical="center"/>
    </xf>
    <xf numFmtId="0" fontId="2" fillId="9" borderId="0" xfId="0" applyFont="1" applyFill="1" applyAlignment="1">
      <alignment horizontal="center"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indent="2"/>
    </xf>
    <xf numFmtId="0" fontId="7" fillId="0" borderId="6" xfId="0" applyFont="1" applyBorder="1" applyAlignment="1">
      <alignment horizontal="center" vertical="center"/>
    </xf>
    <xf numFmtId="0" fontId="3" fillId="0" borderId="0" xfId="0" applyFont="1" applyFill="1" applyBorder="1" applyAlignment="1">
      <alignment horizontal="center" vertical="center"/>
    </xf>
    <xf numFmtId="0" fontId="2" fillId="0" borderId="9" xfId="0" applyFont="1" applyBorder="1" applyAlignment="1">
      <alignment horizontal="left" vertical="center" indent="1"/>
    </xf>
    <xf numFmtId="0" fontId="2" fillId="0" borderId="0" xfId="0" applyFont="1" applyBorder="1" applyAlignment="1">
      <alignment horizontal="left" vertical="center" indent="1"/>
    </xf>
    <xf numFmtId="0" fontId="2" fillId="0" borderId="5" xfId="0" applyFont="1" applyBorder="1" applyAlignment="1">
      <alignment horizontal="left" vertical="center" indent="1"/>
    </xf>
    <xf numFmtId="0" fontId="2" fillId="0" borderId="6" xfId="0" applyFont="1" applyBorder="1" applyAlignment="1">
      <alignment horizontal="left" vertical="center" indent="1"/>
    </xf>
    <xf numFmtId="0" fontId="2" fillId="0" borderId="9" xfId="0" applyFont="1" applyBorder="1" applyAlignment="1">
      <alignment horizontal="left" vertical="center"/>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7" fontId="2" fillId="0" borderId="0" xfId="1" applyNumberFormat="1" applyFont="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vertical="center"/>
    </xf>
    <xf numFmtId="167" fontId="132" fillId="0" borderId="0" xfId="1" applyNumberFormat="1" applyFont="1" applyBorder="1" applyAlignment="1">
      <alignment vertical="center"/>
    </xf>
    <xf numFmtId="167" fontId="2" fillId="0" borderId="7" xfId="1" applyNumberFormat="1" applyFont="1" applyBorder="1" applyAlignment="1">
      <alignment vertical="center"/>
    </xf>
    <xf numFmtId="167" fontId="3" fillId="0" borderId="2" xfId="1" applyNumberFormat="1" applyFont="1" applyBorder="1" applyAlignment="1">
      <alignment horizontal="right" vertical="center" wrapText="1"/>
    </xf>
    <xf numFmtId="0" fontId="2" fillId="0" borderId="2" xfId="0" applyFont="1" applyBorder="1" applyAlignment="1">
      <alignment vertical="center" wrapText="1"/>
    </xf>
    <xf numFmtId="169" fontId="2" fillId="0" borderId="2" xfId="1" applyNumberFormat="1" applyFont="1" applyBorder="1" applyAlignment="1">
      <alignment horizontal="justify" vertical="center" wrapText="1"/>
    </xf>
    <xf numFmtId="167" fontId="2" fillId="0" borderId="2" xfId="1" applyNumberFormat="1" applyFont="1" applyBorder="1" applyAlignment="1">
      <alignment horizontal="justify" vertical="center" wrapText="1"/>
    </xf>
    <xf numFmtId="167" fontId="2" fillId="0" borderId="2" xfId="1" applyNumberFormat="1" applyFont="1" applyBorder="1" applyAlignment="1">
      <alignment horizontal="center" vertical="center" wrapText="1"/>
    </xf>
    <xf numFmtId="0" fontId="6" fillId="0" borderId="2" xfId="0" applyFont="1" applyBorder="1" applyAlignment="1">
      <alignment horizontal="justify" vertical="center" wrapText="1"/>
    </xf>
    <xf numFmtId="0" fontId="2" fillId="0" borderId="2" xfId="0" applyFont="1" applyBorder="1" applyAlignment="1">
      <alignment horizontal="center" vertical="center" wrapText="1"/>
    </xf>
    <xf numFmtId="167" fontId="2" fillId="0" borderId="2" xfId="0" applyNumberFormat="1" applyFont="1" applyBorder="1" applyAlignment="1">
      <alignment vertical="center" wrapText="1"/>
    </xf>
    <xf numFmtId="0" fontId="15" fillId="2" borderId="2" xfId="0" applyFont="1" applyFill="1" applyBorder="1" applyAlignment="1">
      <alignment horizontal="center" vertical="center" wrapText="1"/>
    </xf>
    <xf numFmtId="167" fontId="2" fillId="0" borderId="6" xfId="1" applyNumberFormat="1" applyFont="1" applyBorder="1" applyAlignment="1">
      <alignment vertical="center"/>
    </xf>
    <xf numFmtId="0" fontId="132" fillId="0" borderId="0" xfId="0" applyFont="1" applyBorder="1" applyAlignment="1">
      <alignment horizontal="center" vertical="center"/>
    </xf>
    <xf numFmtId="167" fontId="45" fillId="0" borderId="2" xfId="1" applyNumberFormat="1" applyFont="1" applyBorder="1" applyAlignment="1">
      <alignment horizontal="left" vertical="center" wrapText="1"/>
    </xf>
    <xf numFmtId="0" fontId="2" fillId="0" borderId="2" xfId="0" applyFont="1" applyBorder="1" applyAlignment="1">
      <alignment vertical="center"/>
    </xf>
    <xf numFmtId="167" fontId="132" fillId="0" borderId="2" xfId="1" applyNumberFormat="1" applyFont="1" applyBorder="1" applyAlignment="1">
      <alignment horizontal="center" vertical="center" wrapText="1"/>
    </xf>
    <xf numFmtId="169" fontId="2" fillId="0" borderId="0" xfId="1" applyNumberFormat="1" applyFont="1" applyBorder="1" applyAlignment="1">
      <alignment horizontal="justify" vertical="center" wrapText="1"/>
    </xf>
    <xf numFmtId="167" fontId="2" fillId="0" borderId="0" xfId="1" applyNumberFormat="1" applyFont="1" applyBorder="1" applyAlignment="1">
      <alignment horizontal="justify" vertical="center" wrapText="1"/>
    </xf>
    <xf numFmtId="167" fontId="132" fillId="0" borderId="2" xfId="1" applyNumberFormat="1" applyFont="1" applyBorder="1" applyAlignment="1">
      <alignment horizontal="center" wrapText="1"/>
    </xf>
    <xf numFmtId="0" fontId="15"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176" fontId="2" fillId="0" borderId="8" xfId="0" applyNumberFormat="1" applyFont="1" applyFill="1" applyBorder="1" applyAlignment="1">
      <alignment horizontal="center" vertical="center"/>
    </xf>
    <xf numFmtId="176"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indent="2"/>
    </xf>
    <xf numFmtId="0" fontId="2" fillId="0" borderId="9" xfId="0" applyFont="1" applyFill="1" applyBorder="1" applyAlignment="1">
      <alignment horizontal="left" vertical="center" indent="2"/>
    </xf>
    <xf numFmtId="0" fontId="5" fillId="0" borderId="0" xfId="0" applyFont="1" applyAlignment="1">
      <alignment vertical="center"/>
    </xf>
    <xf numFmtId="167" fontId="2" fillId="0" borderId="0" xfId="0" applyNumberFormat="1" applyFont="1" applyAlignment="1">
      <alignment vertical="center"/>
    </xf>
    <xf numFmtId="0" fontId="2" fillId="0" borderId="69" xfId="0" applyFont="1" applyBorder="1" applyAlignment="1">
      <alignment horizontal="left" vertical="center" indent="2"/>
    </xf>
    <xf numFmtId="167" fontId="2" fillId="0" borderId="65" xfId="1" applyNumberFormat="1" applyFont="1" applyBorder="1" applyAlignment="1">
      <alignment horizontal="center" vertical="center"/>
    </xf>
    <xf numFmtId="0" fontId="2" fillId="0" borderId="65" xfId="0" applyFont="1" applyBorder="1" applyAlignment="1">
      <alignment horizontal="left" vertical="center" indent="2"/>
    </xf>
    <xf numFmtId="0" fontId="3" fillId="27" borderId="73" xfId="0" applyFont="1" applyFill="1" applyBorder="1" applyAlignment="1">
      <alignment vertical="center"/>
    </xf>
    <xf numFmtId="0" fontId="3" fillId="16" borderId="80" xfId="0" applyFont="1" applyFill="1" applyBorder="1" applyAlignment="1">
      <alignment vertical="center"/>
    </xf>
    <xf numFmtId="0" fontId="3" fillId="28" borderId="83" xfId="0" applyFont="1" applyFill="1" applyBorder="1" applyAlignment="1">
      <alignment vertical="center"/>
    </xf>
    <xf numFmtId="0" fontId="2" fillId="29" borderId="71" xfId="0" applyFont="1" applyFill="1" applyBorder="1" applyAlignment="1">
      <alignment horizontal="left" vertical="center" indent="4"/>
    </xf>
    <xf numFmtId="0" fontId="134" fillId="0" borderId="0" xfId="0" applyFont="1" applyBorder="1" applyAlignment="1">
      <alignment horizontal="right" vertical="center"/>
    </xf>
    <xf numFmtId="0" fontId="134" fillId="0" borderId="0" xfId="0" applyFont="1" applyBorder="1" applyAlignment="1">
      <alignment horizontal="left" vertical="center"/>
    </xf>
    <xf numFmtId="0" fontId="3" fillId="0" borderId="0" xfId="0" applyFont="1" applyFill="1" applyBorder="1" applyAlignment="1">
      <alignment vertical="center" wrapText="1"/>
    </xf>
    <xf numFmtId="165" fontId="2" fillId="0" borderId="0" xfId="0" applyNumberFormat="1" applyFont="1" applyBorder="1" applyAlignment="1">
      <alignment horizontal="center" vertical="center"/>
    </xf>
    <xf numFmtId="166" fontId="135" fillId="0" borderId="0" xfId="1" applyFont="1" applyAlignment="1">
      <alignment vertical="center"/>
    </xf>
    <xf numFmtId="166" fontId="135" fillId="0" borderId="0" xfId="1" applyFont="1" applyAlignment="1">
      <alignment horizontal="center" vertical="center"/>
    </xf>
    <xf numFmtId="0" fontId="10" fillId="0" borderId="0" xfId="0" applyFont="1" applyAlignment="1">
      <alignment horizontal="left" vertical="center" indent="1"/>
    </xf>
    <xf numFmtId="0" fontId="6" fillId="0" borderId="65" xfId="0" applyFont="1" applyBorder="1" applyAlignment="1">
      <alignment vertical="center"/>
    </xf>
    <xf numFmtId="0" fontId="135" fillId="0" borderId="0" xfId="0" applyFont="1" applyAlignment="1">
      <alignment vertical="center"/>
    </xf>
    <xf numFmtId="0" fontId="137" fillId="0" borderId="0" xfId="0" applyFont="1" applyAlignment="1">
      <alignment horizontal="left" vertical="center" indent="1"/>
    </xf>
    <xf numFmtId="169" fontId="136" fillId="0" borderId="0" xfId="1" applyNumberFormat="1" applyFont="1" applyBorder="1" applyAlignment="1">
      <alignment vertical="center"/>
    </xf>
    <xf numFmtId="166" fontId="136" fillId="0" borderId="0" xfId="1" applyFont="1" applyBorder="1" applyAlignment="1">
      <alignment vertical="center" wrapText="1"/>
    </xf>
    <xf numFmtId="0" fontId="10" fillId="0" borderId="0" xfId="0" applyFont="1" applyAlignment="1">
      <alignment horizontal="right" vertical="center" indent="1"/>
    </xf>
    <xf numFmtId="0" fontId="10" fillId="0" borderId="0" xfId="0" applyFont="1" applyBorder="1" applyAlignment="1">
      <alignment horizontal="left" vertical="center" indent="1"/>
    </xf>
    <xf numFmtId="167" fontId="3" fillId="9" borderId="0" xfId="1" applyNumberFormat="1" applyFont="1" applyFill="1" applyBorder="1" applyAlignment="1">
      <alignment horizontal="center" vertical="center"/>
    </xf>
    <xf numFmtId="0" fontId="3" fillId="9" borderId="0" xfId="0" applyFont="1" applyFill="1" applyBorder="1" applyAlignment="1">
      <alignment horizontal="left" vertical="center"/>
    </xf>
    <xf numFmtId="0" fontId="39" fillId="0" borderId="2" xfId="0" applyFont="1" applyBorder="1" applyAlignment="1">
      <alignment horizontal="center"/>
    </xf>
    <xf numFmtId="0" fontId="39" fillId="2" borderId="2" xfId="0" applyFont="1" applyFill="1" applyBorder="1" applyAlignment="1">
      <alignment horizontal="center"/>
    </xf>
    <xf numFmtId="0" fontId="3" fillId="9"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167" fontId="2" fillId="0" borderId="0" xfId="0" applyNumberFormat="1" applyFont="1" applyBorder="1" applyAlignment="1">
      <alignment horizontal="center" vertical="center"/>
    </xf>
    <xf numFmtId="166" fontId="2" fillId="0" borderId="0" xfId="0" applyNumberFormat="1" applyFont="1" applyBorder="1" applyAlignment="1">
      <alignment horizontal="center" vertical="center"/>
    </xf>
    <xf numFmtId="0" fontId="8" fillId="0" borderId="4" xfId="0" applyFont="1" applyBorder="1" applyAlignment="1">
      <alignment horizontal="center" vertical="center"/>
    </xf>
    <xf numFmtId="0" fontId="139" fillId="0" borderId="28" xfId="0" applyFont="1" applyBorder="1" applyAlignment="1">
      <alignment horizontal="left" vertical="center" indent="1"/>
    </xf>
    <xf numFmtId="0" fontId="139" fillId="0" borderId="0" xfId="0" applyFont="1" applyBorder="1" applyAlignment="1">
      <alignment vertical="center" wrapText="1"/>
    </xf>
    <xf numFmtId="0" fontId="13" fillId="2" borderId="2" xfId="0" applyFont="1" applyFill="1" applyBorder="1" applyAlignment="1">
      <alignment horizontal="center" vertical="center"/>
    </xf>
    <xf numFmtId="166" fontId="2" fillId="0" borderId="9" xfId="0" applyNumberFormat="1" applyFont="1" applyBorder="1" applyAlignment="1">
      <alignment horizontal="left" vertical="center" indent="1"/>
    </xf>
    <xf numFmtId="0" fontId="8" fillId="0" borderId="0" xfId="0" applyFont="1" applyFill="1" applyBorder="1" applyAlignment="1">
      <alignment horizontal="center" vertical="center"/>
    </xf>
    <xf numFmtId="0" fontId="2" fillId="0" borderId="0" xfId="0" applyFont="1" applyFill="1" applyBorder="1" applyAlignment="1">
      <alignment horizontal="left" vertical="center" indent="1"/>
    </xf>
    <xf numFmtId="0" fontId="2" fillId="0" borderId="9" xfId="0" applyFont="1" applyFill="1" applyBorder="1" applyAlignment="1">
      <alignment horizontal="left" vertical="center" indent="1"/>
    </xf>
    <xf numFmtId="0" fontId="8" fillId="0" borderId="0" xfId="0" applyFont="1" applyFill="1" applyBorder="1" applyAlignment="1">
      <alignment horizontal="left" vertical="center"/>
    </xf>
    <xf numFmtId="166" fontId="3" fillId="0" borderId="0" xfId="0" applyNumberFormat="1" applyFont="1" applyBorder="1" applyAlignment="1">
      <alignment horizontal="center" vertical="center"/>
    </xf>
    <xf numFmtId="0" fontId="3" fillId="2" borderId="2" xfId="0" applyFont="1" applyFill="1" applyBorder="1" applyAlignment="1">
      <alignment horizontal="center" vertical="center"/>
    </xf>
    <xf numFmtId="0" fontId="2" fillId="0" borderId="9" xfId="0" applyFont="1" applyBorder="1" applyAlignment="1">
      <alignment horizontal="left" vertical="center" indent="4"/>
    </xf>
    <xf numFmtId="0" fontId="5" fillId="0" borderId="0" xfId="0" applyFont="1" applyFill="1" applyBorder="1" applyAlignment="1">
      <alignment vertical="center"/>
    </xf>
    <xf numFmtId="0" fontId="3" fillId="0" borderId="0" xfId="0" applyFont="1" applyFill="1" applyAlignment="1">
      <alignment horizontal="center" vertical="center"/>
    </xf>
    <xf numFmtId="0" fontId="2" fillId="2" borderId="10" xfId="0" applyFont="1" applyFill="1" applyBorder="1" applyAlignment="1">
      <alignment vertical="center"/>
    </xf>
    <xf numFmtId="0" fontId="3" fillId="2" borderId="12" xfId="0" applyFont="1" applyFill="1" applyBorder="1" applyAlignment="1">
      <alignment vertical="center"/>
    </xf>
    <xf numFmtId="0" fontId="2" fillId="2" borderId="6"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166" fontId="3" fillId="0" borderId="8" xfId="1" applyFont="1" applyBorder="1" applyAlignment="1">
      <alignment horizontal="center" vertical="center"/>
    </xf>
    <xf numFmtId="166" fontId="3" fillId="0" borderId="0" xfId="1" applyFont="1" applyBorder="1" applyAlignment="1">
      <alignment horizontal="center" vertical="center"/>
    </xf>
    <xf numFmtId="0" fontId="3" fillId="0" borderId="9" xfId="0" applyFont="1" applyBorder="1" applyAlignment="1">
      <alignment horizontal="left" vertical="center"/>
    </xf>
    <xf numFmtId="166" fontId="2" fillId="0" borderId="6" xfId="0" applyNumberFormat="1" applyFont="1" applyBorder="1" applyAlignment="1">
      <alignment horizontal="center" vertical="center"/>
    </xf>
    <xf numFmtId="0" fontId="5" fillId="0" borderId="9" xfId="0" applyFont="1" applyBorder="1" applyAlignment="1">
      <alignment horizontal="left" vertical="center"/>
    </xf>
    <xf numFmtId="0" fontId="3" fillId="0" borderId="9" xfId="0" applyFont="1" applyBorder="1" applyAlignment="1">
      <alignment vertical="center"/>
    </xf>
    <xf numFmtId="0" fontId="5" fillId="0" borderId="3" xfId="0" applyFont="1" applyBorder="1" applyAlignment="1">
      <alignment vertical="center"/>
    </xf>
    <xf numFmtId="0" fontId="13" fillId="0" borderId="0" xfId="0" applyFont="1" applyBorder="1" applyAlignment="1">
      <alignment horizontal="left" vertical="center"/>
    </xf>
    <xf numFmtId="0" fontId="13" fillId="2" borderId="5" xfId="0" applyFont="1" applyFill="1" applyBorder="1" applyAlignment="1">
      <alignment horizontal="left" vertical="center"/>
    </xf>
    <xf numFmtId="0" fontId="39" fillId="0" borderId="31" xfId="0" applyFont="1" applyBorder="1" applyAlignment="1">
      <alignment horizontal="center" vertical="center"/>
    </xf>
    <xf numFmtId="0" fontId="2" fillId="2" borderId="0" xfId="0" applyFont="1" applyFill="1" applyBorder="1" applyAlignment="1">
      <alignment vertical="center"/>
    </xf>
    <xf numFmtId="0" fontId="13" fillId="2" borderId="9" xfId="0" applyFont="1" applyFill="1" applyBorder="1" applyAlignment="1">
      <alignment horizontal="left" vertical="center"/>
    </xf>
    <xf numFmtId="166" fontId="2" fillId="0" borderId="1" xfId="0" applyNumberFormat="1" applyFont="1" applyBorder="1" applyAlignment="1">
      <alignment vertical="center"/>
    </xf>
    <xf numFmtId="49" fontId="3" fillId="0" borderId="1"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31" xfId="0" applyFont="1" applyBorder="1" applyAlignment="1">
      <alignment horizontal="center" vertical="center"/>
    </xf>
    <xf numFmtId="0" fontId="39" fillId="0" borderId="31" xfId="0" applyFont="1" applyBorder="1" applyAlignment="1">
      <alignment vertical="center"/>
    </xf>
    <xf numFmtId="0" fontId="39" fillId="0" borderId="6" xfId="0" applyFont="1" applyBorder="1" applyAlignment="1">
      <alignment vertical="center"/>
    </xf>
    <xf numFmtId="0" fontId="39" fillId="0" borderId="5" xfId="0" applyFont="1" applyBorder="1" applyAlignment="1">
      <alignment vertical="center"/>
    </xf>
    <xf numFmtId="49" fontId="3" fillId="0" borderId="9" xfId="0" applyNumberFormat="1" applyFont="1" applyBorder="1" applyAlignment="1">
      <alignment horizontal="center" vertical="center"/>
    </xf>
    <xf numFmtId="166" fontId="2" fillId="0" borderId="0" xfId="0" applyNumberFormat="1" applyFont="1" applyBorder="1" applyAlignment="1">
      <alignment vertical="center"/>
    </xf>
    <xf numFmtId="0" fontId="143" fillId="0" borderId="0" xfId="0" applyFont="1" applyBorder="1" applyAlignment="1">
      <alignment vertical="center"/>
    </xf>
    <xf numFmtId="166" fontId="2" fillId="0" borderId="4" xfId="0" applyNumberFormat="1" applyFont="1" applyBorder="1" applyAlignment="1">
      <alignment vertical="center"/>
    </xf>
    <xf numFmtId="0" fontId="39" fillId="0" borderId="32" xfId="0" applyFont="1" applyBorder="1" applyAlignment="1">
      <alignment vertical="center"/>
    </xf>
    <xf numFmtId="0" fontId="39" fillId="0" borderId="7" xfId="0" applyFont="1" applyBorder="1" applyAlignment="1">
      <alignment vertical="center"/>
    </xf>
    <xf numFmtId="49" fontId="3" fillId="0" borderId="0" xfId="0" applyNumberFormat="1" applyFont="1" applyBorder="1" applyAlignment="1">
      <alignment horizontal="center" vertical="center"/>
    </xf>
    <xf numFmtId="0" fontId="2" fillId="0" borderId="6" xfId="0" applyFont="1" applyFill="1" applyBorder="1" applyAlignment="1">
      <alignment vertical="center"/>
    </xf>
    <xf numFmtId="0" fontId="8" fillId="0" borderId="6" xfId="0" applyFont="1" applyFill="1" applyBorder="1" applyAlignment="1">
      <alignment horizontal="center" vertical="center"/>
    </xf>
    <xf numFmtId="0" fontId="2" fillId="0" borderId="6" xfId="0" applyFont="1" applyFill="1" applyBorder="1" applyAlignment="1">
      <alignment horizontal="left" vertical="center"/>
    </xf>
    <xf numFmtId="0" fontId="2" fillId="0" borderId="6" xfId="0" applyFont="1" applyFill="1" applyBorder="1" applyAlignment="1">
      <alignment horizontal="right" vertical="center" indent="1"/>
    </xf>
    <xf numFmtId="0" fontId="2" fillId="0" borderId="6" xfId="0" applyFont="1" applyFill="1" applyBorder="1" applyAlignment="1">
      <alignment horizontal="left" vertical="center" indent="1"/>
    </xf>
    <xf numFmtId="0" fontId="6" fillId="0" borderId="5" xfId="0" applyFont="1" applyFill="1" applyBorder="1" applyAlignment="1">
      <alignment horizontal="left" vertical="center" indent="1"/>
    </xf>
    <xf numFmtId="0" fontId="22" fillId="2" borderId="2" xfId="0" applyFont="1" applyFill="1" applyBorder="1" applyAlignment="1">
      <alignment horizontal="center" vertical="center"/>
    </xf>
    <xf numFmtId="0" fontId="35" fillId="0" borderId="9" xfId="0" applyFont="1" applyBorder="1" applyAlignment="1">
      <alignment horizontal="left" vertical="center" indent="1"/>
    </xf>
    <xf numFmtId="0" fontId="144" fillId="0" borderId="0" xfId="4" applyFont="1" applyAlignment="1">
      <alignment vertical="center"/>
    </xf>
    <xf numFmtId="0" fontId="38" fillId="9" borderId="0" xfId="4" applyFont="1" applyFill="1"/>
    <xf numFmtId="0" fontId="6" fillId="9" borderId="2" xfId="0" applyFont="1" applyFill="1" applyBorder="1" applyAlignment="1">
      <alignment vertical="center" wrapText="1"/>
    </xf>
    <xf numFmtId="0" fontId="84" fillId="0" borderId="2" xfId="0" applyFont="1" applyBorder="1" applyAlignment="1">
      <alignment horizontal="left" vertical="center" wrapText="1"/>
    </xf>
    <xf numFmtId="0" fontId="38" fillId="0" borderId="0" xfId="4" applyFont="1" applyAlignment="1">
      <alignment horizontal="center"/>
    </xf>
    <xf numFmtId="0" fontId="0" fillId="0" borderId="0" xfId="0" applyBorder="1"/>
    <xf numFmtId="0" fontId="0" fillId="0" borderId="0" xfId="0" applyBorder="1" applyAlignment="1">
      <alignment wrapText="1"/>
    </xf>
    <xf numFmtId="167" fontId="3" fillId="3" borderId="11" xfId="1" applyNumberFormat="1" applyFont="1" applyFill="1" applyBorder="1" applyAlignment="1">
      <alignment vertical="center"/>
    </xf>
    <xf numFmtId="0" fontId="3" fillId="3" borderId="12" xfId="0" applyFont="1" applyFill="1" applyBorder="1" applyAlignment="1">
      <alignment vertical="center"/>
    </xf>
    <xf numFmtId="167" fontId="3" fillId="3" borderId="10" xfId="1" applyNumberFormat="1" applyFont="1" applyFill="1" applyBorder="1" applyAlignment="1">
      <alignment vertical="center"/>
    </xf>
    <xf numFmtId="165" fontId="2" fillId="0" borderId="0" xfId="0" applyNumberFormat="1" applyFont="1" applyBorder="1" applyAlignment="1">
      <alignment vertical="center" wrapText="1"/>
    </xf>
    <xf numFmtId="0" fontId="3" fillId="0" borderId="0" xfId="0" applyFont="1" applyBorder="1" applyAlignment="1">
      <alignment vertical="center" wrapText="1"/>
    </xf>
    <xf numFmtId="0" fontId="6" fillId="0" borderId="5" xfId="0" applyFont="1" applyBorder="1" applyAlignment="1">
      <alignment vertical="center"/>
    </xf>
    <xf numFmtId="165" fontId="2" fillId="0" borderId="6" xfId="0" applyNumberFormat="1" applyFont="1" applyBorder="1" applyAlignment="1">
      <alignment vertical="center"/>
    </xf>
    <xf numFmtId="0" fontId="6" fillId="0" borderId="9" xfId="0" applyFont="1" applyBorder="1" applyAlignment="1">
      <alignment vertical="center"/>
    </xf>
    <xf numFmtId="165" fontId="11" fillId="0" borderId="0" xfId="0" applyNumberFormat="1" applyFont="1" applyBorder="1" applyAlignment="1">
      <alignment vertical="center" wrapText="1"/>
    </xf>
    <xf numFmtId="0" fontId="6" fillId="0" borderId="0" xfId="0" applyFont="1" applyBorder="1" applyAlignment="1">
      <alignment vertical="center" wrapText="1"/>
    </xf>
    <xf numFmtId="0" fontId="6" fillId="0" borderId="3" xfId="0" applyFont="1" applyBorder="1" applyAlignment="1">
      <alignment vertical="center"/>
    </xf>
    <xf numFmtId="167" fontId="2" fillId="0" borderId="1" xfId="1" applyNumberFormat="1" applyFont="1" applyBorder="1" applyAlignment="1">
      <alignment vertical="center"/>
    </xf>
    <xf numFmtId="165" fontId="2" fillId="0" borderId="0" xfId="0" applyNumberFormat="1" applyFont="1" applyBorder="1" applyAlignment="1">
      <alignment vertical="center"/>
    </xf>
    <xf numFmtId="165" fontId="11" fillId="0" borderId="0" xfId="0" applyNumberFormat="1" applyFont="1" applyBorder="1" applyAlignment="1">
      <alignment vertical="center"/>
    </xf>
    <xf numFmtId="165" fontId="2" fillId="0" borderId="1" xfId="0" applyNumberFormat="1" applyFont="1" applyBorder="1" applyAlignment="1">
      <alignment vertical="center"/>
    </xf>
    <xf numFmtId="0" fontId="3" fillId="0" borderId="1" xfId="0" applyFont="1" applyBorder="1" applyAlignment="1">
      <alignment vertical="center"/>
    </xf>
    <xf numFmtId="167" fontId="3" fillId="2" borderId="86" xfId="1" applyNumberFormat="1" applyFont="1" applyFill="1" applyBorder="1" applyAlignment="1">
      <alignment vertical="center" wrapText="1"/>
    </xf>
    <xf numFmtId="0" fontId="3" fillId="2" borderId="88" xfId="0" applyFont="1" applyFill="1" applyBorder="1" applyAlignment="1">
      <alignment vertical="center" wrapText="1"/>
    </xf>
    <xf numFmtId="167" fontId="3" fillId="2" borderId="87" xfId="1" applyNumberFormat="1" applyFont="1" applyFill="1" applyBorder="1" applyAlignment="1">
      <alignment vertical="center" wrapText="1"/>
    </xf>
    <xf numFmtId="0" fontId="3" fillId="2" borderId="90" xfId="0" applyFont="1" applyFill="1" applyBorder="1" applyAlignment="1">
      <alignment vertical="center" wrapText="1"/>
    </xf>
    <xf numFmtId="166" fontId="2" fillId="0" borderId="104" xfId="1" applyFont="1" applyBorder="1" applyAlignment="1">
      <alignment vertical="center" wrapText="1"/>
    </xf>
    <xf numFmtId="0" fontId="6" fillId="0" borderId="5" xfId="0" applyFont="1" applyBorder="1" applyAlignment="1">
      <alignment vertical="center" wrapText="1"/>
    </xf>
    <xf numFmtId="165" fontId="2" fillId="0" borderId="6" xfId="0" applyNumberFormat="1" applyFont="1" applyBorder="1" applyAlignment="1">
      <alignment vertical="center" wrapText="1"/>
    </xf>
    <xf numFmtId="0" fontId="6" fillId="0" borderId="65" xfId="0" applyFont="1" applyBorder="1" applyAlignment="1">
      <alignment vertical="center" wrapText="1"/>
    </xf>
    <xf numFmtId="167" fontId="2" fillId="0" borderId="91" xfId="1" applyNumberFormat="1" applyFont="1" applyBorder="1" applyAlignment="1">
      <alignment vertical="center" wrapText="1"/>
    </xf>
    <xf numFmtId="0" fontId="6" fillId="0" borderId="3" xfId="0" applyFont="1" applyBorder="1" applyAlignment="1">
      <alignment vertical="center" wrapText="1"/>
    </xf>
    <xf numFmtId="167" fontId="2" fillId="0" borderId="0" xfId="1" applyNumberFormat="1" applyFont="1" applyBorder="1" applyAlignment="1">
      <alignment vertical="center" wrapText="1"/>
    </xf>
    <xf numFmtId="167" fontId="2" fillId="0" borderId="94" xfId="1" applyNumberFormat="1" applyFont="1" applyBorder="1" applyAlignment="1">
      <alignment vertical="center" wrapText="1"/>
    </xf>
    <xf numFmtId="0" fontId="6" fillId="0" borderId="95" xfId="0" applyFont="1" applyBorder="1" applyAlignment="1">
      <alignment vertical="center" wrapText="1"/>
    </xf>
    <xf numFmtId="167" fontId="2" fillId="0" borderId="70" xfId="1" applyNumberFormat="1" applyFont="1" applyBorder="1" applyAlignment="1">
      <alignment vertical="center" wrapText="1"/>
    </xf>
    <xf numFmtId="0" fontId="6" fillId="0" borderId="71" xfId="0" applyFont="1" applyBorder="1" applyAlignment="1">
      <alignment vertical="center" wrapText="1"/>
    </xf>
    <xf numFmtId="0" fontId="145" fillId="0" borderId="6" xfId="0" applyFont="1" applyBorder="1" applyAlignment="1">
      <alignment horizontal="center" vertical="center"/>
    </xf>
    <xf numFmtId="0" fontId="146" fillId="0" borderId="6" xfId="0" applyFont="1" applyBorder="1" applyAlignment="1">
      <alignment horizontal="center" vertical="center"/>
    </xf>
    <xf numFmtId="0" fontId="145" fillId="0" borderId="0" xfId="0" applyFont="1" applyBorder="1" applyAlignment="1">
      <alignment horizontal="center" vertical="center"/>
    </xf>
    <xf numFmtId="166" fontId="3" fillId="0" borderId="0" xfId="1" applyFont="1" applyBorder="1" applyAlignment="1">
      <alignment vertical="center"/>
    </xf>
    <xf numFmtId="0" fontId="65" fillId="0" borderId="0" xfId="0" applyFont="1" applyBorder="1" applyAlignment="1">
      <alignment horizontal="left" vertical="center" indent="4"/>
    </xf>
    <xf numFmtId="0" fontId="22" fillId="0" borderId="0" xfId="0" applyFont="1" applyBorder="1" applyAlignment="1">
      <alignment vertical="center"/>
    </xf>
    <xf numFmtId="0" fontId="22" fillId="0" borderId="0" xfId="0" applyFont="1" applyAlignment="1">
      <alignment horizontal="center" vertical="center"/>
    </xf>
    <xf numFmtId="0" fontId="2" fillId="0" borderId="0" xfId="0" applyFont="1" applyBorder="1" applyAlignment="1">
      <alignment vertical="top" wrapText="1"/>
    </xf>
    <xf numFmtId="0" fontId="4" fillId="0" borderId="0" xfId="0" applyFont="1" applyBorder="1" applyAlignment="1">
      <alignment horizontal="center" vertical="top" wrapText="1"/>
    </xf>
    <xf numFmtId="0" fontId="5" fillId="0" borderId="0" xfId="0" applyFont="1" applyBorder="1" applyAlignment="1">
      <alignment horizontal="left"/>
    </xf>
    <xf numFmtId="0" fontId="6" fillId="0" borderId="0" xfId="0" applyFont="1" applyFill="1" applyBorder="1" applyAlignment="1">
      <alignment horizontal="right" vertical="center"/>
    </xf>
    <xf numFmtId="0" fontId="6" fillId="0" borderId="0" xfId="0" applyFont="1" applyFill="1" applyBorder="1" applyAlignment="1">
      <alignment vertical="center"/>
    </xf>
    <xf numFmtId="0" fontId="81" fillId="0" borderId="0" xfId="0" applyFont="1" applyBorder="1" applyAlignment="1">
      <alignment horizontal="right" vertical="center"/>
    </xf>
    <xf numFmtId="0" fontId="4" fillId="0" borderId="0" xfId="0" applyFont="1" applyFill="1" applyBorder="1" applyAlignment="1">
      <alignment vertical="center"/>
    </xf>
    <xf numFmtId="0" fontId="20" fillId="0" borderId="0" xfId="0" applyFont="1" applyBorder="1" applyAlignment="1">
      <alignment horizontal="left" vertical="center" indent="1"/>
    </xf>
    <xf numFmtId="0" fontId="145" fillId="0" borderId="5" xfId="0" applyFont="1" applyBorder="1" applyAlignment="1">
      <alignment horizontal="center" vertical="center"/>
    </xf>
    <xf numFmtId="0" fontId="147" fillId="0" borderId="0" xfId="0" applyFont="1" applyBorder="1" applyAlignment="1">
      <alignment vertical="center"/>
    </xf>
    <xf numFmtId="0" fontId="2" fillId="0" borderId="0" xfId="0" applyFont="1" applyFill="1" applyBorder="1" applyAlignment="1">
      <alignment horizontal="right" vertical="center" indent="1"/>
    </xf>
    <xf numFmtId="0" fontId="6" fillId="0" borderId="0" xfId="0" applyFont="1" applyBorder="1" applyAlignment="1">
      <alignment horizontal="left" vertical="center" indent="2"/>
    </xf>
    <xf numFmtId="0" fontId="65" fillId="0" borderId="0" xfId="0" applyFont="1" applyBorder="1" applyAlignment="1">
      <alignment vertical="center"/>
    </xf>
    <xf numFmtId="9" fontId="3" fillId="0" borderId="0" xfId="3" applyFont="1" applyFill="1" applyBorder="1" applyAlignment="1">
      <alignment vertical="center"/>
    </xf>
    <xf numFmtId="9" fontId="3" fillId="27" borderId="2" xfId="3" applyFont="1" applyFill="1" applyBorder="1" applyAlignment="1">
      <alignment horizontal="center" vertical="center"/>
    </xf>
    <xf numFmtId="0" fontId="3" fillId="0" borderId="12" xfId="0" applyFont="1" applyBorder="1" applyAlignment="1">
      <alignment horizontal="left" vertical="center" indent="4"/>
    </xf>
    <xf numFmtId="0" fontId="3" fillId="0" borderId="0" xfId="0" applyFont="1" applyFill="1" applyBorder="1" applyAlignment="1">
      <alignment horizontal="left"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166" fontId="10" fillId="0" borderId="0" xfId="1" applyFont="1" applyBorder="1" applyAlignment="1">
      <alignment vertical="center"/>
    </xf>
    <xf numFmtId="0" fontId="5" fillId="0" borderId="0" xfId="1" applyNumberFormat="1" applyFont="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25" fillId="0" borderId="0" xfId="0" applyFont="1" applyFill="1" applyBorder="1" applyAlignment="1">
      <alignment horizontal="center" vertical="center"/>
    </xf>
    <xf numFmtId="3" fontId="2" fillId="0" borderId="7" xfId="0" applyNumberFormat="1" applyFont="1" applyBorder="1" applyAlignment="1">
      <alignment horizontal="center" vertical="center"/>
    </xf>
    <xf numFmtId="3" fontId="2" fillId="0" borderId="14" xfId="0" applyNumberFormat="1" applyFont="1" applyBorder="1" applyAlignment="1">
      <alignment horizontal="center" vertical="center"/>
    </xf>
    <xf numFmtId="0" fontId="2" fillId="0" borderId="5" xfId="0" applyFont="1" applyBorder="1" applyAlignment="1">
      <alignment horizontal="right" vertical="center"/>
    </xf>
    <xf numFmtId="3" fontId="2" fillId="0" borderId="4" xfId="0" applyNumberFormat="1" applyFont="1" applyBorder="1" applyAlignment="1">
      <alignment horizontal="center" vertical="center"/>
    </xf>
    <xf numFmtId="3" fontId="2" fillId="0" borderId="13"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5" xfId="0" applyFont="1" applyBorder="1" applyAlignment="1">
      <alignment horizontal="left" vertical="center" indent="2"/>
    </xf>
    <xf numFmtId="0" fontId="2" fillId="0" borderId="5" xfId="0" applyFont="1" applyBorder="1" applyAlignment="1">
      <alignment horizontal="left" vertical="center" indent="4"/>
    </xf>
    <xf numFmtId="3" fontId="2" fillId="0" borderId="8" xfId="0" applyNumberFormat="1" applyFont="1" applyBorder="1" applyAlignment="1">
      <alignment horizontal="center" vertical="center"/>
    </xf>
    <xf numFmtId="3" fontId="2" fillId="0" borderId="22" xfId="0" applyNumberFormat="1" applyFont="1" applyBorder="1" applyAlignment="1">
      <alignment horizontal="center" vertical="center"/>
    </xf>
    <xf numFmtId="3" fontId="2" fillId="0" borderId="0" xfId="1" applyNumberFormat="1" applyFont="1" applyBorder="1" applyAlignment="1">
      <alignment horizontal="left" vertical="center"/>
    </xf>
    <xf numFmtId="166" fontId="21" fillId="0" borderId="0" xfId="1" applyFont="1" applyBorder="1" applyAlignment="1">
      <alignment horizontal="center" vertical="center"/>
    </xf>
    <xf numFmtId="0" fontId="21" fillId="0" borderId="0" xfId="0" applyFont="1" applyBorder="1" applyAlignment="1">
      <alignment horizontal="center" vertical="center"/>
    </xf>
    <xf numFmtId="0" fontId="21" fillId="0" borderId="0" xfId="0" applyFont="1" applyBorder="1" applyAlignment="1">
      <alignment vertical="center"/>
    </xf>
    <xf numFmtId="0" fontId="8" fillId="0" borderId="10" xfId="0" applyFont="1" applyBorder="1" applyAlignment="1">
      <alignment horizontal="center" vertical="center"/>
    </xf>
    <xf numFmtId="0" fontId="20" fillId="0" borderId="0" xfId="0" applyFont="1" applyAlignment="1">
      <alignment horizontal="left" vertical="center"/>
    </xf>
    <xf numFmtId="0" fontId="26" fillId="0" borderId="0" xfId="0" applyFont="1" applyBorder="1" applyAlignment="1">
      <alignment horizontal="center" vertical="center"/>
    </xf>
    <xf numFmtId="0" fontId="2" fillId="0" borderId="0" xfId="0" applyFont="1" applyAlignment="1">
      <alignment horizontal="left" vertical="center" indent="2"/>
    </xf>
    <xf numFmtId="0" fontId="45" fillId="0" borderId="0" xfId="0" applyFont="1" applyAlignment="1">
      <alignment horizontal="right" vertical="center"/>
    </xf>
    <xf numFmtId="0" fontId="23" fillId="0" borderId="0" xfId="0" applyFont="1" applyBorder="1" applyAlignment="1">
      <alignment horizontal="left" vertical="center" indent="1"/>
    </xf>
    <xf numFmtId="0" fontId="4" fillId="0" borderId="5" xfId="0" applyFont="1" applyBorder="1" applyAlignment="1">
      <alignment horizontal="left" vertical="center" indent="1"/>
    </xf>
    <xf numFmtId="0" fontId="4" fillId="24" borderId="2" xfId="0" applyFont="1" applyFill="1" applyBorder="1" applyAlignment="1">
      <alignment horizontal="center" vertical="center"/>
    </xf>
    <xf numFmtId="167" fontId="6" fillId="0" borderId="2" xfId="1" applyNumberFormat="1" applyFont="1" applyBorder="1" applyAlignment="1">
      <alignment horizontal="center" vertical="center"/>
    </xf>
    <xf numFmtId="166" fontId="3" fillId="13" borderId="2" xfId="1" applyFont="1" applyFill="1" applyBorder="1" applyAlignment="1">
      <alignment horizontal="center" vertical="center"/>
    </xf>
    <xf numFmtId="0" fontId="3" fillId="13" borderId="2" xfId="0" applyFont="1" applyFill="1" applyBorder="1" applyAlignment="1">
      <alignment horizontal="center" vertical="center"/>
    </xf>
    <xf numFmtId="0" fontId="2" fillId="9" borderId="6" xfId="0" applyFont="1" applyFill="1" applyBorder="1" applyAlignment="1">
      <alignment vertical="center"/>
    </xf>
    <xf numFmtId="0" fontId="2" fillId="9" borderId="6" xfId="0" applyFont="1" applyFill="1" applyBorder="1" applyAlignment="1">
      <alignment horizontal="right" vertical="center"/>
    </xf>
    <xf numFmtId="0" fontId="2" fillId="9" borderId="5" xfId="0" applyFont="1" applyFill="1" applyBorder="1" applyAlignment="1">
      <alignment vertical="center"/>
    </xf>
    <xf numFmtId="0" fontId="2" fillId="9" borderId="0" xfId="0" applyFont="1" applyFill="1" applyBorder="1" applyAlignment="1">
      <alignment horizontal="right" vertical="center"/>
    </xf>
    <xf numFmtId="0" fontId="2" fillId="9" borderId="9" xfId="0" applyFont="1" applyFill="1" applyBorder="1" applyAlignment="1">
      <alignment vertical="center"/>
    </xf>
    <xf numFmtId="0" fontId="2" fillId="9" borderId="1" xfId="0" applyFont="1" applyFill="1" applyBorder="1" applyAlignment="1">
      <alignment vertical="center"/>
    </xf>
    <xf numFmtId="0" fontId="2" fillId="9" borderId="3" xfId="0" applyFont="1" applyFill="1" applyBorder="1" applyAlignment="1">
      <alignment vertical="center"/>
    </xf>
    <xf numFmtId="172" fontId="2" fillId="0" borderId="0" xfId="1" applyNumberFormat="1" applyFont="1" applyAlignment="1">
      <alignment vertical="center"/>
    </xf>
    <xf numFmtId="166" fontId="2" fillId="9" borderId="0" xfId="1" applyFont="1" applyFill="1" applyBorder="1" applyAlignment="1">
      <alignment horizontal="center" vertical="center"/>
    </xf>
    <xf numFmtId="16" fontId="5" fillId="0" borderId="0" xfId="0" applyNumberFormat="1" applyFont="1" applyBorder="1" applyAlignment="1">
      <alignment vertical="center"/>
    </xf>
    <xf numFmtId="0" fontId="2" fillId="3" borderId="11" xfId="0" applyFont="1" applyFill="1" applyBorder="1" applyAlignment="1">
      <alignment vertical="center"/>
    </xf>
    <xf numFmtId="166" fontId="2" fillId="3" borderId="10" xfId="1" applyFont="1" applyFill="1" applyBorder="1" applyAlignment="1">
      <alignment horizontal="center" vertical="center"/>
    </xf>
    <xf numFmtId="0" fontId="2" fillId="3" borderId="10" xfId="0" applyFont="1" applyFill="1" applyBorder="1" applyAlignment="1">
      <alignment vertical="center"/>
    </xf>
    <xf numFmtId="0" fontId="2" fillId="3" borderId="10" xfId="0" applyFont="1" applyFill="1" applyBorder="1" applyAlignment="1">
      <alignment horizontal="center" vertical="center"/>
    </xf>
    <xf numFmtId="0" fontId="2" fillId="3" borderId="10" xfId="0" applyFont="1" applyFill="1" applyBorder="1" applyAlignment="1">
      <alignment horizontal="left" vertical="center"/>
    </xf>
    <xf numFmtId="166" fontId="2" fillId="3" borderId="10" xfId="1" applyFont="1" applyFill="1" applyBorder="1" applyAlignment="1">
      <alignment vertical="center"/>
    </xf>
    <xf numFmtId="16" fontId="5" fillId="3" borderId="10" xfId="0" applyNumberFormat="1" applyFont="1" applyFill="1" applyBorder="1" applyAlignment="1">
      <alignment vertical="center"/>
    </xf>
    <xf numFmtId="0" fontId="3" fillId="3" borderId="10" xfId="0" applyFont="1" applyFill="1" applyBorder="1" applyAlignment="1">
      <alignment horizontal="center" vertical="center"/>
    </xf>
    <xf numFmtId="0" fontId="2" fillId="3" borderId="12" xfId="0" applyFont="1" applyFill="1" applyBorder="1" applyAlignment="1">
      <alignment vertical="center"/>
    </xf>
    <xf numFmtId="166" fontId="6" fillId="0" borderId="0" xfId="1" applyFont="1" applyBorder="1" applyAlignment="1">
      <alignment vertical="center" wrapText="1"/>
    </xf>
    <xf numFmtId="166" fontId="2" fillId="9" borderId="0" xfId="1" applyFont="1" applyFill="1" applyBorder="1" applyAlignment="1">
      <alignment vertical="center"/>
    </xf>
    <xf numFmtId="0" fontId="2" fillId="9" borderId="6" xfId="0" applyFont="1" applyFill="1" applyBorder="1" applyAlignment="1">
      <alignment horizontal="left" vertical="center"/>
    </xf>
    <xf numFmtId="0" fontId="2" fillId="9" borderId="0" xfId="0" applyFont="1" applyFill="1" applyBorder="1" applyAlignment="1">
      <alignment horizontal="left" vertical="center"/>
    </xf>
    <xf numFmtId="166" fontId="2" fillId="0" borderId="0" xfId="1" applyFont="1" applyFill="1" applyBorder="1" applyAlignment="1">
      <alignment vertical="center"/>
    </xf>
    <xf numFmtId="0" fontId="8" fillId="0" borderId="0" xfId="0" applyFont="1" applyFill="1" applyBorder="1" applyAlignment="1">
      <alignment vertical="center"/>
    </xf>
    <xf numFmtId="0" fontId="6" fillId="0" borderId="9" xfId="0" applyFont="1" applyFill="1" applyBorder="1" applyAlignment="1">
      <alignment horizontal="left" vertical="center" indent="1"/>
    </xf>
    <xf numFmtId="0" fontId="2" fillId="0" borderId="1" xfId="0" applyFont="1" applyFill="1" applyBorder="1" applyAlignment="1">
      <alignment horizontal="left" vertical="center" indent="1"/>
    </xf>
    <xf numFmtId="0" fontId="7" fillId="0" borderId="6" xfId="0" applyFont="1" applyFill="1" applyBorder="1" applyAlignment="1">
      <alignment horizontal="center" vertical="center"/>
    </xf>
    <xf numFmtId="0" fontId="12" fillId="0" borderId="6" xfId="0" applyFont="1" applyFill="1" applyBorder="1" applyAlignment="1">
      <alignment horizontal="center" vertical="center"/>
    </xf>
    <xf numFmtId="166" fontId="2" fillId="2" borderId="8" xfId="1" applyFont="1" applyFill="1" applyBorder="1" applyAlignment="1">
      <alignment vertical="center"/>
    </xf>
    <xf numFmtId="166" fontId="2" fillId="2" borderId="0" xfId="1" applyFont="1" applyFill="1" applyBorder="1" applyAlignment="1">
      <alignment vertical="center"/>
    </xf>
    <xf numFmtId="0" fontId="3" fillId="2" borderId="0" xfId="0" applyFont="1" applyFill="1" applyBorder="1" applyAlignment="1">
      <alignment vertical="center"/>
    </xf>
    <xf numFmtId="0" fontId="8" fillId="2" borderId="0" xfId="0" applyFont="1" applyFill="1" applyBorder="1" applyAlignment="1">
      <alignment horizontal="center" vertical="center"/>
    </xf>
    <xf numFmtId="0" fontId="2" fillId="2" borderId="0" xfId="0" applyFont="1" applyFill="1" applyBorder="1" applyAlignment="1">
      <alignment horizontal="left" vertical="center" indent="4"/>
    </xf>
    <xf numFmtId="0" fontId="3" fillId="2" borderId="9" xfId="0" applyFont="1" applyFill="1" applyBorder="1" applyAlignment="1">
      <alignment horizontal="left" vertical="center" indent="4"/>
    </xf>
    <xf numFmtId="0" fontId="3" fillId="0" borderId="9" xfId="0" applyFont="1" applyBorder="1" applyAlignment="1">
      <alignment horizontal="left" vertical="center" indent="4"/>
    </xf>
    <xf numFmtId="0" fontId="33" fillId="0" borderId="0" xfId="0" applyFont="1" applyBorder="1" applyAlignment="1">
      <alignment horizontal="center" vertical="center"/>
    </xf>
    <xf numFmtId="0" fontId="33" fillId="0" borderId="9" xfId="0" applyFont="1" applyBorder="1" applyAlignment="1">
      <alignment horizontal="center" vertical="center"/>
    </xf>
    <xf numFmtId="0" fontId="2" fillId="4" borderId="8" xfId="0" applyFont="1" applyFill="1" applyBorder="1" applyAlignment="1">
      <alignment vertical="center"/>
    </xf>
    <xf numFmtId="0" fontId="8" fillId="4" borderId="0" xfId="0" applyFont="1" applyFill="1" applyBorder="1" applyAlignment="1">
      <alignment horizontal="center" vertical="center"/>
    </xf>
    <xf numFmtId="0" fontId="2" fillId="4" borderId="0" xfId="0" applyFont="1" applyFill="1" applyBorder="1" applyAlignment="1">
      <alignment horizontal="left" vertical="center" indent="4"/>
    </xf>
    <xf numFmtId="0" fontId="3" fillId="4" borderId="9" xfId="0" applyFont="1" applyFill="1" applyBorder="1" applyAlignment="1">
      <alignment horizontal="left" vertical="center" indent="3"/>
    </xf>
    <xf numFmtId="0" fontId="2" fillId="0" borderId="9" xfId="0" applyFont="1" applyBorder="1" applyAlignment="1">
      <alignment horizontal="left" vertical="center" indent="3"/>
    </xf>
    <xf numFmtId="0" fontId="3" fillId="0" borderId="9" xfId="0" applyFont="1" applyBorder="1" applyAlignment="1">
      <alignment horizontal="left" vertical="center" indent="3"/>
    </xf>
    <xf numFmtId="0" fontId="3" fillId="0" borderId="12" xfId="0" applyFont="1" applyBorder="1" applyAlignment="1">
      <alignment horizontal="left" vertical="center"/>
    </xf>
    <xf numFmtId="167" fontId="2" fillId="0" borderId="0" xfId="1" applyNumberFormat="1" applyFont="1" applyFill="1" applyBorder="1" applyAlignment="1">
      <alignment horizontal="left" vertical="center"/>
    </xf>
    <xf numFmtId="167" fontId="2" fillId="0" borderId="0" xfId="0" applyNumberFormat="1" applyFont="1" applyBorder="1" applyAlignment="1">
      <alignment horizontal="left" vertical="center"/>
    </xf>
    <xf numFmtId="0" fontId="10" fillId="0" borderId="0" xfId="0" applyFont="1" applyBorder="1" applyAlignment="1">
      <alignment vertical="center"/>
    </xf>
    <xf numFmtId="0" fontId="2" fillId="9" borderId="9" xfId="0" applyFont="1" applyFill="1" applyBorder="1" applyAlignment="1">
      <alignment horizontal="left" vertical="center" indent="1"/>
    </xf>
    <xf numFmtId="166" fontId="2" fillId="9" borderId="8" xfId="1" applyFont="1" applyFill="1" applyBorder="1" applyAlignment="1">
      <alignment horizontal="center" vertical="center"/>
    </xf>
    <xf numFmtId="0" fontId="7" fillId="9" borderId="0" xfId="0" applyFont="1" applyFill="1" applyBorder="1" applyAlignment="1">
      <alignment horizontal="center" vertical="center"/>
    </xf>
    <xf numFmtId="0" fontId="8" fillId="9" borderId="0" xfId="0" applyFont="1" applyFill="1" applyBorder="1" applyAlignment="1">
      <alignment horizontal="center" vertical="center"/>
    </xf>
    <xf numFmtId="0" fontId="2" fillId="9" borderId="4" xfId="0" applyFont="1" applyFill="1" applyBorder="1" applyAlignment="1">
      <alignment horizontal="center" vertical="center"/>
    </xf>
    <xf numFmtId="0" fontId="2" fillId="4" borderId="6" xfId="0" applyFont="1" applyFill="1" applyBorder="1" applyAlignment="1">
      <alignment horizontal="left" vertical="center" indent="4"/>
    </xf>
    <xf numFmtId="0" fontId="3" fillId="4" borderId="5" xfId="0" applyFont="1" applyFill="1" applyBorder="1" applyAlignment="1">
      <alignment vertical="center"/>
    </xf>
    <xf numFmtId="0" fontId="3" fillId="0" borderId="11" xfId="0" applyFont="1" applyBorder="1" applyAlignment="1">
      <alignment horizontal="left" vertical="center" indent="4"/>
    </xf>
    <xf numFmtId="0" fontId="3" fillId="0" borderId="12" xfId="0" applyFont="1" applyBorder="1" applyAlignment="1">
      <alignment horizontal="left" vertical="center" indent="1"/>
    </xf>
    <xf numFmtId="0" fontId="151" fillId="0" borderId="5" xfId="0" applyFont="1" applyBorder="1" applyAlignment="1">
      <alignment horizontal="left" vertical="center" indent="1"/>
    </xf>
    <xf numFmtId="0" fontId="151" fillId="0" borderId="9" xfId="0" applyFont="1" applyBorder="1" applyAlignment="1">
      <alignment horizontal="left" vertical="center" indent="1"/>
    </xf>
    <xf numFmtId="0" fontId="151" fillId="0" borderId="3" xfId="0" applyFont="1" applyBorder="1" applyAlignment="1">
      <alignment horizontal="left" vertical="center" indent="1"/>
    </xf>
    <xf numFmtId="0" fontId="2" fillId="0" borderId="3" xfId="0" applyFont="1" applyBorder="1" applyAlignment="1">
      <alignment horizontal="left" vertical="center"/>
    </xf>
    <xf numFmtId="0" fontId="10" fillId="0" borderId="3" xfId="0" applyFont="1" applyBorder="1" applyAlignment="1">
      <alignment horizontal="left" vertical="center"/>
    </xf>
    <xf numFmtId="3" fontId="2" fillId="0" borderId="22" xfId="0" applyNumberFormat="1" applyFont="1" applyBorder="1" applyAlignment="1">
      <alignment vertical="center"/>
    </xf>
    <xf numFmtId="166" fontId="36" fillId="9" borderId="0" xfId="1" applyFont="1" applyFill="1"/>
    <xf numFmtId="3" fontId="36" fillId="9" borderId="0" xfId="0" applyNumberFormat="1" applyFont="1" applyFill="1"/>
    <xf numFmtId="0" fontId="61" fillId="9" borderId="0" xfId="0" applyFont="1" applyFill="1" applyAlignment="1">
      <alignment horizontal="left" indent="1"/>
    </xf>
    <xf numFmtId="3" fontId="42" fillId="2" borderId="7" xfId="0" applyNumberFormat="1" applyFont="1" applyFill="1" applyBorder="1" applyAlignment="1">
      <alignment horizontal="right" indent="1"/>
    </xf>
    <xf numFmtId="0" fontId="92" fillId="2" borderId="5" xfId="0" applyFont="1" applyFill="1" applyBorder="1" applyAlignment="1">
      <alignment horizontal="left" indent="1"/>
    </xf>
    <xf numFmtId="3" fontId="42" fillId="2" borderId="11" xfId="0" applyNumberFormat="1" applyFont="1" applyFill="1" applyBorder="1" applyAlignment="1">
      <alignment horizontal="right" indent="1"/>
    </xf>
    <xf numFmtId="0" fontId="92" fillId="2" borderId="12" xfId="0" applyFont="1" applyFill="1" applyBorder="1" applyAlignment="1">
      <alignment horizontal="left" indent="1"/>
    </xf>
    <xf numFmtId="3" fontId="36" fillId="9" borderId="7" xfId="0" applyNumberFormat="1" applyFont="1" applyFill="1" applyBorder="1" applyAlignment="1">
      <alignment horizontal="right" indent="1"/>
    </xf>
    <xf numFmtId="0" fontId="61" fillId="9" borderId="5" xfId="0" applyFont="1" applyFill="1" applyBorder="1" applyAlignment="1">
      <alignment horizontal="left" indent="1"/>
    </xf>
    <xf numFmtId="3" fontId="36" fillId="9" borderId="8" xfId="0" applyNumberFormat="1" applyFont="1" applyFill="1" applyBorder="1" applyAlignment="1">
      <alignment horizontal="right" indent="1"/>
    </xf>
    <xf numFmtId="0" fontId="61" fillId="9" borderId="9" xfId="0" applyFont="1" applyFill="1" applyBorder="1" applyAlignment="1">
      <alignment horizontal="left" indent="1"/>
    </xf>
    <xf numFmtId="3" fontId="36" fillId="9" borderId="4" xfId="0" applyNumberFormat="1" applyFont="1" applyFill="1" applyBorder="1" applyAlignment="1">
      <alignment horizontal="right" indent="1"/>
    </xf>
    <xf numFmtId="0" fontId="61" fillId="9" borderId="3" xfId="0" applyFont="1" applyFill="1" applyBorder="1" applyAlignment="1">
      <alignment horizontal="left" indent="1"/>
    </xf>
    <xf numFmtId="3" fontId="36" fillId="9" borderId="0" xfId="0" applyNumberFormat="1" applyFont="1" applyFill="1" applyBorder="1" applyAlignment="1">
      <alignment horizontal="right" indent="1"/>
    </xf>
    <xf numFmtId="3" fontId="36" fillId="9" borderId="1" xfId="0" applyNumberFormat="1" applyFont="1" applyFill="1" applyBorder="1" applyAlignment="1">
      <alignment horizontal="right" indent="1"/>
    </xf>
    <xf numFmtId="167" fontId="2" fillId="0" borderId="0" xfId="0" applyNumberFormat="1" applyFont="1" applyBorder="1" applyAlignment="1">
      <alignment vertical="center"/>
    </xf>
    <xf numFmtId="167" fontId="2" fillId="0" borderId="0" xfId="0" applyNumberFormat="1" applyFont="1" applyBorder="1" applyAlignment="1">
      <alignment horizontal="right" vertical="center" indent="1"/>
    </xf>
    <xf numFmtId="167" fontId="2" fillId="0" borderId="2" xfId="0" applyNumberFormat="1" applyFont="1" applyBorder="1" applyAlignment="1">
      <alignment horizontal="left" vertical="center" indent="1"/>
    </xf>
    <xf numFmtId="0" fontId="2" fillId="0" borderId="2" xfId="0" applyFont="1" applyBorder="1"/>
    <xf numFmtId="0" fontId="2" fillId="0" borderId="9" xfId="0" applyFont="1" applyBorder="1"/>
    <xf numFmtId="167" fontId="2" fillId="24" borderId="2" xfId="1" applyNumberFormat="1" applyFont="1" applyFill="1" applyBorder="1" applyAlignment="1">
      <alignment vertical="center"/>
    </xf>
    <xf numFmtId="167" fontId="2" fillId="0" borderId="2" xfId="1" applyNumberFormat="1" applyFont="1" applyBorder="1" applyAlignment="1">
      <alignment vertical="center"/>
    </xf>
    <xf numFmtId="0" fontId="2" fillId="0" borderId="2" xfId="0" applyFont="1" applyBorder="1" applyAlignment="1">
      <alignment horizontal="left" vertical="center" indent="1"/>
    </xf>
    <xf numFmtId="0" fontId="152" fillId="0" borderId="0" xfId="0" applyFont="1" applyBorder="1" applyAlignment="1">
      <alignment horizontal="center" vertical="center"/>
    </xf>
    <xf numFmtId="0" fontId="133" fillId="33" borderId="2" xfId="0" applyFont="1" applyFill="1" applyBorder="1" applyAlignment="1">
      <alignment horizontal="center" vertical="center" wrapText="1"/>
    </xf>
    <xf numFmtId="0" fontId="2" fillId="0" borderId="0" xfId="0" applyFont="1" applyAlignment="1">
      <alignment horizontal="center" vertical="center"/>
    </xf>
    <xf numFmtId="0" fontId="6"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indent="1"/>
    </xf>
    <xf numFmtId="0" fontId="2" fillId="0" borderId="6" xfId="0" applyFont="1" applyBorder="1" applyAlignment="1">
      <alignment horizontal="center" vertical="center"/>
    </xf>
    <xf numFmtId="0" fontId="2" fillId="0" borderId="9" xfId="0" applyFont="1" applyBorder="1" applyAlignment="1">
      <alignment horizontal="left" vertical="center"/>
    </xf>
    <xf numFmtId="0" fontId="2" fillId="0" borderId="0" xfId="0" applyFont="1" applyBorder="1" applyAlignment="1">
      <alignment horizontal="left" vertical="center"/>
    </xf>
    <xf numFmtId="0" fontId="2" fillId="0" borderId="10"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6" fontId="38" fillId="0" borderId="9" xfId="1" applyFont="1" applyBorder="1" applyAlignment="1">
      <alignment horizontal="center"/>
    </xf>
    <xf numFmtId="166" fontId="38" fillId="0" borderId="0" xfId="1" applyFont="1" applyBorder="1" applyAlignment="1">
      <alignment horizontal="center"/>
    </xf>
    <xf numFmtId="166" fontId="38" fillId="0" borderId="8" xfId="1" applyFont="1" applyBorder="1" applyAlignment="1">
      <alignment horizontal="center"/>
    </xf>
    <xf numFmtId="167" fontId="38" fillId="0" borderId="0" xfId="1" applyNumberFormat="1" applyFont="1" applyBorder="1" applyAlignment="1">
      <alignment horizontal="center"/>
    </xf>
    <xf numFmtId="0" fontId="38" fillId="0" borderId="0" xfId="4" applyFont="1" applyBorder="1" applyAlignment="1">
      <alignment horizontal="center"/>
    </xf>
    <xf numFmtId="0" fontId="93" fillId="0" borderId="0" xfId="0" applyFont="1" applyBorder="1" applyAlignment="1">
      <alignment horizontal="center" vertical="center"/>
    </xf>
    <xf numFmtId="166" fontId="3" fillId="0" borderId="1" xfId="1" applyFont="1" applyBorder="1" applyAlignment="1"/>
    <xf numFmtId="0" fontId="2" fillId="0" borderId="12" xfId="0" applyFont="1" applyBorder="1" applyAlignment="1"/>
    <xf numFmtId="188" fontId="2" fillId="0" borderId="0" xfId="12" applyNumberFormat="1" applyFont="1"/>
    <xf numFmtId="0" fontId="3" fillId="0" borderId="0" xfId="0" applyFont="1" applyBorder="1"/>
    <xf numFmtId="0" fontId="2" fillId="0" borderId="6" xfId="0" applyFont="1" applyBorder="1"/>
    <xf numFmtId="0" fontId="3" fillId="0" borderId="15" xfId="0" applyFont="1" applyBorder="1"/>
    <xf numFmtId="187" fontId="2" fillId="0" borderId="0" xfId="12" applyFont="1" applyAlignment="1"/>
    <xf numFmtId="0" fontId="2" fillId="0" borderId="11" xfId="0" applyFont="1" applyBorder="1" applyAlignment="1">
      <alignment horizontal="center"/>
    </xf>
    <xf numFmtId="0" fontId="27" fillId="0" borderId="0" xfId="0" applyFont="1" applyBorder="1" applyAlignment="1">
      <alignment vertical="center"/>
    </xf>
    <xf numFmtId="187" fontId="6" fillId="0" borderId="0" xfId="12" applyFont="1" applyAlignment="1"/>
    <xf numFmtId="0" fontId="3" fillId="4" borderId="12" xfId="0" applyFont="1" applyFill="1" applyBorder="1"/>
    <xf numFmtId="0" fontId="3" fillId="4" borderId="10" xfId="0" applyFont="1" applyFill="1" applyBorder="1" applyAlignment="1">
      <alignment vertical="center"/>
    </xf>
    <xf numFmtId="0" fontId="2" fillId="0" borderId="12" xfId="0" applyFont="1" applyBorder="1"/>
    <xf numFmtId="0" fontId="6" fillId="0" borderId="0" xfId="0" applyFont="1" applyAlignment="1">
      <alignment horizontal="left" indent="2"/>
    </xf>
    <xf numFmtId="9" fontId="2" fillId="0" borderId="0" xfId="0" applyNumberFormat="1" applyFont="1" applyBorder="1"/>
    <xf numFmtId="0" fontId="2" fillId="4" borderId="10" xfId="0" applyFont="1" applyFill="1" applyBorder="1" applyAlignment="1">
      <alignment vertical="center"/>
    </xf>
    <xf numFmtId="0" fontId="2" fillId="4" borderId="10" xfId="0" applyFont="1" applyFill="1" applyBorder="1" applyAlignment="1">
      <alignment horizontal="left" vertical="center" indent="4"/>
    </xf>
    <xf numFmtId="0" fontId="8" fillId="4" borderId="10" xfId="0" applyFont="1" applyFill="1" applyBorder="1" applyAlignment="1">
      <alignment horizontal="center" vertical="center"/>
    </xf>
    <xf numFmtId="9" fontId="2" fillId="0" borderId="10" xfId="0" applyNumberFormat="1" applyFont="1" applyBorder="1"/>
    <xf numFmtId="166" fontId="2" fillId="0" borderId="0" xfId="1" applyFont="1" applyAlignment="1">
      <alignment horizontal="center"/>
    </xf>
    <xf numFmtId="0" fontId="2" fillId="0" borderId="15" xfId="0" applyFont="1" applyBorder="1" applyAlignment="1">
      <alignment horizontal="left" vertical="center" indent="4"/>
    </xf>
    <xf numFmtId="0" fontId="3" fillId="0" borderId="14" xfId="0" applyFont="1" applyBorder="1" applyAlignment="1">
      <alignment horizontal="center"/>
    </xf>
    <xf numFmtId="0" fontId="3" fillId="0" borderId="2" xfId="0" applyFont="1" applyBorder="1" applyAlignment="1">
      <alignment horizontal="center"/>
    </xf>
    <xf numFmtId="0" fontId="3" fillId="0" borderId="13" xfId="0" applyFont="1" applyBorder="1" applyAlignment="1">
      <alignment horizontal="center"/>
    </xf>
    <xf numFmtId="0" fontId="3" fillId="0" borderId="28" xfId="0" applyFont="1" applyBorder="1"/>
    <xf numFmtId="0" fontId="2" fillId="0" borderId="12" xfId="0" applyFont="1" applyBorder="1" applyAlignment="1">
      <alignment horizontal="left" vertical="center"/>
    </xf>
    <xf numFmtId="190" fontId="2" fillId="0" borderId="0" xfId="0" applyNumberFormat="1" applyFont="1" applyAlignment="1">
      <alignment wrapText="1"/>
    </xf>
    <xf numFmtId="0" fontId="2" fillId="4" borderId="12" xfId="0" applyFont="1" applyFill="1" applyBorder="1" applyAlignment="1">
      <alignment horizontal="left" vertical="center"/>
    </xf>
    <xf numFmtId="0" fontId="3" fillId="4" borderId="12" xfId="0" applyFont="1" applyFill="1" applyBorder="1" applyAlignment="1">
      <alignment horizontal="left" vertical="center"/>
    </xf>
    <xf numFmtId="0" fontId="3" fillId="4" borderId="10" xfId="0" applyFont="1" applyFill="1" applyBorder="1" applyAlignment="1">
      <alignment horizontal="left" vertical="center" indent="4"/>
    </xf>
    <xf numFmtId="0" fontId="13" fillId="4" borderId="10" xfId="0" applyFont="1" applyFill="1" applyBorder="1" applyAlignment="1">
      <alignment horizontal="center" vertical="center"/>
    </xf>
    <xf numFmtId="183" fontId="2" fillId="0" borderId="0" xfId="0" applyNumberFormat="1" applyFont="1" applyBorder="1" applyAlignment="1">
      <alignment horizontal="center" vertical="center"/>
    </xf>
    <xf numFmtId="0" fontId="59" fillId="0" borderId="0" xfId="0" applyFont="1" applyBorder="1" applyAlignment="1">
      <alignment horizontal="left" vertical="center"/>
    </xf>
    <xf numFmtId="189" fontId="2" fillId="0" borderId="0" xfId="0" applyNumberFormat="1" applyFont="1" applyAlignment="1">
      <alignment vertical="center"/>
    </xf>
    <xf numFmtId="189" fontId="2" fillId="0" borderId="0" xfId="1" applyNumberFormat="1" applyFont="1" applyAlignment="1">
      <alignment vertical="center"/>
    </xf>
    <xf numFmtId="43" fontId="2" fillId="0" borderId="0" xfId="0" applyNumberFormat="1" applyFont="1" applyBorder="1" applyAlignment="1">
      <alignment vertical="center"/>
    </xf>
    <xf numFmtId="0" fontId="8" fillId="4" borderId="11" xfId="0" applyFont="1" applyFill="1" applyBorder="1" applyAlignment="1">
      <alignment horizontal="center" vertical="center"/>
    </xf>
    <xf numFmtId="0" fontId="92" fillId="15" borderId="38" xfId="0" applyFont="1" applyFill="1" applyBorder="1" applyAlignment="1">
      <alignment horizontal="left" indent="1"/>
    </xf>
    <xf numFmtId="170" fontId="42" fillId="15" borderId="38" xfId="2" applyNumberFormat="1" applyFont="1" applyFill="1" applyBorder="1"/>
    <xf numFmtId="0" fontId="118" fillId="0" borderId="0" xfId="4" applyFont="1" applyBorder="1" applyAlignment="1">
      <alignment horizontal="left"/>
    </xf>
    <xf numFmtId="167" fontId="119" fillId="25" borderId="0" xfId="1" applyNumberFormat="1" applyFont="1" applyFill="1" applyBorder="1" applyAlignment="1">
      <alignment horizontal="center" wrapText="1"/>
    </xf>
    <xf numFmtId="0" fontId="25" fillId="0" borderId="0" xfId="0" applyFont="1" applyBorder="1" applyAlignment="1">
      <alignment horizontal="left" indent="1"/>
    </xf>
    <xf numFmtId="0" fontId="36" fillId="0" borderId="2" xfId="0" applyFont="1" applyBorder="1" applyAlignment="1">
      <alignment horizontal="justify" vertical="center" wrapText="1"/>
    </xf>
    <xf numFmtId="0" fontId="36" fillId="13" borderId="2" xfId="0" applyFont="1" applyFill="1" applyBorder="1" applyAlignment="1">
      <alignment horizontal="justify" vertical="center" wrapText="1"/>
    </xf>
    <xf numFmtId="0" fontId="36" fillId="13" borderId="2" xfId="0" applyFont="1" applyFill="1" applyBorder="1" applyAlignment="1">
      <alignment vertical="top" wrapText="1"/>
    </xf>
    <xf numFmtId="0" fontId="153" fillId="0" borderId="2" xfId="0" applyFont="1" applyBorder="1" applyAlignment="1">
      <alignment horizontal="center" vertical="center" wrapText="1"/>
    </xf>
    <xf numFmtId="0" fontId="37" fillId="0" borderId="0" xfId="6"/>
    <xf numFmtId="192" fontId="2" fillId="0" borderId="0" xfId="12" applyNumberFormat="1" applyFont="1"/>
    <xf numFmtId="192" fontId="2" fillId="0" borderId="0" xfId="12" applyNumberFormat="1" applyFont="1" applyBorder="1"/>
    <xf numFmtId="0" fontId="33" fillId="0" borderId="13" xfId="6" applyFont="1" applyBorder="1"/>
    <xf numFmtId="0" fontId="6" fillId="0" borderId="0" xfId="6" applyFont="1"/>
    <xf numFmtId="0" fontId="38" fillId="0" borderId="22" xfId="6" applyFont="1" applyBorder="1" applyAlignment="1">
      <alignment horizontal="left" indent="1"/>
    </xf>
    <xf numFmtId="0" fontId="38" fillId="0" borderId="14" xfId="6" applyFont="1" applyBorder="1" applyAlignment="1">
      <alignment horizontal="left" indent="1"/>
    </xf>
    <xf numFmtId="0" fontId="33" fillId="0" borderId="22" xfId="6" applyFont="1" applyBorder="1"/>
    <xf numFmtId="0" fontId="38" fillId="13" borderId="2" xfId="6" applyFont="1" applyFill="1" applyBorder="1"/>
    <xf numFmtId="0" fontId="2" fillId="0" borderId="0" xfId="6" applyFont="1" applyBorder="1"/>
    <xf numFmtId="0" fontId="3" fillId="0" borderId="2" xfId="6" applyFont="1" applyBorder="1"/>
    <xf numFmtId="49" fontId="27" fillId="0" borderId="0" xfId="0" applyNumberFormat="1" applyFont="1" applyBorder="1" applyAlignment="1">
      <alignment horizontal="right" vertical="center"/>
    </xf>
    <xf numFmtId="0" fontId="3" fillId="4" borderId="12" xfId="6" applyFont="1" applyFill="1" applyBorder="1"/>
    <xf numFmtId="0" fontId="3" fillId="9" borderId="0" xfId="6" applyFont="1" applyFill="1" applyBorder="1"/>
    <xf numFmtId="192" fontId="3" fillId="9" borderId="0" xfId="6" applyNumberFormat="1" applyFont="1" applyFill="1" applyBorder="1" applyAlignment="1">
      <alignment horizontal="center"/>
    </xf>
    <xf numFmtId="190" fontId="38" fillId="0" borderId="0" xfId="6" applyNumberFormat="1" applyFont="1" applyAlignment="1">
      <alignment wrapText="1"/>
    </xf>
    <xf numFmtId="190" fontId="2" fillId="0" borderId="0" xfId="1" applyNumberFormat="1" applyFont="1" applyBorder="1" applyAlignment="1">
      <alignment wrapText="1"/>
    </xf>
    <xf numFmtId="0" fontId="4" fillId="2" borderId="13" xfId="0" applyFont="1" applyFill="1" applyBorder="1" applyAlignment="1">
      <alignment vertical="center" wrapText="1"/>
    </xf>
    <xf numFmtId="0" fontId="2" fillId="0" borderId="14" xfId="0" applyFont="1" applyBorder="1" applyAlignment="1">
      <alignment horizontal="center" vertical="center" wrapText="1"/>
    </xf>
    <xf numFmtId="167" fontId="2" fillId="0" borderId="9" xfId="1" applyNumberFormat="1" applyFont="1" applyFill="1" applyBorder="1" applyAlignment="1">
      <alignment horizontal="left" vertical="center"/>
    </xf>
    <xf numFmtId="167" fontId="3" fillId="2" borderId="12" xfId="1" applyNumberFormat="1" applyFont="1" applyFill="1" applyBorder="1" applyAlignment="1">
      <alignment horizontal="left" vertical="center"/>
    </xf>
    <xf numFmtId="0" fontId="2" fillId="0" borderId="3" xfId="0" applyFont="1" applyFill="1" applyBorder="1" applyAlignment="1">
      <alignment vertical="center"/>
    </xf>
    <xf numFmtId="167" fontId="2" fillId="0" borderId="3" xfId="1" applyNumberFormat="1" applyFont="1" applyFill="1" applyBorder="1" applyAlignment="1">
      <alignment horizontal="left" vertical="center"/>
    </xf>
    <xf numFmtId="0" fontId="2" fillId="0" borderId="9" xfId="0" applyFont="1" applyFill="1" applyBorder="1" applyAlignment="1">
      <alignment vertical="center"/>
    </xf>
    <xf numFmtId="0" fontId="2" fillId="0" borderId="9" xfId="4" applyFont="1" applyFill="1" applyBorder="1"/>
    <xf numFmtId="0" fontId="2" fillId="10" borderId="12" xfId="0" applyFont="1" applyFill="1" applyBorder="1" applyAlignment="1">
      <alignment vertical="center"/>
    </xf>
    <xf numFmtId="0" fontId="2" fillId="0" borderId="13" xfId="0" applyFont="1" applyBorder="1" applyAlignment="1">
      <alignment horizontal="center" vertical="center" wrapText="1"/>
    </xf>
    <xf numFmtId="0" fontId="2" fillId="0" borderId="22" xfId="0" applyFont="1" applyBorder="1" applyAlignment="1">
      <alignment horizontal="center" vertical="center" wrapText="1"/>
    </xf>
    <xf numFmtId="0" fontId="3" fillId="4" borderId="12" xfId="0" applyFont="1" applyFill="1" applyBorder="1" applyAlignment="1">
      <alignment vertical="center"/>
    </xf>
    <xf numFmtId="0" fontId="3" fillId="9" borderId="0" xfId="0" applyFont="1" applyFill="1" applyBorder="1" applyAlignment="1">
      <alignment vertical="center"/>
    </xf>
    <xf numFmtId="183" fontId="3" fillId="9" borderId="0" xfId="0" applyNumberFormat="1" applyFont="1" applyFill="1" applyBorder="1" applyAlignment="1">
      <alignment horizontal="center" vertical="center"/>
    </xf>
    <xf numFmtId="0" fontId="2" fillId="10" borderId="10" xfId="0" applyFont="1" applyFill="1" applyBorder="1" applyAlignment="1">
      <alignment vertical="center"/>
    </xf>
    <xf numFmtId="0" fontId="3" fillId="2" borderId="9" xfId="4" applyFont="1" applyFill="1" applyBorder="1"/>
    <xf numFmtId="167" fontId="2" fillId="10" borderId="12" xfId="1" applyNumberFormat="1" applyFont="1" applyFill="1" applyBorder="1" applyAlignment="1">
      <alignment horizontal="left" vertical="center"/>
    </xf>
    <xf numFmtId="0" fontId="39" fillId="7" borderId="5" xfId="0" applyFont="1" applyFill="1" applyBorder="1" applyAlignment="1">
      <alignment vertical="center"/>
    </xf>
    <xf numFmtId="167" fontId="39" fillId="7" borderId="5" xfId="0" applyNumberFormat="1" applyFont="1" applyFill="1" applyBorder="1" applyAlignment="1">
      <alignment horizontal="left" vertical="center"/>
    </xf>
    <xf numFmtId="0" fontId="39" fillId="7" borderId="6" xfId="0" applyFont="1" applyFill="1" applyBorder="1" applyAlignment="1">
      <alignment vertical="center"/>
    </xf>
    <xf numFmtId="170" fontId="36" fillId="0" borderId="0" xfId="0" applyNumberFormat="1" applyFont="1"/>
    <xf numFmtId="0" fontId="21" fillId="0" borderId="2" xfId="0" applyFont="1" applyBorder="1" applyAlignment="1">
      <alignment horizontal="center" vertical="center" wrapText="1"/>
    </xf>
    <xf numFmtId="0" fontId="2" fillId="13" borderId="2" xfId="0" applyFont="1" applyFill="1" applyBorder="1" applyAlignment="1">
      <alignment vertical="center"/>
    </xf>
    <xf numFmtId="167" fontId="38" fillId="0" borderId="0" xfId="1" applyNumberFormat="1" applyFont="1" applyBorder="1" applyAlignment="1">
      <alignment horizontal="center"/>
    </xf>
    <xf numFmtId="0" fontId="38" fillId="34" borderId="0" xfId="4" applyFont="1" applyFill="1"/>
    <xf numFmtId="0" fontId="38" fillId="0" borderId="53" xfId="4" applyFont="1" applyFill="1" applyBorder="1"/>
    <xf numFmtId="0" fontId="38" fillId="0" borderId="54" xfId="4" applyFont="1" applyFill="1" applyBorder="1"/>
    <xf numFmtId="0" fontId="38" fillId="0" borderId="55" xfId="4" applyFont="1" applyFill="1" applyBorder="1"/>
    <xf numFmtId="0" fontId="38" fillId="0" borderId="56" xfId="4" applyFont="1" applyFill="1" applyBorder="1"/>
    <xf numFmtId="0" fontId="38" fillId="0" borderId="57" xfId="4" applyFont="1" applyFill="1" applyBorder="1"/>
    <xf numFmtId="0" fontId="38" fillId="0" borderId="0" xfId="4" applyFont="1" applyFill="1" applyBorder="1"/>
    <xf numFmtId="0" fontId="38" fillId="0" borderId="0" xfId="4" applyFont="1" applyFill="1" applyBorder="1" applyAlignment="1">
      <alignment horizontal="center"/>
    </xf>
    <xf numFmtId="0" fontId="38" fillId="0" borderId="58" xfId="4" applyFont="1" applyFill="1" applyBorder="1"/>
    <xf numFmtId="0" fontId="38" fillId="0" borderId="37" xfId="4" applyFont="1" applyFill="1" applyBorder="1"/>
    <xf numFmtId="0" fontId="38" fillId="0" borderId="59" xfId="4" applyFont="1" applyFill="1" applyBorder="1"/>
    <xf numFmtId="0" fontId="40" fillId="0" borderId="0" xfId="4" applyFont="1" applyFill="1" applyBorder="1"/>
    <xf numFmtId="0" fontId="2" fillId="9" borderId="0" xfId="4" applyFont="1" applyFill="1" applyBorder="1" applyAlignment="1">
      <alignment horizontal="left" vertical="top" wrapText="1"/>
    </xf>
    <xf numFmtId="0" fontId="155" fillId="0" borderId="0" xfId="13" applyFont="1" applyFill="1" applyBorder="1" applyAlignment="1">
      <alignment horizontal="center" vertical="center"/>
    </xf>
    <xf numFmtId="0" fontId="2" fillId="0" borderId="0" xfId="0" applyFont="1" applyAlignment="1">
      <alignment horizontal="center" vertical="center"/>
    </xf>
    <xf numFmtId="166" fontId="2" fillId="0" borderId="9" xfId="1" applyFont="1" applyBorder="1" applyAlignment="1">
      <alignment horizontal="center" vertical="center"/>
    </xf>
    <xf numFmtId="166" fontId="2" fillId="0" borderId="8" xfId="1" applyFont="1" applyBorder="1" applyAlignment="1">
      <alignment horizontal="center" vertical="center"/>
    </xf>
    <xf numFmtId="166" fontId="2" fillId="0" borderId="0" xfId="1" applyFont="1" applyBorder="1" applyAlignment="1">
      <alignment horizontal="center" vertical="center"/>
    </xf>
    <xf numFmtId="0" fontId="2" fillId="0" borderId="9" xfId="0" applyFont="1" applyBorder="1" applyAlignment="1">
      <alignment horizontal="left" vertical="center" indent="1"/>
    </xf>
    <xf numFmtId="0" fontId="2" fillId="0" borderId="0" xfId="0" applyFont="1" applyBorder="1" applyAlignment="1">
      <alignment horizontal="left" vertical="center" indent="1"/>
    </xf>
    <xf numFmtId="0" fontId="7" fillId="0" borderId="0" xfId="0" applyFont="1" applyBorder="1" applyAlignment="1">
      <alignment horizontal="center" vertical="center"/>
    </xf>
    <xf numFmtId="0" fontId="2" fillId="0" borderId="0" xfId="0" applyFont="1" applyBorder="1" applyAlignment="1">
      <alignment horizontal="left" vertical="center"/>
    </xf>
    <xf numFmtId="0" fontId="8"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166" fontId="2" fillId="0" borderId="0" xfId="0" applyNumberFormat="1" applyFont="1" applyBorder="1" applyAlignment="1">
      <alignment horizontal="center" vertical="center"/>
    </xf>
    <xf numFmtId="0" fontId="8" fillId="0" borderId="0" xfId="0" applyFont="1" applyBorder="1" applyAlignment="1">
      <alignment horizontal="center" vertical="center"/>
    </xf>
    <xf numFmtId="0" fontId="2" fillId="0" borderId="6" xfId="0" applyFont="1" applyBorder="1" applyAlignment="1">
      <alignment horizontal="center" vertical="center"/>
    </xf>
    <xf numFmtId="0" fontId="8" fillId="0" borderId="6" xfId="0" applyFont="1" applyBorder="1" applyAlignment="1">
      <alignment horizontal="center" vertical="center"/>
    </xf>
    <xf numFmtId="0" fontId="8" fillId="0" borderId="0" xfId="0" applyFont="1"/>
    <xf numFmtId="4" fontId="13" fillId="9" borderId="6" xfId="0" applyNumberFormat="1" applyFont="1" applyFill="1" applyBorder="1" applyAlignment="1">
      <alignment horizontal="center"/>
    </xf>
    <xf numFmtId="0" fontId="13" fillId="9" borderId="6" xfId="0" applyFont="1" applyFill="1" applyBorder="1" applyAlignment="1">
      <alignment horizontal="center"/>
    </xf>
    <xf numFmtId="0" fontId="8" fillId="9" borderId="0" xfId="0" applyFont="1" applyFill="1"/>
    <xf numFmtId="4" fontId="13" fillId="18" borderId="2" xfId="0" applyNumberFormat="1" applyFont="1" applyFill="1" applyBorder="1" applyAlignment="1">
      <alignment horizontal="center"/>
    </xf>
    <xf numFmtId="0" fontId="8" fillId="0" borderId="12" xfId="0" applyFont="1" applyBorder="1"/>
    <xf numFmtId="0" fontId="8" fillId="0" borderId="10" xfId="0" applyFont="1" applyBorder="1" applyAlignment="1">
      <alignment vertical="center"/>
    </xf>
    <xf numFmtId="4" fontId="8" fillId="0" borderId="12" xfId="0" applyNumberFormat="1" applyFont="1" applyBorder="1"/>
    <xf numFmtId="0" fontId="8" fillId="0" borderId="0" xfId="0" applyFont="1" applyBorder="1"/>
    <xf numFmtId="4" fontId="8" fillId="0" borderId="0" xfId="0" applyNumberFormat="1" applyFont="1" applyBorder="1"/>
    <xf numFmtId="0" fontId="8" fillId="9" borderId="0" xfId="0" applyFont="1" applyFill="1" applyBorder="1"/>
    <xf numFmtId="0" fontId="8" fillId="0" borderId="3" xfId="0" applyFont="1" applyBorder="1"/>
    <xf numFmtId="4" fontId="8" fillId="0" borderId="3" xfId="0" applyNumberFormat="1" applyFont="1" applyBorder="1"/>
    <xf numFmtId="4" fontId="8" fillId="9" borderId="3" xfId="0" applyNumberFormat="1" applyFont="1" applyFill="1" applyBorder="1"/>
    <xf numFmtId="0" fontId="8" fillId="0" borderId="9" xfId="0" applyFont="1" applyBorder="1"/>
    <xf numFmtId="4" fontId="34" fillId="0" borderId="9" xfId="0" applyNumberFormat="1" applyFont="1" applyBorder="1"/>
    <xf numFmtId="4" fontId="8" fillId="9" borderId="9" xfId="0" applyNumberFormat="1" applyFont="1" applyFill="1" applyBorder="1"/>
    <xf numFmtId="0" fontId="13" fillId="0" borderId="5" xfId="0" applyFont="1" applyBorder="1"/>
    <xf numFmtId="0" fontId="8" fillId="0" borderId="6" xfId="0" applyFont="1" applyBorder="1" applyAlignment="1">
      <alignment vertical="center"/>
    </xf>
    <xf numFmtId="4" fontId="13" fillId="0" borderId="5" xfId="0" applyNumberFormat="1" applyFont="1" applyBorder="1"/>
    <xf numFmtId="4" fontId="13" fillId="9" borderId="5" xfId="0" applyNumberFormat="1" applyFont="1" applyFill="1" applyBorder="1"/>
    <xf numFmtId="4" fontId="8" fillId="9" borderId="0" xfId="0" applyNumberFormat="1" applyFont="1" applyFill="1" applyBorder="1"/>
    <xf numFmtId="4" fontId="8" fillId="0" borderId="9" xfId="0" applyNumberFormat="1" applyFont="1" applyBorder="1"/>
    <xf numFmtId="4" fontId="8" fillId="9" borderId="5" xfId="0" applyNumberFormat="1" applyFont="1" applyFill="1" applyBorder="1"/>
    <xf numFmtId="4" fontId="13" fillId="0" borderId="0" xfId="0" applyNumberFormat="1" applyFont="1" applyBorder="1"/>
    <xf numFmtId="0" fontId="157" fillId="26" borderId="12" xfId="0" applyFont="1" applyFill="1" applyBorder="1"/>
    <xf numFmtId="0" fontId="8" fillId="26" borderId="10" xfId="0" applyFont="1" applyFill="1" applyBorder="1" applyAlignment="1">
      <alignment vertical="center"/>
    </xf>
    <xf numFmtId="4" fontId="157" fillId="26" borderId="12" xfId="0" applyNumberFormat="1" applyFont="1" applyFill="1" applyBorder="1"/>
    <xf numFmtId="4" fontId="94" fillId="26" borderId="10" xfId="0" applyNumberFormat="1" applyFont="1" applyFill="1" applyBorder="1"/>
    <xf numFmtId="0" fontId="13" fillId="9" borderId="0" xfId="0" applyFont="1" applyFill="1" applyBorder="1"/>
    <xf numFmtId="0" fontId="8" fillId="9" borderId="0" xfId="0" applyFont="1" applyFill="1" applyBorder="1" applyAlignment="1">
      <alignment vertical="center"/>
    </xf>
    <xf numFmtId="4" fontId="13" fillId="9" borderId="0" xfId="0" applyNumberFormat="1" applyFont="1" applyFill="1" applyBorder="1"/>
    <xf numFmtId="4" fontId="13" fillId="9" borderId="0" xfId="0" applyNumberFormat="1" applyFont="1" applyFill="1" applyBorder="1" applyAlignment="1">
      <alignment horizontal="center"/>
    </xf>
    <xf numFmtId="2" fontId="34" fillId="0" borderId="3" xfId="0" applyNumberFormat="1" applyFont="1" applyBorder="1"/>
    <xf numFmtId="0" fontId="34" fillId="0" borderId="3" xfId="0" applyFont="1" applyBorder="1"/>
    <xf numFmtId="0" fontId="13" fillId="0" borderId="6" xfId="0" applyFont="1" applyBorder="1" applyAlignment="1">
      <alignment vertical="center"/>
    </xf>
    <xf numFmtId="2" fontId="13" fillId="0" borderId="5" xfId="0" applyNumberFormat="1" applyFont="1" applyBorder="1"/>
    <xf numFmtId="4" fontId="8" fillId="0" borderId="1" xfId="0" applyNumberFormat="1" applyFont="1" applyBorder="1"/>
    <xf numFmtId="4" fontId="8" fillId="9" borderId="1" xfId="0" applyNumberFormat="1" applyFont="1" applyFill="1" applyBorder="1"/>
    <xf numFmtId="0" fontId="13" fillId="10" borderId="12" xfId="0" applyFont="1" applyFill="1" applyBorder="1"/>
    <xf numFmtId="0" fontId="8" fillId="10" borderId="10" xfId="0" applyFont="1" applyFill="1" applyBorder="1" applyAlignment="1">
      <alignment vertical="center"/>
    </xf>
    <xf numFmtId="4" fontId="8" fillId="0" borderId="6" xfId="0" applyNumberFormat="1" applyFont="1" applyBorder="1"/>
    <xf numFmtId="0" fontId="8" fillId="0" borderId="6" xfId="0" applyFont="1" applyBorder="1"/>
    <xf numFmtId="4" fontId="13" fillId="0" borderId="6" xfId="0" applyNumberFormat="1" applyFont="1" applyBorder="1" applyAlignment="1">
      <alignment horizontal="center"/>
    </xf>
    <xf numFmtId="0" fontId="13" fillId="7" borderId="12" xfId="0" applyFont="1" applyFill="1" applyBorder="1"/>
    <xf numFmtId="4" fontId="13" fillId="7" borderId="10" xfId="0" applyNumberFormat="1" applyFont="1" applyFill="1" applyBorder="1"/>
    <xf numFmtId="0" fontId="13" fillId="7" borderId="10" xfId="0" applyFont="1" applyFill="1" applyBorder="1"/>
    <xf numFmtId="0" fontId="13" fillId="7" borderId="10" xfId="0" applyFont="1" applyFill="1" applyBorder="1" applyAlignment="1">
      <alignment vertical="center"/>
    </xf>
    <xf numFmtId="166" fontId="13" fillId="7" borderId="10" xfId="1" applyFont="1" applyFill="1" applyBorder="1" applyAlignment="1">
      <alignment vertical="center"/>
    </xf>
    <xf numFmtId="9" fontId="13" fillId="9" borderId="0" xfId="0" applyNumberFormat="1" applyFont="1" applyFill="1" applyBorder="1" applyAlignment="1">
      <alignment horizontal="center"/>
    </xf>
    <xf numFmtId="0" fontId="158" fillId="0" borderId="0" xfId="0" applyFont="1" applyBorder="1" applyAlignment="1">
      <alignment horizontal="left" indent="1"/>
    </xf>
    <xf numFmtId="0" fontId="10" fillId="9" borderId="0" xfId="0" applyFont="1" applyFill="1" applyAlignment="1">
      <alignment vertical="center"/>
    </xf>
    <xf numFmtId="167" fontId="10" fillId="9" borderId="0" xfId="1" applyNumberFormat="1" applyFont="1" applyFill="1" applyAlignment="1">
      <alignment vertical="center"/>
    </xf>
    <xf numFmtId="0" fontId="10" fillId="9" borderId="0" xfId="0" applyFont="1" applyFill="1" applyBorder="1" applyAlignment="1">
      <alignment vertical="center"/>
    </xf>
    <xf numFmtId="167" fontId="10" fillId="9" borderId="0" xfId="1" applyNumberFormat="1" applyFont="1" applyFill="1" applyBorder="1" applyAlignment="1">
      <alignment vertical="center"/>
    </xf>
    <xf numFmtId="0" fontId="21" fillId="9" borderId="0" xfId="0" applyFont="1" applyFill="1" applyBorder="1" applyAlignment="1">
      <alignment vertical="center"/>
    </xf>
    <xf numFmtId="0" fontId="21" fillId="9" borderId="0" xfId="0" applyFont="1" applyFill="1" applyAlignment="1">
      <alignment vertical="center"/>
    </xf>
    <xf numFmtId="0" fontId="10" fillId="9" borderId="0" xfId="0" applyFont="1" applyFill="1" applyBorder="1" applyAlignment="1">
      <alignment horizontal="center" vertical="center"/>
    </xf>
    <xf numFmtId="0" fontId="10" fillId="9" borderId="0" xfId="0" applyFont="1" applyFill="1" applyBorder="1"/>
    <xf numFmtId="0" fontId="10" fillId="0" borderId="0" xfId="0" applyFont="1"/>
    <xf numFmtId="0" fontId="10" fillId="9" borderId="3" xfId="0" applyFont="1" applyFill="1" applyBorder="1" applyAlignment="1">
      <alignment vertical="center"/>
    </xf>
    <xf numFmtId="0" fontId="159" fillId="9" borderId="1" xfId="0" applyFont="1" applyFill="1" applyBorder="1" applyAlignment="1">
      <alignment vertical="center"/>
    </xf>
    <xf numFmtId="49" fontId="160" fillId="9" borderId="1" xfId="1" applyNumberFormat="1" applyFont="1" applyFill="1" applyBorder="1" applyAlignment="1">
      <alignment horizontal="center" vertical="center"/>
    </xf>
    <xf numFmtId="167" fontId="160" fillId="9" borderId="1" xfId="1" applyNumberFormat="1" applyFont="1" applyFill="1" applyBorder="1" applyAlignment="1">
      <alignment horizontal="center" vertical="center"/>
    </xf>
    <xf numFmtId="0" fontId="10" fillId="9" borderId="4" xfId="0" applyFont="1" applyFill="1" applyBorder="1" applyAlignment="1">
      <alignment vertical="center"/>
    </xf>
    <xf numFmtId="0" fontId="10" fillId="9" borderId="1" xfId="0" applyFont="1" applyFill="1" applyBorder="1" applyAlignment="1">
      <alignment vertical="center"/>
    </xf>
    <xf numFmtId="0" fontId="160" fillId="9" borderId="1" xfId="0" applyNumberFormat="1" applyFont="1" applyFill="1" applyBorder="1" applyAlignment="1">
      <alignment horizontal="center" vertical="center"/>
    </xf>
    <xf numFmtId="0" fontId="10" fillId="9" borderId="9" xfId="0" applyFont="1" applyFill="1" applyBorder="1" applyAlignment="1">
      <alignment vertical="center"/>
    </xf>
    <xf numFmtId="0" fontId="21" fillId="9" borderId="0" xfId="0" applyFont="1" applyFill="1" applyBorder="1" applyAlignment="1">
      <alignment horizontal="left" vertical="center" indent="2"/>
    </xf>
    <xf numFmtId="0" fontId="10" fillId="9" borderId="8" xfId="0" applyFont="1" applyFill="1" applyBorder="1" applyAlignment="1">
      <alignment vertical="center"/>
    </xf>
    <xf numFmtId="0" fontId="35" fillId="9" borderId="0" xfId="0" applyFont="1" applyFill="1" applyBorder="1" applyAlignment="1">
      <alignment vertical="center"/>
    </xf>
    <xf numFmtId="169" fontId="10" fillId="9" borderId="0" xfId="1" applyNumberFormat="1" applyFont="1" applyFill="1" applyBorder="1" applyAlignment="1">
      <alignment vertical="center"/>
    </xf>
    <xf numFmtId="0" fontId="159" fillId="9" borderId="0" xfId="0" applyFont="1" applyFill="1" applyBorder="1" applyAlignment="1">
      <alignment vertical="center"/>
    </xf>
    <xf numFmtId="0" fontId="35" fillId="9" borderId="0" xfId="0" applyFont="1" applyFill="1" applyBorder="1" applyAlignment="1">
      <alignment horizontal="left" vertical="center" indent="4"/>
    </xf>
    <xf numFmtId="169" fontId="10" fillId="9" borderId="0" xfId="1" applyNumberFormat="1" applyFont="1" applyFill="1" applyBorder="1" applyAlignment="1">
      <alignment horizontal="left" vertical="center" indent="1"/>
    </xf>
    <xf numFmtId="169" fontId="10" fillId="9" borderId="0" xfId="0" applyNumberFormat="1" applyFont="1" applyFill="1" applyBorder="1" applyAlignment="1">
      <alignment vertical="center"/>
    </xf>
    <xf numFmtId="169" fontId="21" fillId="9" borderId="1" xfId="1" applyNumberFormat="1" applyFont="1" applyFill="1" applyBorder="1" applyAlignment="1">
      <alignment vertical="center"/>
    </xf>
    <xf numFmtId="169" fontId="21" fillId="9" borderId="0" xfId="1" applyNumberFormat="1" applyFont="1" applyFill="1" applyBorder="1" applyAlignment="1">
      <alignment vertical="center"/>
    </xf>
    <xf numFmtId="169" fontId="10" fillId="9" borderId="0" xfId="0" applyNumberFormat="1" applyFont="1" applyFill="1" applyAlignment="1">
      <alignment vertical="center"/>
    </xf>
    <xf numFmtId="167" fontId="21" fillId="9" borderId="0" xfId="1" applyNumberFormat="1" applyFont="1" applyFill="1" applyBorder="1" applyAlignment="1">
      <alignment vertical="center"/>
    </xf>
    <xf numFmtId="169" fontId="21" fillId="9" borderId="15" xfId="0" applyNumberFormat="1" applyFont="1" applyFill="1" applyBorder="1" applyAlignment="1">
      <alignment vertical="center"/>
    </xf>
    <xf numFmtId="0" fontId="10" fillId="9" borderId="2" xfId="0" applyFont="1" applyFill="1" applyBorder="1" applyAlignment="1">
      <alignment vertical="center"/>
    </xf>
    <xf numFmtId="169" fontId="10" fillId="0" borderId="2" xfId="1" applyNumberFormat="1" applyFont="1" applyBorder="1" applyAlignment="1">
      <alignment horizontal="right" vertical="center"/>
    </xf>
    <xf numFmtId="0" fontId="10" fillId="9" borderId="13" xfId="0" applyFont="1" applyFill="1" applyBorder="1" applyAlignment="1">
      <alignment vertical="center"/>
    </xf>
    <xf numFmtId="169" fontId="10" fillId="9" borderId="22" xfId="1" applyNumberFormat="1" applyFont="1" applyFill="1" applyBorder="1" applyAlignment="1">
      <alignment horizontal="center" vertical="center"/>
    </xf>
    <xf numFmtId="169" fontId="10" fillId="9" borderId="22" xfId="1" applyNumberFormat="1" applyFont="1" applyFill="1" applyBorder="1" applyAlignment="1">
      <alignment vertical="center"/>
    </xf>
    <xf numFmtId="169" fontId="21" fillId="9" borderId="1" xfId="1" applyNumberFormat="1" applyFont="1" applyFill="1" applyBorder="1" applyAlignment="1">
      <alignment horizontal="left" vertical="center" indent="1"/>
    </xf>
    <xf numFmtId="169" fontId="21" fillId="9" borderId="0" xfId="1" applyNumberFormat="1" applyFont="1" applyFill="1" applyBorder="1" applyAlignment="1">
      <alignment horizontal="left" vertical="center" indent="1"/>
    </xf>
    <xf numFmtId="0" fontId="10" fillId="9" borderId="22" xfId="0" applyFont="1" applyFill="1" applyBorder="1" applyAlignment="1">
      <alignment vertical="center"/>
    </xf>
    <xf numFmtId="169" fontId="10" fillId="9" borderId="9" xfId="1" applyNumberFormat="1" applyFont="1" applyFill="1" applyBorder="1" applyAlignment="1">
      <alignment horizontal="center" vertical="center"/>
    </xf>
    <xf numFmtId="169" fontId="10" fillId="9" borderId="0" xfId="0" applyNumberFormat="1" applyFont="1" applyFill="1" applyBorder="1" applyAlignment="1">
      <alignment horizontal="left" vertical="center" indent="1"/>
    </xf>
    <xf numFmtId="166" fontId="10" fillId="9" borderId="0" xfId="1" applyFont="1" applyFill="1" applyAlignment="1">
      <alignment vertical="center"/>
    </xf>
    <xf numFmtId="0" fontId="10" fillId="9" borderId="0" xfId="0" applyFont="1" applyFill="1" applyBorder="1" applyAlignment="1">
      <alignment horizontal="left" vertical="center" indent="2"/>
    </xf>
    <xf numFmtId="9" fontId="10" fillId="9" borderId="0" xfId="3" applyFont="1" applyFill="1" applyAlignment="1">
      <alignment vertical="center"/>
    </xf>
    <xf numFmtId="0" fontId="10" fillId="9" borderId="22" xfId="0" applyFont="1" applyFill="1" applyBorder="1" applyAlignment="1">
      <alignment horizontal="left" vertical="center" wrapText="1" indent="1"/>
    </xf>
    <xf numFmtId="169" fontId="10" fillId="9" borderId="9" xfId="1" applyNumberFormat="1" applyFont="1" applyFill="1" applyBorder="1" applyAlignment="1">
      <alignment horizontal="left" vertical="center" indent="2"/>
    </xf>
    <xf numFmtId="167" fontId="10" fillId="9" borderId="0" xfId="0" applyNumberFormat="1" applyFont="1" applyFill="1" applyBorder="1" applyAlignment="1">
      <alignment vertical="center"/>
    </xf>
    <xf numFmtId="0" fontId="10" fillId="9" borderId="5" xfId="0" applyFont="1" applyFill="1" applyBorder="1" applyAlignment="1">
      <alignment vertical="center"/>
    </xf>
    <xf numFmtId="0" fontId="21" fillId="9" borderId="6" xfId="0" applyFont="1" applyFill="1" applyBorder="1" applyAlignment="1">
      <alignment vertical="center"/>
    </xf>
    <xf numFmtId="169" fontId="21" fillId="9" borderId="10" xfId="1" applyNumberFormat="1" applyFont="1" applyFill="1" applyBorder="1" applyAlignment="1">
      <alignment vertical="center"/>
    </xf>
    <xf numFmtId="169" fontId="21" fillId="9" borderId="6" xfId="1" applyNumberFormat="1" applyFont="1" applyFill="1" applyBorder="1" applyAlignment="1">
      <alignment vertical="center"/>
    </xf>
    <xf numFmtId="0" fontId="10" fillId="9" borderId="7" xfId="0" applyFont="1" applyFill="1" applyBorder="1" applyAlignment="1">
      <alignment vertical="center"/>
    </xf>
    <xf numFmtId="0" fontId="10" fillId="9" borderId="22" xfId="0" applyFont="1" applyFill="1" applyBorder="1" applyAlignment="1">
      <alignment horizontal="left" vertical="center" indent="1"/>
    </xf>
    <xf numFmtId="0" fontId="21" fillId="9" borderId="0" xfId="0" applyFont="1" applyFill="1" applyBorder="1" applyAlignment="1">
      <alignment horizontal="left" vertical="center"/>
    </xf>
    <xf numFmtId="169" fontId="21" fillId="9" borderId="10" xfId="0" applyNumberFormat="1" applyFont="1" applyFill="1" applyBorder="1" applyAlignment="1">
      <alignment vertical="center"/>
    </xf>
    <xf numFmtId="167" fontId="10" fillId="9" borderId="0" xfId="0" applyNumberFormat="1" applyFont="1" applyFill="1" applyAlignment="1">
      <alignment vertical="center"/>
    </xf>
    <xf numFmtId="169" fontId="21" fillId="9" borderId="15" xfId="1" applyNumberFormat="1" applyFont="1" applyFill="1" applyBorder="1" applyAlignment="1">
      <alignment horizontal="left" vertical="center" indent="1"/>
    </xf>
    <xf numFmtId="169" fontId="21" fillId="0" borderId="37" xfId="0" applyNumberFormat="1" applyFont="1" applyFill="1" applyBorder="1" applyAlignment="1">
      <alignment vertical="center"/>
    </xf>
    <xf numFmtId="0" fontId="21" fillId="2" borderId="2" xfId="0" applyFont="1" applyFill="1" applyBorder="1" applyAlignment="1">
      <alignment horizontal="left" vertical="center" indent="1"/>
    </xf>
    <xf numFmtId="0" fontId="10" fillId="9" borderId="34" xfId="0" applyFont="1" applyFill="1" applyBorder="1" applyAlignment="1">
      <alignment horizontal="left" vertical="center" indent="1"/>
    </xf>
    <xf numFmtId="169" fontId="10" fillId="9" borderId="34" xfId="1" applyNumberFormat="1" applyFont="1" applyFill="1" applyBorder="1" applyAlignment="1">
      <alignment horizontal="center" vertical="center"/>
    </xf>
    <xf numFmtId="169" fontId="10" fillId="9" borderId="29" xfId="1" applyNumberFormat="1" applyFont="1" applyFill="1" applyBorder="1" applyAlignment="1">
      <alignment horizontal="center" vertical="center"/>
    </xf>
    <xf numFmtId="169" fontId="10" fillId="9" borderId="34" xfId="1" applyNumberFormat="1" applyFont="1" applyFill="1" applyBorder="1" applyAlignment="1">
      <alignment vertical="center"/>
    </xf>
    <xf numFmtId="0" fontId="10" fillId="9" borderId="6" xfId="0" applyFont="1" applyFill="1" applyBorder="1" applyAlignment="1">
      <alignment vertical="center"/>
    </xf>
    <xf numFmtId="0" fontId="21" fillId="9" borderId="6" xfId="0" applyFont="1" applyFill="1" applyBorder="1" applyAlignment="1">
      <alignment horizontal="left" vertical="center" indent="2"/>
    </xf>
    <xf numFmtId="167" fontId="10" fillId="9" borderId="6" xfId="1" applyNumberFormat="1" applyFont="1" applyFill="1" applyBorder="1" applyAlignment="1">
      <alignment vertical="center"/>
    </xf>
    <xf numFmtId="0" fontId="161" fillId="9" borderId="8" xfId="0" applyFont="1" applyFill="1" applyBorder="1" applyAlignment="1">
      <alignment horizontal="center" vertical="center"/>
    </xf>
    <xf numFmtId="0" fontId="10" fillId="9" borderId="35" xfId="0" applyFont="1" applyFill="1" applyBorder="1" applyAlignment="1">
      <alignment vertical="center"/>
    </xf>
    <xf numFmtId="169" fontId="10" fillId="9" borderId="35" xfId="1" applyNumberFormat="1" applyFont="1" applyFill="1" applyBorder="1" applyAlignment="1">
      <alignment horizontal="center" vertical="center"/>
    </xf>
    <xf numFmtId="0" fontId="35" fillId="9" borderId="22" xfId="0" applyFont="1" applyFill="1" applyBorder="1" applyAlignment="1">
      <alignment horizontal="left" vertical="center" indent="1"/>
    </xf>
    <xf numFmtId="167" fontId="10" fillId="9" borderId="8" xfId="1" applyNumberFormat="1" applyFont="1" applyFill="1" applyBorder="1" applyAlignment="1">
      <alignment vertical="center"/>
    </xf>
    <xf numFmtId="0" fontId="21" fillId="2" borderId="13" xfId="0" applyFont="1" applyFill="1" applyBorder="1" applyAlignment="1">
      <alignment horizontal="left" vertical="center" indent="1"/>
    </xf>
    <xf numFmtId="14" fontId="21" fillId="2" borderId="1" xfId="1" applyNumberFormat="1" applyFont="1" applyFill="1" applyBorder="1" applyAlignment="1">
      <alignment horizontal="center" vertical="center"/>
    </xf>
    <xf numFmtId="167" fontId="21" fillId="2" borderId="12" xfId="1" applyNumberFormat="1" applyFont="1" applyFill="1" applyBorder="1" applyAlignment="1">
      <alignment horizontal="center" vertical="center"/>
    </xf>
    <xf numFmtId="14" fontId="21" fillId="2" borderId="11" xfId="1" applyNumberFormat="1" applyFont="1" applyFill="1" applyBorder="1" applyAlignment="1">
      <alignment horizontal="center" vertical="center"/>
    </xf>
    <xf numFmtId="0" fontId="35" fillId="9" borderId="13" xfId="0" applyFont="1" applyFill="1" applyBorder="1" applyAlignment="1">
      <alignment horizontal="left" vertical="center"/>
    </xf>
    <xf numFmtId="167" fontId="10" fillId="9" borderId="4" xfId="1" applyNumberFormat="1" applyFont="1" applyFill="1" applyBorder="1" applyAlignment="1">
      <alignment vertical="center"/>
    </xf>
    <xf numFmtId="167" fontId="21" fillId="9" borderId="8" xfId="1" applyNumberFormat="1" applyFont="1" applyFill="1" applyBorder="1" applyAlignment="1">
      <alignment vertical="center"/>
    </xf>
    <xf numFmtId="0" fontId="35" fillId="9" borderId="14" xfId="0" applyFont="1" applyFill="1" applyBorder="1" applyAlignment="1">
      <alignment horizontal="left" vertical="center"/>
    </xf>
    <xf numFmtId="167" fontId="10" fillId="9" borderId="7" xfId="1" applyNumberFormat="1" applyFont="1" applyFill="1" applyBorder="1" applyAlignment="1">
      <alignment vertical="center"/>
    </xf>
    <xf numFmtId="0" fontId="25" fillId="9" borderId="14" xfId="0" applyFont="1" applyFill="1" applyBorder="1" applyAlignment="1">
      <alignment horizontal="left" vertical="center"/>
    </xf>
    <xf numFmtId="167" fontId="21" fillId="9" borderId="6" xfId="1" applyNumberFormat="1" applyFont="1" applyFill="1" applyBorder="1" applyAlignment="1">
      <alignment vertical="center"/>
    </xf>
    <xf numFmtId="167" fontId="21" fillId="9" borderId="12" xfId="1" applyNumberFormat="1" applyFont="1" applyFill="1" applyBorder="1" applyAlignment="1">
      <alignment vertical="center"/>
    </xf>
    <xf numFmtId="167" fontId="21" fillId="9" borderId="11" xfId="1" applyNumberFormat="1" applyFont="1" applyFill="1" applyBorder="1" applyAlignment="1">
      <alignment vertical="center"/>
    </xf>
    <xf numFmtId="0" fontId="25" fillId="9" borderId="2" xfId="0" applyFont="1" applyFill="1" applyBorder="1" applyAlignment="1">
      <alignment vertical="center"/>
    </xf>
    <xf numFmtId="167" fontId="21" fillId="9" borderId="10" xfId="0" applyNumberFormat="1" applyFont="1" applyFill="1" applyBorder="1" applyAlignment="1">
      <alignment vertical="center"/>
    </xf>
    <xf numFmtId="0" fontId="10" fillId="9" borderId="11" xfId="0" applyFont="1" applyFill="1" applyBorder="1" applyAlignment="1">
      <alignment vertical="center"/>
    </xf>
    <xf numFmtId="167" fontId="21" fillId="9" borderId="11" xfId="0" applyNumberFormat="1" applyFont="1" applyFill="1" applyBorder="1" applyAlignment="1">
      <alignment vertical="center"/>
    </xf>
    <xf numFmtId="0" fontId="35" fillId="9" borderId="14" xfId="0" applyFont="1" applyFill="1" applyBorder="1" applyAlignment="1">
      <alignment vertical="center"/>
    </xf>
    <xf numFmtId="169" fontId="10" fillId="9" borderId="11" xfId="0" applyNumberFormat="1" applyFont="1" applyFill="1" applyBorder="1" applyAlignment="1">
      <alignment vertical="center"/>
    </xf>
    <xf numFmtId="178" fontId="10" fillId="9" borderId="7" xfId="0" applyNumberFormat="1" applyFont="1" applyFill="1" applyBorder="1" applyAlignment="1">
      <alignment vertical="center"/>
    </xf>
    <xf numFmtId="167" fontId="21" fillId="9" borderId="0" xfId="0" applyNumberFormat="1" applyFont="1" applyFill="1" applyBorder="1" applyAlignment="1">
      <alignment vertical="center"/>
    </xf>
    <xf numFmtId="0" fontId="21" fillId="2" borderId="2" xfId="0" applyFont="1" applyFill="1" applyBorder="1" applyAlignment="1">
      <alignment horizontal="center" vertical="center"/>
    </xf>
    <xf numFmtId="0" fontId="21" fillId="2" borderId="12" xfId="0" applyFont="1" applyFill="1" applyBorder="1" applyAlignment="1">
      <alignment vertical="center"/>
    </xf>
    <xf numFmtId="0" fontId="21" fillId="2" borderId="10" xfId="0" applyFont="1" applyFill="1" applyBorder="1" applyAlignment="1">
      <alignment vertical="center"/>
    </xf>
    <xf numFmtId="0" fontId="21" fillId="2" borderId="11" xfId="0" applyFont="1" applyFill="1" applyBorder="1" applyAlignment="1">
      <alignment vertical="center"/>
    </xf>
    <xf numFmtId="0" fontId="35" fillId="9" borderId="9" xfId="0" applyFont="1" applyFill="1" applyBorder="1" applyAlignment="1">
      <alignment horizontal="left" vertical="center" indent="1"/>
    </xf>
    <xf numFmtId="0" fontId="25" fillId="9" borderId="12" xfId="0" applyFont="1" applyFill="1" applyBorder="1" applyAlignment="1">
      <alignment vertical="center"/>
    </xf>
    <xf numFmtId="0" fontId="10" fillId="9" borderId="10" xfId="0" applyFont="1" applyFill="1" applyBorder="1" applyAlignment="1">
      <alignment vertical="center"/>
    </xf>
    <xf numFmtId="169" fontId="21" fillId="9" borderId="2" xfId="0" applyNumberFormat="1" applyFont="1" applyFill="1" applyBorder="1" applyAlignment="1">
      <alignment vertical="center"/>
    </xf>
    <xf numFmtId="167" fontId="21" fillId="9" borderId="0" xfId="0" applyNumberFormat="1" applyFont="1" applyFill="1" applyAlignment="1">
      <alignment vertical="center"/>
    </xf>
    <xf numFmtId="167" fontId="10" fillId="9" borderId="13" xfId="1" applyNumberFormat="1" applyFont="1" applyFill="1" applyBorder="1" applyAlignment="1">
      <alignment vertical="center"/>
    </xf>
    <xf numFmtId="167" fontId="10" fillId="9" borderId="22" xfId="1" applyNumberFormat="1" applyFont="1" applyFill="1" applyBorder="1" applyAlignment="1">
      <alignment vertical="center"/>
    </xf>
    <xf numFmtId="167" fontId="10" fillId="9" borderId="14" xfId="1" applyNumberFormat="1" applyFont="1" applyFill="1" applyBorder="1" applyAlignment="1">
      <alignment vertical="center"/>
    </xf>
    <xf numFmtId="49" fontId="160" fillId="9" borderId="0" xfId="1" applyNumberFormat="1" applyFont="1" applyFill="1" applyBorder="1" applyAlignment="1">
      <alignment horizontal="center" vertical="center"/>
    </xf>
    <xf numFmtId="167" fontId="160" fillId="9" borderId="0" xfId="1" applyNumberFormat="1" applyFont="1" applyFill="1" applyBorder="1" applyAlignment="1">
      <alignment horizontal="center" vertical="center"/>
    </xf>
    <xf numFmtId="0" fontId="25" fillId="9" borderId="9" xfId="0" applyFont="1" applyFill="1" applyBorder="1" applyAlignment="1">
      <alignment vertical="center"/>
    </xf>
    <xf numFmtId="167" fontId="160" fillId="9" borderId="4" xfId="1" applyNumberFormat="1" applyFont="1" applyFill="1" applyBorder="1" applyAlignment="1">
      <alignment horizontal="center" vertical="center"/>
    </xf>
    <xf numFmtId="167" fontId="35" fillId="9" borderId="8" xfId="1" applyNumberFormat="1" applyFont="1" applyFill="1" applyBorder="1" applyAlignment="1">
      <alignment vertical="center"/>
    </xf>
    <xf numFmtId="0" fontId="35" fillId="9" borderId="8" xfId="0" applyFont="1" applyFill="1" applyBorder="1" applyAlignment="1">
      <alignment vertical="center"/>
    </xf>
    <xf numFmtId="0" fontId="35" fillId="11" borderId="2" xfId="0" applyFont="1" applyFill="1" applyBorder="1" applyAlignment="1">
      <alignment vertical="center" wrapText="1"/>
    </xf>
    <xf numFmtId="0" fontId="35" fillId="11" borderId="13" xfId="0" applyFont="1" applyFill="1" applyBorder="1" applyAlignment="1">
      <alignment vertical="center" wrapText="1"/>
    </xf>
    <xf numFmtId="0" fontId="10" fillId="11" borderId="13" xfId="0" applyFont="1" applyFill="1" applyBorder="1" applyAlignment="1">
      <alignment vertical="center" wrapText="1"/>
    </xf>
    <xf numFmtId="0" fontId="10" fillId="11" borderId="2" xfId="0" applyFont="1" applyFill="1" applyBorder="1" applyAlignment="1">
      <alignment vertical="center" wrapText="1"/>
    </xf>
    <xf numFmtId="0" fontId="36" fillId="9" borderId="3" xfId="0" applyFont="1" applyFill="1" applyBorder="1" applyAlignment="1">
      <alignment vertical="center"/>
    </xf>
    <xf numFmtId="0" fontId="36" fillId="9" borderId="1" xfId="0" applyFont="1" applyFill="1" applyBorder="1" applyAlignment="1">
      <alignment vertical="center"/>
    </xf>
    <xf numFmtId="0" fontId="36" fillId="0" borderId="1" xfId="0" applyFont="1" applyBorder="1" applyAlignment="1">
      <alignment horizontal="center" vertical="center"/>
    </xf>
    <xf numFmtId="0" fontId="36" fillId="0" borderId="1" xfId="0" applyFont="1" applyBorder="1" applyAlignment="1">
      <alignment vertical="center"/>
    </xf>
    <xf numFmtId="166" fontId="36" fillId="0" borderId="1" xfId="1" applyFont="1" applyBorder="1" applyAlignment="1">
      <alignment vertical="center"/>
    </xf>
    <xf numFmtId="166" fontId="36" fillId="0" borderId="4" xfId="1" applyFont="1" applyBorder="1" applyAlignment="1">
      <alignment vertical="center"/>
    </xf>
    <xf numFmtId="0" fontId="43" fillId="9" borderId="0" xfId="0" applyFont="1" applyFill="1" applyBorder="1" applyAlignment="1">
      <alignment vertical="center"/>
    </xf>
    <xf numFmtId="0" fontId="36" fillId="9" borderId="0" xfId="0" applyFont="1" applyFill="1" applyBorder="1" applyAlignment="1">
      <alignment vertical="center"/>
    </xf>
    <xf numFmtId="0" fontId="36" fillId="0" borderId="0" xfId="0" applyFont="1" applyBorder="1" applyAlignment="1">
      <alignment horizontal="center" vertical="center"/>
    </xf>
    <xf numFmtId="0" fontId="36" fillId="0" borderId="0" xfId="0" applyFont="1" applyBorder="1" applyAlignment="1">
      <alignment vertical="center"/>
    </xf>
    <xf numFmtId="166" fontId="36" fillId="0" borderId="0" xfId="1" applyFont="1" applyBorder="1" applyAlignment="1">
      <alignment vertical="center"/>
    </xf>
    <xf numFmtId="166" fontId="36" fillId="0" borderId="8" xfId="1" applyFont="1" applyBorder="1" applyAlignment="1">
      <alignment vertical="center"/>
    </xf>
    <xf numFmtId="0" fontId="36" fillId="9" borderId="0" xfId="0" applyFont="1" applyFill="1" applyBorder="1" applyAlignment="1">
      <alignment horizontal="left" vertical="center" indent="2"/>
    </xf>
    <xf numFmtId="0" fontId="61" fillId="9" borderId="0" xfId="0" applyFont="1" applyFill="1" applyBorder="1" applyAlignment="1">
      <alignment vertical="center"/>
    </xf>
    <xf numFmtId="0" fontId="36" fillId="9" borderId="5" xfId="0" applyFont="1" applyFill="1" applyBorder="1" applyAlignment="1">
      <alignment vertical="center"/>
    </xf>
    <xf numFmtId="0" fontId="36" fillId="9" borderId="6" xfId="0" applyFont="1" applyFill="1" applyBorder="1" applyAlignment="1">
      <alignment vertical="center"/>
    </xf>
    <xf numFmtId="0" fontId="36" fillId="0" borderId="6" xfId="0" applyFont="1" applyBorder="1" applyAlignment="1">
      <alignment horizontal="center" vertical="center"/>
    </xf>
    <xf numFmtId="0" fontId="36" fillId="0" borderId="6" xfId="0" applyFont="1" applyBorder="1" applyAlignment="1">
      <alignment vertical="center"/>
    </xf>
    <xf numFmtId="166" fontId="36" fillId="0" borderId="6" xfId="1" applyFont="1" applyBorder="1" applyAlignment="1">
      <alignment vertical="center"/>
    </xf>
    <xf numFmtId="166" fontId="36" fillId="0" borderId="7" xfId="1" applyFont="1" applyBorder="1" applyAlignment="1">
      <alignment vertical="center"/>
    </xf>
    <xf numFmtId="0" fontId="42" fillId="9" borderId="0" xfId="0" applyFont="1" applyFill="1" applyBorder="1" applyAlignment="1">
      <alignment vertical="center"/>
    </xf>
    <xf numFmtId="0" fontId="2" fillId="0" borderId="0" xfId="0" applyFont="1" applyAlignment="1">
      <alignment horizontal="center" vertical="center"/>
    </xf>
    <xf numFmtId="0" fontId="2" fillId="0" borderId="0" xfId="0" applyFont="1" applyBorder="1" applyAlignment="1">
      <alignment horizontal="center" vertical="center"/>
    </xf>
    <xf numFmtId="166" fontId="2" fillId="0" borderId="9" xfId="1" applyFont="1" applyBorder="1" applyAlignment="1">
      <alignment horizontal="center" vertical="center"/>
    </xf>
    <xf numFmtId="166" fontId="2" fillId="0" borderId="8" xfId="1" applyFont="1" applyBorder="1" applyAlignment="1">
      <alignment horizontal="center" vertical="center"/>
    </xf>
    <xf numFmtId="166" fontId="2" fillId="0" borderId="0" xfId="1" applyFont="1" applyBorder="1" applyAlignment="1">
      <alignment horizontal="center" vertical="center"/>
    </xf>
    <xf numFmtId="0" fontId="2" fillId="0" borderId="9" xfId="0" applyFont="1" applyBorder="1" applyAlignment="1">
      <alignment horizontal="left" vertical="center" indent="1"/>
    </xf>
    <xf numFmtId="0" fontId="2" fillId="0" borderId="0" xfId="0" applyFont="1" applyBorder="1" applyAlignment="1">
      <alignment horizontal="left" vertical="center" indent="1"/>
    </xf>
    <xf numFmtId="0" fontId="7" fillId="0" borderId="0"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166" fontId="2" fillId="9" borderId="5" xfId="1" applyFont="1" applyFill="1" applyBorder="1" applyAlignment="1">
      <alignment horizontal="center" vertical="center"/>
    </xf>
    <xf numFmtId="166" fontId="2" fillId="9" borderId="7" xfId="1" applyFont="1" applyFill="1" applyBorder="1" applyAlignment="1">
      <alignment horizontal="center" vertical="center"/>
    </xf>
    <xf numFmtId="166" fontId="2" fillId="9" borderId="9" xfId="1" applyFont="1" applyFill="1" applyBorder="1" applyAlignment="1">
      <alignment horizontal="center" vertical="center"/>
    </xf>
    <xf numFmtId="166" fontId="2" fillId="9" borderId="8" xfId="1" applyFont="1" applyFill="1" applyBorder="1" applyAlignment="1">
      <alignment horizontal="center" vertical="center"/>
    </xf>
    <xf numFmtId="166" fontId="2" fillId="9" borderId="0" xfId="1" applyFont="1" applyFill="1" applyBorder="1" applyAlignment="1">
      <alignment horizontal="center" vertical="center"/>
    </xf>
    <xf numFmtId="166" fontId="2" fillId="9" borderId="4" xfId="1" applyFont="1" applyFill="1" applyBorder="1" applyAlignment="1">
      <alignment horizontal="center" vertical="center"/>
    </xf>
    <xf numFmtId="166" fontId="2" fillId="9" borderId="1" xfId="1" applyFont="1" applyFill="1" applyBorder="1" applyAlignment="1">
      <alignment horizontal="center" vertical="center"/>
    </xf>
    <xf numFmtId="0" fontId="2" fillId="0" borderId="0" xfId="0" applyFont="1" applyBorder="1" applyAlignment="1">
      <alignment horizontal="left" vertical="center"/>
    </xf>
    <xf numFmtId="0" fontId="8" fillId="0" borderId="0" xfId="0" applyFont="1" applyBorder="1" applyAlignment="1">
      <alignment horizontal="center" vertical="center"/>
    </xf>
    <xf numFmtId="0" fontId="2" fillId="9" borderId="0" xfId="0" applyFont="1" applyFill="1" applyAlignment="1">
      <alignment horizontal="center" vertical="center"/>
    </xf>
    <xf numFmtId="183" fontId="2" fillId="9" borderId="0" xfId="0" applyNumberFormat="1" applyFont="1" applyFill="1"/>
    <xf numFmtId="167" fontId="2" fillId="9" borderId="0" xfId="1" applyNumberFormat="1" applyFont="1" applyFill="1"/>
    <xf numFmtId="167" fontId="2" fillId="9" borderId="0" xfId="1" applyNumberFormat="1" applyFont="1" applyFill="1" applyBorder="1"/>
    <xf numFmtId="0" fontId="2" fillId="9" borderId="7" xfId="0" applyFont="1" applyFill="1" applyBorder="1"/>
    <xf numFmtId="183" fontId="2" fillId="9" borderId="6" xfId="0" applyNumberFormat="1" applyFont="1" applyFill="1" applyBorder="1"/>
    <xf numFmtId="0" fontId="2" fillId="9" borderId="5" xfId="0" applyFont="1" applyFill="1" applyBorder="1"/>
    <xf numFmtId="0" fontId="2" fillId="9" borderId="0" xfId="0" applyFont="1" applyFill="1" applyAlignment="1"/>
    <xf numFmtId="0" fontId="2" fillId="9" borderId="0" xfId="0" applyFont="1" applyFill="1" applyBorder="1" applyAlignment="1"/>
    <xf numFmtId="183" fontId="3" fillId="9" borderId="0" xfId="0" applyNumberFormat="1" applyFont="1" applyFill="1" applyBorder="1"/>
    <xf numFmtId="183" fontId="3" fillId="9" borderId="15" xfId="0" applyNumberFormat="1" applyFont="1" applyFill="1" applyBorder="1"/>
    <xf numFmtId="0" fontId="2" fillId="9" borderId="8" xfId="0" applyFont="1" applyFill="1" applyBorder="1"/>
    <xf numFmtId="183" fontId="3" fillId="0" borderId="15" xfId="0" applyNumberFormat="1" applyFont="1" applyFill="1" applyBorder="1"/>
    <xf numFmtId="0" fontId="3" fillId="9" borderId="0" xfId="0" applyFont="1" applyFill="1" applyBorder="1"/>
    <xf numFmtId="0" fontId="2" fillId="9" borderId="9" xfId="0" applyFont="1" applyFill="1" applyBorder="1"/>
    <xf numFmtId="183" fontId="2" fillId="9" borderId="0" xfId="0" applyNumberFormat="1" applyFont="1" applyFill="1" applyBorder="1"/>
    <xf numFmtId="183" fontId="2" fillId="0" borderId="0" xfId="0" applyNumberFormat="1" applyFont="1" applyFill="1" applyBorder="1"/>
    <xf numFmtId="183" fontId="3" fillId="0" borderId="10" xfId="0" applyNumberFormat="1" applyFont="1" applyFill="1" applyBorder="1"/>
    <xf numFmtId="0" fontId="6" fillId="9" borderId="0" xfId="0" applyFont="1" applyFill="1" applyBorder="1"/>
    <xf numFmtId="0" fontId="3" fillId="9" borderId="0" xfId="0" applyFont="1" applyFill="1" applyAlignment="1"/>
    <xf numFmtId="0" fontId="3" fillId="9" borderId="0" xfId="0" applyFont="1" applyFill="1" applyBorder="1" applyAlignment="1"/>
    <xf numFmtId="0" fontId="3" fillId="9" borderId="0" xfId="0" applyFont="1" applyFill="1" applyBorder="1" applyAlignment="1">
      <alignment horizontal="left"/>
    </xf>
    <xf numFmtId="0" fontId="2" fillId="9" borderId="0" xfId="0" applyFont="1" applyFill="1" applyBorder="1" applyAlignment="1">
      <alignment horizontal="left" indent="2"/>
    </xf>
    <xf numFmtId="0" fontId="6" fillId="9" borderId="0" xfId="0" applyFont="1" applyFill="1" applyBorder="1" applyAlignment="1">
      <alignment horizontal="left" indent="1"/>
    </xf>
    <xf numFmtId="169" fontId="2" fillId="9" borderId="0" xfId="0" applyNumberFormat="1" applyFont="1" applyFill="1"/>
    <xf numFmtId="0" fontId="5" fillId="9" borderId="0" xfId="0" applyFont="1" applyFill="1" applyBorder="1"/>
    <xf numFmtId="0" fontId="162" fillId="9" borderId="0" xfId="0" applyFont="1" applyFill="1" applyBorder="1" applyAlignment="1">
      <alignment horizontal="center"/>
    </xf>
    <xf numFmtId="0" fontId="3" fillId="9" borderId="0" xfId="0" applyFont="1" applyFill="1" applyBorder="1" applyAlignment="1">
      <alignment horizontal="center"/>
    </xf>
    <xf numFmtId="183" fontId="3" fillId="9" borderId="10" xfId="0" applyNumberFormat="1" applyFont="1" applyFill="1" applyBorder="1"/>
    <xf numFmtId="183" fontId="3" fillId="9" borderId="0" xfId="1" applyNumberFormat="1" applyFont="1" applyFill="1" applyBorder="1"/>
    <xf numFmtId="183" fontId="3" fillId="9" borderId="87" xfId="1" applyNumberFormat="1" applyFont="1" applyFill="1" applyBorder="1"/>
    <xf numFmtId="0" fontId="3" fillId="9" borderId="87" xfId="0" applyFont="1" applyFill="1" applyBorder="1"/>
    <xf numFmtId="183" fontId="2" fillId="9" borderId="0" xfId="1" applyNumberFormat="1" applyFont="1" applyFill="1" applyBorder="1"/>
    <xf numFmtId="167" fontId="2" fillId="9" borderId="14" xfId="1" applyNumberFormat="1" applyFont="1" applyFill="1" applyBorder="1"/>
    <xf numFmtId="183" fontId="2" fillId="9" borderId="0" xfId="1" applyNumberFormat="1" applyFont="1" applyFill="1"/>
    <xf numFmtId="167" fontId="2" fillId="9" borderId="13" xfId="1" applyNumberFormat="1" applyFont="1" applyFill="1" applyBorder="1"/>
    <xf numFmtId="167" fontId="2" fillId="0" borderId="0" xfId="1" applyNumberFormat="1" applyFont="1" applyFill="1"/>
    <xf numFmtId="167" fontId="2" fillId="0" borderId="0" xfId="1" applyNumberFormat="1" applyFont="1" applyFill="1" applyBorder="1"/>
    <xf numFmtId="183" fontId="2" fillId="0" borderId="0" xfId="1" applyNumberFormat="1" applyFont="1" applyFill="1" applyBorder="1"/>
    <xf numFmtId="183" fontId="2" fillId="0" borderId="0" xfId="1" applyNumberFormat="1" applyFont="1" applyFill="1"/>
    <xf numFmtId="183" fontId="3" fillId="9" borderId="10" xfId="1" applyNumberFormat="1" applyFont="1" applyFill="1" applyBorder="1"/>
    <xf numFmtId="0" fontId="3" fillId="9" borderId="10" xfId="0" applyFont="1" applyFill="1" applyBorder="1"/>
    <xf numFmtId="183" fontId="3" fillId="9" borderId="87" xfId="0" applyNumberFormat="1" applyFont="1" applyFill="1" applyBorder="1"/>
    <xf numFmtId="167" fontId="3" fillId="0" borderId="0" xfId="1" applyNumberFormat="1" applyFont="1" applyFill="1" applyBorder="1"/>
    <xf numFmtId="167" fontId="3" fillId="0" borderId="15" xfId="1" applyNumberFormat="1" applyFont="1" applyFill="1" applyBorder="1"/>
    <xf numFmtId="167" fontId="3" fillId="0" borderId="0" xfId="0" applyNumberFormat="1" applyFont="1" applyFill="1" applyBorder="1"/>
    <xf numFmtId="0" fontId="2" fillId="9" borderId="0" xfId="0" applyFont="1" applyFill="1" applyBorder="1" applyAlignment="1">
      <alignment horizontal="right"/>
    </xf>
    <xf numFmtId="167" fontId="3" fillId="0" borderId="0" xfId="1" applyNumberFormat="1" applyFont="1" applyFill="1" applyBorder="1" applyAlignment="1">
      <alignment horizontal="center"/>
    </xf>
    <xf numFmtId="0" fontId="4" fillId="9" borderId="0" xfId="0" applyFont="1" applyFill="1" applyBorder="1"/>
    <xf numFmtId="167" fontId="3" fillId="0" borderId="0" xfId="1" applyNumberFormat="1" applyFont="1" applyFill="1" applyAlignment="1">
      <alignment horizontal="center"/>
    </xf>
    <xf numFmtId="0" fontId="4" fillId="9" borderId="0" xfId="0" applyFont="1" applyFill="1"/>
    <xf numFmtId="167" fontId="3" fillId="9" borderId="0" xfId="0" applyNumberFormat="1" applyFont="1" applyFill="1" applyBorder="1"/>
    <xf numFmtId="169" fontId="3" fillId="9" borderId="10" xfId="1" applyNumberFormat="1" applyFont="1" applyFill="1" applyBorder="1"/>
    <xf numFmtId="169" fontId="3" fillId="9" borderId="6" xfId="1" applyNumberFormat="1" applyFont="1" applyFill="1" applyBorder="1"/>
    <xf numFmtId="0" fontId="3" fillId="9" borderId="6" xfId="0" applyFont="1" applyFill="1" applyBorder="1"/>
    <xf numFmtId="167" fontId="2" fillId="9" borderId="7" xfId="1" applyNumberFormat="1" applyFont="1" applyFill="1" applyBorder="1"/>
    <xf numFmtId="167" fontId="2" fillId="9" borderId="6" xfId="1" applyNumberFormat="1" applyFont="1" applyFill="1" applyBorder="1"/>
    <xf numFmtId="0" fontId="6" fillId="9" borderId="10" xfId="0" applyFont="1" applyFill="1" applyBorder="1" applyAlignment="1">
      <alignment horizontal="center"/>
    </xf>
    <xf numFmtId="167" fontId="3" fillId="9" borderId="15" xfId="1" applyNumberFormat="1" applyFont="1" applyFill="1" applyBorder="1"/>
    <xf numFmtId="167" fontId="3" fillId="9" borderId="0" xfId="1" applyNumberFormat="1" applyFont="1" applyFill="1" applyBorder="1"/>
    <xf numFmtId="167" fontId="2" fillId="9" borderId="8" xfId="1" applyNumberFormat="1" applyFont="1" applyFill="1" applyBorder="1"/>
    <xf numFmtId="0" fontId="3" fillId="9" borderId="0" xfId="0" applyNumberFormat="1" applyFont="1" applyFill="1" applyBorder="1" applyAlignment="1">
      <alignment horizontal="center"/>
    </xf>
    <xf numFmtId="0" fontId="11" fillId="9" borderId="0" xfId="0" applyNumberFormat="1" applyFont="1" applyFill="1" applyAlignment="1">
      <alignment horizontal="center"/>
    </xf>
    <xf numFmtId="169" fontId="3" fillId="9" borderId="1" xfId="1" applyNumberFormat="1" applyFont="1" applyFill="1" applyBorder="1"/>
    <xf numFmtId="169" fontId="3" fillId="9" borderId="0" xfId="1" applyNumberFormat="1" applyFont="1" applyFill="1" applyBorder="1"/>
    <xf numFmtId="167" fontId="3" fillId="9" borderId="15" xfId="0" applyNumberFormat="1" applyFont="1" applyFill="1" applyBorder="1"/>
    <xf numFmtId="167" fontId="3" fillId="9" borderId="1" xfId="1" applyNumberFormat="1" applyFont="1" applyFill="1" applyBorder="1"/>
    <xf numFmtId="0" fontId="3" fillId="9" borderId="0" xfId="0" applyFont="1" applyFill="1" applyBorder="1" applyAlignment="1">
      <alignment horizontal="left" indent="2"/>
    </xf>
    <xf numFmtId="0" fontId="42" fillId="9" borderId="0" xfId="0" applyFont="1" applyFill="1" applyBorder="1" applyAlignment="1">
      <alignment horizontal="left"/>
    </xf>
    <xf numFmtId="0" fontId="6" fillId="9" borderId="0" xfId="0" applyFont="1" applyFill="1" applyBorder="1" applyAlignment="1">
      <alignment horizontal="left" indent="4"/>
    </xf>
    <xf numFmtId="0" fontId="2" fillId="9" borderId="0" xfId="0" applyFont="1" applyFill="1" applyBorder="1" applyAlignment="1">
      <alignment horizontal="left" indent="4"/>
    </xf>
    <xf numFmtId="169" fontId="2" fillId="9" borderId="0" xfId="1" applyNumberFormat="1" applyFont="1" applyFill="1" applyBorder="1"/>
    <xf numFmtId="167" fontId="6" fillId="9" borderId="8" xfId="1" applyNumberFormat="1" applyFont="1" applyFill="1" applyBorder="1"/>
    <xf numFmtId="183" fontId="39" fillId="35" borderId="15" xfId="14" applyNumberFormat="1" applyFont="1" applyFill="1" applyBorder="1" applyAlignment="1">
      <alignment horizontal="right" vertical="top" wrapText="1"/>
    </xf>
    <xf numFmtId="183" fontId="39" fillId="35" borderId="0" xfId="14" applyNumberFormat="1" applyFont="1" applyFill="1" applyBorder="1" applyAlignment="1">
      <alignment horizontal="right" vertical="top" wrapText="1"/>
    </xf>
    <xf numFmtId="183" fontId="39" fillId="35" borderId="15" xfId="15" applyNumberFormat="1" applyFont="1" applyFill="1" applyBorder="1" applyAlignment="1">
      <alignment horizontal="right" vertical="top" wrapText="1"/>
    </xf>
    <xf numFmtId="37" fontId="39" fillId="35" borderId="0" xfId="14" applyFont="1" applyFill="1" applyBorder="1" applyAlignment="1">
      <alignment vertical="top" wrapText="1"/>
    </xf>
    <xf numFmtId="0" fontId="6" fillId="9" borderId="8" xfId="0" applyFont="1" applyFill="1" applyBorder="1"/>
    <xf numFmtId="183" fontId="2" fillId="9" borderId="0" xfId="14" applyNumberFormat="1" applyFont="1" applyFill="1" applyBorder="1" applyAlignment="1">
      <alignment horizontal="right" vertical="top" wrapText="1"/>
    </xf>
    <xf numFmtId="183" fontId="38" fillId="35" borderId="0" xfId="14" applyNumberFormat="1" applyFont="1" applyFill="1" applyBorder="1" applyAlignment="1">
      <alignment horizontal="right" vertical="top" wrapText="1"/>
    </xf>
    <xf numFmtId="183" fontId="2" fillId="9" borderId="8" xfId="0" applyNumberFormat="1" applyFont="1" applyFill="1" applyBorder="1"/>
    <xf numFmtId="183" fontId="38" fillId="35" borderId="0" xfId="16" applyNumberFormat="1" applyFont="1" applyFill="1" applyBorder="1" applyAlignment="1">
      <alignment vertical="center"/>
    </xf>
    <xf numFmtId="183" fontId="38" fillId="35" borderId="0" xfId="14" applyNumberFormat="1" applyFont="1" applyFill="1" applyBorder="1" applyAlignment="1">
      <alignment horizontal="right" vertical="center" wrapText="1"/>
    </xf>
    <xf numFmtId="183" fontId="38" fillId="35" borderId="0" xfId="15" applyNumberFormat="1" applyFont="1" applyFill="1" applyBorder="1" applyAlignment="1">
      <alignment horizontal="right" vertical="top" wrapText="1"/>
    </xf>
    <xf numFmtId="37" fontId="38" fillId="35" borderId="0" xfId="14" applyFont="1" applyFill="1" applyBorder="1" applyAlignment="1">
      <alignment vertical="center" wrapText="1"/>
    </xf>
    <xf numFmtId="183" fontId="38" fillId="35" borderId="0" xfId="16" applyNumberFormat="1" applyFont="1" applyFill="1" applyBorder="1"/>
    <xf numFmtId="37" fontId="38" fillId="35" borderId="0" xfId="14" applyFont="1" applyFill="1" applyBorder="1" applyAlignment="1">
      <alignment vertical="top" wrapText="1"/>
    </xf>
    <xf numFmtId="183" fontId="3" fillId="9" borderId="0" xfId="14" applyNumberFormat="1" applyFont="1" applyFill="1" applyBorder="1" applyAlignment="1">
      <alignment horizontal="right" vertical="top" wrapText="1"/>
    </xf>
    <xf numFmtId="183" fontId="39" fillId="35" borderId="0" xfId="15" applyNumberFormat="1" applyFont="1" applyFill="1" applyBorder="1" applyAlignment="1">
      <alignment horizontal="right" vertical="top" wrapText="1"/>
    </xf>
    <xf numFmtId="0" fontId="6" fillId="9" borderId="0" xfId="0" applyFont="1" applyFill="1" applyBorder="1" applyAlignment="1"/>
    <xf numFmtId="37" fontId="38" fillId="35" borderId="0" xfId="14" applyFont="1" applyFill="1" applyBorder="1" applyAlignment="1">
      <alignment horizontal="center" vertical="center" wrapText="1"/>
    </xf>
    <xf numFmtId="37" fontId="38" fillId="35" borderId="2" xfId="14" applyFont="1" applyFill="1" applyBorder="1" applyAlignment="1">
      <alignment horizontal="center" vertical="center" wrapText="1"/>
    </xf>
    <xf numFmtId="37" fontId="39" fillId="35" borderId="0" xfId="14" applyFont="1" applyFill="1" applyBorder="1" applyAlignment="1">
      <alignment horizontal="center" vertical="center" wrapText="1"/>
    </xf>
    <xf numFmtId="37" fontId="39" fillId="35" borderId="2" xfId="14" applyFont="1" applyFill="1" applyBorder="1" applyAlignment="1">
      <alignment horizontal="center" vertical="center" wrapText="1"/>
    </xf>
    <xf numFmtId="0" fontId="2" fillId="9" borderId="4" xfId="0" applyFont="1" applyFill="1" applyBorder="1"/>
    <xf numFmtId="183" fontId="2" fillId="9" borderId="1" xfId="0" applyNumberFormat="1" applyFont="1" applyFill="1" applyBorder="1"/>
    <xf numFmtId="0" fontId="2" fillId="9" borderId="3" xfId="0" applyFont="1" applyFill="1" applyBorder="1"/>
    <xf numFmtId="165" fontId="11" fillId="9" borderId="1" xfId="0" applyNumberFormat="1" applyFont="1" applyFill="1" applyBorder="1" applyAlignment="1">
      <alignment horizontal="center"/>
    </xf>
    <xf numFmtId="167" fontId="130" fillId="9" borderId="1" xfId="1" applyNumberFormat="1" applyFont="1" applyFill="1" applyBorder="1" applyAlignment="1">
      <alignment horizontal="center"/>
    </xf>
    <xf numFmtId="0" fontId="92" fillId="9" borderId="3" xfId="0" applyFont="1" applyFill="1" applyBorder="1"/>
    <xf numFmtId="167" fontId="163" fillId="9" borderId="4" xfId="1" applyNumberFormat="1" applyFont="1" applyFill="1" applyBorder="1" applyAlignment="1">
      <alignment horizontal="center"/>
    </xf>
    <xf numFmtId="0" fontId="43" fillId="9" borderId="1" xfId="0" applyFont="1" applyFill="1" applyBorder="1" applyAlignment="1">
      <alignment horizontal="left"/>
    </xf>
    <xf numFmtId="0" fontId="2" fillId="9" borderId="0" xfId="0" applyFont="1" applyFill="1" applyBorder="1" applyAlignment="1">
      <alignment horizontal="center"/>
    </xf>
    <xf numFmtId="0" fontId="42" fillId="9" borderId="0" xfId="0" applyFont="1" applyFill="1" applyBorder="1" applyAlignment="1">
      <alignment horizontal="center"/>
    </xf>
    <xf numFmtId="0" fontId="164" fillId="0" borderId="0" xfId="0" applyFont="1"/>
    <xf numFmtId="0" fontId="165" fillId="0" borderId="0" xfId="0" applyFont="1"/>
    <xf numFmtId="0" fontId="166" fillId="0" borderId="85" xfId="0" applyFont="1" applyBorder="1"/>
    <xf numFmtId="0" fontId="165" fillId="0" borderId="105" xfId="0" applyFont="1" applyBorder="1"/>
    <xf numFmtId="0" fontId="165" fillId="0" borderId="84" xfId="0" applyFont="1" applyBorder="1"/>
    <xf numFmtId="0" fontId="166" fillId="0" borderId="0" xfId="0" applyFont="1"/>
    <xf numFmtId="0" fontId="165" fillId="36" borderId="2" xfId="0" applyFont="1" applyFill="1" applyBorder="1" applyAlignment="1">
      <alignment horizontal="center" vertical="center" wrapText="1"/>
    </xf>
    <xf numFmtId="0" fontId="165" fillId="36" borderId="11" xfId="0" applyFont="1" applyFill="1" applyBorder="1" applyAlignment="1">
      <alignment horizontal="center" vertical="center" wrapText="1"/>
    </xf>
    <xf numFmtId="0" fontId="166" fillId="0" borderId="2" xfId="0" applyFont="1" applyBorder="1" applyAlignment="1">
      <alignment horizontal="center" vertical="center"/>
    </xf>
    <xf numFmtId="0" fontId="165" fillId="0" borderId="0" xfId="0" applyFont="1" applyAlignment="1">
      <alignment horizontal="right"/>
    </xf>
    <xf numFmtId="0" fontId="165" fillId="15" borderId="12" xfId="0" applyFont="1" applyFill="1" applyBorder="1"/>
    <xf numFmtId="176" fontId="165" fillId="15" borderId="11" xfId="0" applyNumberFormat="1" applyFont="1" applyFill="1" applyBorder="1" applyAlignment="1">
      <alignment horizontal="left" wrapText="1"/>
    </xf>
    <xf numFmtId="0" fontId="165" fillId="0" borderId="0" xfId="0" applyFont="1" applyBorder="1"/>
    <xf numFmtId="176" fontId="165" fillId="15" borderId="11" xfId="0" applyNumberFormat="1" applyFont="1" applyFill="1" applyBorder="1" applyAlignment="1">
      <alignment horizontal="right" wrapText="1"/>
    </xf>
    <xf numFmtId="0" fontId="166" fillId="0" borderId="0" xfId="0" applyFont="1" applyAlignment="1">
      <alignment horizontal="right"/>
    </xf>
    <xf numFmtId="0" fontId="166" fillId="18" borderId="2" xfId="0" applyFont="1" applyFill="1" applyBorder="1" applyAlignment="1">
      <alignment horizontal="center"/>
    </xf>
    <xf numFmtId="0" fontId="165" fillId="0" borderId="12" xfId="0" applyFont="1" applyBorder="1"/>
    <xf numFmtId="0" fontId="165" fillId="0" borderId="10" xfId="0" applyFont="1" applyBorder="1"/>
    <xf numFmtId="176" fontId="165" fillId="0" borderId="2" xfId="0" applyNumberFormat="1" applyFont="1" applyBorder="1" applyAlignment="1">
      <alignment horizontal="right" wrapText="1"/>
    </xf>
    <xf numFmtId="0" fontId="166" fillId="0" borderId="12" xfId="0" applyFont="1" applyBorder="1"/>
    <xf numFmtId="0" fontId="166" fillId="0" borderId="10" xfId="0" applyFont="1" applyBorder="1"/>
    <xf numFmtId="176" fontId="166" fillId="0" borderId="2" xfId="0" applyNumberFormat="1" applyFont="1" applyBorder="1" applyAlignment="1">
      <alignment horizontal="right" wrapText="1"/>
    </xf>
    <xf numFmtId="176" fontId="166" fillId="0" borderId="2" xfId="0" applyNumberFormat="1" applyFont="1" applyBorder="1" applyAlignment="1">
      <alignment horizontal="center" wrapText="1"/>
    </xf>
    <xf numFmtId="0" fontId="165" fillId="10" borderId="12" xfId="0" applyFont="1" applyFill="1" applyBorder="1"/>
    <xf numFmtId="0" fontId="165" fillId="10" borderId="10" xfId="0" applyFont="1" applyFill="1" applyBorder="1"/>
    <xf numFmtId="0" fontId="165" fillId="10" borderId="11" xfId="0" applyFont="1" applyFill="1" applyBorder="1"/>
    <xf numFmtId="0" fontId="165" fillId="0" borderId="11" xfId="0" applyFont="1" applyBorder="1"/>
    <xf numFmtId="0" fontId="167" fillId="0" borderId="0" xfId="0" applyFont="1"/>
    <xf numFmtId="0" fontId="168" fillId="0" borderId="0" xfId="0" applyFont="1"/>
    <xf numFmtId="0" fontId="165" fillId="0" borderId="3" xfId="0" applyFont="1" applyBorder="1"/>
    <xf numFmtId="176" fontId="165" fillId="0" borderId="4" xfId="0" applyNumberFormat="1" applyFont="1" applyBorder="1" applyAlignment="1">
      <alignment horizontal="right" wrapText="1"/>
    </xf>
    <xf numFmtId="0" fontId="165" fillId="0" borderId="5" xfId="0" applyFont="1" applyBorder="1"/>
    <xf numFmtId="0" fontId="165" fillId="0" borderId="7" xfId="0" applyFont="1" applyBorder="1"/>
    <xf numFmtId="176" fontId="165" fillId="0" borderId="7" xfId="0" applyNumberFormat="1" applyFont="1" applyBorder="1" applyAlignment="1">
      <alignment horizontal="right" wrapText="1"/>
    </xf>
    <xf numFmtId="176" fontId="165" fillId="0" borderId="3" xfId="0" applyNumberFormat="1" applyFont="1" applyBorder="1" applyAlignment="1">
      <alignment horizontal="left" wrapText="1"/>
    </xf>
    <xf numFmtId="176" fontId="165" fillId="0" borderId="4" xfId="0" applyNumberFormat="1" applyFont="1" applyBorder="1" applyAlignment="1">
      <alignment horizontal="left" wrapText="1"/>
    </xf>
    <xf numFmtId="176" fontId="165" fillId="0" borderId="0" xfId="0" applyNumberFormat="1" applyFont="1" applyAlignment="1">
      <alignment horizontal="left" wrapText="1"/>
    </xf>
    <xf numFmtId="176" fontId="165" fillId="0" borderId="5" xfId="0" applyNumberFormat="1" applyFont="1" applyBorder="1" applyAlignment="1">
      <alignment horizontal="left" wrapText="1"/>
    </xf>
    <xf numFmtId="176" fontId="165" fillId="0" borderId="7" xfId="0" applyNumberFormat="1" applyFont="1" applyBorder="1" applyAlignment="1">
      <alignment horizontal="left" wrapText="1"/>
    </xf>
    <xf numFmtId="0" fontId="166" fillId="0" borderId="0" xfId="0" applyFont="1" applyFill="1" applyBorder="1" applyAlignment="1">
      <alignment horizontal="center" vertical="center"/>
    </xf>
    <xf numFmtId="176" fontId="165" fillId="0" borderId="0" xfId="0" applyNumberFormat="1" applyFont="1" applyBorder="1" applyAlignment="1">
      <alignment horizontal="left" wrapText="1"/>
    </xf>
    <xf numFmtId="176" fontId="168" fillId="0" borderId="87" xfId="0" applyNumberFormat="1" applyFont="1" applyBorder="1" applyAlignment="1">
      <alignment horizontal="left" wrapText="1"/>
    </xf>
    <xf numFmtId="176" fontId="168" fillId="0" borderId="0" xfId="0" applyNumberFormat="1" applyFont="1" applyBorder="1" applyAlignment="1">
      <alignment horizontal="left" wrapText="1"/>
    </xf>
    <xf numFmtId="176" fontId="168" fillId="0" borderId="0" xfId="0" applyNumberFormat="1" applyFont="1" applyAlignment="1">
      <alignment horizontal="left" wrapText="1"/>
    </xf>
    <xf numFmtId="176" fontId="165" fillId="13" borderId="0" xfId="0" applyNumberFormat="1" applyFont="1" applyFill="1" applyAlignment="1">
      <alignment horizontal="left" wrapText="1"/>
    </xf>
    <xf numFmtId="176" fontId="165" fillId="13" borderId="6" xfId="0" applyNumberFormat="1" applyFont="1" applyFill="1" applyBorder="1" applyAlignment="1">
      <alignment horizontal="left" wrapText="1"/>
    </xf>
    <xf numFmtId="176" fontId="165" fillId="13" borderId="10" xfId="0" applyNumberFormat="1" applyFont="1" applyFill="1" applyBorder="1" applyAlignment="1">
      <alignment horizontal="left" wrapText="1"/>
    </xf>
    <xf numFmtId="176" fontId="165" fillId="13" borderId="15" xfId="0" applyNumberFormat="1" applyFont="1" applyFill="1" applyBorder="1" applyAlignment="1">
      <alignment horizontal="left" wrapText="1"/>
    </xf>
    <xf numFmtId="9" fontId="165" fillId="0" borderId="0" xfId="0" applyNumberFormat="1" applyFont="1" applyAlignment="1">
      <alignment horizontal="left" wrapText="1"/>
    </xf>
    <xf numFmtId="176" fontId="165" fillId="0" borderId="0" xfId="0" applyNumberFormat="1" applyFont="1" applyAlignment="1">
      <alignment horizontal="right" wrapText="1"/>
    </xf>
    <xf numFmtId="0" fontId="0" fillId="0" borderId="0" xfId="0" applyAlignment="1">
      <alignment wrapText="1"/>
    </xf>
    <xf numFmtId="0" fontId="4" fillId="2" borderId="13"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4" xfId="0" applyFont="1" applyFill="1" applyBorder="1" applyAlignment="1">
      <alignment horizontal="center" vertical="center" wrapText="1"/>
    </xf>
    <xf numFmtId="167" fontId="6" fillId="0" borderId="9" xfId="1" applyNumberFormat="1" applyFont="1" applyBorder="1" applyAlignment="1">
      <alignment vertical="center" wrapText="1"/>
    </xf>
    <xf numFmtId="167" fontId="6" fillId="0" borderId="0" xfId="1" applyNumberFormat="1" applyFont="1" applyBorder="1" applyAlignment="1">
      <alignment vertical="center" wrapText="1"/>
    </xf>
    <xf numFmtId="167" fontId="6" fillId="0" borderId="8" xfId="1" applyNumberFormat="1" applyFont="1" applyBorder="1" applyAlignment="1">
      <alignment vertical="center" wrapText="1"/>
    </xf>
    <xf numFmtId="167" fontId="6" fillId="0" borderId="5" xfId="1" applyNumberFormat="1" applyFont="1" applyBorder="1" applyAlignment="1">
      <alignment vertical="center" wrapText="1"/>
    </xf>
    <xf numFmtId="167" fontId="6" fillId="0" borderId="6" xfId="1" applyNumberFormat="1" applyFont="1" applyBorder="1" applyAlignment="1">
      <alignment vertical="center" wrapText="1"/>
    </xf>
    <xf numFmtId="167" fontId="6" fillId="0" borderId="7" xfId="1" applyNumberFormat="1" applyFont="1" applyBorder="1" applyAlignment="1">
      <alignment vertical="center" wrapText="1"/>
    </xf>
    <xf numFmtId="167" fontId="2" fillId="37" borderId="9" xfId="1" applyNumberFormat="1" applyFont="1" applyFill="1" applyBorder="1" applyAlignment="1">
      <alignment horizontal="left" vertical="center"/>
    </xf>
    <xf numFmtId="0" fontId="2" fillId="37" borderId="9" xfId="0" applyFont="1" applyFill="1" applyBorder="1" applyAlignment="1">
      <alignment vertical="center"/>
    </xf>
    <xf numFmtId="0" fontId="15" fillId="2" borderId="13" xfId="0" applyFont="1" applyFill="1" applyBorder="1" applyAlignment="1">
      <alignment vertical="center" wrapText="1"/>
    </xf>
    <xf numFmtId="0" fontId="15" fillId="2" borderId="14" xfId="0" applyFont="1" applyFill="1" applyBorder="1" applyAlignment="1">
      <alignment vertical="center" wrapText="1"/>
    </xf>
    <xf numFmtId="0" fontId="15" fillId="2" borderId="12" xfId="0" applyFont="1" applyFill="1" applyBorder="1" applyAlignment="1">
      <alignment vertical="center" wrapText="1"/>
    </xf>
    <xf numFmtId="0" fontId="15" fillId="2" borderId="10" xfId="0" applyFont="1" applyFill="1" applyBorder="1" applyAlignment="1">
      <alignment vertical="center" wrapText="1"/>
    </xf>
    <xf numFmtId="0" fontId="15" fillId="2" borderId="11" xfId="0" applyFont="1" applyFill="1" applyBorder="1" applyAlignment="1">
      <alignment vertical="center" wrapText="1"/>
    </xf>
    <xf numFmtId="0" fontId="3" fillId="0" borderId="12"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167" fontId="3" fillId="37" borderId="2" xfId="1" applyNumberFormat="1" applyFont="1" applyFill="1" applyBorder="1" applyAlignment="1">
      <alignment horizontal="left" vertical="center"/>
    </xf>
    <xf numFmtId="0" fontId="2" fillId="9" borderId="12" xfId="0" applyFont="1" applyFill="1" applyBorder="1" applyAlignment="1">
      <alignment vertical="center"/>
    </xf>
    <xf numFmtId="167" fontId="3" fillId="2" borderId="9" xfId="1" applyNumberFormat="1" applyFont="1" applyFill="1" applyBorder="1" applyAlignment="1">
      <alignment horizontal="left" vertical="center"/>
    </xf>
    <xf numFmtId="0" fontId="2" fillId="37" borderId="12" xfId="4" applyFont="1" applyFill="1" applyBorder="1"/>
    <xf numFmtId="167" fontId="2" fillId="0" borderId="9" xfId="1" applyNumberFormat="1" applyFont="1" applyBorder="1" applyAlignment="1">
      <alignment horizontal="center" vertical="center" wrapText="1"/>
    </xf>
    <xf numFmtId="0" fontId="2" fillId="0" borderId="12" xfId="0" applyFont="1" applyFill="1" applyBorder="1" applyAlignment="1">
      <alignment vertical="center"/>
    </xf>
    <xf numFmtId="0" fontId="2" fillId="37" borderId="3" xfId="0" applyFont="1" applyFill="1" applyBorder="1" applyAlignment="1">
      <alignment vertical="center"/>
    </xf>
    <xf numFmtId="0" fontId="0" fillId="0" borderId="2" xfId="0" applyBorder="1" applyAlignment="1">
      <alignment wrapText="1"/>
    </xf>
    <xf numFmtId="167" fontId="2" fillId="0" borderId="0" xfId="1" applyNumberFormat="1" applyFont="1" applyBorder="1" applyAlignment="1">
      <alignment horizontal="center" vertical="center" wrapText="1"/>
    </xf>
    <xf numFmtId="0" fontId="165" fillId="37" borderId="11" xfId="0" applyFont="1" applyFill="1" applyBorder="1"/>
    <xf numFmtId="0" fontId="165" fillId="37" borderId="0" xfId="0" applyFont="1" applyFill="1"/>
    <xf numFmtId="0" fontId="83" fillId="2" borderId="85" xfId="4" applyFont="1" applyFill="1" applyBorder="1" applyAlignment="1">
      <alignment horizontal="center"/>
    </xf>
    <xf numFmtId="0" fontId="83" fillId="2" borderId="105" xfId="4" applyFont="1" applyFill="1" applyBorder="1" applyAlignment="1">
      <alignment horizontal="center"/>
    </xf>
    <xf numFmtId="0" fontId="83" fillId="2" borderId="84" xfId="4" applyFont="1" applyFill="1" applyBorder="1" applyAlignment="1">
      <alignment horizontal="center"/>
    </xf>
    <xf numFmtId="0" fontId="2" fillId="9" borderId="0" xfId="4" applyFont="1" applyFill="1" applyBorder="1" applyAlignment="1">
      <alignment horizontal="justify" vertical="top" wrapText="1"/>
    </xf>
    <xf numFmtId="0" fontId="4" fillId="2" borderId="2"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132" fillId="0" borderId="2" xfId="0" applyFont="1" applyBorder="1" applyAlignment="1">
      <alignment horizontal="center" vertical="center" wrapText="1"/>
    </xf>
    <xf numFmtId="0" fontId="23" fillId="0" borderId="2" xfId="0" applyFont="1" applyBorder="1" applyAlignment="1">
      <alignment horizontal="left" vertical="center" wrapText="1"/>
    </xf>
    <xf numFmtId="0" fontId="2" fillId="0" borderId="12" xfId="0" applyFont="1" applyBorder="1" applyAlignment="1">
      <alignment horizontal="left" vertical="center" wrapText="1" indent="1"/>
    </xf>
    <xf numFmtId="0" fontId="2" fillId="0" borderId="10"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4" fillId="2" borderId="1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5" fillId="2" borderId="12"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4" fillId="2" borderId="22" xfId="0" applyFont="1" applyFill="1" applyBorder="1" applyAlignment="1">
      <alignment horizontal="center" vertical="center" wrapText="1"/>
    </xf>
    <xf numFmtId="167" fontId="4" fillId="2" borderId="13" xfId="1" applyNumberFormat="1" applyFont="1" applyFill="1" applyBorder="1" applyAlignment="1">
      <alignment horizontal="center" vertical="center" wrapText="1"/>
    </xf>
    <xf numFmtId="167" fontId="4" fillId="2" borderId="22" xfId="1" applyNumberFormat="1" applyFont="1" applyFill="1" applyBorder="1" applyAlignment="1">
      <alignment horizontal="center" vertical="center" wrapText="1"/>
    </xf>
    <xf numFmtId="167" fontId="4" fillId="2" borderId="14" xfId="1" applyNumberFormat="1" applyFont="1" applyFill="1" applyBorder="1" applyAlignment="1">
      <alignment horizontal="center" vertical="center" wrapText="1"/>
    </xf>
    <xf numFmtId="0" fontId="35" fillId="0" borderId="12" xfId="0" applyFont="1" applyBorder="1" applyAlignment="1">
      <alignment horizontal="left" vertical="center" wrapText="1"/>
    </xf>
    <xf numFmtId="0" fontId="35" fillId="0" borderId="10" xfId="0" applyFont="1" applyBorder="1" applyAlignment="1">
      <alignment horizontal="left" vertical="center" wrapText="1"/>
    </xf>
    <xf numFmtId="0" fontId="35" fillId="0" borderId="11" xfId="0" applyFont="1" applyBorder="1" applyAlignment="1">
      <alignment horizontal="left" vertical="center" wrapText="1"/>
    </xf>
    <xf numFmtId="183" fontId="2" fillId="0" borderId="1" xfId="1" applyNumberFormat="1" applyFont="1" applyFill="1" applyBorder="1" applyAlignment="1">
      <alignment horizontal="center" vertical="center"/>
    </xf>
    <xf numFmtId="183" fontId="2" fillId="0" borderId="4" xfId="1" applyNumberFormat="1" applyFont="1" applyFill="1" applyBorder="1" applyAlignment="1">
      <alignment horizontal="center" vertical="center"/>
    </xf>
    <xf numFmtId="183" fontId="2" fillId="0" borderId="0" xfId="1" applyNumberFormat="1" applyFont="1" applyFill="1" applyBorder="1" applyAlignment="1">
      <alignment horizontal="center" vertical="center"/>
    </xf>
    <xf numFmtId="183" fontId="2" fillId="0" borderId="8" xfId="1" applyNumberFormat="1" applyFont="1" applyFill="1" applyBorder="1" applyAlignment="1">
      <alignment horizontal="center" vertical="center"/>
    </xf>
    <xf numFmtId="183" fontId="3" fillId="4" borderId="10" xfId="0" applyNumberFormat="1" applyFont="1" applyFill="1" applyBorder="1" applyAlignment="1">
      <alignment horizontal="center" vertical="center"/>
    </xf>
    <xf numFmtId="183" fontId="3" fillId="4" borderId="11" xfId="0" applyNumberFormat="1" applyFont="1" applyFill="1" applyBorder="1" applyAlignment="1">
      <alignment horizontal="center" vertical="center"/>
    </xf>
    <xf numFmtId="183" fontId="2" fillId="9" borderId="0" xfId="0" applyNumberFormat="1" applyFont="1" applyFill="1" applyBorder="1" applyAlignment="1">
      <alignment horizontal="center" vertical="center"/>
    </xf>
    <xf numFmtId="183" fontId="2" fillId="9" borderId="8" xfId="0" applyNumberFormat="1" applyFont="1" applyFill="1" applyBorder="1" applyAlignment="1">
      <alignment horizontal="center" vertical="center"/>
    </xf>
    <xf numFmtId="183" fontId="39" fillId="7" borderId="6" xfId="1" applyNumberFormat="1" applyFont="1" applyFill="1" applyBorder="1" applyAlignment="1">
      <alignment horizontal="center" vertical="center"/>
    </xf>
    <xf numFmtId="183" fontId="39" fillId="7" borderId="7" xfId="1" applyNumberFormat="1" applyFont="1" applyFill="1" applyBorder="1" applyAlignment="1">
      <alignment horizontal="center" vertical="center"/>
    </xf>
    <xf numFmtId="183" fontId="2" fillId="0" borderId="74" xfId="1" applyNumberFormat="1" applyFont="1" applyFill="1" applyBorder="1" applyAlignment="1">
      <alignment horizontal="center" vertical="center"/>
    </xf>
    <xf numFmtId="183" fontId="2" fillId="10" borderId="10" xfId="1" applyNumberFormat="1" applyFont="1" applyFill="1" applyBorder="1" applyAlignment="1">
      <alignment horizontal="center" vertical="center"/>
    </xf>
    <xf numFmtId="183" fontId="2" fillId="10" borderId="11" xfId="1" applyNumberFormat="1" applyFont="1" applyFill="1" applyBorder="1" applyAlignment="1">
      <alignment horizontal="center" vertical="center"/>
    </xf>
    <xf numFmtId="183" fontId="2" fillId="0" borderId="74" xfId="0" applyNumberFormat="1" applyFont="1" applyFill="1" applyBorder="1" applyAlignment="1">
      <alignment horizontal="center" vertical="center"/>
    </xf>
    <xf numFmtId="183" fontId="2" fillId="0" borderId="8" xfId="0" applyNumberFormat="1" applyFont="1" applyFill="1" applyBorder="1" applyAlignment="1">
      <alignment horizontal="center" vertical="center"/>
    </xf>
    <xf numFmtId="183" fontId="2" fillId="0" borderId="0" xfId="4" applyNumberFormat="1" applyFont="1" applyBorder="1" applyAlignment="1">
      <alignment horizontal="center"/>
    </xf>
    <xf numFmtId="183" fontId="2" fillId="0" borderId="8" xfId="4" applyNumberFormat="1" applyFont="1" applyBorder="1" applyAlignment="1">
      <alignment horizontal="center"/>
    </xf>
    <xf numFmtId="183" fontId="2" fillId="9" borderId="1" xfId="0" applyNumberFormat="1" applyFont="1" applyFill="1" applyBorder="1" applyAlignment="1">
      <alignment horizontal="center" vertical="center"/>
    </xf>
    <xf numFmtId="183" fontId="2" fillId="9" borderId="4" xfId="0" applyNumberFormat="1" applyFont="1" applyFill="1" applyBorder="1" applyAlignment="1">
      <alignment horizontal="center" vertical="center"/>
    </xf>
    <xf numFmtId="183" fontId="3" fillId="2" borderId="0" xfId="1" applyNumberFormat="1" applyFont="1" applyFill="1" applyBorder="1" applyAlignment="1">
      <alignment horizontal="center" vertical="center"/>
    </xf>
    <xf numFmtId="183" fontId="3" fillId="2" borderId="8" xfId="1" applyNumberFormat="1" applyFont="1" applyFill="1" applyBorder="1" applyAlignment="1">
      <alignment horizontal="center" vertical="center"/>
    </xf>
    <xf numFmtId="183" fontId="3" fillId="2" borderId="10" xfId="1" applyNumberFormat="1" applyFont="1" applyFill="1" applyBorder="1" applyAlignment="1">
      <alignment horizontal="center" vertical="center"/>
    </xf>
    <xf numFmtId="183" fontId="3" fillId="2" borderId="11" xfId="1" applyNumberFormat="1" applyFont="1" applyFill="1" applyBorder="1" applyAlignment="1">
      <alignment horizontal="center" vertical="center"/>
    </xf>
    <xf numFmtId="0" fontId="2" fillId="0" borderId="2" xfId="0" applyFont="1" applyBorder="1" applyAlignment="1">
      <alignment horizontal="left" vertical="center" wrapText="1" indent="1"/>
    </xf>
    <xf numFmtId="167" fontId="2" fillId="0" borderId="2" xfId="1" applyNumberFormat="1" applyFont="1" applyBorder="1" applyAlignment="1">
      <alignment horizontal="left" vertical="center" wrapText="1"/>
    </xf>
    <xf numFmtId="0" fontId="3" fillId="26" borderId="12" xfId="0" applyFont="1" applyFill="1" applyBorder="1" applyAlignment="1">
      <alignment horizontal="left" vertical="center" indent="2"/>
    </xf>
    <xf numFmtId="0" fontId="3" fillId="26" borderId="10" xfId="0" applyFont="1" applyFill="1" applyBorder="1" applyAlignment="1">
      <alignment horizontal="left" vertical="center" indent="2"/>
    </xf>
    <xf numFmtId="176" fontId="3" fillId="26" borderId="10" xfId="0" applyNumberFormat="1" applyFont="1" applyFill="1" applyBorder="1" applyAlignment="1">
      <alignment horizontal="center" vertical="center"/>
    </xf>
    <xf numFmtId="176" fontId="3" fillId="26" borderId="11" xfId="0" applyNumberFormat="1" applyFont="1" applyFill="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167" fontId="2" fillId="0" borderId="67" xfId="1" applyNumberFormat="1" applyFont="1" applyBorder="1" applyAlignment="1">
      <alignment horizontal="center" vertical="center"/>
    </xf>
    <xf numFmtId="167" fontId="2" fillId="0" borderId="66" xfId="1" applyNumberFormat="1" applyFont="1" applyBorder="1" applyAlignment="1">
      <alignment horizontal="center" vertical="center"/>
    </xf>
    <xf numFmtId="166" fontId="2" fillId="0" borderId="0" xfId="1" applyFont="1" applyAlignment="1">
      <alignment horizontal="center" vertical="center"/>
    </xf>
    <xf numFmtId="0" fontId="2" fillId="0" borderId="3" xfId="0" applyFont="1" applyBorder="1" applyAlignment="1">
      <alignment horizontal="left" vertical="center" indent="2"/>
    </xf>
    <xf numFmtId="0" fontId="2" fillId="0" borderId="1" xfId="0" applyFont="1" applyBorder="1" applyAlignment="1">
      <alignment horizontal="left" vertical="center" indent="2"/>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167" fontId="2" fillId="0" borderId="9" xfId="1" applyNumberFormat="1" applyFont="1" applyBorder="1" applyAlignment="1">
      <alignment horizontal="center" vertical="center"/>
    </xf>
    <xf numFmtId="167" fontId="2" fillId="0" borderId="8" xfId="1" applyNumberFormat="1" applyFont="1" applyBorder="1" applyAlignment="1">
      <alignment horizontal="center" vertical="center"/>
    </xf>
    <xf numFmtId="167" fontId="3" fillId="27" borderId="72" xfId="0" applyNumberFormat="1" applyFont="1" applyFill="1" applyBorder="1" applyAlignment="1">
      <alignment horizontal="center" vertical="center"/>
    </xf>
    <xf numFmtId="0" fontId="3" fillId="27" borderId="72" xfId="0" applyFont="1" applyFill="1" applyBorder="1" applyAlignment="1">
      <alignment horizontal="center" vertical="center"/>
    </xf>
    <xf numFmtId="167" fontId="2" fillId="0" borderId="74" xfId="1" applyNumberFormat="1" applyFont="1" applyBorder="1" applyAlignment="1">
      <alignment horizontal="center" vertical="center"/>
    </xf>
    <xf numFmtId="0" fontId="2" fillId="0" borderId="9" xfId="0" applyFont="1" applyBorder="1" applyAlignment="1">
      <alignment horizontal="left" vertical="center" indent="2"/>
    </xf>
    <xf numFmtId="0" fontId="2" fillId="0" borderId="0" xfId="0" applyFont="1" applyBorder="1" applyAlignment="1">
      <alignment horizontal="left" vertical="center" indent="2"/>
    </xf>
    <xf numFmtId="176" fontId="2" fillId="0" borderId="0" xfId="0" applyNumberFormat="1" applyFont="1" applyBorder="1" applyAlignment="1">
      <alignment horizontal="center" vertical="center"/>
    </xf>
    <xf numFmtId="176" fontId="2" fillId="0" borderId="8" xfId="0" applyNumberFormat="1" applyFont="1" applyBorder="1" applyAlignment="1">
      <alignment horizontal="center" vertical="center"/>
    </xf>
    <xf numFmtId="167" fontId="2" fillId="0" borderId="68" xfId="1" applyNumberFormat="1" applyFont="1" applyBorder="1" applyAlignment="1">
      <alignment horizontal="center" vertical="center"/>
    </xf>
    <xf numFmtId="167" fontId="3" fillId="16" borderId="79" xfId="0" applyNumberFormat="1" applyFont="1" applyFill="1" applyBorder="1" applyAlignment="1">
      <alignment horizontal="center" vertical="center"/>
    </xf>
    <xf numFmtId="0" fontId="3" fillId="16" borderId="79" xfId="0" applyFont="1" applyFill="1" applyBorder="1" applyAlignment="1">
      <alignment horizontal="center" vertical="center"/>
    </xf>
    <xf numFmtId="167" fontId="2" fillId="0" borderId="76" xfId="1" applyNumberFormat="1" applyFont="1" applyBorder="1" applyAlignment="1">
      <alignment horizontal="center" vertical="center"/>
    </xf>
    <xf numFmtId="167" fontId="2" fillId="0" borderId="77" xfId="1" applyNumberFormat="1" applyFont="1" applyBorder="1" applyAlignment="1">
      <alignment horizontal="center" vertical="center"/>
    </xf>
    <xf numFmtId="167" fontId="2" fillId="0" borderId="65" xfId="1" applyNumberFormat="1" applyFont="1" applyBorder="1" applyAlignment="1">
      <alignment horizontal="center" vertical="center"/>
    </xf>
    <xf numFmtId="167" fontId="2" fillId="0" borderId="0" xfId="1" applyNumberFormat="1" applyFont="1" applyBorder="1" applyAlignment="1">
      <alignment horizontal="center" vertical="center"/>
    </xf>
    <xf numFmtId="0" fontId="3" fillId="16" borderId="78" xfId="0" applyFont="1" applyFill="1" applyBorder="1" applyAlignment="1">
      <alignment horizontal="center" vertical="center"/>
    </xf>
    <xf numFmtId="167" fontId="133" fillId="29" borderId="85" xfId="1" applyNumberFormat="1" applyFont="1" applyFill="1" applyBorder="1" applyAlignment="1">
      <alignment horizontal="center" vertical="center"/>
    </xf>
    <xf numFmtId="167" fontId="133" fillId="29" borderId="84" xfId="1" applyNumberFormat="1" applyFont="1" applyFill="1" applyBorder="1" applyAlignment="1">
      <alignment horizontal="center" vertical="center"/>
    </xf>
    <xf numFmtId="167" fontId="3" fillId="28" borderId="82" xfId="0" applyNumberFormat="1" applyFont="1" applyFill="1" applyBorder="1" applyAlignment="1">
      <alignment horizontal="center" vertical="center"/>
    </xf>
    <xf numFmtId="0" fontId="3" fillId="28" borderId="82" xfId="0" applyFont="1" applyFill="1" applyBorder="1" applyAlignment="1">
      <alignment horizontal="center" vertical="center"/>
    </xf>
    <xf numFmtId="183" fontId="2" fillId="0" borderId="9" xfId="1" applyNumberFormat="1" applyFont="1" applyBorder="1" applyAlignment="1">
      <alignment horizontal="center" vertical="center" wrapText="1"/>
    </xf>
    <xf numFmtId="183" fontId="2" fillId="0" borderId="8" xfId="1" applyNumberFormat="1" applyFont="1" applyBorder="1" applyAlignment="1">
      <alignment horizontal="center" vertical="center" wrapText="1"/>
    </xf>
    <xf numFmtId="167" fontId="4" fillId="2" borderId="2" xfId="1" applyNumberFormat="1" applyFont="1" applyFill="1" applyBorder="1" applyAlignment="1">
      <alignment vertical="center" wrapText="1"/>
    </xf>
    <xf numFmtId="167" fontId="6" fillId="0" borderId="9" xfId="1" applyNumberFormat="1" applyFont="1" applyBorder="1" applyAlignment="1">
      <alignment horizontal="center" vertical="center" wrapText="1"/>
    </xf>
    <xf numFmtId="167" fontId="6" fillId="0" borderId="0" xfId="1" applyNumberFormat="1" applyFont="1" applyBorder="1" applyAlignment="1">
      <alignment horizontal="center" vertical="center" wrapText="1"/>
    </xf>
    <xf numFmtId="167" fontId="6" fillId="0" borderId="8" xfId="1" applyNumberFormat="1" applyFont="1" applyBorder="1" applyAlignment="1">
      <alignment horizontal="center" vertical="center" wrapText="1"/>
    </xf>
    <xf numFmtId="0" fontId="3" fillId="13" borderId="2" xfId="6" applyFont="1" applyFill="1" applyBorder="1" applyAlignment="1">
      <alignment horizontal="center"/>
    </xf>
    <xf numFmtId="167" fontId="38" fillId="0" borderId="9" xfId="1" applyNumberFormat="1" applyFont="1" applyBorder="1" applyAlignment="1">
      <alignment horizontal="center"/>
    </xf>
    <xf numFmtId="167" fontId="38" fillId="0" borderId="8" xfId="1" applyNumberFormat="1" applyFont="1" applyBorder="1" applyAlignment="1">
      <alignment horizontal="center"/>
    </xf>
    <xf numFmtId="0" fontId="3" fillId="28" borderId="81" xfId="0" applyFont="1" applyFill="1" applyBorder="1" applyAlignment="1">
      <alignment horizontal="center" vertical="center"/>
    </xf>
    <xf numFmtId="167" fontId="38" fillId="0" borderId="5" xfId="1" applyNumberFormat="1" applyFont="1" applyBorder="1" applyAlignment="1">
      <alignment horizontal="center"/>
    </xf>
    <xf numFmtId="167" fontId="38" fillId="0" borderId="7" xfId="1" applyNumberFormat="1" applyFont="1" applyBorder="1" applyAlignment="1">
      <alignment horizontal="center"/>
    </xf>
    <xf numFmtId="167" fontId="4" fillId="2" borderId="2" xfId="1" applyNumberFormat="1" applyFont="1" applyFill="1" applyBorder="1" applyAlignment="1">
      <alignment horizontal="center" vertical="center" wrapText="1"/>
    </xf>
    <xf numFmtId="0" fontId="6" fillId="0" borderId="0" xfId="0" applyFont="1" applyBorder="1" applyAlignment="1">
      <alignment horizontal="justify" vertical="center" wrapText="1"/>
    </xf>
    <xf numFmtId="167" fontId="39" fillId="0" borderId="12" xfId="1" applyNumberFormat="1" applyFont="1" applyBorder="1" applyAlignment="1">
      <alignment horizontal="center"/>
    </xf>
    <xf numFmtId="167" fontId="39" fillId="0" borderId="11" xfId="1" applyNumberFormat="1" applyFont="1" applyBorder="1" applyAlignment="1">
      <alignment horizontal="center"/>
    </xf>
    <xf numFmtId="167" fontId="38" fillId="0" borderId="0" xfId="1" applyNumberFormat="1" applyFont="1" applyBorder="1" applyAlignment="1">
      <alignment horizontal="center"/>
    </xf>
    <xf numFmtId="167" fontId="38" fillId="0" borderId="3" xfId="1" applyNumberFormat="1" applyFont="1" applyBorder="1" applyAlignment="1">
      <alignment horizontal="center"/>
    </xf>
    <xf numFmtId="167" fontId="38" fillId="0" borderId="4" xfId="1" applyNumberFormat="1" applyFont="1" applyBorder="1" applyAlignment="1">
      <alignment horizontal="center"/>
    </xf>
    <xf numFmtId="192" fontId="3" fillId="4" borderId="10" xfId="6" applyNumberFormat="1" applyFont="1" applyFill="1" applyBorder="1" applyAlignment="1">
      <alignment horizontal="center"/>
    </xf>
    <xf numFmtId="192" fontId="3" fillId="4" borderId="11" xfId="6" applyNumberFormat="1" applyFont="1" applyFill="1" applyBorder="1" applyAlignment="1">
      <alignment horizontal="center"/>
    </xf>
    <xf numFmtId="192" fontId="2" fillId="0" borderId="0" xfId="12" applyNumberFormat="1" applyFont="1" applyAlignment="1">
      <alignment horizontal="center"/>
    </xf>
    <xf numFmtId="192" fontId="2" fillId="0" borderId="0" xfId="12" applyNumberFormat="1" applyFont="1" applyBorder="1" applyAlignment="1">
      <alignment horizontal="center"/>
    </xf>
    <xf numFmtId="167" fontId="10" fillId="0" borderId="2" xfId="1" applyNumberFormat="1" applyFont="1" applyBorder="1" applyAlignment="1">
      <alignment horizontal="left" vertical="center" wrapText="1"/>
    </xf>
    <xf numFmtId="0" fontId="3" fillId="0" borderId="71" xfId="0" applyFont="1" applyFill="1" applyBorder="1" applyAlignment="1">
      <alignment horizontal="center" vertical="center"/>
    </xf>
    <xf numFmtId="0" fontId="3" fillId="0" borderId="70" xfId="0" applyFont="1" applyFill="1" applyBorder="1" applyAlignment="1">
      <alignment horizontal="center" vertical="center"/>
    </xf>
    <xf numFmtId="167" fontId="2" fillId="0" borderId="75" xfId="1" applyNumberFormat="1" applyFont="1" applyBorder="1" applyAlignment="1">
      <alignment horizontal="center" vertical="center"/>
    </xf>
    <xf numFmtId="190" fontId="2" fillId="0" borderId="0" xfId="12" applyNumberFormat="1" applyFont="1" applyAlignment="1">
      <alignment horizontal="center" wrapText="1"/>
    </xf>
    <xf numFmtId="190" fontId="2" fillId="0" borderId="0" xfId="12" applyNumberFormat="1" applyFont="1" applyBorder="1" applyAlignment="1">
      <alignment horizontal="center" wrapText="1"/>
    </xf>
    <xf numFmtId="190" fontId="3" fillId="0" borderId="0" xfId="12" applyNumberFormat="1" applyFont="1" applyAlignment="1">
      <alignment horizontal="center" wrapText="1"/>
    </xf>
    <xf numFmtId="190" fontId="3" fillId="4" borderId="10" xfId="12" applyNumberFormat="1" applyFont="1" applyFill="1" applyBorder="1" applyAlignment="1">
      <alignment horizontal="center" wrapText="1"/>
    </xf>
    <xf numFmtId="190" fontId="3" fillId="4" borderId="11" xfId="12" applyNumberFormat="1" applyFont="1" applyFill="1" applyBorder="1" applyAlignment="1">
      <alignment horizontal="center" wrapText="1"/>
    </xf>
    <xf numFmtId="190" fontId="2" fillId="0" borderId="0" xfId="0" applyNumberFormat="1" applyFont="1" applyAlignment="1">
      <alignment horizontal="center" wrapText="1"/>
    </xf>
    <xf numFmtId="190" fontId="3" fillId="4" borderId="10" xfId="0" applyNumberFormat="1" applyFont="1" applyFill="1" applyBorder="1" applyAlignment="1">
      <alignment horizontal="center" wrapText="1"/>
    </xf>
    <xf numFmtId="190" fontId="3" fillId="4" borderId="11" xfId="0" applyNumberFormat="1" applyFont="1" applyFill="1" applyBorder="1" applyAlignment="1">
      <alignment horizontal="center" wrapText="1"/>
    </xf>
    <xf numFmtId="192" fontId="2" fillId="0" borderId="1" xfId="12" applyNumberFormat="1" applyFont="1" applyBorder="1" applyAlignment="1">
      <alignment horizontal="center"/>
    </xf>
    <xf numFmtId="167" fontId="6" fillId="0" borderId="5" xfId="1" applyNumberFormat="1" applyFont="1" applyBorder="1" applyAlignment="1">
      <alignment horizontal="center" vertical="center" wrapText="1"/>
    </xf>
    <xf numFmtId="167" fontId="6" fillId="0" borderId="6" xfId="1" applyNumberFormat="1" applyFont="1" applyBorder="1" applyAlignment="1">
      <alignment horizontal="center" vertical="center" wrapText="1"/>
    </xf>
    <xf numFmtId="167" fontId="6" fillId="0" borderId="7" xfId="1" applyNumberFormat="1" applyFont="1" applyBorder="1" applyAlignment="1">
      <alignment horizontal="center"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4" fillId="2" borderId="2" xfId="0" applyFont="1" applyFill="1" applyBorder="1" applyAlignment="1">
      <alignment vertical="center" wrapText="1"/>
    </xf>
    <xf numFmtId="183" fontId="2" fillId="0" borderId="5" xfId="1" applyNumberFormat="1" applyFont="1" applyBorder="1" applyAlignment="1">
      <alignment horizontal="center" vertical="center" wrapText="1"/>
    </xf>
    <xf numFmtId="183" fontId="2" fillId="0" borderId="7" xfId="1" applyNumberFormat="1" applyFont="1" applyBorder="1" applyAlignment="1">
      <alignment horizontal="center" vertical="center" wrapText="1"/>
    </xf>
    <xf numFmtId="0" fontId="2" fillId="9" borderId="2" xfId="0" applyFont="1" applyFill="1" applyBorder="1" applyAlignment="1">
      <alignment horizontal="left" vertical="center" wrapText="1" indent="1"/>
    </xf>
    <xf numFmtId="0" fontId="2" fillId="0" borderId="0" xfId="0" applyFont="1" applyBorder="1" applyAlignment="1">
      <alignment horizontal="center" vertical="center"/>
    </xf>
    <xf numFmtId="165" fontId="11" fillId="0" borderId="0" xfId="0" applyNumberFormat="1" applyFont="1" applyBorder="1" applyAlignment="1">
      <alignment horizontal="center" vertical="center"/>
    </xf>
    <xf numFmtId="0" fontId="8" fillId="0" borderId="6" xfId="0" applyFont="1" applyBorder="1" applyAlignment="1">
      <alignment horizontal="center" vertical="center"/>
    </xf>
    <xf numFmtId="3" fontId="2" fillId="0" borderId="6" xfId="0" applyNumberFormat="1" applyFont="1" applyBorder="1" applyAlignment="1">
      <alignment horizontal="center" vertical="center"/>
    </xf>
    <xf numFmtId="0" fontId="2" fillId="0" borderId="8" xfId="0" applyFont="1" applyBorder="1" applyAlignment="1">
      <alignment horizontal="center" vertical="center"/>
    </xf>
    <xf numFmtId="10" fontId="2" fillId="24" borderId="3" xfId="3" applyNumberFormat="1" applyFont="1" applyFill="1" applyBorder="1" applyAlignment="1">
      <alignment horizontal="center" vertical="center"/>
    </xf>
    <xf numFmtId="10" fontId="2" fillId="24" borderId="4" xfId="3" applyNumberFormat="1" applyFont="1" applyFill="1" applyBorder="1" applyAlignment="1">
      <alignment horizontal="center" vertical="center"/>
    </xf>
    <xf numFmtId="10" fontId="2" fillId="24" borderId="5" xfId="3" applyNumberFormat="1" applyFont="1" applyFill="1" applyBorder="1" applyAlignment="1">
      <alignment horizontal="center" vertical="center"/>
    </xf>
    <xf numFmtId="10" fontId="2" fillId="24" borderId="7" xfId="3" applyNumberFormat="1" applyFont="1" applyFill="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horizontal="center" vertical="center"/>
    </xf>
    <xf numFmtId="3" fontId="2" fillId="0" borderId="0" xfId="0" applyNumberFormat="1" applyFont="1" applyBorder="1" applyAlignment="1">
      <alignment horizontal="center" vertical="center"/>
    </xf>
    <xf numFmtId="0" fontId="3" fillId="2" borderId="2" xfId="0" applyFont="1" applyFill="1" applyBorder="1" applyAlignment="1">
      <alignment horizontal="center" vertical="center" wrapText="1"/>
    </xf>
    <xf numFmtId="166" fontId="2" fillId="0" borderId="5" xfId="1" applyFont="1" applyBorder="1" applyAlignment="1">
      <alignment horizontal="center" vertical="center"/>
    </xf>
    <xf numFmtId="166" fontId="2" fillId="0" borderId="7" xfId="1" applyFont="1" applyBorder="1" applyAlignment="1">
      <alignment horizontal="center" vertical="center"/>
    </xf>
    <xf numFmtId="166" fontId="2" fillId="0" borderId="9" xfId="1" applyFont="1" applyBorder="1" applyAlignment="1">
      <alignment horizontal="center" vertical="center"/>
    </xf>
    <xf numFmtId="166" fontId="2" fillId="0" borderId="8" xfId="1" applyFont="1" applyBorder="1" applyAlignment="1">
      <alignment horizontal="center" vertical="center"/>
    </xf>
    <xf numFmtId="0" fontId="139" fillId="0" borderId="9" xfId="0" applyFont="1" applyBorder="1" applyAlignment="1">
      <alignment horizontal="left" vertical="center"/>
    </xf>
    <xf numFmtId="0" fontId="139" fillId="0" borderId="0" xfId="0" applyFont="1" applyBorder="1" applyAlignment="1">
      <alignment horizontal="left" vertical="center"/>
    </xf>
    <xf numFmtId="166" fontId="2" fillId="0" borderId="0" xfId="1" applyFont="1" applyBorder="1" applyAlignment="1">
      <alignment horizontal="center" vertical="center"/>
    </xf>
    <xf numFmtId="0" fontId="3" fillId="2" borderId="10" xfId="0" applyFont="1" applyFill="1" applyBorder="1" applyAlignment="1">
      <alignment horizontal="center" vertical="center" wrapText="1"/>
    </xf>
    <xf numFmtId="166" fontId="3" fillId="0" borderId="32" xfId="0" applyNumberFormat="1" applyFont="1" applyBorder="1" applyAlignment="1">
      <alignment horizontal="center" vertical="center"/>
    </xf>
    <xf numFmtId="0" fontId="3" fillId="0" borderId="33" xfId="0" applyFont="1" applyBorder="1" applyAlignment="1">
      <alignment horizontal="center" vertical="center"/>
    </xf>
    <xf numFmtId="0" fontId="3" fillId="18" borderId="12" xfId="0" applyFont="1" applyFill="1" applyBorder="1" applyAlignment="1">
      <alignment horizontal="center" vertical="center"/>
    </xf>
    <xf numFmtId="0" fontId="3" fillId="18" borderId="10" xfId="0" applyFont="1" applyFill="1" applyBorder="1" applyAlignment="1">
      <alignment horizontal="center" vertical="center"/>
    </xf>
    <xf numFmtId="0" fontId="3" fillId="18" borderId="11" xfId="0" applyFont="1" applyFill="1" applyBorder="1" applyAlignment="1">
      <alignment horizontal="center" vertical="center"/>
    </xf>
    <xf numFmtId="166" fontId="2" fillId="0" borderId="1" xfId="0" applyNumberFormat="1" applyFont="1" applyBorder="1" applyAlignment="1">
      <alignment horizontal="center" vertical="center"/>
    </xf>
    <xf numFmtId="0" fontId="2" fillId="0" borderId="4" xfId="0" applyFont="1" applyBorder="1" applyAlignment="1">
      <alignment horizontal="center" vertical="center"/>
    </xf>
    <xf numFmtId="166" fontId="2" fillId="0" borderId="15" xfId="0" applyNumberFormat="1" applyFont="1" applyBorder="1" applyAlignment="1">
      <alignment horizontal="center" vertical="center"/>
    </xf>
    <xf numFmtId="166" fontId="2" fillId="0" borderId="27" xfId="0" applyNumberFormat="1" applyFont="1" applyBorder="1" applyAlignment="1">
      <alignment horizontal="center" vertical="center"/>
    </xf>
    <xf numFmtId="166" fontId="3" fillId="0" borderId="33" xfId="0" applyNumberFormat="1" applyFont="1" applyBorder="1" applyAlignment="1">
      <alignment horizontal="center" vertical="center"/>
    </xf>
    <xf numFmtId="10" fontId="2" fillId="27" borderId="3" xfId="3" applyNumberFormat="1" applyFont="1" applyFill="1" applyBorder="1" applyAlignment="1">
      <alignment horizontal="center" vertical="center"/>
    </xf>
    <xf numFmtId="10" fontId="2" fillId="27" borderId="4" xfId="3" applyNumberFormat="1" applyFont="1" applyFill="1" applyBorder="1" applyAlignment="1">
      <alignment horizontal="center" vertical="center"/>
    </xf>
    <xf numFmtId="10" fontId="2" fillId="27" borderId="5" xfId="3" applyNumberFormat="1" applyFont="1" applyFill="1" applyBorder="1" applyAlignment="1">
      <alignment horizontal="center" vertical="center"/>
    </xf>
    <xf numFmtId="10" fontId="2" fillId="27" borderId="7" xfId="3" applyNumberFormat="1" applyFont="1" applyFill="1" applyBorder="1" applyAlignment="1">
      <alignment horizontal="center" vertical="center"/>
    </xf>
    <xf numFmtId="0" fontId="2"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6" fillId="0" borderId="9" xfId="0" applyFont="1" applyBorder="1" applyAlignment="1">
      <alignment horizontal="left" vertical="center"/>
    </xf>
    <xf numFmtId="0" fontId="6" fillId="0" borderId="0" xfId="0" applyFont="1" applyBorder="1" applyAlignment="1">
      <alignment horizontal="left" vertical="center"/>
    </xf>
    <xf numFmtId="0" fontId="6" fillId="0" borderId="65" xfId="0" applyFont="1" applyBorder="1" applyAlignment="1">
      <alignment horizontal="left" vertical="center"/>
    </xf>
    <xf numFmtId="0" fontId="3" fillId="3" borderId="90" xfId="0" applyFont="1" applyFill="1" applyBorder="1" applyAlignment="1">
      <alignment horizontal="left" vertical="center"/>
    </xf>
    <xf numFmtId="0" fontId="3" fillId="3" borderId="87" xfId="0" applyFont="1" applyFill="1" applyBorder="1" applyAlignment="1">
      <alignment horizontal="left" vertical="center"/>
    </xf>
    <xf numFmtId="167" fontId="3" fillId="3" borderId="87" xfId="1" applyNumberFormat="1" applyFont="1" applyFill="1" applyBorder="1" applyAlignment="1">
      <alignment horizontal="center" vertical="center"/>
    </xf>
    <xf numFmtId="167" fontId="3" fillId="3" borderId="89" xfId="1" applyNumberFormat="1" applyFont="1" applyFill="1" applyBorder="1" applyAlignment="1">
      <alignment horizontal="center" vertical="center"/>
    </xf>
    <xf numFmtId="0" fontId="3" fillId="3" borderId="88" xfId="0" applyFont="1" applyFill="1" applyBorder="1" applyAlignment="1">
      <alignment horizontal="left" vertical="center"/>
    </xf>
    <xf numFmtId="167" fontId="3" fillId="3" borderId="86" xfId="1" applyNumberFormat="1" applyFont="1" applyFill="1" applyBorder="1" applyAlignment="1">
      <alignment horizontal="center" vertical="center"/>
    </xf>
    <xf numFmtId="165" fontId="2" fillId="0" borderId="0" xfId="0" applyNumberFormat="1" applyFont="1" applyBorder="1" applyAlignment="1">
      <alignment horizontal="center" vertical="center"/>
    </xf>
    <xf numFmtId="0" fontId="6" fillId="0" borderId="3" xfId="0" applyFont="1" applyBorder="1" applyAlignment="1">
      <alignment horizontal="left" vertical="center"/>
    </xf>
    <xf numFmtId="0" fontId="6" fillId="0" borderId="1" xfId="0" applyFont="1" applyBorder="1" applyAlignment="1">
      <alignment horizontal="left" vertical="center"/>
    </xf>
    <xf numFmtId="167" fontId="2" fillId="0" borderId="1" xfId="1" applyNumberFormat="1" applyFont="1" applyBorder="1" applyAlignment="1">
      <alignment horizontal="center" vertical="center"/>
    </xf>
    <xf numFmtId="167" fontId="2" fillId="0" borderId="91" xfId="1" applyNumberFormat="1" applyFont="1" applyBorder="1" applyAlignment="1">
      <alignment horizontal="center" vertical="center"/>
    </xf>
    <xf numFmtId="165" fontId="2" fillId="0" borderId="8" xfId="0" applyNumberFormat="1" applyFont="1" applyBorder="1" applyAlignment="1">
      <alignment horizontal="center" vertical="center"/>
    </xf>
    <xf numFmtId="0" fontId="6" fillId="0" borderId="8" xfId="0" applyFont="1" applyBorder="1" applyAlignment="1">
      <alignment horizontal="left" vertical="center"/>
    </xf>
    <xf numFmtId="0" fontId="2" fillId="0" borderId="9" xfId="0" applyFont="1" applyBorder="1" applyAlignment="1">
      <alignment horizontal="left" vertical="center" indent="1"/>
    </xf>
    <xf numFmtId="0" fontId="2" fillId="0" borderId="0" xfId="0" applyFont="1" applyBorder="1" applyAlignment="1">
      <alignment horizontal="left" vertical="center" indent="1"/>
    </xf>
    <xf numFmtId="0" fontId="2" fillId="0" borderId="8" xfId="0" applyFont="1" applyBorder="1" applyAlignment="1">
      <alignment horizontal="left" vertical="center" indent="1"/>
    </xf>
    <xf numFmtId="166" fontId="3" fillId="2" borderId="0" xfId="0" applyNumberFormat="1" applyFont="1" applyFill="1" applyBorder="1" applyAlignment="1">
      <alignment horizontal="center" vertical="center"/>
    </xf>
    <xf numFmtId="0" fontId="3" fillId="2" borderId="8" xfId="0" applyFont="1" applyFill="1" applyBorder="1" applyAlignment="1">
      <alignment horizontal="center" vertical="center"/>
    </xf>
    <xf numFmtId="0" fontId="3" fillId="0" borderId="0" xfId="0" applyFont="1" applyBorder="1" applyAlignment="1">
      <alignment horizontal="center" vertical="center"/>
    </xf>
    <xf numFmtId="166" fontId="136" fillId="0" borderId="92" xfId="1" applyFont="1" applyBorder="1" applyAlignment="1">
      <alignment horizontal="right" vertical="center"/>
    </xf>
    <xf numFmtId="169" fontId="136" fillId="0" borderId="92" xfId="1" applyNumberFormat="1" applyFont="1" applyBorder="1" applyAlignment="1">
      <alignment horizontal="center" vertical="center"/>
    </xf>
    <xf numFmtId="0" fontId="6" fillId="0" borderId="71" xfId="0" applyFont="1" applyBorder="1" applyAlignment="1">
      <alignment horizontal="left" vertical="center"/>
    </xf>
    <xf numFmtId="0" fontId="6" fillId="0" borderId="70" xfId="0" applyFont="1" applyBorder="1" applyAlignment="1">
      <alignment horizontal="left" vertical="center"/>
    </xf>
    <xf numFmtId="167" fontId="2" fillId="0" borderId="70" xfId="1" applyNumberFormat="1" applyFont="1" applyBorder="1" applyAlignment="1">
      <alignment horizontal="center" vertical="center"/>
    </xf>
    <xf numFmtId="167" fontId="2" fillId="0" borderId="96" xfId="1" applyNumberFormat="1" applyFont="1" applyBorder="1" applyAlignment="1">
      <alignment horizontal="center" vertical="center"/>
    </xf>
    <xf numFmtId="0" fontId="6" fillId="0" borderId="95" xfId="0" applyFont="1" applyBorder="1" applyAlignment="1">
      <alignment horizontal="left" vertical="center"/>
    </xf>
    <xf numFmtId="167" fontId="2" fillId="0" borderId="94" xfId="1" applyNumberFormat="1" applyFont="1" applyBorder="1" applyAlignment="1">
      <alignment horizontal="center" vertical="center"/>
    </xf>
    <xf numFmtId="166" fontId="136" fillId="0" borderId="93" xfId="1" applyFont="1" applyBorder="1" applyAlignment="1">
      <alignment horizontal="left" vertical="center"/>
    </xf>
    <xf numFmtId="3" fontId="136" fillId="0" borderId="93" xfId="1" applyNumberFormat="1" applyFont="1" applyBorder="1" applyAlignment="1">
      <alignment horizontal="left" vertical="center"/>
    </xf>
    <xf numFmtId="166" fontId="136" fillId="0" borderId="93" xfId="1" applyFont="1" applyBorder="1" applyAlignment="1">
      <alignment vertical="center"/>
    </xf>
    <xf numFmtId="166" fontId="2" fillId="0" borderId="74" xfId="1" applyFont="1" applyBorder="1" applyAlignment="1">
      <alignment horizontal="center" vertical="center"/>
    </xf>
    <xf numFmtId="0" fontId="6" fillId="9" borderId="0" xfId="0" applyFont="1" applyFill="1" applyBorder="1" applyAlignment="1">
      <alignment horizontal="center" vertical="center"/>
    </xf>
    <xf numFmtId="166" fontId="136" fillId="0" borderId="97" xfId="1" applyFont="1" applyBorder="1" applyAlignment="1">
      <alignment horizontal="left" vertical="center"/>
    </xf>
    <xf numFmtId="3" fontId="136" fillId="0" borderId="97" xfId="1" applyNumberFormat="1" applyFont="1" applyBorder="1" applyAlignment="1">
      <alignment horizontal="left" vertical="center"/>
    </xf>
    <xf numFmtId="166" fontId="6" fillId="0" borderId="0" xfId="1" applyFont="1" applyAlignment="1">
      <alignment horizontal="left" vertical="center"/>
    </xf>
    <xf numFmtId="166" fontId="136" fillId="0" borderId="103" xfId="1" applyFont="1" applyBorder="1" applyAlignment="1">
      <alignment horizontal="center" vertical="center"/>
    </xf>
    <xf numFmtId="166" fontId="136" fillId="0" borderId="102" xfId="1" applyFont="1" applyBorder="1" applyAlignment="1">
      <alignment horizontal="center" vertical="center"/>
    </xf>
    <xf numFmtId="166" fontId="136" fillId="0" borderId="101" xfId="1" applyFont="1" applyBorder="1" applyAlignment="1">
      <alignment horizontal="center" vertical="center"/>
    </xf>
    <xf numFmtId="166" fontId="136" fillId="0" borderId="100" xfId="1" applyFont="1" applyBorder="1" applyAlignment="1">
      <alignment horizontal="center" vertical="center"/>
    </xf>
    <xf numFmtId="166" fontId="136" fillId="0" borderId="99" xfId="1" applyFont="1" applyBorder="1" applyAlignment="1">
      <alignment horizontal="center" vertical="center"/>
    </xf>
    <xf numFmtId="166" fontId="136" fillId="0" borderId="98" xfId="1" applyFont="1" applyBorder="1" applyAlignment="1">
      <alignment horizontal="center" vertical="center"/>
    </xf>
    <xf numFmtId="166" fontId="6" fillId="0" borderId="0" xfId="1" applyFont="1" applyBorder="1" applyAlignment="1">
      <alignment horizontal="left" vertical="center"/>
    </xf>
    <xf numFmtId="0" fontId="40" fillId="0" borderId="12" xfId="0" applyFont="1" applyBorder="1" applyAlignment="1">
      <alignment horizontal="left" indent="1"/>
    </xf>
    <xf numFmtId="0" fontId="40" fillId="0" borderId="10" xfId="0" applyFont="1" applyBorder="1" applyAlignment="1">
      <alignment horizontal="left" indent="1"/>
    </xf>
    <xf numFmtId="0" fontId="40" fillId="0" borderId="11" xfId="0" applyFont="1" applyBorder="1" applyAlignment="1">
      <alignment horizontal="left" indent="1"/>
    </xf>
    <xf numFmtId="0" fontId="6" fillId="0" borderId="2" xfId="0" applyFont="1" applyBorder="1" applyAlignment="1">
      <alignment horizontal="left" indent="1"/>
    </xf>
    <xf numFmtId="0" fontId="140" fillId="0" borderId="9" xfId="0" applyFont="1" applyBorder="1" applyAlignment="1">
      <alignment horizontal="left" vertical="center" shrinkToFit="1"/>
    </xf>
    <xf numFmtId="0" fontId="140" fillId="0" borderId="0" xfId="0" applyFont="1" applyBorder="1" applyAlignment="1">
      <alignment horizontal="left" vertical="center" shrinkToFit="1"/>
    </xf>
    <xf numFmtId="167" fontId="2" fillId="0" borderId="5" xfId="1" applyNumberFormat="1" applyFont="1" applyBorder="1" applyAlignment="1">
      <alignment horizontal="center" vertical="center"/>
    </xf>
    <xf numFmtId="167" fontId="2" fillId="0" borderId="7" xfId="1" applyNumberFormat="1" applyFont="1" applyBorder="1" applyAlignment="1">
      <alignment horizontal="center" vertical="center"/>
    </xf>
    <xf numFmtId="0" fontId="3" fillId="2" borderId="2" xfId="0" applyFont="1" applyFill="1" applyBorder="1" applyAlignment="1">
      <alignment horizontal="center"/>
    </xf>
    <xf numFmtId="0" fontId="39" fillId="2" borderId="12" xfId="0" applyFont="1" applyFill="1" applyBorder="1" applyAlignment="1">
      <alignment horizontal="center"/>
    </xf>
    <xf numFmtId="0" fontId="39" fillId="2" borderId="10" xfId="0" applyFont="1" applyFill="1" applyBorder="1" applyAlignment="1">
      <alignment horizontal="center"/>
    </xf>
    <xf numFmtId="0" fontId="39" fillId="2" borderId="11" xfId="0" applyFont="1" applyFill="1" applyBorder="1" applyAlignment="1">
      <alignment horizontal="center"/>
    </xf>
    <xf numFmtId="0" fontId="7" fillId="0" borderId="0" xfId="0" applyFont="1" applyBorder="1" applyAlignment="1">
      <alignment horizontal="center" vertical="center"/>
    </xf>
    <xf numFmtId="0" fontId="65" fillId="0" borderId="0" xfId="0" applyFont="1" applyBorder="1" applyAlignment="1">
      <alignment horizontal="center" vertical="center"/>
    </xf>
    <xf numFmtId="0" fontId="7" fillId="0" borderId="8" xfId="0" applyFont="1" applyBorder="1" applyAlignment="1">
      <alignment horizontal="center" vertical="center"/>
    </xf>
    <xf numFmtId="0" fontId="12" fillId="0" borderId="9" xfId="0" applyFont="1" applyBorder="1" applyAlignment="1">
      <alignment horizontal="center" vertical="center"/>
    </xf>
    <xf numFmtId="0" fontId="12" fillId="0" borderId="0" xfId="0" applyFont="1" applyBorder="1" applyAlignment="1">
      <alignment horizontal="center" vertical="center"/>
    </xf>
    <xf numFmtId="0" fontId="12" fillId="0" borderId="8" xfId="0" applyFont="1" applyBorder="1" applyAlignment="1">
      <alignment horizontal="center" vertical="center"/>
    </xf>
    <xf numFmtId="0" fontId="9" fillId="0" borderId="0" xfId="0" applyFont="1" applyBorder="1" applyAlignment="1">
      <alignment horizontal="center" vertical="center"/>
    </xf>
    <xf numFmtId="166"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6" fontId="3" fillId="0" borderId="0" xfId="0" applyNumberFormat="1" applyFont="1" applyBorder="1" applyAlignment="1">
      <alignment horizontal="center" vertical="center"/>
    </xf>
    <xf numFmtId="166" fontId="2" fillId="0" borderId="6" xfId="1" applyFont="1" applyBorder="1" applyAlignment="1">
      <alignment horizontal="center" vertical="center"/>
    </xf>
    <xf numFmtId="168" fontId="2" fillId="0" borderId="0" xfId="1" applyNumberFormat="1" applyFont="1" applyAlignment="1">
      <alignment horizontal="center" vertical="center"/>
    </xf>
    <xf numFmtId="166" fontId="3" fillId="0" borderId="0" xfId="1" applyFont="1" applyBorder="1" applyAlignment="1">
      <alignment horizontal="center" vertical="center"/>
    </xf>
    <xf numFmtId="166" fontId="3" fillId="0" borderId="6" xfId="1" applyFont="1" applyBorder="1" applyAlignment="1">
      <alignment horizontal="center" vertical="center"/>
    </xf>
    <xf numFmtId="166" fontId="8" fillId="2" borderId="11" xfId="1" applyFont="1" applyFill="1" applyBorder="1" applyAlignment="1">
      <alignment horizontal="center" vertical="center"/>
    </xf>
    <xf numFmtId="166" fontId="8" fillId="2" borderId="2" xfId="1" applyFont="1" applyFill="1" applyBorder="1" applyAlignment="1">
      <alignment horizontal="center" vertical="center"/>
    </xf>
    <xf numFmtId="166" fontId="2" fillId="0" borderId="3" xfId="1" applyFont="1" applyBorder="1" applyAlignment="1">
      <alignment horizontal="center" vertical="center"/>
    </xf>
    <xf numFmtId="166" fontId="2" fillId="0" borderId="4" xfId="1" applyFont="1" applyBorder="1" applyAlignment="1">
      <alignment horizontal="center" vertical="center"/>
    </xf>
    <xf numFmtId="166" fontId="2" fillId="0" borderId="1" xfId="1" applyFont="1" applyBorder="1" applyAlignment="1">
      <alignment horizontal="center" vertical="center"/>
    </xf>
    <xf numFmtId="0" fontId="68" fillId="0" borderId="0" xfId="0" applyFont="1" applyAlignment="1">
      <alignment horizontal="center" vertical="center"/>
    </xf>
    <xf numFmtId="0" fontId="7" fillId="0" borderId="9" xfId="0" applyFont="1" applyBorder="1" applyAlignment="1">
      <alignment horizontal="center" vertical="center"/>
    </xf>
    <xf numFmtId="0" fontId="2" fillId="0" borderId="6" xfId="0" applyFont="1" applyBorder="1" applyAlignment="1">
      <alignment horizontal="center" vertical="center"/>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6" fontId="3" fillId="0" borderId="10" xfId="1" applyFont="1" applyBorder="1" applyAlignment="1">
      <alignment horizontal="center" vertical="center"/>
    </xf>
    <xf numFmtId="166" fontId="3" fillId="0" borderId="11" xfId="1" applyFont="1" applyBorder="1" applyAlignment="1">
      <alignment horizontal="center" vertical="center"/>
    </xf>
    <xf numFmtId="166" fontId="3" fillId="2" borderId="10" xfId="1" applyFont="1" applyFill="1" applyBorder="1" applyAlignment="1">
      <alignment horizontal="center" vertical="center"/>
    </xf>
    <xf numFmtId="166" fontId="3" fillId="2" borderId="11" xfId="1" applyFont="1" applyFill="1" applyBorder="1" applyAlignment="1">
      <alignment horizontal="center" vertical="center"/>
    </xf>
    <xf numFmtId="0" fontId="2" fillId="0" borderId="5" xfId="0" applyFont="1" applyBorder="1" applyAlignment="1">
      <alignment horizontal="left" vertical="center" indent="1"/>
    </xf>
    <xf numFmtId="0" fontId="2" fillId="0" borderId="6" xfId="0" applyFont="1" applyBorder="1" applyAlignment="1">
      <alignment horizontal="left" vertical="center" indent="1"/>
    </xf>
    <xf numFmtId="0" fontId="2" fillId="0" borderId="7" xfId="0" applyFont="1" applyBorder="1" applyAlignment="1">
      <alignment horizontal="left" vertical="center" indent="1"/>
    </xf>
    <xf numFmtId="0" fontId="3" fillId="0" borderId="28" xfId="0" applyFont="1" applyBorder="1" applyAlignment="1">
      <alignment horizontal="left" vertical="center" indent="1"/>
    </xf>
    <xf numFmtId="0" fontId="3" fillId="0" borderId="15" xfId="0" applyFont="1" applyBorder="1" applyAlignment="1">
      <alignment horizontal="left" vertical="center" indent="1"/>
    </xf>
    <xf numFmtId="0" fontId="3" fillId="0" borderId="27" xfId="0" applyFont="1" applyBorder="1" applyAlignment="1">
      <alignment horizontal="left" vertical="center" inden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166" fontId="3" fillId="2" borderId="10" xfId="0" applyNumberFormat="1" applyFont="1" applyFill="1" applyBorder="1" applyAlignment="1">
      <alignment horizontal="center" vertical="center"/>
    </xf>
    <xf numFmtId="166" fontId="3" fillId="2" borderId="11" xfId="0" applyNumberFormat="1" applyFont="1" applyFill="1" applyBorder="1" applyAlignment="1">
      <alignment horizontal="center" vertical="center"/>
    </xf>
    <xf numFmtId="166" fontId="2" fillId="0" borderId="0" xfId="0" applyNumberFormat="1" applyFont="1" applyBorder="1" applyAlignment="1">
      <alignment horizontal="center" vertical="center"/>
    </xf>
    <xf numFmtId="166" fontId="3" fillId="0" borderId="28" xfId="0" applyNumberFormat="1" applyFont="1" applyBorder="1" applyAlignment="1">
      <alignment horizontal="center" vertical="center"/>
    </xf>
    <xf numFmtId="0" fontId="3" fillId="0" borderId="27" xfId="0" applyFont="1" applyBorder="1" applyAlignment="1">
      <alignment horizontal="center" vertical="center"/>
    </xf>
    <xf numFmtId="166" fontId="39" fillId="0" borderId="32" xfId="0" applyNumberFormat="1" applyFont="1" applyBorder="1" applyAlignment="1">
      <alignment horizontal="center" vertical="center"/>
    </xf>
    <xf numFmtId="166" fontId="39" fillId="0" borderId="33" xfId="0" applyNumberFormat="1" applyFont="1" applyBorder="1" applyAlignment="1">
      <alignment horizontal="center" vertical="center"/>
    </xf>
    <xf numFmtId="166" fontId="3" fillId="2" borderId="6"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142" fillId="2" borderId="3" xfId="0" applyFont="1" applyFill="1" applyBorder="1" applyAlignment="1">
      <alignment horizontal="center" vertical="center"/>
    </xf>
    <xf numFmtId="0" fontId="142" fillId="2" borderId="1" xfId="0" applyFont="1" applyFill="1" applyBorder="1" applyAlignment="1">
      <alignment horizontal="center" vertical="center"/>
    </xf>
    <xf numFmtId="0" fontId="142" fillId="2" borderId="4" xfId="0" applyFont="1" applyFill="1" applyBorder="1" applyAlignment="1">
      <alignment horizontal="center" vertical="center"/>
    </xf>
    <xf numFmtId="0" fontId="2" fillId="2" borderId="11" xfId="0" applyFont="1" applyFill="1" applyBorder="1" applyAlignment="1">
      <alignment horizontal="center" vertical="center"/>
    </xf>
    <xf numFmtId="166" fontId="2" fillId="0" borderId="0"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166" fontId="8" fillId="2" borderId="12" xfId="1" applyFont="1" applyFill="1" applyBorder="1" applyAlignment="1">
      <alignment horizontal="center" vertical="center"/>
    </xf>
    <xf numFmtId="166" fontId="8" fillId="2" borderId="10" xfId="1" applyFont="1" applyFill="1" applyBorder="1" applyAlignment="1">
      <alignment horizontal="center" vertical="center"/>
    </xf>
    <xf numFmtId="0" fontId="3" fillId="18" borderId="3" xfId="0" applyFont="1" applyFill="1" applyBorder="1" applyAlignment="1">
      <alignment horizontal="center" vertical="center"/>
    </xf>
    <xf numFmtId="0" fontId="3" fillId="18" borderId="1" xfId="0" applyFont="1" applyFill="1" applyBorder="1" applyAlignment="1">
      <alignment horizontal="center" vertical="center"/>
    </xf>
    <xf numFmtId="166" fontId="2" fillId="0" borderId="8" xfId="0" applyNumberFormat="1" applyFont="1" applyBorder="1" applyAlignment="1">
      <alignment horizontal="center" vertical="center"/>
    </xf>
    <xf numFmtId="166" fontId="2" fillId="0" borderId="4" xfId="0" applyNumberFormat="1" applyFont="1" applyBorder="1" applyAlignment="1">
      <alignment horizontal="center" vertical="center"/>
    </xf>
    <xf numFmtId="166" fontId="2" fillId="0" borderId="37" xfId="0" applyNumberFormat="1" applyFont="1" applyBorder="1" applyAlignment="1">
      <alignment horizontal="center" vertical="center"/>
    </xf>
    <xf numFmtId="166" fontId="2" fillId="0" borderId="30" xfId="0" applyNumberFormat="1" applyFont="1" applyBorder="1" applyAlignment="1">
      <alignment horizontal="center" vertical="center"/>
    </xf>
    <xf numFmtId="0" fontId="39" fillId="0" borderId="31" xfId="0" applyFont="1" applyBorder="1" applyAlignment="1">
      <alignment horizontal="center" vertical="center"/>
    </xf>
    <xf numFmtId="0" fontId="39" fillId="0" borderId="32" xfId="0" applyFont="1" applyBorder="1" applyAlignment="1">
      <alignment horizontal="center" vertical="center"/>
    </xf>
    <xf numFmtId="0" fontId="39" fillId="0" borderId="33" xfId="0" applyFont="1" applyBorder="1" applyAlignment="1">
      <alignment horizontal="center" vertical="center"/>
    </xf>
    <xf numFmtId="166" fontId="3" fillId="0" borderId="0" xfId="1" applyFont="1" applyBorder="1" applyAlignment="1">
      <alignment horizontal="center"/>
    </xf>
    <xf numFmtId="166" fontId="3" fillId="0" borderId="6" xfId="1" applyFont="1" applyBorder="1" applyAlignment="1">
      <alignment horizontal="center"/>
    </xf>
    <xf numFmtId="167" fontId="2" fillId="0" borderId="3" xfId="1" applyNumberFormat="1" applyFont="1" applyBorder="1" applyAlignment="1">
      <alignment horizontal="center" vertical="center"/>
    </xf>
    <xf numFmtId="167" fontId="2" fillId="0" borderId="4" xfId="1" applyNumberFormat="1" applyFont="1" applyBorder="1" applyAlignment="1">
      <alignment horizontal="center" vertical="center"/>
    </xf>
    <xf numFmtId="0" fontId="3" fillId="2" borderId="12"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40" fillId="0" borderId="9" xfId="0" applyFont="1" applyBorder="1" applyAlignment="1">
      <alignment horizontal="left" vertical="center"/>
    </xf>
    <xf numFmtId="0" fontId="140" fillId="0" borderId="0" xfId="0" applyFont="1" applyBorder="1" applyAlignment="1">
      <alignment horizontal="left"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167" fontId="3" fillId="0" borderId="28" xfId="1" applyNumberFormat="1" applyFont="1" applyBorder="1" applyAlignment="1">
      <alignment horizontal="center" vertical="center"/>
    </xf>
    <xf numFmtId="167" fontId="3" fillId="0" borderId="27" xfId="1" applyNumberFormat="1" applyFont="1" applyBorder="1" applyAlignment="1">
      <alignment horizontal="center"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167" fontId="2" fillId="0" borderId="6" xfId="1" applyNumberFormat="1" applyFont="1" applyBorder="1" applyAlignment="1">
      <alignment horizontal="center" vertical="center"/>
    </xf>
    <xf numFmtId="0" fontId="139" fillId="0" borderId="5" xfId="0" applyFont="1" applyBorder="1" applyAlignment="1">
      <alignment horizontal="left" vertical="center"/>
    </xf>
    <xf numFmtId="0" fontId="139" fillId="0" borderId="6" xfId="0" applyFont="1" applyBorder="1" applyAlignment="1">
      <alignment horizontal="left" vertical="center"/>
    </xf>
    <xf numFmtId="167" fontId="2" fillId="0" borderId="0" xfId="0" applyNumberFormat="1" applyFont="1" applyBorder="1" applyAlignment="1">
      <alignment horizontal="center" vertical="center"/>
    </xf>
    <xf numFmtId="167" fontId="2" fillId="0" borderId="6" xfId="0" applyNumberFormat="1" applyFont="1" applyBorder="1" applyAlignment="1">
      <alignment horizontal="center" vertical="center"/>
    </xf>
    <xf numFmtId="0" fontId="2" fillId="0" borderId="7" xfId="0" applyFont="1" applyBorder="1" applyAlignment="1">
      <alignment horizontal="center" vertical="center"/>
    </xf>
    <xf numFmtId="167" fontId="2" fillId="0" borderId="8" xfId="0" applyNumberFormat="1" applyFont="1" applyBorder="1" applyAlignment="1">
      <alignment horizontal="center" vertical="center"/>
    </xf>
    <xf numFmtId="167" fontId="2" fillId="0" borderId="7" xfId="0" applyNumberFormat="1"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wrapText="1"/>
    </xf>
    <xf numFmtId="0" fontId="165" fillId="18" borderId="2" xfId="0" applyFont="1" applyFill="1" applyBorder="1" applyAlignment="1">
      <alignment horizontal="center"/>
    </xf>
    <xf numFmtId="0" fontId="165" fillId="36" borderId="3" xfId="0" applyFont="1" applyFill="1" applyBorder="1" applyAlignment="1">
      <alignment horizontal="center" vertical="center"/>
    </xf>
    <xf numFmtId="0" fontId="165" fillId="36" borderId="4" xfId="0" applyFont="1" applyFill="1" applyBorder="1" applyAlignment="1">
      <alignment horizontal="center" vertical="center"/>
    </xf>
    <xf numFmtId="0" fontId="165" fillId="36" borderId="5" xfId="0" applyFont="1" applyFill="1" applyBorder="1" applyAlignment="1">
      <alignment horizontal="center" vertical="center"/>
    </xf>
    <xf numFmtId="0" fontId="165" fillId="36" borderId="7" xfId="0" applyFont="1" applyFill="1" applyBorder="1" applyAlignment="1">
      <alignment horizontal="center" vertical="center"/>
    </xf>
    <xf numFmtId="0" fontId="165" fillId="36" borderId="12" xfId="0" applyFont="1" applyFill="1" applyBorder="1" applyAlignment="1">
      <alignment horizontal="center" vertical="center"/>
    </xf>
    <xf numFmtId="0" fontId="165" fillId="36" borderId="11" xfId="0" applyFont="1" applyFill="1" applyBorder="1" applyAlignment="1">
      <alignment horizontal="center" vertical="center"/>
    </xf>
    <xf numFmtId="0" fontId="165" fillId="36" borderId="13" xfId="0" applyFont="1" applyFill="1" applyBorder="1" applyAlignment="1">
      <alignment horizontal="center" vertical="center" wrapText="1"/>
    </xf>
    <xf numFmtId="0" fontId="165" fillId="36" borderId="14" xfId="0" applyFont="1" applyFill="1" applyBorder="1" applyAlignment="1">
      <alignment horizontal="center" vertical="center" wrapText="1"/>
    </xf>
    <xf numFmtId="0" fontId="165" fillId="0" borderId="0" xfId="0" applyFont="1" applyAlignment="1">
      <alignment horizontal="left" wrapText="1"/>
    </xf>
    <xf numFmtId="16" fontId="166" fillId="18" borderId="13" xfId="0" applyNumberFormat="1" applyFont="1" applyFill="1" applyBorder="1" applyAlignment="1">
      <alignment horizontal="center" vertical="center"/>
    </xf>
    <xf numFmtId="0" fontId="166" fillId="18" borderId="14" xfId="0" applyFont="1" applyFill="1" applyBorder="1" applyAlignment="1">
      <alignment horizontal="center" vertical="center"/>
    </xf>
    <xf numFmtId="0" fontId="166" fillId="0" borderId="85" xfId="0" applyFont="1" applyBorder="1" applyAlignment="1">
      <alignment horizontal="center"/>
    </xf>
    <xf numFmtId="0" fontId="166" fillId="0" borderId="105" xfId="0" applyFont="1" applyBorder="1" applyAlignment="1">
      <alignment horizontal="center"/>
    </xf>
    <xf numFmtId="0" fontId="166" fillId="0" borderId="84" xfId="0" applyFont="1" applyBorder="1" applyAlignment="1">
      <alignment horizontal="center"/>
    </xf>
    <xf numFmtId="0" fontId="6" fillId="0" borderId="9"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176" fontId="2" fillId="0" borderId="6" xfId="0" applyNumberFormat="1" applyFont="1" applyFill="1" applyBorder="1" applyAlignment="1">
      <alignment horizontal="center" vertical="center"/>
    </xf>
    <xf numFmtId="0" fontId="6" fillId="0" borderId="9" xfId="0" applyFont="1" applyFill="1" applyBorder="1" applyAlignment="1">
      <alignment horizontal="left" vertical="center" wrapText="1" indent="2"/>
    </xf>
    <xf numFmtId="0" fontId="6" fillId="0" borderId="0" xfId="0" applyFont="1" applyFill="1" applyBorder="1" applyAlignment="1">
      <alignment horizontal="left" vertical="center" wrapText="1" indent="2"/>
    </xf>
    <xf numFmtId="176" fontId="3" fillId="0" borderId="1" xfId="0" applyNumberFormat="1" applyFont="1" applyFill="1" applyBorder="1" applyAlignment="1">
      <alignment horizontal="center" vertical="center"/>
    </xf>
    <xf numFmtId="0" fontId="145" fillId="0" borderId="9" xfId="0" applyFont="1" applyBorder="1" applyAlignment="1">
      <alignment horizontal="center" vertical="center"/>
    </xf>
    <xf numFmtId="0" fontId="145" fillId="0" borderId="0" xfId="0" applyFont="1" applyBorder="1" applyAlignment="1">
      <alignment horizontal="center" vertical="center"/>
    </xf>
    <xf numFmtId="0" fontId="3" fillId="30" borderId="12" xfId="0" applyFont="1" applyFill="1" applyBorder="1" applyAlignment="1">
      <alignment horizontal="center" vertical="center"/>
    </xf>
    <xf numFmtId="0" fontId="3" fillId="30" borderId="11" xfId="0" applyFont="1" applyFill="1" applyBorder="1" applyAlignment="1">
      <alignment horizontal="center" vertical="center"/>
    </xf>
    <xf numFmtId="176" fontId="3" fillId="0" borderId="15" xfId="0" applyNumberFormat="1" applyFont="1" applyFill="1" applyBorder="1" applyAlignment="1">
      <alignment horizontal="center" vertical="center"/>
    </xf>
    <xf numFmtId="0" fontId="2" fillId="0" borderId="0" xfId="0" applyFont="1" applyBorder="1" applyAlignment="1">
      <alignment horizontal="justify" vertical="center" wrapText="1"/>
    </xf>
    <xf numFmtId="0" fontId="2" fillId="0" borderId="0" xfId="0" applyFont="1" applyBorder="1" applyAlignment="1">
      <alignment horizontal="justify" vertical="justify" wrapText="1"/>
    </xf>
    <xf numFmtId="0" fontId="2" fillId="0" borderId="0" xfId="0" applyFont="1" applyBorder="1" applyAlignment="1">
      <alignment horizontal="justify" vertical="top" wrapText="1"/>
    </xf>
    <xf numFmtId="0" fontId="2" fillId="0" borderId="2" xfId="0" applyFont="1" applyBorder="1" applyAlignment="1">
      <alignment horizontal="center" vertical="center"/>
    </xf>
    <xf numFmtId="3" fontId="2" fillId="0" borderId="2" xfId="1" applyNumberFormat="1" applyFont="1" applyBorder="1" applyAlignment="1">
      <alignment horizontal="center" vertical="center"/>
    </xf>
    <xf numFmtId="184" fontId="2" fillId="0" borderId="0" xfId="1" applyNumberFormat="1" applyFont="1" applyBorder="1" applyAlignment="1">
      <alignment horizontal="center" vertical="center"/>
    </xf>
    <xf numFmtId="165" fontId="3" fillId="0" borderId="5" xfId="2" applyFont="1" applyBorder="1" applyAlignment="1">
      <alignment horizontal="center" vertical="center"/>
    </xf>
    <xf numFmtId="165" fontId="3" fillId="0" borderId="7" xfId="2" applyFont="1" applyBorder="1" applyAlignment="1">
      <alignment horizontal="center" vertical="center"/>
    </xf>
    <xf numFmtId="0" fontId="3" fillId="2" borderId="2" xfId="0" applyFont="1" applyFill="1" applyBorder="1" applyAlignment="1">
      <alignment horizontal="center" wrapText="1"/>
    </xf>
    <xf numFmtId="2" fontId="6" fillId="0" borderId="0" xfId="1" applyNumberFormat="1" applyFont="1" applyFill="1" applyBorder="1" applyAlignment="1">
      <alignment horizontal="left" vertical="center"/>
    </xf>
    <xf numFmtId="170" fontId="2" fillId="0" borderId="0" xfId="2" applyNumberFormat="1" applyFont="1" applyBorder="1" applyAlignment="1">
      <alignment horizontal="center" vertical="center"/>
    </xf>
    <xf numFmtId="170" fontId="2" fillId="0" borderId="6" xfId="2" applyNumberFormat="1" applyFont="1" applyBorder="1" applyAlignment="1">
      <alignment horizontal="center" vertical="center"/>
    </xf>
    <xf numFmtId="165" fontId="3" fillId="0" borderId="0" xfId="2" applyFont="1" applyBorder="1" applyAlignment="1">
      <alignment horizontal="center" vertical="center"/>
    </xf>
    <xf numFmtId="165" fontId="3" fillId="0" borderId="3" xfId="2" applyFont="1" applyBorder="1" applyAlignment="1">
      <alignment horizontal="center" vertical="center"/>
    </xf>
    <xf numFmtId="165" fontId="3" fillId="0" borderId="4" xfId="2" applyFont="1" applyBorder="1" applyAlignment="1">
      <alignment horizontal="center" vertical="center"/>
    </xf>
    <xf numFmtId="170" fontId="3" fillId="0" borderId="0" xfId="2" applyNumberFormat="1" applyFont="1" applyBorder="1" applyAlignment="1">
      <alignment horizontal="center" vertical="center"/>
    </xf>
    <xf numFmtId="13" fontId="2" fillId="0" borderId="9" xfId="1" applyNumberFormat="1" applyFont="1" applyBorder="1" applyAlignment="1">
      <alignment horizontal="center" vertical="center"/>
    </xf>
    <xf numFmtId="0" fontId="26" fillId="0" borderId="0" xfId="0" applyFont="1" applyBorder="1" applyAlignment="1">
      <alignment horizontal="center" vertical="center"/>
    </xf>
    <xf numFmtId="0" fontId="145" fillId="0" borderId="8" xfId="0" applyFont="1" applyBorder="1" applyAlignment="1">
      <alignment horizontal="center" vertical="center"/>
    </xf>
    <xf numFmtId="166" fontId="2" fillId="0" borderId="9" xfId="1" applyFont="1" applyFill="1" applyBorder="1" applyAlignment="1">
      <alignment horizontal="center" vertical="center"/>
    </xf>
    <xf numFmtId="166" fontId="2" fillId="0" borderId="8" xfId="1" applyFont="1" applyFill="1" applyBorder="1" applyAlignment="1">
      <alignment horizontal="center" vertical="center"/>
    </xf>
    <xf numFmtId="0" fontId="146" fillId="0" borderId="0" xfId="0" applyFont="1" applyBorder="1" applyAlignment="1">
      <alignment horizontal="center" vertical="center"/>
    </xf>
    <xf numFmtId="0" fontId="15" fillId="17" borderId="12" xfId="0" applyFont="1" applyFill="1" applyBorder="1" applyAlignment="1">
      <alignment horizontal="center" vertical="center"/>
    </xf>
    <xf numFmtId="0" fontId="15" fillId="17" borderId="11" xfId="0" applyFont="1" applyFill="1" applyBorder="1" applyAlignment="1">
      <alignment horizontal="center" vertical="center"/>
    </xf>
    <xf numFmtId="166" fontId="65" fillId="0" borderId="9" xfId="1" applyFont="1" applyBorder="1" applyAlignment="1">
      <alignment horizontal="center" vertical="center"/>
    </xf>
    <xf numFmtId="166" fontId="65" fillId="0" borderId="8" xfId="1" applyFont="1" applyBorder="1" applyAlignment="1">
      <alignment horizontal="center" vertical="center"/>
    </xf>
    <xf numFmtId="166" fontId="2" fillId="0" borderId="0" xfId="1" applyFont="1" applyFill="1" applyBorder="1" applyAlignment="1">
      <alignment horizontal="center" vertical="center"/>
    </xf>
    <xf numFmtId="167" fontId="2" fillId="0" borderId="0" xfId="1" applyNumberFormat="1" applyFont="1" applyAlignment="1">
      <alignment horizontal="center" vertical="center"/>
    </xf>
    <xf numFmtId="3" fontId="2" fillId="0" borderId="0" xfId="1" applyNumberFormat="1" applyFont="1" applyBorder="1" applyAlignment="1">
      <alignment horizontal="center" vertical="center"/>
    </xf>
    <xf numFmtId="185" fontId="3" fillId="27" borderId="12" xfId="1" applyNumberFormat="1" applyFont="1" applyFill="1" applyBorder="1" applyAlignment="1">
      <alignment horizontal="center" vertical="center"/>
    </xf>
    <xf numFmtId="185" fontId="3" fillId="27" borderId="11" xfId="1" applyNumberFormat="1" applyFont="1" applyFill="1" applyBorder="1" applyAlignment="1">
      <alignment horizontal="center" vertical="center"/>
    </xf>
    <xf numFmtId="0" fontId="149" fillId="0" borderId="0" xfId="0" applyFont="1" applyBorder="1" applyAlignment="1">
      <alignment horizontal="left" vertical="center"/>
    </xf>
    <xf numFmtId="167" fontId="3" fillId="0" borderId="12" xfId="0" applyNumberFormat="1" applyFont="1" applyBorder="1" applyAlignment="1">
      <alignment horizontal="center" vertical="center"/>
    </xf>
    <xf numFmtId="167" fontId="3" fillId="0" borderId="11" xfId="0" applyNumberFormat="1" applyFont="1" applyBorder="1" applyAlignment="1">
      <alignment horizontal="center" vertical="center"/>
    </xf>
    <xf numFmtId="0" fontId="6" fillId="0" borderId="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176" fontId="3" fillId="0" borderId="0" xfId="0" applyNumberFormat="1" applyFont="1" applyFill="1" applyBorder="1" applyAlignment="1">
      <alignment horizontal="center" vertical="center"/>
    </xf>
    <xf numFmtId="0" fontId="2" fillId="0" borderId="0" xfId="0" applyFont="1" applyFill="1" applyAlignment="1">
      <alignment horizontal="center" vertical="center"/>
    </xf>
    <xf numFmtId="176" fontId="2" fillId="0" borderId="0" xfId="0" applyNumberFormat="1" applyFont="1" applyFill="1" applyBorder="1" applyAlignment="1">
      <alignment horizontal="center" vertical="center"/>
    </xf>
    <xf numFmtId="166" fontId="10" fillId="0" borderId="1" xfId="1" applyFont="1" applyBorder="1" applyAlignment="1">
      <alignment horizontal="center" vertical="center"/>
    </xf>
    <xf numFmtId="176" fontId="2" fillId="0" borderId="0" xfId="0" applyNumberFormat="1" applyFont="1" applyFill="1" applyAlignment="1">
      <alignment horizontal="center" vertical="center"/>
    </xf>
    <xf numFmtId="166" fontId="3" fillId="0" borderId="12" xfId="0" applyNumberFormat="1" applyFont="1" applyBorder="1" applyAlignment="1">
      <alignment horizontal="center" vertical="center"/>
    </xf>
    <xf numFmtId="0" fontId="3" fillId="0" borderId="11" xfId="0" applyFont="1" applyBorder="1" applyAlignment="1">
      <alignment horizontal="center" vertical="center"/>
    </xf>
    <xf numFmtId="166" fontId="3" fillId="0" borderId="11" xfId="0" applyNumberFormat="1" applyFont="1" applyBorder="1" applyAlignment="1">
      <alignment horizontal="center" vertical="center"/>
    </xf>
    <xf numFmtId="0" fontId="6" fillId="0" borderId="0" xfId="0" applyFont="1" applyBorder="1" applyAlignment="1">
      <alignment horizontal="center" vertical="center"/>
    </xf>
    <xf numFmtId="0" fontId="3" fillId="31" borderId="12" xfId="0" applyFont="1" applyFill="1" applyBorder="1" applyAlignment="1">
      <alignment horizontal="center" vertical="center"/>
    </xf>
    <xf numFmtId="0" fontId="3" fillId="31" borderId="10" xfId="0" applyFont="1" applyFill="1" applyBorder="1" applyAlignment="1">
      <alignment horizontal="center" vertical="center"/>
    </xf>
    <xf numFmtId="0" fontId="3" fillId="31" borderId="11" xfId="0" applyFont="1" applyFill="1" applyBorder="1" applyAlignment="1">
      <alignment horizontal="center" vertical="center"/>
    </xf>
    <xf numFmtId="0" fontId="12"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33" fillId="32" borderId="12" xfId="0" applyFont="1" applyFill="1" applyBorder="1" applyAlignment="1">
      <alignment horizontal="center" vertical="center"/>
    </xf>
    <xf numFmtId="0" fontId="133" fillId="32" borderId="10" xfId="0" applyFont="1" applyFill="1" applyBorder="1" applyAlignment="1">
      <alignment horizontal="center" vertical="center"/>
    </xf>
    <xf numFmtId="0" fontId="133" fillId="32" borderId="11" xfId="0" applyFont="1" applyFill="1" applyBorder="1" applyAlignment="1">
      <alignment horizontal="center" vertical="center"/>
    </xf>
    <xf numFmtId="0" fontId="6" fillId="0" borderId="6" xfId="0" applyFont="1" applyBorder="1" applyAlignment="1">
      <alignment horizontal="center" vertical="center"/>
    </xf>
    <xf numFmtId="3" fontId="2" fillId="0" borderId="0" xfId="1" applyNumberFormat="1" applyFont="1" applyBorder="1" applyAlignment="1">
      <alignment horizontal="left" vertical="center"/>
    </xf>
    <xf numFmtId="0" fontId="118" fillId="9" borderId="2" xfId="0" applyFont="1" applyFill="1" applyBorder="1" applyAlignment="1">
      <alignment horizontal="left"/>
    </xf>
    <xf numFmtId="166" fontId="38" fillId="9" borderId="2" xfId="1" applyFont="1" applyFill="1" applyBorder="1" applyAlignment="1">
      <alignment horizontal="center"/>
    </xf>
    <xf numFmtId="0" fontId="39" fillId="24" borderId="2" xfId="0" applyFont="1" applyFill="1" applyBorder="1" applyAlignment="1">
      <alignment horizontal="center"/>
    </xf>
    <xf numFmtId="166" fontId="39" fillId="24" borderId="2" xfId="1" applyFont="1" applyFill="1" applyBorder="1" applyAlignment="1">
      <alignment horizontal="center" vertical="center"/>
    </xf>
    <xf numFmtId="14" fontId="10" fillId="0" borderId="12" xfId="0" applyNumberFormat="1" applyFont="1" applyBorder="1" applyAlignment="1">
      <alignment horizontal="center" vertical="center"/>
    </xf>
    <xf numFmtId="0" fontId="10" fillId="0" borderId="11" xfId="0" applyFont="1" applyBorder="1" applyAlignment="1">
      <alignment horizontal="center" vertical="center"/>
    </xf>
    <xf numFmtId="166" fontId="2" fillId="0" borderId="0" xfId="0" applyNumberFormat="1" applyFont="1" applyAlignment="1">
      <alignment horizontal="center" vertical="center"/>
    </xf>
    <xf numFmtId="166" fontId="2" fillId="0" borderId="3" xfId="0" applyNumberFormat="1" applyFont="1" applyBorder="1" applyAlignment="1">
      <alignment horizontal="center" vertical="center"/>
    </xf>
    <xf numFmtId="166" fontId="2" fillId="0" borderId="5" xfId="0" applyNumberFormat="1" applyFont="1" applyBorder="1" applyAlignment="1">
      <alignment horizontal="center" vertical="center"/>
    </xf>
    <xf numFmtId="166" fontId="2" fillId="0" borderId="7" xfId="0" applyNumberFormat="1" applyFont="1" applyBorder="1" applyAlignment="1">
      <alignment horizontal="center" vertical="center"/>
    </xf>
    <xf numFmtId="166" fontId="2" fillId="0" borderId="10" xfId="0" applyNumberFormat="1" applyFont="1" applyBorder="1" applyAlignment="1">
      <alignment horizontal="center" vertical="center"/>
    </xf>
    <xf numFmtId="0" fontId="3" fillId="0" borderId="12" xfId="0" applyFont="1" applyBorder="1" applyAlignment="1">
      <alignment horizontal="center" vertical="center"/>
    </xf>
    <xf numFmtId="0" fontId="6" fillId="0" borderId="9" xfId="0" applyFont="1" applyBorder="1" applyAlignment="1">
      <alignment horizontal="center" vertical="center"/>
    </xf>
    <xf numFmtId="0" fontId="6" fillId="0" borderId="8" xfId="0" applyFont="1" applyBorder="1" applyAlignment="1">
      <alignment horizontal="center" vertical="center"/>
    </xf>
    <xf numFmtId="186" fontId="65" fillId="0" borderId="9" xfId="1" applyNumberFormat="1" applyFont="1" applyBorder="1" applyAlignment="1">
      <alignment horizontal="center" vertical="center"/>
    </xf>
    <xf numFmtId="186" fontId="65" fillId="0" borderId="8" xfId="1" applyNumberFormat="1" applyFont="1" applyBorder="1" applyAlignment="1">
      <alignment horizontal="center" vertical="center"/>
    </xf>
    <xf numFmtId="166" fontId="2" fillId="9" borderId="5" xfId="1" applyFont="1" applyFill="1" applyBorder="1" applyAlignment="1">
      <alignment horizontal="center" vertical="center"/>
    </xf>
    <xf numFmtId="166" fontId="2" fillId="9" borderId="7" xfId="1" applyFont="1" applyFill="1" applyBorder="1" applyAlignment="1">
      <alignment horizontal="center" vertical="center"/>
    </xf>
    <xf numFmtId="166" fontId="2" fillId="9" borderId="6" xfId="1" applyFont="1" applyFill="1" applyBorder="1" applyAlignment="1">
      <alignment horizontal="center" vertical="center"/>
    </xf>
    <xf numFmtId="0" fontId="3" fillId="13" borderId="2" xfId="0" applyFont="1" applyFill="1" applyBorder="1" applyAlignment="1">
      <alignment horizontal="center" vertical="center"/>
    </xf>
    <xf numFmtId="0" fontId="2" fillId="0" borderId="2" xfId="0" applyFont="1" applyBorder="1" applyAlignment="1">
      <alignment horizontal="left" vertical="center"/>
    </xf>
    <xf numFmtId="166" fontId="2" fillId="9" borderId="9" xfId="1" applyFont="1" applyFill="1" applyBorder="1" applyAlignment="1">
      <alignment horizontal="center" vertical="center"/>
    </xf>
    <xf numFmtId="166" fontId="2" fillId="9" borderId="8" xfId="1" applyFont="1" applyFill="1" applyBorder="1" applyAlignment="1">
      <alignment horizontal="center" vertical="center"/>
    </xf>
    <xf numFmtId="166" fontId="2" fillId="9" borderId="3" xfId="1" applyFont="1" applyFill="1" applyBorder="1" applyAlignment="1">
      <alignment horizontal="center" vertical="center"/>
    </xf>
    <xf numFmtId="166" fontId="2" fillId="9" borderId="4" xfId="1" applyFont="1" applyFill="1" applyBorder="1" applyAlignment="1">
      <alignment horizontal="center" vertical="center"/>
    </xf>
    <xf numFmtId="0" fontId="12" fillId="24" borderId="3" xfId="1" applyNumberFormat="1" applyFont="1" applyFill="1" applyBorder="1" applyAlignment="1">
      <alignment horizontal="center" vertical="center" wrapText="1"/>
    </xf>
    <xf numFmtId="0" fontId="12" fillId="24" borderId="1" xfId="1" applyNumberFormat="1" applyFont="1" applyFill="1" applyBorder="1" applyAlignment="1">
      <alignment horizontal="center" vertical="center" wrapText="1"/>
    </xf>
    <xf numFmtId="0" fontId="12" fillId="24" borderId="4" xfId="1" applyNumberFormat="1" applyFont="1" applyFill="1" applyBorder="1" applyAlignment="1">
      <alignment horizontal="center" vertical="center" wrapText="1"/>
    </xf>
    <xf numFmtId="0" fontId="12" fillId="24" borderId="5" xfId="1" applyNumberFormat="1" applyFont="1" applyFill="1" applyBorder="1" applyAlignment="1">
      <alignment horizontal="center" vertical="center" wrapText="1"/>
    </xf>
    <xf numFmtId="0" fontId="12" fillId="24" borderId="6" xfId="1" applyNumberFormat="1" applyFont="1" applyFill="1" applyBorder="1" applyAlignment="1">
      <alignment horizontal="center" vertical="center" wrapText="1"/>
    </xf>
    <xf numFmtId="0" fontId="12" fillId="24" borderId="7" xfId="1" applyNumberFormat="1" applyFont="1" applyFill="1" applyBorder="1" applyAlignment="1">
      <alignment horizontal="center" vertical="center" wrapText="1"/>
    </xf>
    <xf numFmtId="166" fontId="2" fillId="9" borderId="0" xfId="1" applyFont="1" applyFill="1" applyBorder="1" applyAlignment="1">
      <alignment horizontal="center" vertical="center"/>
    </xf>
    <xf numFmtId="0" fontId="12" fillId="2" borderId="3" xfId="1" applyNumberFormat="1" applyFont="1" applyFill="1" applyBorder="1" applyAlignment="1">
      <alignment horizontal="center" vertical="center" wrapText="1"/>
    </xf>
    <xf numFmtId="0" fontId="12" fillId="2" borderId="1" xfId="1" applyNumberFormat="1" applyFont="1" applyFill="1" applyBorder="1" applyAlignment="1">
      <alignment horizontal="center" vertical="center" wrapText="1"/>
    </xf>
    <xf numFmtId="0" fontId="12" fillId="2" borderId="4" xfId="1" applyNumberFormat="1" applyFont="1" applyFill="1" applyBorder="1" applyAlignment="1">
      <alignment horizontal="center" vertical="center" wrapText="1"/>
    </xf>
    <xf numFmtId="0" fontId="12" fillId="2" borderId="5" xfId="1" applyNumberFormat="1" applyFont="1" applyFill="1" applyBorder="1" applyAlignment="1">
      <alignment horizontal="center" vertical="center" wrapText="1"/>
    </xf>
    <xf numFmtId="0" fontId="12" fillId="2" borderId="6" xfId="1" applyNumberFormat="1" applyFont="1" applyFill="1" applyBorder="1" applyAlignment="1">
      <alignment horizontal="center" vertical="center" wrapText="1"/>
    </xf>
    <xf numFmtId="0" fontId="12" fillId="2" borderId="7" xfId="1" applyNumberFormat="1" applyFont="1" applyFill="1" applyBorder="1" applyAlignment="1">
      <alignment horizontal="center" vertical="center" wrapText="1"/>
    </xf>
    <xf numFmtId="166" fontId="2" fillId="9" borderId="1" xfId="1" applyFont="1" applyFill="1" applyBorder="1" applyAlignment="1">
      <alignment horizontal="center" vertical="center"/>
    </xf>
    <xf numFmtId="166" fontId="2" fillId="0" borderId="5" xfId="1" applyFont="1" applyFill="1" applyBorder="1" applyAlignment="1">
      <alignment horizontal="center" vertical="center"/>
    </xf>
    <xf numFmtId="166" fontId="2" fillId="0" borderId="6" xfId="1" applyFont="1" applyFill="1" applyBorder="1" applyAlignment="1">
      <alignment horizontal="center" vertical="center"/>
    </xf>
    <xf numFmtId="166" fontId="2" fillId="0" borderId="7" xfId="1" applyFont="1" applyFill="1" applyBorder="1" applyAlignment="1">
      <alignment horizontal="center" vertical="center"/>
    </xf>
    <xf numFmtId="0" fontId="7"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7" fillId="0" borderId="8" xfId="0" applyFont="1" applyFill="1" applyBorder="1" applyAlignment="1">
      <alignment horizontal="center" vertical="center"/>
    </xf>
    <xf numFmtId="0" fontId="2" fillId="0" borderId="9" xfId="0" applyFont="1" applyFill="1" applyBorder="1" applyAlignment="1">
      <alignment horizontal="left" vertical="center" indent="1"/>
    </xf>
    <xf numFmtId="0" fontId="2" fillId="0" borderId="0" xfId="0" applyFont="1" applyFill="1" applyBorder="1" applyAlignment="1">
      <alignment horizontal="left" vertical="center" indent="1"/>
    </xf>
    <xf numFmtId="0" fontId="2" fillId="0" borderId="8" xfId="0" applyFont="1" applyFill="1" applyBorder="1" applyAlignment="1">
      <alignment horizontal="left" vertical="center" indent="1"/>
    </xf>
    <xf numFmtId="169" fontId="150" fillId="0" borderId="9" xfId="1" applyNumberFormat="1" applyFont="1" applyFill="1" applyBorder="1" applyAlignment="1">
      <alignment horizontal="left" vertical="center" indent="3"/>
    </xf>
    <xf numFmtId="169" fontId="150" fillId="0" borderId="8" xfId="1" applyNumberFormat="1" applyFont="1" applyFill="1" applyBorder="1" applyAlignment="1">
      <alignment horizontal="left" vertical="center" indent="3"/>
    </xf>
    <xf numFmtId="0" fontId="2" fillId="0" borderId="9"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5" xfId="0" applyFont="1" applyFill="1" applyBorder="1" applyAlignment="1">
      <alignment horizontal="left" vertical="center" indent="1"/>
    </xf>
    <xf numFmtId="0" fontId="2" fillId="0" borderId="6" xfId="0" applyFont="1" applyFill="1" applyBorder="1" applyAlignment="1">
      <alignment horizontal="left" vertical="center" indent="1"/>
    </xf>
    <xf numFmtId="0" fontId="2" fillId="0" borderId="7" xfId="0" applyFont="1" applyFill="1" applyBorder="1" applyAlignment="1">
      <alignment horizontal="left" vertical="center" indent="1"/>
    </xf>
    <xf numFmtId="167" fontId="150" fillId="0" borderId="5" xfId="1" applyNumberFormat="1" applyFont="1" applyFill="1" applyBorder="1" applyAlignment="1">
      <alignment horizontal="left" vertical="center" indent="3"/>
    </xf>
    <xf numFmtId="167" fontId="150" fillId="0" borderId="7" xfId="1" applyNumberFormat="1" applyFont="1" applyFill="1" applyBorder="1" applyAlignment="1">
      <alignment horizontal="left" vertical="center" indent="3"/>
    </xf>
    <xf numFmtId="0" fontId="2" fillId="0" borderId="5" xfId="0" applyFont="1" applyFill="1" applyBorder="1" applyAlignment="1">
      <alignment horizontal="center" vertical="center"/>
    </xf>
    <xf numFmtId="0" fontId="2" fillId="0" borderId="7" xfId="0" applyFont="1" applyFill="1" applyBorder="1" applyAlignment="1">
      <alignment horizontal="center" vertical="center"/>
    </xf>
    <xf numFmtId="0" fontId="3" fillId="0" borderId="5" xfId="0" applyFont="1" applyFill="1" applyBorder="1" applyAlignment="1">
      <alignment horizontal="left" vertical="center" indent="1"/>
    </xf>
    <xf numFmtId="0" fontId="3" fillId="0" borderId="6" xfId="0" applyFont="1" applyFill="1" applyBorder="1" applyAlignment="1">
      <alignment horizontal="left" vertical="center" indent="1"/>
    </xf>
    <xf numFmtId="0" fontId="3" fillId="0" borderId="7" xfId="0" applyFont="1" applyFill="1" applyBorder="1" applyAlignment="1">
      <alignment horizontal="left" vertical="center" indent="1"/>
    </xf>
    <xf numFmtId="167" fontId="21" fillId="0" borderId="12" xfId="1" applyNumberFormat="1" applyFont="1" applyFill="1" applyBorder="1" applyAlignment="1">
      <alignment horizontal="left" vertical="center" indent="3"/>
    </xf>
    <xf numFmtId="167" fontId="21" fillId="0" borderId="11" xfId="1" applyNumberFormat="1" applyFont="1" applyFill="1" applyBorder="1" applyAlignment="1">
      <alignment horizontal="left" vertical="center" indent="3"/>
    </xf>
    <xf numFmtId="0" fontId="3" fillId="0" borderId="0" xfId="0" applyFont="1" applyFill="1" applyBorder="1" applyAlignment="1">
      <alignment horizontal="center" vertical="center"/>
    </xf>
    <xf numFmtId="166" fontId="3" fillId="0" borderId="6" xfId="1" applyFont="1" applyFill="1" applyBorder="1" applyAlignment="1">
      <alignment horizontal="center" vertical="center"/>
    </xf>
    <xf numFmtId="167" fontId="150" fillId="0" borderId="9" xfId="1" applyNumberFormat="1" applyFont="1" applyFill="1" applyBorder="1" applyAlignment="1">
      <alignment horizontal="left" vertical="center" indent="3"/>
    </xf>
    <xf numFmtId="167" fontId="150" fillId="0" borderId="8" xfId="1" applyNumberFormat="1" applyFont="1" applyFill="1" applyBorder="1" applyAlignment="1">
      <alignment horizontal="left" vertical="center" indent="3"/>
    </xf>
    <xf numFmtId="167" fontId="3" fillId="0" borderId="12" xfId="1" applyNumberFormat="1" applyFont="1" applyFill="1" applyBorder="1" applyAlignment="1">
      <alignment horizontal="center" vertical="center"/>
    </xf>
    <xf numFmtId="167" fontId="3" fillId="0" borderId="11" xfId="1" applyNumberFormat="1" applyFont="1" applyFill="1" applyBorder="1" applyAlignment="1">
      <alignment horizontal="center" vertical="center"/>
    </xf>
    <xf numFmtId="0" fontId="3" fillId="2" borderId="12"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183" fontId="150" fillId="0" borderId="9" xfId="1" applyNumberFormat="1" applyFont="1" applyFill="1" applyBorder="1" applyAlignment="1">
      <alignment horizontal="left" vertical="center" indent="3"/>
    </xf>
    <xf numFmtId="183" fontId="150" fillId="0" borderId="8" xfId="1" applyNumberFormat="1" applyFont="1" applyFill="1" applyBorder="1" applyAlignment="1">
      <alignment horizontal="left" vertical="center" indent="3"/>
    </xf>
    <xf numFmtId="0" fontId="35" fillId="0" borderId="0"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1" applyFont="1" applyBorder="1" applyAlignment="1">
      <alignment horizontal="center" vertical="center"/>
    </xf>
    <xf numFmtId="167" fontId="3" fillId="2" borderId="15" xfId="0" applyNumberFormat="1" applyFont="1" applyFill="1" applyBorder="1" applyAlignment="1">
      <alignment horizontal="center" vertical="center"/>
    </xf>
    <xf numFmtId="0" fontId="3" fillId="2" borderId="15" xfId="0" applyFont="1" applyFill="1" applyBorder="1" applyAlignment="1">
      <alignment horizontal="center" vertical="center"/>
    </xf>
    <xf numFmtId="166" fontId="3" fillId="2" borderId="15" xfId="1" applyFont="1" applyFill="1" applyBorder="1" applyAlignment="1">
      <alignment horizontal="center" vertical="center"/>
    </xf>
    <xf numFmtId="9" fontId="2" fillId="0" borderId="0" xfId="3" applyFont="1" applyBorder="1" applyAlignment="1">
      <alignment horizontal="center" vertical="center"/>
    </xf>
    <xf numFmtId="167" fontId="3" fillId="4" borderId="15" xfId="0" applyNumberFormat="1" applyFont="1" applyFill="1" applyBorder="1" applyAlignment="1">
      <alignment horizontal="center" vertical="center"/>
    </xf>
    <xf numFmtId="0" fontId="3" fillId="4" borderId="15" xfId="0" applyFont="1" applyFill="1" applyBorder="1" applyAlignment="1">
      <alignment horizontal="center" vertical="center"/>
    </xf>
    <xf numFmtId="0" fontId="33" fillId="0" borderId="3" xfId="0" applyFont="1" applyBorder="1" applyAlignment="1">
      <alignment horizontal="center" vertical="center"/>
    </xf>
    <xf numFmtId="0" fontId="33" fillId="0" borderId="1" xfId="0" applyFont="1" applyBorder="1" applyAlignment="1">
      <alignment horizontal="center" vertical="center"/>
    </xf>
    <xf numFmtId="0" fontId="33" fillId="0" borderId="4" xfId="0" applyFont="1" applyBorder="1" applyAlignment="1">
      <alignment horizontal="center" vertical="center"/>
    </xf>
    <xf numFmtId="167" fontId="2" fillId="0" borderId="14" xfId="1" applyNumberFormat="1" applyFont="1" applyBorder="1" applyAlignment="1">
      <alignment horizontal="left" vertical="center"/>
    </xf>
    <xf numFmtId="167" fontId="2" fillId="0" borderId="14" xfId="1" applyNumberFormat="1" applyFont="1" applyFill="1" applyBorder="1" applyAlignment="1">
      <alignment horizontal="left" vertical="center"/>
    </xf>
    <xf numFmtId="167" fontId="42" fillId="0" borderId="2" xfId="0" applyNumberFormat="1" applyFont="1" applyBorder="1" applyAlignment="1">
      <alignment horizontal="left" vertical="center"/>
    </xf>
    <xf numFmtId="167" fontId="42" fillId="0" borderId="2" xfId="0" applyNumberFormat="1" applyFont="1" applyFill="1" applyBorder="1" applyAlignment="1">
      <alignment horizontal="left" vertical="center"/>
    </xf>
    <xf numFmtId="0" fontId="33" fillId="0" borderId="0" xfId="0" applyFont="1" applyBorder="1" applyAlignment="1">
      <alignment horizontal="center" vertical="center"/>
    </xf>
    <xf numFmtId="167" fontId="2" fillId="0" borderId="22" xfId="1" applyNumberFormat="1" applyFont="1" applyBorder="1" applyAlignment="1">
      <alignment horizontal="left" vertical="center"/>
    </xf>
    <xf numFmtId="167" fontId="2" fillId="0" borderId="22" xfId="1" applyNumberFormat="1" applyFont="1" applyFill="1" applyBorder="1" applyAlignment="1">
      <alignment horizontal="left" vertical="center"/>
    </xf>
    <xf numFmtId="0" fontId="10" fillId="2" borderId="2" xfId="0" applyFont="1" applyFill="1" applyBorder="1" applyAlignment="1">
      <alignment horizontal="center" vertical="center"/>
    </xf>
    <xf numFmtId="166" fontId="10" fillId="2" borderId="2" xfId="1" applyFont="1" applyFill="1" applyBorder="1" applyAlignment="1">
      <alignment horizontal="center" vertical="center"/>
    </xf>
    <xf numFmtId="0" fontId="6" fillId="27" borderId="2" xfId="0" applyFont="1" applyFill="1" applyBorder="1" applyAlignment="1">
      <alignment horizontal="center" vertical="center"/>
    </xf>
    <xf numFmtId="0" fontId="3" fillId="0" borderId="8" xfId="0" applyFont="1" applyBorder="1" applyAlignment="1">
      <alignment horizontal="center" vertical="center"/>
    </xf>
    <xf numFmtId="9" fontId="2" fillId="0" borderId="12" xfId="3" applyFont="1" applyBorder="1" applyAlignment="1">
      <alignment horizontal="center" vertical="center"/>
    </xf>
    <xf numFmtId="9" fontId="2" fillId="0" borderId="11" xfId="3" applyFont="1" applyBorder="1" applyAlignment="1">
      <alignment horizontal="center" vertical="center"/>
    </xf>
    <xf numFmtId="0" fontId="6" fillId="21" borderId="2" xfId="0" applyFont="1" applyFill="1" applyBorder="1" applyAlignment="1">
      <alignment horizontal="center" vertical="center"/>
    </xf>
    <xf numFmtId="0" fontId="6" fillId="0" borderId="0" xfId="0" applyFont="1" applyFill="1" applyBorder="1" applyAlignment="1">
      <alignment horizontal="center" vertical="center"/>
    </xf>
    <xf numFmtId="9" fontId="2" fillId="0" borderId="0" xfId="3" applyFont="1" applyFill="1" applyBorder="1" applyAlignment="1">
      <alignment horizontal="center" vertical="center"/>
    </xf>
    <xf numFmtId="169" fontId="2" fillId="0" borderId="0" xfId="0" applyNumberFormat="1" applyFont="1" applyBorder="1" applyAlignment="1">
      <alignment horizontal="center" vertical="center"/>
    </xf>
    <xf numFmtId="169" fontId="2" fillId="0" borderId="8" xfId="0" applyNumberFormat="1" applyFont="1" applyBorder="1" applyAlignment="1">
      <alignment horizontal="center" vertical="center"/>
    </xf>
    <xf numFmtId="166" fontId="3" fillId="0" borderId="8" xfId="1" applyFont="1" applyBorder="1" applyAlignment="1">
      <alignment horizontal="center" vertical="center"/>
    </xf>
    <xf numFmtId="0" fontId="3" fillId="0" borderId="9" xfId="0" applyFont="1" applyBorder="1" applyAlignment="1">
      <alignment horizontal="left" vertical="center" indent="1"/>
    </xf>
    <xf numFmtId="0" fontId="3" fillId="0" borderId="0" xfId="0" applyFont="1" applyBorder="1" applyAlignment="1">
      <alignment horizontal="left" vertical="center" indent="1"/>
    </xf>
    <xf numFmtId="169" fontId="3" fillId="0" borderId="1" xfId="0" applyNumberFormat="1" applyFont="1" applyBorder="1" applyAlignment="1">
      <alignment horizontal="center" vertical="center"/>
    </xf>
    <xf numFmtId="169" fontId="3" fillId="0" borderId="4" xfId="0" applyNumberFormat="1" applyFont="1" applyBorder="1" applyAlignment="1">
      <alignment horizontal="center" vertical="center"/>
    </xf>
    <xf numFmtId="169" fontId="3" fillId="4" borderId="10" xfId="0" applyNumberFormat="1" applyFont="1" applyFill="1" applyBorder="1" applyAlignment="1">
      <alignment horizontal="center" vertical="center"/>
    </xf>
    <xf numFmtId="169" fontId="3" fillId="4" borderId="11" xfId="0" applyNumberFormat="1" applyFont="1" applyFill="1" applyBorder="1" applyAlignment="1">
      <alignment horizontal="center" vertical="center"/>
    </xf>
    <xf numFmtId="0" fontId="3" fillId="2" borderId="12" xfId="0" applyFont="1" applyFill="1" applyBorder="1" applyAlignment="1">
      <alignment horizontal="left" vertical="center" indent="1"/>
    </xf>
    <xf numFmtId="0" fontId="3" fillId="2" borderId="10" xfId="0" applyFont="1" applyFill="1" applyBorder="1" applyAlignment="1">
      <alignment horizontal="left" vertical="center" indent="1"/>
    </xf>
    <xf numFmtId="167" fontId="3" fillId="2" borderId="10" xfId="0" applyNumberFormat="1" applyFont="1" applyFill="1" applyBorder="1" applyAlignment="1">
      <alignment horizontal="center" vertical="center"/>
    </xf>
    <xf numFmtId="167" fontId="3" fillId="2" borderId="11" xfId="0" applyNumberFormat="1" applyFont="1" applyFill="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166" fontId="9" fillId="16" borderId="12" xfId="1" applyFont="1" applyFill="1" applyBorder="1" applyAlignment="1">
      <alignment horizontal="center" vertical="center"/>
    </xf>
    <xf numFmtId="166" fontId="9" fillId="16" borderId="11" xfId="1" applyFont="1" applyFill="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8" xfId="0" applyFont="1" applyBorder="1" applyAlignment="1">
      <alignment horizontal="left" vertical="center" wrapText="1" indent="1"/>
    </xf>
    <xf numFmtId="3" fontId="2" fillId="0" borderId="22" xfId="0" applyNumberFormat="1" applyFont="1" applyBorder="1" applyAlignment="1">
      <alignment horizontal="center" vertical="center"/>
    </xf>
    <xf numFmtId="0" fontId="2" fillId="0" borderId="9" xfId="0" applyFont="1" applyBorder="1" applyAlignment="1">
      <alignment horizontal="left" vertical="center" wrapText="1" indent="2"/>
    </xf>
    <xf numFmtId="0" fontId="2" fillId="0" borderId="0" xfId="0" applyFont="1" applyBorder="1" applyAlignment="1">
      <alignment horizontal="left" vertical="center" wrapText="1" indent="2"/>
    </xf>
    <xf numFmtId="0" fontId="2" fillId="0" borderId="8" xfId="0" applyFont="1" applyBorder="1" applyAlignment="1">
      <alignment horizontal="left" vertical="center" wrapText="1" indent="2"/>
    </xf>
    <xf numFmtId="0" fontId="2" fillId="0" borderId="5" xfId="0" applyFont="1" applyBorder="1" applyAlignment="1">
      <alignment horizontal="left" vertical="center" wrapText="1" indent="2"/>
    </xf>
    <xf numFmtId="0" fontId="2" fillId="0" borderId="6" xfId="0" applyFont="1" applyBorder="1" applyAlignment="1">
      <alignment horizontal="left" vertical="center" wrapText="1" indent="2"/>
    </xf>
    <xf numFmtId="0" fontId="2" fillId="0" borderId="7" xfId="0" applyFont="1" applyBorder="1" applyAlignment="1">
      <alignment horizontal="left" vertical="center" wrapText="1" indent="2"/>
    </xf>
    <xf numFmtId="3" fontId="2" fillId="0" borderId="14" xfId="0" applyNumberFormat="1" applyFont="1" applyBorder="1" applyAlignment="1">
      <alignment horizontal="center" vertical="center"/>
    </xf>
    <xf numFmtId="0" fontId="2" fillId="9" borderId="9" xfId="0" applyFont="1" applyFill="1" applyBorder="1" applyAlignment="1">
      <alignment horizontal="left" vertical="center" wrapText="1" indent="2"/>
    </xf>
    <xf numFmtId="0" fontId="2" fillId="9" borderId="0" xfId="0" applyFont="1" applyFill="1" applyBorder="1" applyAlignment="1">
      <alignment horizontal="left" vertical="center" wrapText="1" indent="2"/>
    </xf>
    <xf numFmtId="0" fontId="2" fillId="9" borderId="8" xfId="0" applyFont="1" applyFill="1" applyBorder="1" applyAlignment="1">
      <alignment horizontal="left" vertical="center" wrapText="1" indent="2"/>
    </xf>
    <xf numFmtId="0" fontId="2" fillId="9" borderId="5" xfId="0" applyFont="1" applyFill="1" applyBorder="1" applyAlignment="1">
      <alignment horizontal="left" vertical="center" wrapText="1" indent="2"/>
    </xf>
    <xf numFmtId="0" fontId="2" fillId="9" borderId="6" xfId="0" applyFont="1" applyFill="1" applyBorder="1" applyAlignment="1">
      <alignment horizontal="left" vertical="center" wrapText="1" indent="2"/>
    </xf>
    <xf numFmtId="0" fontId="2" fillId="9" borderId="7" xfId="0" applyFont="1" applyFill="1" applyBorder="1" applyAlignment="1">
      <alignment horizontal="left" vertical="center" wrapText="1" indent="2"/>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3" fontId="2" fillId="0" borderId="13" xfId="0" applyNumberFormat="1" applyFont="1" applyBorder="1" applyAlignment="1">
      <alignment horizontal="center" vertical="center"/>
    </xf>
    <xf numFmtId="0" fontId="42" fillId="9" borderId="0" xfId="0" applyFont="1" applyFill="1" applyAlignment="1">
      <alignment horizontal="center"/>
    </xf>
    <xf numFmtId="0" fontId="92" fillId="9" borderId="0" xfId="0" applyFont="1" applyFill="1" applyAlignment="1">
      <alignment horizontal="center"/>
    </xf>
    <xf numFmtId="166" fontId="35" fillId="0" borderId="9" xfId="1" applyFont="1" applyBorder="1" applyAlignment="1">
      <alignment horizontal="left" vertical="center" indent="1"/>
    </xf>
    <xf numFmtId="166" fontId="35" fillId="0" borderId="0" xfId="1" applyFont="1" applyAlignment="1">
      <alignment horizontal="left" vertical="center" indent="1"/>
    </xf>
    <xf numFmtId="166" fontId="9" fillId="0" borderId="9" xfId="1" applyFont="1" applyBorder="1" applyAlignment="1">
      <alignment horizontal="left" vertical="center" wrapText="1" indent="1"/>
    </xf>
    <xf numFmtId="166" fontId="9" fillId="0" borderId="0" xfId="1" applyFont="1" applyBorder="1" applyAlignment="1">
      <alignment horizontal="left" vertical="center" wrapText="1" indent="1"/>
    </xf>
    <xf numFmtId="167" fontId="26" fillId="0" borderId="9" xfId="1" applyNumberFormat="1" applyFont="1" applyBorder="1" applyAlignment="1">
      <alignment horizontal="left" wrapText="1"/>
    </xf>
    <xf numFmtId="167" fontId="26" fillId="0" borderId="0" xfId="1" applyNumberFormat="1" applyFont="1" applyAlignment="1">
      <alignment horizontal="left" wrapText="1"/>
    </xf>
    <xf numFmtId="3" fontId="2" fillId="0" borderId="2" xfId="0" applyNumberFormat="1" applyFont="1" applyBorder="1" applyAlignment="1">
      <alignment horizontal="center" vertical="center"/>
    </xf>
    <xf numFmtId="3" fontId="2" fillId="0" borderId="0" xfId="0" applyNumberFormat="1" applyFont="1" applyAlignment="1">
      <alignment horizontal="center" vertical="center"/>
    </xf>
    <xf numFmtId="3" fontId="2" fillId="0" borderId="12" xfId="0" applyNumberFormat="1" applyFont="1" applyBorder="1" applyAlignment="1">
      <alignment horizontal="center" vertical="center"/>
    </xf>
    <xf numFmtId="3" fontId="2" fillId="0" borderId="10" xfId="0" applyNumberFormat="1" applyFont="1" applyBorder="1" applyAlignment="1">
      <alignment horizontal="center" vertical="center"/>
    </xf>
    <xf numFmtId="166" fontId="21" fillId="4" borderId="2" xfId="1" applyFont="1" applyFill="1" applyBorder="1" applyAlignment="1">
      <alignment horizontal="center" vertical="center" wrapText="1"/>
    </xf>
    <xf numFmtId="167" fontId="2" fillId="0" borderId="2" xfId="1" applyNumberFormat="1" applyFont="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16" fontId="3" fillId="3" borderId="3" xfId="0" applyNumberFormat="1" applyFont="1" applyFill="1" applyBorder="1" applyAlignment="1">
      <alignment horizontal="center" vertical="center"/>
    </xf>
    <xf numFmtId="16" fontId="3" fillId="3" borderId="1" xfId="0" applyNumberFormat="1" applyFont="1" applyFill="1" applyBorder="1" applyAlignment="1">
      <alignment horizontal="center" vertical="center"/>
    </xf>
    <xf numFmtId="16" fontId="3" fillId="3" borderId="9" xfId="0" applyNumberFormat="1" applyFont="1" applyFill="1" applyBorder="1" applyAlignment="1">
      <alignment horizontal="center" vertical="center"/>
    </xf>
    <xf numFmtId="16" fontId="3" fillId="3" borderId="0" xfId="0" applyNumberFormat="1" applyFont="1" applyFill="1" applyBorder="1" applyAlignment="1">
      <alignment horizontal="center" vertical="center"/>
    </xf>
    <xf numFmtId="167" fontId="2" fillId="0" borderId="13" xfId="1" applyNumberFormat="1" applyFont="1" applyBorder="1" applyAlignment="1">
      <alignment horizontal="center" vertical="top"/>
    </xf>
    <xf numFmtId="167" fontId="2" fillId="0" borderId="22" xfId="1" applyNumberFormat="1" applyFont="1" applyBorder="1" applyAlignment="1">
      <alignment horizontal="center" vertical="top"/>
    </xf>
    <xf numFmtId="167" fontId="2" fillId="0" borderId="3" xfId="1" applyNumberFormat="1" applyFont="1" applyBorder="1" applyAlignment="1">
      <alignment horizontal="center" vertical="top"/>
    </xf>
    <xf numFmtId="167" fontId="2" fillId="0" borderId="4" xfId="1" applyNumberFormat="1" applyFont="1" applyBorder="1" applyAlignment="1">
      <alignment horizontal="center" vertical="top"/>
    </xf>
    <xf numFmtId="167" fontId="2" fillId="0" borderId="9" xfId="1" applyNumberFormat="1" applyFont="1" applyBorder="1" applyAlignment="1">
      <alignment horizontal="center" vertical="top"/>
    </xf>
    <xf numFmtId="167" fontId="2" fillId="0" borderId="8" xfId="1" applyNumberFormat="1" applyFont="1" applyBorder="1" applyAlignment="1">
      <alignment horizontal="center" vertical="top"/>
    </xf>
    <xf numFmtId="3" fontId="21" fillId="4" borderId="3" xfId="0" applyNumberFormat="1" applyFont="1" applyFill="1" applyBorder="1" applyAlignment="1">
      <alignment horizontal="center" vertical="center"/>
    </xf>
    <xf numFmtId="3" fontId="21" fillId="4" borderId="1" xfId="0" applyNumberFormat="1" applyFont="1" applyFill="1" applyBorder="1" applyAlignment="1">
      <alignment horizontal="center" vertical="center"/>
    </xf>
    <xf numFmtId="3" fontId="21" fillId="4" borderId="4" xfId="0" applyNumberFormat="1" applyFont="1" applyFill="1" applyBorder="1" applyAlignment="1">
      <alignment horizontal="center" vertical="center"/>
    </xf>
    <xf numFmtId="3" fontId="21" fillId="4" borderId="5" xfId="0" applyNumberFormat="1" applyFont="1" applyFill="1" applyBorder="1" applyAlignment="1">
      <alignment horizontal="center" vertical="center"/>
    </xf>
    <xf numFmtId="3" fontId="21" fillId="4" borderId="6" xfId="0" applyNumberFormat="1" applyFont="1" applyFill="1" applyBorder="1" applyAlignment="1">
      <alignment horizontal="center" vertical="center"/>
    </xf>
    <xf numFmtId="3" fontId="21" fillId="4" borderId="7" xfId="0" applyNumberFormat="1" applyFont="1" applyFill="1" applyBorder="1" applyAlignment="1">
      <alignment horizontal="center" vertical="center"/>
    </xf>
    <xf numFmtId="0" fontId="21" fillId="4" borderId="2" xfId="0" applyFont="1" applyFill="1" applyBorder="1" applyAlignment="1">
      <alignment horizontal="center" vertical="center" wrapText="1"/>
    </xf>
    <xf numFmtId="167" fontId="11" fillId="0" borderId="9" xfId="1" applyNumberFormat="1" applyFont="1" applyBorder="1" applyAlignment="1">
      <alignment horizontal="center" vertical="center"/>
    </xf>
    <xf numFmtId="167" fontId="11" fillId="0" borderId="8" xfId="1" applyNumberFormat="1" applyFont="1" applyBorder="1" applyAlignment="1">
      <alignment horizontal="center" vertical="center"/>
    </xf>
    <xf numFmtId="0" fontId="3" fillId="4" borderId="2" xfId="0" applyFont="1" applyFill="1" applyBorder="1" applyAlignment="1">
      <alignment horizontal="center" vertical="center"/>
    </xf>
    <xf numFmtId="167" fontId="2" fillId="0" borderId="5" xfId="1" applyNumberFormat="1" applyFont="1" applyBorder="1" applyAlignment="1">
      <alignment horizontal="center" vertical="top"/>
    </xf>
    <xf numFmtId="167" fontId="2" fillId="0" borderId="7" xfId="1" applyNumberFormat="1" applyFont="1" applyBorder="1" applyAlignment="1">
      <alignment horizontal="center" vertical="top"/>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167" fontId="2" fillId="0" borderId="13" xfId="1" applyNumberFormat="1" applyFont="1" applyBorder="1" applyAlignment="1">
      <alignment horizontal="center" vertical="center"/>
    </xf>
    <xf numFmtId="167" fontId="2" fillId="0" borderId="22" xfId="1" applyNumberFormat="1" applyFont="1" applyBorder="1" applyAlignment="1">
      <alignment horizontal="center" vertical="center"/>
    </xf>
    <xf numFmtId="167" fontId="2" fillId="0" borderId="14" xfId="1" applyNumberFormat="1" applyFont="1" applyBorder="1" applyAlignment="1">
      <alignment horizontal="center" vertical="center"/>
    </xf>
    <xf numFmtId="167" fontId="2" fillId="0" borderId="14" xfId="1" applyNumberFormat="1" applyFont="1" applyBorder="1" applyAlignment="1">
      <alignment horizontal="center" vertical="top"/>
    </xf>
    <xf numFmtId="170" fontId="2" fillId="0" borderId="1" xfId="2" applyNumberFormat="1" applyFont="1" applyBorder="1" applyAlignment="1">
      <alignment horizontal="center" vertical="center"/>
    </xf>
    <xf numFmtId="170" fontId="2" fillId="0" borderId="0" xfId="2" applyNumberFormat="1" applyFont="1" applyAlignment="1">
      <alignment horizontal="center" vertical="center"/>
    </xf>
    <xf numFmtId="170" fontId="2" fillId="0" borderId="12" xfId="2" applyNumberFormat="1" applyFont="1" applyBorder="1" applyAlignment="1">
      <alignment horizontal="center" vertical="center"/>
    </xf>
    <xf numFmtId="170" fontId="2" fillId="0" borderId="11" xfId="2" applyNumberFormat="1" applyFont="1" applyBorder="1" applyAlignment="1">
      <alignment horizontal="center" vertical="center"/>
    </xf>
    <xf numFmtId="167" fontId="2" fillId="0" borderId="12" xfId="1" applyNumberFormat="1" applyFont="1" applyBorder="1" applyAlignment="1">
      <alignment horizontal="center" vertical="center"/>
    </xf>
    <xf numFmtId="167" fontId="2" fillId="0" borderId="11" xfId="1" applyNumberFormat="1" applyFont="1" applyBorder="1" applyAlignment="1">
      <alignment horizontal="center" vertical="center"/>
    </xf>
    <xf numFmtId="166" fontId="3" fillId="0" borderId="1" xfId="1" applyFont="1" applyBorder="1" applyAlignment="1">
      <alignment horizontal="center"/>
    </xf>
    <xf numFmtId="0" fontId="22" fillId="0" borderId="12" xfId="0" applyFont="1" applyBorder="1" applyAlignment="1">
      <alignment horizontal="center" vertical="center"/>
    </xf>
    <xf numFmtId="0" fontId="22" fillId="0" borderId="10" xfId="0" applyFont="1" applyBorder="1" applyAlignment="1">
      <alignment horizontal="center" vertical="center"/>
    </xf>
    <xf numFmtId="0" fontId="22"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1" fontId="2" fillId="0" borderId="12" xfId="1" applyNumberFormat="1" applyFont="1" applyBorder="1" applyAlignment="1">
      <alignment horizontal="center" vertical="center"/>
    </xf>
    <xf numFmtId="1" fontId="2" fillId="0" borderId="11" xfId="1" applyNumberFormat="1" applyFont="1" applyBorder="1" applyAlignment="1">
      <alignment horizontal="center" vertical="center"/>
    </xf>
    <xf numFmtId="170" fontId="2" fillId="0" borderId="12" xfId="2" applyNumberFormat="1" applyFont="1" applyBorder="1" applyAlignment="1">
      <alignment horizontal="center"/>
    </xf>
    <xf numFmtId="170" fontId="2" fillId="0" borderId="10" xfId="2" applyNumberFormat="1" applyFont="1" applyBorder="1" applyAlignment="1">
      <alignment horizontal="center"/>
    </xf>
    <xf numFmtId="170" fontId="2" fillId="0" borderId="11" xfId="2" applyNumberFormat="1" applyFont="1" applyBorder="1" applyAlignment="1">
      <alignment horizontal="center"/>
    </xf>
    <xf numFmtId="0" fontId="6" fillId="3" borderId="16" xfId="0" applyFont="1" applyFill="1" applyBorder="1" applyAlignment="1">
      <alignment horizontal="left" vertical="center" wrapText="1"/>
    </xf>
    <xf numFmtId="0" fontId="6" fillId="3" borderId="17" xfId="0" applyFont="1" applyFill="1" applyBorder="1" applyAlignment="1">
      <alignment horizontal="left" vertical="center" wrapText="1"/>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1" xfId="0" applyFont="1" applyFill="1" applyBorder="1" applyAlignment="1">
      <alignment horizontal="left" vertical="center" wrapText="1"/>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16" fontId="29" fillId="3" borderId="3" xfId="0" applyNumberFormat="1" applyFont="1" applyFill="1" applyBorder="1" applyAlignment="1">
      <alignment horizontal="center" vertical="center" textRotation="90"/>
    </xf>
    <xf numFmtId="16" fontId="29" fillId="3" borderId="9" xfId="0" applyNumberFormat="1" applyFont="1" applyFill="1" applyBorder="1" applyAlignment="1">
      <alignment horizontal="center" vertical="center" textRotation="90"/>
    </xf>
    <xf numFmtId="16" fontId="29" fillId="3" borderId="5" xfId="0" applyNumberFormat="1" applyFont="1" applyFill="1" applyBorder="1" applyAlignment="1">
      <alignment horizontal="center" vertical="center" textRotation="90"/>
    </xf>
    <xf numFmtId="167" fontId="28" fillId="0" borderId="13" xfId="1" applyNumberFormat="1" applyFont="1" applyBorder="1" applyAlignment="1">
      <alignment horizontal="center" vertical="center"/>
    </xf>
    <xf numFmtId="167" fontId="28" fillId="0" borderId="22" xfId="1" applyNumberFormat="1" applyFont="1" applyBorder="1" applyAlignment="1">
      <alignment horizontal="center" vertical="center"/>
    </xf>
    <xf numFmtId="167" fontId="28" fillId="0" borderId="14" xfId="1" applyNumberFormat="1" applyFont="1" applyBorder="1" applyAlignment="1">
      <alignment horizontal="center" vertical="center"/>
    </xf>
    <xf numFmtId="167" fontId="28" fillId="0" borderId="12" xfId="1" applyNumberFormat="1" applyFont="1" applyBorder="1" applyAlignment="1">
      <alignment horizontal="center" vertical="center"/>
    </xf>
    <xf numFmtId="167" fontId="28" fillId="0" borderId="11" xfId="1" applyNumberFormat="1" applyFont="1" applyBorder="1" applyAlignment="1">
      <alignment horizontal="center" vertical="center"/>
    </xf>
    <xf numFmtId="0" fontId="21" fillId="4" borderId="3" xfId="0" applyFont="1" applyFill="1" applyBorder="1" applyAlignment="1">
      <alignment horizontal="center" vertical="center"/>
    </xf>
    <xf numFmtId="0" fontId="21" fillId="4" borderId="5" xfId="0" applyFont="1" applyFill="1" applyBorder="1" applyAlignment="1">
      <alignment horizontal="center" vertical="center"/>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2" fillId="0" borderId="12" xfId="1" applyNumberFormat="1" applyFont="1" applyBorder="1" applyAlignment="1">
      <alignment horizontal="center" vertical="center"/>
    </xf>
    <xf numFmtId="0" fontId="2" fillId="0" borderId="10" xfId="1" applyNumberFormat="1" applyFont="1" applyBorder="1" applyAlignment="1">
      <alignment horizontal="center" vertical="center"/>
    </xf>
    <xf numFmtId="167" fontId="28" fillId="0" borderId="3" xfId="1" applyNumberFormat="1" applyFont="1" applyBorder="1" applyAlignment="1">
      <alignment horizontal="center" vertical="center"/>
    </xf>
    <xf numFmtId="167" fontId="28" fillId="0" borderId="4" xfId="1" applyNumberFormat="1" applyFont="1" applyBorder="1" applyAlignment="1">
      <alignment horizontal="center" vertical="center"/>
    </xf>
    <xf numFmtId="167" fontId="28" fillId="0" borderId="9" xfId="1" applyNumberFormat="1" applyFont="1" applyBorder="1" applyAlignment="1">
      <alignment horizontal="center" vertical="center"/>
    </xf>
    <xf numFmtId="167" fontId="28" fillId="0" borderId="8" xfId="1" applyNumberFormat="1" applyFont="1" applyBorder="1" applyAlignment="1">
      <alignment horizontal="center" vertical="center"/>
    </xf>
    <xf numFmtId="167" fontId="28" fillId="0" borderId="5" xfId="1" applyNumberFormat="1" applyFont="1" applyBorder="1" applyAlignment="1">
      <alignment horizontal="center" vertical="center"/>
    </xf>
    <xf numFmtId="167" fontId="28" fillId="0" borderId="7" xfId="1" applyNumberFormat="1" applyFont="1" applyBorder="1" applyAlignment="1">
      <alignment horizontal="center" vertical="center"/>
    </xf>
    <xf numFmtId="167" fontId="30" fillId="0" borderId="9" xfId="1" applyNumberFormat="1" applyFont="1" applyBorder="1" applyAlignment="1">
      <alignment horizontal="center" vertical="center"/>
    </xf>
    <xf numFmtId="167" fontId="30" fillId="0" borderId="8" xfId="1" applyNumberFormat="1" applyFont="1" applyBorder="1" applyAlignment="1">
      <alignment horizontal="center" vertical="center"/>
    </xf>
    <xf numFmtId="0" fontId="32" fillId="0" borderId="9" xfId="0" applyFont="1" applyBorder="1" applyAlignment="1">
      <alignment horizontal="center" vertical="center" wrapText="1"/>
    </xf>
    <xf numFmtId="0" fontId="32" fillId="0" borderId="0" xfId="0" applyFont="1" applyBorder="1" applyAlignment="1">
      <alignment horizontal="center" vertical="center" wrapText="1"/>
    </xf>
    <xf numFmtId="0" fontId="12" fillId="0" borderId="1" xfId="0" applyFont="1" applyBorder="1" applyAlignment="1">
      <alignment horizontal="left" vertical="center" wrapText="1"/>
    </xf>
    <xf numFmtId="0" fontId="12" fillId="0" borderId="6" xfId="0" applyFont="1" applyBorder="1" applyAlignment="1">
      <alignment horizontal="left" vertical="center" wrapText="1"/>
    </xf>
    <xf numFmtId="169" fontId="28" fillId="0" borderId="12" xfId="1" applyNumberFormat="1" applyFont="1" applyBorder="1" applyAlignment="1">
      <alignment horizontal="center" vertical="center"/>
    </xf>
    <xf numFmtId="169" fontId="28" fillId="0" borderId="11" xfId="1" applyNumberFormat="1" applyFont="1" applyBorder="1" applyAlignment="1">
      <alignment horizontal="center" vertical="center"/>
    </xf>
    <xf numFmtId="0" fontId="21" fillId="4" borderId="10" xfId="0" applyFont="1" applyFill="1" applyBorder="1" applyAlignment="1">
      <alignment horizontal="center" vertical="center"/>
    </xf>
    <xf numFmtId="167" fontId="2" fillId="0" borderId="10" xfId="1" applyNumberFormat="1" applyFont="1" applyBorder="1" applyAlignment="1">
      <alignment horizontal="center" vertical="center"/>
    </xf>
    <xf numFmtId="167" fontId="8" fillId="0" borderId="20" xfId="0" applyNumberFormat="1" applyFont="1" applyBorder="1" applyAlignment="1">
      <alignment horizontal="center" vertical="center"/>
    </xf>
    <xf numFmtId="0" fontId="8" fillId="0" borderId="20" xfId="0" applyFont="1" applyBorder="1" applyAlignment="1">
      <alignment horizontal="center" vertical="center"/>
    </xf>
    <xf numFmtId="166" fontId="2" fillId="0" borderId="20" xfId="1" applyFont="1" applyBorder="1" applyAlignment="1">
      <alignment horizontal="center" vertical="center"/>
    </xf>
    <xf numFmtId="0" fontId="6" fillId="0" borderId="9" xfId="0" applyFont="1" applyBorder="1" applyAlignment="1">
      <alignment horizontal="left" vertical="center" indent="1"/>
    </xf>
    <xf numFmtId="0" fontId="6" fillId="0" borderId="0" xfId="0" applyFont="1" applyBorder="1" applyAlignment="1">
      <alignment horizontal="left" vertical="center" indent="1"/>
    </xf>
    <xf numFmtId="167" fontId="11" fillId="0" borderId="0" xfId="1" applyNumberFormat="1" applyFont="1" applyBorder="1" applyAlignment="1">
      <alignment horizontal="center" vertical="center"/>
    </xf>
    <xf numFmtId="0" fontId="6" fillId="0" borderId="8" xfId="0" applyFont="1" applyBorder="1" applyAlignment="1">
      <alignment horizontal="left" vertical="center" inden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165" fontId="2" fillId="0" borderId="6" xfId="2" applyFont="1" applyBorder="1" applyAlignment="1">
      <alignment horizontal="center" vertical="center"/>
    </xf>
    <xf numFmtId="165" fontId="2" fillId="0" borderId="7" xfId="2" applyFont="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65" fontId="2" fillId="0" borderId="2" xfId="2" applyFont="1" applyBorder="1" applyAlignment="1">
      <alignment horizontal="center" vertical="center"/>
    </xf>
    <xf numFmtId="0" fontId="2" fillId="0" borderId="9" xfId="0" applyFont="1" applyBorder="1" applyAlignment="1">
      <alignment horizontal="left" vertical="center"/>
    </xf>
    <xf numFmtId="0" fontId="2" fillId="0" borderId="0" xfId="0" applyFont="1" applyBorder="1" applyAlignment="1">
      <alignment horizontal="left" vertical="center"/>
    </xf>
    <xf numFmtId="0" fontId="2" fillId="0" borderId="8" xfId="0" applyFont="1" applyBorder="1" applyAlignment="1">
      <alignment horizontal="left" vertical="center"/>
    </xf>
    <xf numFmtId="165" fontId="2" fillId="0" borderId="0" xfId="2" applyFont="1" applyBorder="1" applyAlignment="1">
      <alignment horizontal="center" vertical="center"/>
    </xf>
    <xf numFmtId="165" fontId="2" fillId="0" borderId="8" xfId="2" applyFont="1" applyBorder="1" applyAlignment="1">
      <alignment horizontal="center" vertical="center"/>
    </xf>
    <xf numFmtId="0" fontId="2" fillId="2" borderId="2" xfId="0" applyFont="1" applyFill="1" applyBorder="1" applyAlignment="1">
      <alignment horizontal="center" vertical="center"/>
    </xf>
    <xf numFmtId="166" fontId="2" fillId="2" borderId="2" xfId="1" applyFont="1" applyFill="1" applyBorder="1" applyAlignment="1">
      <alignment horizontal="center" vertical="center"/>
    </xf>
    <xf numFmtId="0" fontId="2" fillId="0" borderId="5"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3" xfId="0" applyFont="1" applyBorder="1" applyAlignment="1">
      <alignment horizontal="center" vertical="center"/>
    </xf>
    <xf numFmtId="165" fontId="2" fillId="0" borderId="0" xfId="2" applyNumberFormat="1" applyFont="1" applyBorder="1" applyAlignment="1">
      <alignment horizontal="center" vertical="center"/>
    </xf>
    <xf numFmtId="165" fontId="2" fillId="0" borderId="8" xfId="2" applyNumberFormat="1" applyFont="1" applyBorder="1" applyAlignment="1">
      <alignment horizontal="center" vertical="center"/>
    </xf>
    <xf numFmtId="0" fontId="2" fillId="0" borderId="9" xfId="2" applyNumberFormat="1" applyFont="1" applyBorder="1" applyAlignment="1">
      <alignment horizontal="left" vertical="center"/>
    </xf>
    <xf numFmtId="0" fontId="2" fillId="0" borderId="0" xfId="2" applyNumberFormat="1" applyFont="1" applyBorder="1" applyAlignment="1">
      <alignment horizontal="left" vertical="center"/>
    </xf>
    <xf numFmtId="0" fontId="2" fillId="0" borderId="8" xfId="2" applyNumberFormat="1" applyFont="1" applyBorder="1" applyAlignment="1">
      <alignment horizontal="left" vertical="center"/>
    </xf>
    <xf numFmtId="166" fontId="2" fillId="0" borderId="9" xfId="1" applyFont="1" applyBorder="1" applyAlignment="1">
      <alignment horizontal="left" vertical="center"/>
    </xf>
    <xf numFmtId="166" fontId="2" fillId="0" borderId="8" xfId="1" applyFont="1" applyBorder="1" applyAlignment="1">
      <alignment horizontal="left" vertical="center"/>
    </xf>
    <xf numFmtId="165" fontId="2" fillId="0" borderId="6" xfId="2" applyNumberFormat="1" applyFont="1" applyBorder="1" applyAlignment="1">
      <alignment horizontal="center" vertical="center"/>
    </xf>
    <xf numFmtId="165" fontId="2" fillId="0" borderId="7" xfId="2" applyNumberFormat="1" applyFont="1" applyBorder="1" applyAlignment="1">
      <alignment horizontal="center" vertical="center"/>
    </xf>
    <xf numFmtId="0" fontId="2" fillId="0" borderId="5" xfId="2" applyNumberFormat="1" applyFont="1" applyBorder="1" applyAlignment="1">
      <alignment horizontal="left" vertical="center"/>
    </xf>
    <xf numFmtId="0" fontId="2" fillId="0" borderId="6" xfId="2" applyNumberFormat="1" applyFont="1" applyBorder="1" applyAlignment="1">
      <alignment horizontal="left" vertical="center"/>
    </xf>
    <xf numFmtId="0" fontId="2" fillId="0" borderId="7" xfId="2" applyNumberFormat="1" applyFont="1" applyBorder="1" applyAlignment="1">
      <alignment horizontal="left" vertical="center"/>
    </xf>
    <xf numFmtId="166" fontId="2" fillId="0" borderId="5" xfId="1" applyFont="1" applyBorder="1" applyAlignment="1">
      <alignment horizontal="left" vertical="center"/>
    </xf>
    <xf numFmtId="166" fontId="2" fillId="0" borderId="7" xfId="1" applyFont="1" applyBorder="1" applyAlignment="1">
      <alignment horizontal="left" vertical="center"/>
    </xf>
    <xf numFmtId="0" fontId="3" fillId="2" borderId="6" xfId="0" applyFont="1" applyFill="1" applyBorder="1" applyAlignment="1">
      <alignment horizontal="center" vertical="center" wrapText="1"/>
    </xf>
    <xf numFmtId="166" fontId="3" fillId="2" borderId="3" xfId="1" applyFont="1" applyFill="1" applyBorder="1" applyAlignment="1">
      <alignment horizontal="center" vertical="center"/>
    </xf>
    <xf numFmtId="166" fontId="3" fillId="2" borderId="4" xfId="1" applyFont="1" applyFill="1" applyBorder="1" applyAlignment="1">
      <alignment horizontal="center" vertical="center"/>
    </xf>
    <xf numFmtId="166" fontId="3" fillId="2" borderId="5" xfId="1" applyFont="1" applyFill="1" applyBorder="1" applyAlignment="1">
      <alignment horizontal="center" vertical="center"/>
    </xf>
    <xf numFmtId="166" fontId="3" fillId="2" borderId="7" xfId="1" applyFont="1" applyFill="1" applyBorder="1" applyAlignment="1">
      <alignment horizontal="center" vertical="center"/>
    </xf>
    <xf numFmtId="166" fontId="2" fillId="0" borderId="3" xfId="1" applyFont="1" applyBorder="1" applyAlignment="1">
      <alignment horizontal="left" vertical="center"/>
    </xf>
    <xf numFmtId="166" fontId="2" fillId="0" borderId="4" xfId="1" applyFont="1" applyBorder="1" applyAlignment="1">
      <alignment horizontal="left" vertical="center"/>
    </xf>
    <xf numFmtId="4" fontId="8" fillId="0" borderId="0" xfId="0" applyNumberFormat="1" applyFont="1" applyBorder="1" applyAlignment="1">
      <alignment horizontal="center"/>
    </xf>
    <xf numFmtId="4" fontId="8" fillId="0" borderId="8" xfId="0" applyNumberFormat="1" applyFont="1" applyBorder="1" applyAlignment="1">
      <alignment horizontal="center"/>
    </xf>
    <xf numFmtId="4" fontId="34" fillId="0" borderId="0" xfId="0" applyNumberFormat="1" applyFont="1" applyBorder="1" applyAlignment="1">
      <alignment horizontal="center"/>
    </xf>
    <xf numFmtId="4" fontId="34" fillId="0" borderId="8" xfId="0" applyNumberFormat="1" applyFont="1" applyBorder="1" applyAlignment="1">
      <alignment horizontal="center"/>
    </xf>
    <xf numFmtId="4" fontId="13" fillId="7" borderId="11" xfId="0" applyNumberFormat="1" applyFont="1" applyFill="1" applyBorder="1" applyAlignment="1">
      <alignment horizontal="center"/>
    </xf>
    <xf numFmtId="4" fontId="13" fillId="0" borderId="6" xfId="0" applyNumberFormat="1" applyFont="1" applyBorder="1" applyAlignment="1">
      <alignment horizontal="center"/>
    </xf>
    <xf numFmtId="4" fontId="13" fillId="0" borderId="7" xfId="0" applyNumberFormat="1" applyFont="1" applyBorder="1" applyAlignment="1">
      <alignment horizontal="center"/>
    </xf>
    <xf numFmtId="4" fontId="13" fillId="0" borderId="6" xfId="0" applyNumberFormat="1" applyFont="1" applyBorder="1" applyAlignment="1">
      <alignment horizontal="center" wrapText="1"/>
    </xf>
    <xf numFmtId="4" fontId="13" fillId="0" borderId="7" xfId="0" applyNumberFormat="1" applyFont="1" applyBorder="1" applyAlignment="1">
      <alignment horizontal="center" wrapText="1"/>
    </xf>
    <xf numFmtId="10" fontId="13" fillId="10" borderId="12" xfId="0" applyNumberFormat="1" applyFont="1" applyFill="1" applyBorder="1" applyAlignment="1">
      <alignment horizontal="center"/>
    </xf>
    <xf numFmtId="10" fontId="13" fillId="10" borderId="10" xfId="0" applyNumberFormat="1" applyFont="1" applyFill="1" applyBorder="1" applyAlignment="1">
      <alignment horizontal="center"/>
    </xf>
    <xf numFmtId="10" fontId="13" fillId="10" borderId="11" xfId="0" applyNumberFormat="1" applyFont="1" applyFill="1" applyBorder="1" applyAlignment="1">
      <alignment horizontal="center"/>
    </xf>
    <xf numFmtId="4" fontId="8" fillId="0" borderId="1" xfId="0" applyNumberFormat="1" applyFont="1" applyBorder="1" applyAlignment="1">
      <alignment horizontal="center"/>
    </xf>
    <xf numFmtId="4" fontId="8" fillId="0" borderId="4" xfId="0" applyNumberFormat="1" applyFont="1" applyBorder="1" applyAlignment="1">
      <alignment horizontal="center"/>
    </xf>
    <xf numFmtId="4" fontId="157" fillId="26" borderId="10" xfId="0" applyNumberFormat="1" applyFont="1" applyFill="1" applyBorder="1" applyAlignment="1">
      <alignment horizontal="center"/>
    </xf>
    <xf numFmtId="4" fontId="157" fillId="26" borderId="11" xfId="0" applyNumberFormat="1" applyFont="1" applyFill="1" applyBorder="1" applyAlignment="1">
      <alignment horizontal="center"/>
    </xf>
    <xf numFmtId="9" fontId="157" fillId="26" borderId="12" xfId="0" applyNumberFormat="1" applyFont="1" applyFill="1" applyBorder="1" applyAlignment="1">
      <alignment horizontal="center"/>
    </xf>
    <xf numFmtId="9" fontId="157" fillId="26" borderId="10" xfId="0" applyNumberFormat="1" applyFont="1" applyFill="1" applyBorder="1" applyAlignment="1">
      <alignment horizontal="center"/>
    </xf>
    <xf numFmtId="9" fontId="157" fillId="26" borderId="11" xfId="0" applyNumberFormat="1" applyFont="1" applyFill="1" applyBorder="1" applyAlignment="1">
      <alignment horizontal="center"/>
    </xf>
    <xf numFmtId="4" fontId="34" fillId="0" borderId="1" xfId="0" applyNumberFormat="1" applyFont="1" applyBorder="1" applyAlignment="1">
      <alignment horizontal="center" wrapText="1"/>
    </xf>
    <xf numFmtId="4" fontId="34" fillId="0" borderId="4" xfId="0" applyNumberFormat="1" applyFont="1" applyBorder="1" applyAlignment="1">
      <alignment horizontal="center" wrapText="1"/>
    </xf>
    <xf numFmtId="4" fontId="34" fillId="0" borderId="1" xfId="0" applyNumberFormat="1" applyFont="1" applyBorder="1" applyAlignment="1">
      <alignment horizontal="center"/>
    </xf>
    <xf numFmtId="4" fontId="34" fillId="0" borderId="4" xfId="0" applyNumberFormat="1" applyFont="1" applyBorder="1" applyAlignment="1">
      <alignment horizontal="center"/>
    </xf>
    <xf numFmtId="4" fontId="8" fillId="9" borderId="1" xfId="0" applyNumberFormat="1" applyFont="1" applyFill="1" applyBorder="1" applyAlignment="1">
      <alignment horizontal="center"/>
    </xf>
    <xf numFmtId="4" fontId="34" fillId="9" borderId="0" xfId="0" applyNumberFormat="1" applyFont="1" applyFill="1" applyBorder="1" applyAlignment="1">
      <alignment horizontal="center"/>
    </xf>
    <xf numFmtId="4" fontId="13" fillId="9" borderId="6" xfId="0" applyNumberFormat="1" applyFont="1" applyFill="1" applyBorder="1" applyAlignment="1">
      <alignment horizontal="center"/>
    </xf>
    <xf numFmtId="0" fontId="8" fillId="0" borderId="4" xfId="0" applyFont="1" applyBorder="1" applyAlignment="1">
      <alignment horizontal="center"/>
    </xf>
    <xf numFmtId="0" fontId="34" fillId="0" borderId="8" xfId="0" applyFont="1" applyBorder="1" applyAlignment="1">
      <alignment horizontal="center"/>
    </xf>
    <xf numFmtId="167" fontId="2" fillId="3" borderId="0" xfId="1" applyNumberFormat="1" applyFont="1" applyFill="1" applyBorder="1" applyAlignment="1">
      <alignment horizontal="center" vertical="center"/>
    </xf>
    <xf numFmtId="167" fontId="2" fillId="3" borderId="6" xfId="1" applyNumberFormat="1" applyFont="1" applyFill="1" applyBorder="1" applyAlignment="1">
      <alignment horizontal="center" vertical="center"/>
    </xf>
    <xf numFmtId="167" fontId="2" fillId="3" borderId="7" xfId="1" applyNumberFormat="1" applyFont="1" applyFill="1" applyBorder="1" applyAlignment="1">
      <alignment horizontal="center" vertical="center"/>
    </xf>
    <xf numFmtId="167" fontId="2" fillId="2" borderId="10" xfId="1" applyNumberFormat="1" applyFont="1" applyFill="1" applyBorder="1" applyAlignment="1">
      <alignment horizontal="center" vertical="center"/>
    </xf>
    <xf numFmtId="167" fontId="2" fillId="2" borderId="11" xfId="1" applyNumberFormat="1" applyFont="1" applyFill="1" applyBorder="1" applyAlignment="1">
      <alignment horizontal="center" vertical="center"/>
    </xf>
    <xf numFmtId="167" fontId="2" fillId="2" borderId="6" xfId="1" applyNumberFormat="1" applyFont="1" applyFill="1" applyBorder="1" applyAlignment="1">
      <alignment horizontal="center" vertical="center"/>
    </xf>
    <xf numFmtId="167" fontId="2" fillId="2" borderId="7" xfId="1" applyNumberFormat="1" applyFont="1" applyFill="1" applyBorder="1" applyAlignment="1">
      <alignment horizontal="center" vertical="center"/>
    </xf>
    <xf numFmtId="167" fontId="2" fillId="3" borderId="8" xfId="1" applyNumberFormat="1" applyFont="1" applyFill="1" applyBorder="1" applyAlignment="1">
      <alignment horizontal="center" vertical="center"/>
    </xf>
    <xf numFmtId="176" fontId="2" fillId="0" borderId="6" xfId="1" applyNumberFormat="1" applyFont="1" applyBorder="1" applyAlignment="1">
      <alignment horizontal="center" vertical="center"/>
    </xf>
    <xf numFmtId="176" fontId="2" fillId="0" borderId="7" xfId="1" applyNumberFormat="1" applyFont="1" applyBorder="1" applyAlignment="1">
      <alignment horizontal="center" vertical="center"/>
    </xf>
    <xf numFmtId="176" fontId="2" fillId="8" borderId="0" xfId="1" applyNumberFormat="1" applyFont="1" applyFill="1" applyBorder="1" applyAlignment="1">
      <alignment horizontal="center" vertical="center"/>
    </xf>
    <xf numFmtId="176" fontId="2" fillId="8" borderId="8" xfId="1" applyNumberFormat="1" applyFont="1" applyFill="1" applyBorder="1" applyAlignment="1">
      <alignment horizontal="center" vertical="center"/>
    </xf>
    <xf numFmtId="176" fontId="2" fillId="0" borderId="0" xfId="1" applyNumberFormat="1" applyFont="1" applyBorder="1" applyAlignment="1">
      <alignment horizontal="center" vertical="center"/>
    </xf>
    <xf numFmtId="176" fontId="2" fillId="0" borderId="8" xfId="1" applyNumberFormat="1" applyFont="1" applyBorder="1" applyAlignment="1">
      <alignment horizontal="center" vertical="center"/>
    </xf>
    <xf numFmtId="176" fontId="2" fillId="8" borderId="15" xfId="1" applyNumberFormat="1" applyFont="1" applyFill="1" applyBorder="1" applyAlignment="1">
      <alignment horizontal="center" vertical="center"/>
    </xf>
    <xf numFmtId="176" fontId="2" fillId="8" borderId="27" xfId="1" applyNumberFormat="1" applyFont="1" applyFill="1" applyBorder="1" applyAlignment="1">
      <alignment horizontal="center" vertical="center"/>
    </xf>
    <xf numFmtId="166" fontId="6" fillId="0" borderId="2" xfId="1" applyFont="1" applyBorder="1" applyAlignment="1">
      <alignment horizontal="left" vertical="center"/>
    </xf>
    <xf numFmtId="176" fontId="2" fillId="0" borderId="1" xfId="1" applyNumberFormat="1" applyFont="1" applyBorder="1" applyAlignment="1">
      <alignment horizontal="center" vertical="center"/>
    </xf>
    <xf numFmtId="176" fontId="2" fillId="0" borderId="4" xfId="1" applyNumberFormat="1" applyFont="1" applyBorder="1" applyAlignment="1">
      <alignment horizontal="center" vertical="center"/>
    </xf>
    <xf numFmtId="176" fontId="2" fillId="8" borderId="1" xfId="1" applyNumberFormat="1" applyFont="1" applyFill="1" applyBorder="1" applyAlignment="1">
      <alignment horizontal="center" vertical="center"/>
    </xf>
    <xf numFmtId="176" fontId="2" fillId="8" borderId="4" xfId="1" applyNumberFormat="1" applyFont="1" applyFill="1" applyBorder="1" applyAlignment="1">
      <alignment horizontal="center" vertical="center"/>
    </xf>
    <xf numFmtId="173" fontId="8" fillId="2" borderId="2" xfId="1" applyNumberFormat="1" applyFont="1" applyFill="1" applyBorder="1" applyAlignment="1">
      <alignment horizontal="center" vertical="center"/>
    </xf>
    <xf numFmtId="0" fontId="14" fillId="7" borderId="2" xfId="0" applyFont="1" applyFill="1" applyBorder="1" applyAlignment="1">
      <alignment horizontal="center" vertical="center" wrapText="1"/>
    </xf>
    <xf numFmtId="0" fontId="14" fillId="7" borderId="3"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14" fillId="7" borderId="5"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21" fillId="0" borderId="0" xfId="0" applyFont="1" applyBorder="1" applyAlignment="1">
      <alignment horizontal="center" vertical="center" wrapText="1"/>
    </xf>
    <xf numFmtId="166" fontId="2" fillId="0" borderId="15" xfId="1" applyFont="1" applyBorder="1" applyAlignment="1">
      <alignment horizontal="center" vertical="center"/>
    </xf>
    <xf numFmtId="166" fontId="3" fillId="0" borderId="0" xfId="1" applyFont="1" applyAlignment="1">
      <alignment horizontal="center" vertical="center"/>
    </xf>
    <xf numFmtId="0" fontId="38" fillId="6" borderId="3" xfId="1" applyNumberFormat="1" applyFont="1" applyFill="1" applyBorder="1" applyAlignment="1">
      <alignment horizontal="center" vertical="center"/>
    </xf>
    <xf numFmtId="0" fontId="38" fillId="6" borderId="5" xfId="1" applyNumberFormat="1" applyFont="1" applyFill="1" applyBorder="1" applyAlignment="1">
      <alignment horizontal="center" vertical="center"/>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5" borderId="4"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21" fillId="0" borderId="12"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167" fontId="3" fillId="0" borderId="10" xfId="0" applyNumberFormat="1" applyFont="1" applyBorder="1" applyAlignment="1">
      <alignment horizontal="center" vertical="center"/>
    </xf>
    <xf numFmtId="0" fontId="6" fillId="5" borderId="8" xfId="0" applyFont="1" applyFill="1" applyBorder="1" applyAlignment="1">
      <alignment horizontal="center" vertical="center" wrapText="1"/>
    </xf>
    <xf numFmtId="9" fontId="38" fillId="6" borderId="3" xfId="1" applyNumberFormat="1" applyFont="1" applyFill="1" applyBorder="1" applyAlignment="1">
      <alignment horizontal="center" vertical="center"/>
    </xf>
    <xf numFmtId="166" fontId="38" fillId="6" borderId="3" xfId="1" applyFont="1" applyFill="1" applyBorder="1" applyAlignment="1">
      <alignment horizontal="center" vertical="center"/>
    </xf>
    <xf numFmtId="166" fontId="38" fillId="6" borderId="5" xfId="1" applyFont="1" applyFill="1" applyBorder="1" applyAlignment="1">
      <alignment horizontal="center" vertical="center"/>
    </xf>
    <xf numFmtId="166" fontId="3" fillId="4" borderId="2" xfId="1" applyFont="1" applyFill="1" applyBorder="1" applyAlignment="1">
      <alignment horizontal="center" vertical="center"/>
    </xf>
    <xf numFmtId="166" fontId="3" fillId="4" borderId="10" xfId="1" applyFont="1" applyFill="1" applyBorder="1" applyAlignment="1">
      <alignment horizontal="center" vertical="center"/>
    </xf>
    <xf numFmtId="166" fontId="3" fillId="4" borderId="11" xfId="1" applyFont="1" applyFill="1" applyBorder="1" applyAlignment="1">
      <alignment horizontal="center" vertical="center"/>
    </xf>
    <xf numFmtId="3" fontId="7" fillId="0" borderId="0" xfId="0" applyNumberFormat="1" applyFont="1" applyBorder="1" applyAlignment="1">
      <alignment horizontal="center" vertical="center"/>
    </xf>
    <xf numFmtId="0" fontId="3" fillId="4" borderId="1"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6" xfId="0" applyFont="1" applyFill="1" applyBorder="1" applyAlignment="1">
      <alignment horizontal="center" vertical="center"/>
    </xf>
    <xf numFmtId="0" fontId="9" fillId="4" borderId="4" xfId="0" applyFont="1" applyFill="1" applyBorder="1" applyAlignment="1">
      <alignment horizontal="center" vertical="center" textRotation="90" wrapText="1"/>
    </xf>
    <xf numFmtId="0" fontId="9" fillId="4" borderId="8" xfId="0" applyFont="1" applyFill="1" applyBorder="1" applyAlignment="1">
      <alignment horizontal="center" vertical="center" textRotation="90" wrapText="1"/>
    </xf>
    <xf numFmtId="0" fontId="9" fillId="4" borderId="7" xfId="0" applyFont="1" applyFill="1" applyBorder="1" applyAlignment="1">
      <alignment horizontal="center" vertical="center" textRotation="90" wrapText="1"/>
    </xf>
    <xf numFmtId="0" fontId="6" fillId="0" borderId="12" xfId="0" applyFont="1" applyBorder="1" applyAlignment="1">
      <alignment horizontal="center" vertical="center"/>
    </xf>
    <xf numFmtId="0" fontId="6" fillId="0" borderId="10" xfId="0" applyFont="1" applyBorder="1" applyAlignment="1">
      <alignment horizontal="center" vertical="center"/>
    </xf>
    <xf numFmtId="166" fontId="3" fillId="0" borderId="12" xfId="1" applyFont="1" applyBorder="1" applyAlignment="1">
      <alignment horizontal="center" vertical="center"/>
    </xf>
    <xf numFmtId="0" fontId="6" fillId="0" borderId="11" xfId="0" applyFont="1" applyBorder="1" applyAlignment="1">
      <alignment horizontal="center" vertical="center"/>
    </xf>
    <xf numFmtId="165" fontId="2" fillId="0" borderId="10" xfId="2" applyFont="1" applyBorder="1" applyAlignment="1">
      <alignment horizontal="center" vertical="center"/>
    </xf>
    <xf numFmtId="166" fontId="2" fillId="0" borderId="12" xfId="1" applyFont="1" applyBorder="1" applyAlignment="1">
      <alignment horizontal="center" vertical="center"/>
    </xf>
    <xf numFmtId="166" fontId="2" fillId="0" borderId="11" xfId="1" applyFont="1" applyBorder="1" applyAlignment="1">
      <alignment horizontal="center" vertical="center"/>
    </xf>
    <xf numFmtId="0" fontId="6" fillId="0" borderId="1" xfId="0" applyFont="1" applyBorder="1" applyAlignment="1">
      <alignment horizontal="center" vertical="center"/>
    </xf>
    <xf numFmtId="165" fontId="2" fillId="0" borderId="1" xfId="2" applyFont="1" applyBorder="1" applyAlignment="1">
      <alignment horizontal="center" vertical="center"/>
    </xf>
    <xf numFmtId="0" fontId="4" fillId="4" borderId="2" xfId="0" applyFont="1" applyFill="1" applyBorder="1" applyAlignment="1">
      <alignment horizontal="center" vertical="center"/>
    </xf>
    <xf numFmtId="166" fontId="38" fillId="0" borderId="9" xfId="1" applyFont="1" applyBorder="1" applyAlignment="1">
      <alignment horizontal="center"/>
    </xf>
    <xf numFmtId="166" fontId="38" fillId="0" borderId="0" xfId="1" applyFont="1" applyBorder="1" applyAlignment="1">
      <alignment horizontal="center"/>
    </xf>
    <xf numFmtId="166" fontId="38" fillId="0" borderId="8" xfId="1" applyFont="1" applyBorder="1" applyAlignment="1">
      <alignment horizontal="center"/>
    </xf>
    <xf numFmtId="166" fontId="38" fillId="0" borderId="5" xfId="1" applyFont="1" applyBorder="1" applyAlignment="1">
      <alignment horizontal="center"/>
    </xf>
    <xf numFmtId="166" fontId="38" fillId="0" borderId="7" xfId="1" applyFont="1" applyBorder="1" applyAlignment="1">
      <alignment horizontal="center"/>
    </xf>
    <xf numFmtId="166" fontId="6" fillId="0" borderId="0" xfId="1" applyFont="1" applyAlignment="1">
      <alignment horizontal="center" vertical="center"/>
    </xf>
    <xf numFmtId="0" fontId="7" fillId="0" borderId="9" xfId="0" applyFont="1" applyBorder="1" applyAlignment="1">
      <alignment horizontal="left" vertical="center" indent="1"/>
    </xf>
    <xf numFmtId="0" fontId="7" fillId="0" borderId="0" xfId="0" applyFont="1" applyBorder="1" applyAlignment="1">
      <alignment horizontal="left" vertical="center" indent="1"/>
    </xf>
    <xf numFmtId="0" fontId="13" fillId="0" borderId="0" xfId="0" applyFont="1" applyBorder="1" applyAlignment="1">
      <alignment horizontal="center" vertical="center"/>
    </xf>
    <xf numFmtId="166" fontId="38" fillId="0" borderId="3" xfId="1" applyFont="1" applyBorder="1" applyAlignment="1">
      <alignment horizontal="center"/>
    </xf>
    <xf numFmtId="166" fontId="38" fillId="0" borderId="1" xfId="1" applyFont="1" applyBorder="1" applyAlignment="1">
      <alignment horizontal="center"/>
    </xf>
    <xf numFmtId="166" fontId="38" fillId="0" borderId="4" xfId="1" applyFont="1" applyBorder="1" applyAlignment="1">
      <alignment horizontal="center"/>
    </xf>
    <xf numFmtId="189" fontId="2" fillId="0" borderId="3" xfId="0" applyNumberFormat="1" applyFont="1" applyBorder="1" applyAlignment="1">
      <alignment horizontal="center" vertical="center"/>
    </xf>
    <xf numFmtId="189" fontId="2" fillId="0" borderId="1" xfId="0" applyNumberFormat="1" applyFont="1" applyBorder="1" applyAlignment="1">
      <alignment horizontal="center" vertical="center"/>
    </xf>
    <xf numFmtId="189" fontId="2" fillId="0" borderId="4" xfId="0" applyNumberFormat="1" applyFont="1" applyBorder="1" applyAlignment="1">
      <alignment horizontal="center" vertical="center"/>
    </xf>
    <xf numFmtId="189" fontId="2" fillId="0" borderId="5" xfId="0" applyNumberFormat="1" applyFont="1" applyBorder="1" applyAlignment="1">
      <alignment horizontal="center" vertical="center"/>
    </xf>
    <xf numFmtId="189" fontId="2" fillId="0" borderId="6" xfId="0" applyNumberFormat="1" applyFont="1" applyBorder="1" applyAlignment="1">
      <alignment horizontal="center" vertical="center"/>
    </xf>
    <xf numFmtId="189" fontId="2" fillId="0" borderId="7" xfId="0" applyNumberFormat="1" applyFont="1" applyBorder="1" applyAlignment="1">
      <alignment horizontal="center" vertical="center"/>
    </xf>
    <xf numFmtId="43" fontId="2" fillId="0" borderId="10" xfId="0" applyNumberFormat="1" applyFont="1" applyBorder="1" applyAlignment="1">
      <alignment horizontal="center" vertical="center"/>
    </xf>
    <xf numFmtId="43" fontId="2" fillId="0" borderId="11" xfId="0" applyNumberFormat="1" applyFont="1" applyBorder="1" applyAlignment="1">
      <alignment horizontal="center" vertical="center"/>
    </xf>
    <xf numFmtId="4" fontId="13" fillId="18" borderId="2" xfId="0" applyNumberFormat="1" applyFont="1" applyFill="1" applyBorder="1" applyAlignment="1">
      <alignment horizontal="center"/>
    </xf>
    <xf numFmtId="4" fontId="13" fillId="0" borderId="10" xfId="0" applyNumberFormat="1" applyFont="1" applyBorder="1" applyAlignment="1">
      <alignment horizontal="center"/>
    </xf>
    <xf numFmtId="0" fontId="156" fillId="29" borderId="107" xfId="0" applyFont="1" applyFill="1" applyBorder="1" applyAlignment="1">
      <alignment horizontal="center"/>
    </xf>
    <xf numFmtId="0" fontId="156" fillId="29" borderId="108" xfId="0" applyFont="1" applyFill="1" applyBorder="1" applyAlignment="1">
      <alignment horizontal="center"/>
    </xf>
    <xf numFmtId="4" fontId="156" fillId="29" borderId="106" xfId="0" applyNumberFormat="1" applyFont="1" applyFill="1" applyBorder="1" applyAlignment="1">
      <alignment horizontal="center"/>
    </xf>
    <xf numFmtId="4" fontId="156" fillId="29" borderId="107" xfId="0" applyNumberFormat="1" applyFont="1" applyFill="1" applyBorder="1" applyAlignment="1">
      <alignment horizontal="center"/>
    </xf>
    <xf numFmtId="4" fontId="13" fillId="9" borderId="10" xfId="0" applyNumberFormat="1" applyFont="1" applyFill="1" applyBorder="1" applyAlignment="1">
      <alignment horizontal="center"/>
    </xf>
    <xf numFmtId="4" fontId="13" fillId="9" borderId="11" xfId="0" applyNumberFormat="1" applyFont="1" applyFill="1" applyBorder="1" applyAlignment="1">
      <alignment horizontal="center"/>
    </xf>
    <xf numFmtId="4" fontId="13" fillId="0" borderId="11" xfId="0" applyNumberFormat="1" applyFont="1" applyBorder="1" applyAlignment="1">
      <alignment horizontal="center"/>
    </xf>
    <xf numFmtId="189" fontId="2" fillId="0" borderId="0" xfId="0" applyNumberFormat="1" applyFont="1" applyBorder="1" applyAlignment="1">
      <alignment horizontal="center" vertical="center"/>
    </xf>
    <xf numFmtId="189" fontId="2" fillId="0" borderId="9" xfId="0" applyNumberFormat="1" applyFont="1" applyBorder="1" applyAlignment="1">
      <alignment horizontal="center" vertical="center"/>
    </xf>
    <xf numFmtId="189" fontId="2" fillId="0" borderId="8" xfId="0" applyNumberFormat="1" applyFont="1" applyBorder="1" applyAlignment="1">
      <alignment horizontal="center" vertical="center"/>
    </xf>
    <xf numFmtId="183" fontId="21" fillId="0" borderId="28" xfId="1" applyNumberFormat="1" applyFont="1" applyBorder="1" applyAlignment="1">
      <alignment horizontal="center"/>
    </xf>
    <xf numFmtId="183" fontId="21" fillId="0" borderId="27" xfId="1" applyNumberFormat="1" applyFont="1" applyBorder="1" applyAlignment="1">
      <alignment horizontal="center"/>
    </xf>
    <xf numFmtId="183" fontId="2" fillId="0" borderId="10" xfId="0" applyNumberFormat="1" applyFont="1" applyBorder="1" applyAlignment="1">
      <alignment horizontal="center" vertical="center"/>
    </xf>
    <xf numFmtId="183" fontId="2" fillId="0" borderId="11" xfId="0" applyNumberFormat="1" applyFont="1" applyBorder="1" applyAlignment="1">
      <alignment horizontal="center" vertical="center"/>
    </xf>
    <xf numFmtId="2" fontId="2" fillId="0" borderId="10" xfId="0" applyNumberFormat="1" applyFont="1" applyBorder="1" applyAlignment="1">
      <alignment horizontal="left" vertical="center"/>
    </xf>
    <xf numFmtId="2" fontId="2" fillId="0" borderId="11" xfId="0" applyNumberFormat="1" applyFont="1" applyBorder="1" applyAlignment="1">
      <alignment horizontal="left" vertical="center"/>
    </xf>
    <xf numFmtId="191" fontId="2" fillId="0" borderId="0" xfId="0" applyNumberFormat="1" applyFont="1" applyBorder="1" applyAlignment="1">
      <alignment horizontal="center" wrapText="1"/>
    </xf>
    <xf numFmtId="191" fontId="3" fillId="4" borderId="10" xfId="0" applyNumberFormat="1" applyFont="1" applyFill="1" applyBorder="1" applyAlignment="1">
      <alignment horizontal="center" wrapText="1"/>
    </xf>
    <xf numFmtId="191" fontId="3" fillId="4" borderId="11" xfId="0" applyNumberFormat="1" applyFont="1" applyFill="1" applyBorder="1" applyAlignment="1">
      <alignment horizontal="center" wrapText="1"/>
    </xf>
    <xf numFmtId="165" fontId="3" fillId="4" borderId="10" xfId="2" applyFont="1" applyFill="1" applyBorder="1" applyAlignment="1">
      <alignment horizontal="center" vertical="center"/>
    </xf>
    <xf numFmtId="165" fontId="3" fillId="4" borderId="11" xfId="2" applyFont="1" applyFill="1" applyBorder="1" applyAlignment="1">
      <alignment horizontal="center" vertical="center"/>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7" xfId="0" applyFont="1" applyFill="1" applyBorder="1" applyAlignment="1">
      <alignment horizontal="center" vertical="center" wrapText="1"/>
    </xf>
    <xf numFmtId="166" fontId="3" fillId="2" borderId="2" xfId="1" applyFont="1" applyFill="1" applyBorder="1" applyAlignment="1">
      <alignment horizontal="center"/>
    </xf>
    <xf numFmtId="183" fontId="2" fillId="0" borderId="3" xfId="1" applyNumberFormat="1" applyFont="1" applyBorder="1" applyAlignment="1">
      <alignment horizontal="center"/>
    </xf>
    <xf numFmtId="183" fontId="2" fillId="0" borderId="4" xfId="1" applyNumberFormat="1" applyFont="1" applyBorder="1" applyAlignment="1">
      <alignment horizontal="center"/>
    </xf>
    <xf numFmtId="0" fontId="6" fillId="0" borderId="3" xfId="0" applyFont="1" applyBorder="1" applyAlignment="1">
      <alignment horizontal="left" vertical="top"/>
    </xf>
    <xf numFmtId="0" fontId="6" fillId="0" borderId="4" xfId="0" applyFont="1" applyBorder="1" applyAlignment="1">
      <alignment horizontal="left" vertical="top"/>
    </xf>
    <xf numFmtId="167" fontId="38" fillId="0" borderId="0" xfId="5" applyNumberFormat="1" applyFont="1" applyBorder="1" applyAlignment="1">
      <alignment horizontal="center"/>
    </xf>
    <xf numFmtId="166" fontId="2" fillId="0" borderId="0" xfId="1" applyFont="1" applyAlignment="1">
      <alignment horizontal="center"/>
    </xf>
    <xf numFmtId="166" fontId="3" fillId="0" borderId="15" xfId="1" applyFont="1" applyBorder="1" applyAlignment="1">
      <alignment horizontal="center"/>
    </xf>
    <xf numFmtId="166" fontId="38" fillId="0" borderId="6" xfId="1" applyFont="1" applyBorder="1" applyAlignment="1">
      <alignment horizontal="center"/>
    </xf>
    <xf numFmtId="0" fontId="8" fillId="0" borderId="0" xfId="0" applyFont="1" applyBorder="1" applyAlignment="1">
      <alignment horizontal="center" vertical="center"/>
    </xf>
    <xf numFmtId="188" fontId="3" fillId="0" borderId="15" xfId="12" applyNumberFormat="1" applyFont="1" applyBorder="1" applyAlignment="1">
      <alignment horizontal="center"/>
    </xf>
    <xf numFmtId="188" fontId="2" fillId="0" borderId="0" xfId="12" applyNumberFormat="1" applyFont="1" applyAlignment="1">
      <alignment horizontal="center"/>
    </xf>
    <xf numFmtId="187" fontId="2" fillId="0" borderId="1" xfId="12" applyFont="1" applyBorder="1" applyAlignment="1">
      <alignment horizontal="center"/>
    </xf>
    <xf numFmtId="187" fontId="2" fillId="0" borderId="6" xfId="12" applyFont="1" applyBorder="1" applyAlignment="1">
      <alignment horizontal="center"/>
    </xf>
    <xf numFmtId="187" fontId="3" fillId="0" borderId="1" xfId="12" applyFont="1" applyBorder="1" applyAlignment="1">
      <alignment horizontal="center"/>
    </xf>
    <xf numFmtId="187" fontId="3" fillId="0" borderId="15" xfId="12" applyFont="1" applyBorder="1" applyAlignment="1">
      <alignment horizontal="center"/>
    </xf>
    <xf numFmtId="0" fontId="3" fillId="0" borderId="6" xfId="0" applyFont="1" applyBorder="1" applyAlignment="1">
      <alignment horizontal="center"/>
    </xf>
    <xf numFmtId="188" fontId="3" fillId="0" borderId="0" xfId="12" applyNumberFormat="1" applyFont="1" applyAlignment="1">
      <alignment horizontal="center"/>
    </xf>
    <xf numFmtId="188" fontId="2" fillId="0" borderId="6" xfId="12" applyNumberFormat="1" applyFont="1" applyBorder="1" applyAlignment="1">
      <alignment horizontal="center"/>
    </xf>
    <xf numFmtId="188" fontId="3" fillId="0" borderId="0" xfId="12" applyNumberFormat="1" applyFont="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187" fontId="2" fillId="0" borderId="0" xfId="12" applyNumberFormat="1" applyFont="1" applyAlignment="1">
      <alignment horizontal="center"/>
    </xf>
    <xf numFmtId="10" fontId="3" fillId="4" borderId="10" xfId="3" applyNumberFormat="1" applyFont="1" applyFill="1" applyBorder="1" applyAlignment="1">
      <alignment horizontal="center"/>
    </xf>
    <xf numFmtId="10" fontId="3" fillId="4" borderId="11" xfId="3" applyNumberFormat="1" applyFont="1" applyFill="1" applyBorder="1" applyAlignment="1">
      <alignment horizontal="center"/>
    </xf>
    <xf numFmtId="188" fontId="2" fillId="0" borderId="10" xfId="12" applyNumberFormat="1" applyFont="1" applyBorder="1" applyAlignment="1">
      <alignment horizontal="center"/>
    </xf>
    <xf numFmtId="188" fontId="2" fillId="0" borderId="11" xfId="12" applyNumberFormat="1" applyFont="1" applyBorder="1" applyAlignment="1">
      <alignment horizontal="center"/>
    </xf>
    <xf numFmtId="187" fontId="3" fillId="4" borderId="10" xfId="0" applyNumberFormat="1" applyFont="1" applyFill="1" applyBorder="1" applyAlignment="1">
      <alignment horizontal="center"/>
    </xf>
    <xf numFmtId="187" fontId="3" fillId="4" borderId="11" xfId="0" applyNumberFormat="1" applyFont="1" applyFill="1" applyBorder="1" applyAlignment="1">
      <alignment horizontal="center"/>
    </xf>
    <xf numFmtId="2" fontId="2" fillId="0" borderId="6" xfId="0" applyNumberFormat="1" applyFont="1" applyBorder="1" applyAlignment="1">
      <alignment horizontal="center"/>
    </xf>
    <xf numFmtId="166" fontId="3" fillId="2" borderId="12" xfId="1" applyFont="1" applyFill="1" applyBorder="1" applyAlignment="1">
      <alignment horizontal="center"/>
    </xf>
    <xf numFmtId="166" fontId="3" fillId="2" borderId="10" xfId="1" applyFont="1" applyFill="1" applyBorder="1" applyAlignment="1">
      <alignment horizontal="center"/>
    </xf>
    <xf numFmtId="166" fontId="3" fillId="2" borderId="11" xfId="1" applyFont="1" applyFill="1" applyBorder="1" applyAlignment="1">
      <alignment horizontal="center"/>
    </xf>
    <xf numFmtId="183" fontId="2" fillId="0" borderId="12" xfId="1" applyNumberFormat="1" applyFont="1" applyBorder="1" applyAlignment="1">
      <alignment horizontal="center"/>
    </xf>
    <xf numFmtId="183" fontId="2" fillId="0" borderId="11" xfId="1" applyNumberFormat="1" applyFont="1" applyBorder="1" applyAlignment="1">
      <alignment horizontal="center"/>
    </xf>
    <xf numFmtId="0" fontId="42" fillId="9" borderId="6" xfId="0" applyFont="1" applyFill="1" applyBorder="1" applyAlignment="1">
      <alignment horizontal="left" vertical="center" wrapText="1" indent="9"/>
    </xf>
    <xf numFmtId="0" fontId="42" fillId="9" borderId="0" xfId="0" applyFont="1" applyFill="1" applyBorder="1" applyAlignment="1">
      <alignment horizontal="left" vertical="center" wrapText="1" indent="9"/>
    </xf>
    <xf numFmtId="3" fontId="2" fillId="0" borderId="15" xfId="1" applyNumberFormat="1" applyFont="1" applyBorder="1" applyAlignment="1">
      <alignment horizontal="center" vertical="center"/>
    </xf>
    <xf numFmtId="0" fontId="6" fillId="0" borderId="3" xfId="0" applyFont="1" applyBorder="1" applyAlignment="1">
      <alignment horizontal="lef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4" fontId="2" fillId="0" borderId="0" xfId="1" applyNumberFormat="1" applyFont="1" applyAlignment="1">
      <alignment horizontal="center" vertical="center"/>
    </xf>
    <xf numFmtId="3" fontId="2" fillId="0" borderId="0" xfId="1" applyNumberFormat="1" applyFont="1" applyAlignment="1">
      <alignment horizontal="center" vertical="center"/>
    </xf>
    <xf numFmtId="9" fontId="2" fillId="0" borderId="0" xfId="1" applyNumberFormat="1" applyFont="1" applyAlignment="1">
      <alignment horizontal="left" vertical="center"/>
    </xf>
    <xf numFmtId="3" fontId="2" fillId="0" borderId="6" xfId="1" applyNumberFormat="1" applyFont="1" applyBorder="1" applyAlignment="1">
      <alignment horizontal="center" vertical="center"/>
    </xf>
    <xf numFmtId="0" fontId="33" fillId="0" borderId="0" xfId="0" applyFont="1" applyAlignment="1">
      <alignment horizontal="center" vertical="center"/>
    </xf>
    <xf numFmtId="10" fontId="2" fillId="0" borderId="0" xfId="1" applyNumberFormat="1" applyFont="1" applyAlignment="1">
      <alignment horizontal="left" vertical="center"/>
    </xf>
    <xf numFmtId="177" fontId="38" fillId="0" borderId="9" xfId="1" applyNumberFormat="1" applyFont="1" applyBorder="1" applyAlignment="1">
      <alignment horizontal="center"/>
    </xf>
    <xf numFmtId="177" fontId="38" fillId="0" borderId="0" xfId="1" applyNumberFormat="1" applyFont="1" applyBorder="1" applyAlignment="1">
      <alignment horizontal="center"/>
    </xf>
    <xf numFmtId="167" fontId="38" fillId="0" borderId="6" xfId="1" applyNumberFormat="1" applyFont="1" applyBorder="1" applyAlignment="1">
      <alignment horizontal="center"/>
    </xf>
    <xf numFmtId="177" fontId="38" fillId="0" borderId="5" xfId="1" applyNumberFormat="1" applyFont="1" applyBorder="1" applyAlignment="1">
      <alignment horizontal="center"/>
    </xf>
    <xf numFmtId="177" fontId="38" fillId="0" borderId="7" xfId="1" applyNumberFormat="1" applyFont="1" applyBorder="1" applyAlignment="1">
      <alignment horizontal="center"/>
    </xf>
    <xf numFmtId="167" fontId="38" fillId="9" borderId="9" xfId="1" applyNumberFormat="1" applyFont="1" applyFill="1" applyBorder="1" applyAlignment="1">
      <alignment horizontal="center"/>
    </xf>
    <xf numFmtId="167" fontId="38" fillId="9" borderId="0" xfId="1" applyNumberFormat="1" applyFont="1" applyFill="1" applyBorder="1" applyAlignment="1">
      <alignment horizontal="center"/>
    </xf>
    <xf numFmtId="167" fontId="38" fillId="0" borderId="9" xfId="1" applyNumberFormat="1" applyFont="1" applyBorder="1" applyAlignment="1">
      <alignment horizontal="left"/>
    </xf>
    <xf numFmtId="167" fontId="38" fillId="0" borderId="0" xfId="1" applyNumberFormat="1" applyFont="1" applyBorder="1" applyAlignment="1">
      <alignment horizontal="left"/>
    </xf>
    <xf numFmtId="167" fontId="38" fillId="0" borderId="0" xfId="7" applyNumberFormat="1" applyFont="1" applyBorder="1" applyAlignment="1">
      <alignment horizontal="center"/>
    </xf>
    <xf numFmtId="0" fontId="39" fillId="0" borderId="0" xfId="6" applyFont="1" applyBorder="1" applyAlignment="1">
      <alignment horizontal="center"/>
    </xf>
    <xf numFmtId="167" fontId="56" fillId="0" borderId="3" xfId="1" applyNumberFormat="1" applyFont="1" applyBorder="1" applyAlignment="1">
      <alignment horizontal="center"/>
    </xf>
    <xf numFmtId="167" fontId="56" fillId="0" borderId="1" xfId="1" applyNumberFormat="1" applyFont="1" applyBorder="1" applyAlignment="1">
      <alignment horizontal="center"/>
    </xf>
    <xf numFmtId="167" fontId="56" fillId="0" borderId="9" xfId="1" applyNumberFormat="1" applyFont="1" applyBorder="1" applyAlignment="1">
      <alignment horizontal="center"/>
    </xf>
    <xf numFmtId="167" fontId="56" fillId="0" borderId="8" xfId="1" applyNumberFormat="1" applyFont="1" applyBorder="1" applyAlignment="1">
      <alignment horizontal="center"/>
    </xf>
    <xf numFmtId="167" fontId="38" fillId="0" borderId="0" xfId="7" applyNumberFormat="1" applyFont="1" applyAlignment="1">
      <alignment horizontal="center"/>
    </xf>
    <xf numFmtId="9" fontId="38" fillId="0" borderId="6" xfId="3" applyFont="1" applyBorder="1" applyAlignment="1">
      <alignment horizontal="right"/>
    </xf>
    <xf numFmtId="167" fontId="39" fillId="0" borderId="0" xfId="7" applyNumberFormat="1" applyFont="1" applyAlignment="1">
      <alignment horizontal="center"/>
    </xf>
    <xf numFmtId="9" fontId="38" fillId="0" borderId="0" xfId="3" applyFont="1" applyAlignment="1">
      <alignment horizontal="right"/>
    </xf>
    <xf numFmtId="167" fontId="39" fillId="0" borderId="1" xfId="7" applyNumberFormat="1" applyFont="1" applyBorder="1" applyAlignment="1">
      <alignment horizontal="center"/>
    </xf>
    <xf numFmtId="0" fontId="2" fillId="9" borderId="31" xfId="0" applyFont="1" applyFill="1" applyBorder="1" applyAlignment="1">
      <alignment horizontal="left" vertical="center"/>
    </xf>
    <xf numFmtId="0" fontId="2" fillId="9" borderId="32" xfId="0" applyFont="1" applyFill="1" applyBorder="1" applyAlignment="1">
      <alignment horizontal="left" vertical="center"/>
    </xf>
    <xf numFmtId="0" fontId="2" fillId="9" borderId="33" xfId="0" applyFont="1" applyFill="1" applyBorder="1" applyAlignment="1">
      <alignment horizontal="left" vertical="center"/>
    </xf>
    <xf numFmtId="174" fontId="29" fillId="9" borderId="5" xfId="1" applyNumberFormat="1" applyFont="1" applyFill="1" applyBorder="1" applyAlignment="1">
      <alignment horizontal="center" vertical="center"/>
    </xf>
    <xf numFmtId="174" fontId="29" fillId="9" borderId="7" xfId="1" applyNumberFormat="1" applyFont="1" applyFill="1" applyBorder="1" applyAlignment="1">
      <alignment horizontal="center" vertical="center"/>
    </xf>
    <xf numFmtId="0" fontId="10" fillId="0" borderId="28" xfId="0" applyFont="1" applyBorder="1" applyAlignment="1">
      <alignment horizontal="left" vertical="center"/>
    </xf>
    <xf numFmtId="0" fontId="10" fillId="0" borderId="15" xfId="0" applyFont="1" applyBorder="1" applyAlignment="1">
      <alignment horizontal="left" vertical="center"/>
    </xf>
    <xf numFmtId="0" fontId="10" fillId="0" borderId="27" xfId="0" applyFont="1" applyBorder="1" applyAlignment="1">
      <alignment horizontal="left" vertical="center"/>
    </xf>
    <xf numFmtId="174" fontId="29" fillId="9" borderId="29" xfId="1" applyNumberFormat="1" applyFont="1" applyFill="1" applyBorder="1" applyAlignment="1">
      <alignment horizontal="center" vertical="center"/>
    </xf>
    <xf numFmtId="174" fontId="29" fillId="9" borderId="30" xfId="1" applyNumberFormat="1" applyFont="1" applyFill="1" applyBorder="1" applyAlignment="1">
      <alignment horizontal="center" vertical="center"/>
    </xf>
    <xf numFmtId="174" fontId="29" fillId="9" borderId="9" xfId="1" applyNumberFormat="1" applyFont="1" applyFill="1" applyBorder="1" applyAlignment="1">
      <alignment horizontal="center" vertical="center"/>
    </xf>
    <xf numFmtId="174" fontId="29" fillId="9" borderId="8" xfId="1" applyNumberFormat="1" applyFont="1" applyFill="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9" xfId="0" applyFont="1" applyBorder="1" applyAlignment="1">
      <alignment horizontal="left" vertical="center"/>
    </xf>
    <xf numFmtId="0" fontId="10" fillId="0" borderId="0" xfId="0" applyFont="1" applyBorder="1" applyAlignment="1">
      <alignment horizontal="left" vertical="center"/>
    </xf>
    <xf numFmtId="0" fontId="10" fillId="0" borderId="8" xfId="0" applyFont="1" applyBorder="1" applyAlignment="1">
      <alignment horizontal="left" vertical="center"/>
    </xf>
    <xf numFmtId="0" fontId="55" fillId="9" borderId="3" xfId="0" applyFont="1" applyFill="1" applyBorder="1" applyAlignment="1">
      <alignment horizontal="left" vertical="center" wrapText="1"/>
    </xf>
    <xf numFmtId="0" fontId="55" fillId="9" borderId="1" xfId="0" applyFont="1" applyFill="1" applyBorder="1" applyAlignment="1">
      <alignment horizontal="left" vertical="center" wrapText="1"/>
    </xf>
    <xf numFmtId="0" fontId="55" fillId="9" borderId="4" xfId="0" applyFont="1" applyFill="1" applyBorder="1" applyAlignment="1">
      <alignment horizontal="left" vertical="center" wrapText="1"/>
    </xf>
    <xf numFmtId="0" fontId="55" fillId="9" borderId="9" xfId="0" applyFont="1" applyFill="1" applyBorder="1" applyAlignment="1">
      <alignment horizontal="left" vertical="center" wrapText="1"/>
    </xf>
    <xf numFmtId="0" fontId="55" fillId="9" borderId="0" xfId="0" applyFont="1" applyFill="1" applyBorder="1" applyAlignment="1">
      <alignment horizontal="left" vertical="center" wrapText="1"/>
    </xf>
    <xf numFmtId="0" fontId="55" fillId="9" borderId="8" xfId="0" applyFont="1" applyFill="1" applyBorder="1" applyAlignment="1">
      <alignment horizontal="left" vertical="center" wrapText="1"/>
    </xf>
    <xf numFmtId="174" fontId="29" fillId="9" borderId="3" xfId="1" applyNumberFormat="1" applyFont="1" applyFill="1" applyBorder="1" applyAlignment="1">
      <alignment horizontal="center" vertical="center"/>
    </xf>
    <xf numFmtId="174" fontId="29" fillId="9" borderId="4" xfId="1" applyNumberFormat="1" applyFont="1" applyFill="1" applyBorder="1" applyAlignment="1">
      <alignment horizontal="center" vertical="center"/>
    </xf>
    <xf numFmtId="0" fontId="2" fillId="9" borderId="12" xfId="0" applyFont="1" applyFill="1" applyBorder="1" applyAlignment="1">
      <alignment horizontal="left" vertical="center"/>
    </xf>
    <xf numFmtId="0" fontId="2" fillId="9" borderId="10" xfId="0" applyFont="1" applyFill="1" applyBorder="1" applyAlignment="1">
      <alignment horizontal="left" vertical="center"/>
    </xf>
    <xf numFmtId="0" fontId="2" fillId="9" borderId="11" xfId="0" applyFont="1" applyFill="1" applyBorder="1" applyAlignment="1">
      <alignment horizontal="left" vertical="center"/>
    </xf>
    <xf numFmtId="174" fontId="29" fillId="9" borderId="12" xfId="1" applyNumberFormat="1" applyFont="1" applyFill="1" applyBorder="1" applyAlignment="1">
      <alignment horizontal="center" vertical="center"/>
    </xf>
    <xf numFmtId="174" fontId="29" fillId="9" borderId="11" xfId="1" applyNumberFormat="1" applyFont="1" applyFill="1" applyBorder="1" applyAlignment="1">
      <alignment horizontal="center" vertical="center"/>
    </xf>
    <xf numFmtId="0" fontId="10" fillId="0" borderId="12"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175" fontId="29" fillId="9" borderId="12" xfId="1" applyNumberFormat="1" applyFont="1" applyFill="1" applyBorder="1" applyAlignment="1">
      <alignment horizontal="center" vertical="center"/>
    </xf>
    <xf numFmtId="175" fontId="29" fillId="9" borderId="11" xfId="1" applyNumberFormat="1" applyFont="1" applyFill="1" applyBorder="1" applyAlignment="1">
      <alignment horizontal="center" vertical="center"/>
    </xf>
    <xf numFmtId="0" fontId="3" fillId="9" borderId="0" xfId="0" applyFont="1" applyFill="1" applyAlignment="1">
      <alignment horizontal="center" vertical="center"/>
    </xf>
    <xf numFmtId="0" fontId="2" fillId="9" borderId="0" xfId="0" applyFont="1" applyFill="1" applyAlignment="1">
      <alignment horizontal="center" vertical="center"/>
    </xf>
    <xf numFmtId="0" fontId="6" fillId="9" borderId="0" xfId="0" applyFont="1" applyFill="1" applyAlignment="1">
      <alignment horizontal="center" vertical="center"/>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3" fillId="11" borderId="0"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3" fillId="11" borderId="5"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10" fillId="11" borderId="12" xfId="0" applyFont="1" applyFill="1" applyBorder="1" applyAlignment="1">
      <alignment horizontal="center" vertical="center"/>
    </xf>
    <xf numFmtId="0" fontId="10" fillId="11" borderId="10" xfId="0" applyFont="1" applyFill="1" applyBorder="1" applyAlignment="1">
      <alignment horizontal="center" vertical="center"/>
    </xf>
    <xf numFmtId="0" fontId="10" fillId="11" borderId="11" xfId="0" applyFont="1" applyFill="1" applyBorder="1" applyAlignment="1">
      <alignment horizontal="center" vertical="center"/>
    </xf>
    <xf numFmtId="0" fontId="2" fillId="11" borderId="3"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7" xfId="0" applyFont="1" applyFill="1" applyBorder="1" applyAlignment="1">
      <alignment horizontal="center" vertical="center" wrapText="1"/>
    </xf>
    <xf numFmtId="167" fontId="38" fillId="0" borderId="1" xfId="1" applyNumberFormat="1" applyFont="1" applyBorder="1" applyAlignment="1">
      <alignment horizontal="center"/>
    </xf>
    <xf numFmtId="0" fontId="52" fillId="0" borderId="9" xfId="4" applyFont="1" applyBorder="1" applyAlignment="1">
      <alignment horizontal="center"/>
    </xf>
    <xf numFmtId="0" fontId="52" fillId="0" borderId="0" xfId="4" applyFont="1" applyBorder="1" applyAlignment="1">
      <alignment horizontal="center"/>
    </xf>
    <xf numFmtId="0" fontId="52" fillId="0" borderId="8" xfId="4" applyFont="1" applyBorder="1" applyAlignment="1">
      <alignment horizontal="center"/>
    </xf>
    <xf numFmtId="0" fontId="49" fillId="0" borderId="0" xfId="0" applyFont="1" applyBorder="1" applyAlignment="1">
      <alignment horizontal="justify" vertical="top" wrapText="1"/>
    </xf>
    <xf numFmtId="0" fontId="49" fillId="0" borderId="0" xfId="0" applyFont="1" applyFill="1" applyBorder="1" applyAlignment="1">
      <alignment horizontal="justify" vertical="top" wrapText="1"/>
    </xf>
    <xf numFmtId="0" fontId="2" fillId="0" borderId="0" xfId="0" applyFont="1" applyFill="1" applyBorder="1" applyAlignment="1">
      <alignment horizontal="justify" vertical="top" wrapText="1"/>
    </xf>
    <xf numFmtId="0" fontId="2" fillId="0" borderId="3" xfId="0" applyFont="1" applyFill="1" applyBorder="1" applyAlignment="1">
      <alignment horizontal="center" vertical="top"/>
    </xf>
    <xf numFmtId="0" fontId="2" fillId="0" borderId="1" xfId="0" applyFont="1" applyFill="1" applyBorder="1" applyAlignment="1">
      <alignment horizontal="center" vertical="top"/>
    </xf>
    <xf numFmtId="0" fontId="2" fillId="0" borderId="5" xfId="0" applyFont="1" applyFill="1" applyBorder="1" applyAlignment="1">
      <alignment horizontal="center" vertical="top"/>
    </xf>
    <xf numFmtId="0" fontId="2" fillId="0" borderId="7" xfId="0" applyFont="1" applyFill="1" applyBorder="1" applyAlignment="1">
      <alignment horizontal="center" vertical="top"/>
    </xf>
    <xf numFmtId="0" fontId="2" fillId="0" borderId="0" xfId="0" applyFont="1" applyFill="1" applyBorder="1" applyAlignment="1">
      <alignment horizontal="right" vertical="top"/>
    </xf>
    <xf numFmtId="0" fontId="2" fillId="0" borderId="8" xfId="0" applyFont="1" applyFill="1" applyBorder="1" applyAlignment="1">
      <alignment horizontal="right" vertical="top"/>
    </xf>
    <xf numFmtId="0" fontId="36" fillId="9" borderId="3" xfId="0" applyFont="1" applyFill="1" applyBorder="1" applyAlignment="1">
      <alignment horizontal="left" vertical="center" wrapText="1" indent="1"/>
    </xf>
    <xf numFmtId="0" fontId="36" fillId="9" borderId="1" xfId="0" applyFont="1" applyFill="1" applyBorder="1" applyAlignment="1">
      <alignment horizontal="left" vertical="center" wrapText="1" indent="1"/>
    </xf>
    <xf numFmtId="0" fontId="36" fillId="9" borderId="4" xfId="0" applyFont="1" applyFill="1" applyBorder="1" applyAlignment="1">
      <alignment horizontal="left" vertical="center" wrapText="1" indent="1"/>
    </xf>
    <xf numFmtId="0" fontId="61" fillId="9" borderId="22" xfId="0" applyFont="1" applyFill="1" applyBorder="1" applyAlignment="1">
      <alignment horizontal="left" vertical="top" wrapText="1"/>
    </xf>
    <xf numFmtId="0" fontId="36" fillId="9" borderId="0" xfId="0" applyFont="1" applyFill="1" applyAlignment="1">
      <alignment horizontal="center" vertical="center"/>
    </xf>
    <xf numFmtId="0" fontId="61" fillId="9" borderId="0" xfId="0" applyFont="1" applyFill="1" applyAlignment="1">
      <alignment horizontal="center" vertical="center"/>
    </xf>
    <xf numFmtId="0" fontId="61" fillId="9" borderId="0" xfId="0" applyFont="1" applyFill="1" applyBorder="1" applyAlignment="1">
      <alignment horizontal="center" vertical="center"/>
    </xf>
    <xf numFmtId="0" fontId="42" fillId="11" borderId="2" xfId="0" applyFont="1" applyFill="1" applyBorder="1" applyAlignment="1">
      <alignment horizontal="center" vertical="center" wrapText="1"/>
    </xf>
    <xf numFmtId="0" fontId="36" fillId="11" borderId="12" xfId="0" applyFont="1" applyFill="1" applyBorder="1" applyAlignment="1">
      <alignment horizontal="center" vertical="center" wrapText="1"/>
    </xf>
    <xf numFmtId="0" fontId="36" fillId="11" borderId="11" xfId="0" applyFont="1" applyFill="1" applyBorder="1" applyAlignment="1">
      <alignment horizontal="center" vertical="center" wrapText="1"/>
    </xf>
    <xf numFmtId="0" fontId="36" fillId="11" borderId="2" xfId="0" applyFont="1" applyFill="1" applyBorder="1" applyAlignment="1">
      <alignment horizontal="center" vertical="center" wrapText="1"/>
    </xf>
    <xf numFmtId="0" fontId="62" fillId="9" borderId="22" xfId="0" applyFont="1" applyFill="1" applyBorder="1" applyAlignment="1">
      <alignment horizontal="left" vertical="top" wrapText="1"/>
    </xf>
    <xf numFmtId="0" fontId="36" fillId="9" borderId="3" xfId="0" applyFont="1" applyFill="1" applyBorder="1" applyAlignment="1">
      <alignment horizontal="left" vertical="center" wrapText="1"/>
    </xf>
    <xf numFmtId="0" fontId="36" fillId="9" borderId="4" xfId="0" applyFont="1" applyFill="1" applyBorder="1" applyAlignment="1">
      <alignment horizontal="left" vertical="center" wrapText="1"/>
    </xf>
    <xf numFmtId="170" fontId="2" fillId="5" borderId="12" xfId="2" applyNumberFormat="1" applyFont="1" applyFill="1" applyBorder="1" applyAlignment="1">
      <alignment horizontal="center" vertical="center"/>
    </xf>
    <xf numFmtId="170" fontId="2" fillId="5" borderId="11" xfId="2" applyNumberFormat="1" applyFont="1" applyFill="1" applyBorder="1" applyAlignment="1">
      <alignment horizontal="center" vertical="center"/>
    </xf>
    <xf numFmtId="167" fontId="6" fillId="0" borderId="2" xfId="5" applyNumberFormat="1" applyFont="1" applyFill="1" applyBorder="1" applyAlignment="1">
      <alignment horizontal="left" vertical="center"/>
    </xf>
    <xf numFmtId="167" fontId="2" fillId="0" borderId="2" xfId="5" applyNumberFormat="1" applyFont="1" applyFill="1" applyBorder="1" applyAlignment="1">
      <alignment horizontal="center" vertical="center"/>
    </xf>
    <xf numFmtId="166" fontId="2" fillId="0" borderId="0" xfId="5" applyFont="1" applyFill="1" applyAlignment="1">
      <alignment horizontal="center" vertical="center"/>
    </xf>
    <xf numFmtId="167" fontId="2" fillId="6" borderId="12" xfId="5" applyNumberFormat="1" applyFont="1" applyFill="1" applyBorder="1" applyAlignment="1">
      <alignment horizontal="center" vertical="center"/>
    </xf>
    <xf numFmtId="167" fontId="2" fillId="6" borderId="10" xfId="5" applyNumberFormat="1" applyFont="1" applyFill="1" applyBorder="1" applyAlignment="1">
      <alignment horizontal="center" vertical="center"/>
    </xf>
    <xf numFmtId="167" fontId="2" fillId="6" borderId="11" xfId="5" applyNumberFormat="1" applyFont="1" applyFill="1" applyBorder="1" applyAlignment="1">
      <alignment horizontal="center" vertical="center"/>
    </xf>
    <xf numFmtId="167" fontId="3" fillId="6"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67" fontId="2" fillId="0" borderId="1" xfId="5" applyNumberFormat="1" applyFont="1" applyFill="1" applyBorder="1" applyAlignment="1">
      <alignment horizontal="center" vertical="center"/>
    </xf>
    <xf numFmtId="167" fontId="2" fillId="0" borderId="0" xfId="5" applyNumberFormat="1" applyFont="1" applyFill="1" applyAlignment="1">
      <alignment horizontal="center" vertical="center"/>
    </xf>
    <xf numFmtId="167" fontId="6" fillId="0" borderId="12" xfId="5" applyNumberFormat="1" applyFont="1" applyFill="1" applyBorder="1" applyAlignment="1">
      <alignment horizontal="left" vertical="center"/>
    </xf>
    <xf numFmtId="167" fontId="6" fillId="0" borderId="10" xfId="5" applyNumberFormat="1" applyFont="1" applyFill="1" applyBorder="1" applyAlignment="1">
      <alignment horizontal="left" vertical="center"/>
    </xf>
    <xf numFmtId="167" fontId="6" fillId="0" borderId="11" xfId="5" applyNumberFormat="1" applyFont="1" applyFill="1" applyBorder="1" applyAlignment="1">
      <alignment horizontal="left" vertical="center"/>
    </xf>
    <xf numFmtId="167" fontId="2" fillId="9" borderId="5" xfId="5" applyNumberFormat="1" applyFont="1" applyFill="1" applyBorder="1" applyAlignment="1">
      <alignment horizontal="left" vertical="center" indent="1"/>
    </xf>
    <xf numFmtId="167" fontId="2" fillId="9" borderId="6" xfId="5" applyNumberFormat="1" applyFont="1" applyFill="1" applyBorder="1" applyAlignment="1">
      <alignment horizontal="left" vertical="center" indent="1"/>
    </xf>
    <xf numFmtId="167" fontId="2" fillId="9" borderId="5" xfId="5" applyNumberFormat="1" applyFont="1" applyFill="1" applyBorder="1" applyAlignment="1">
      <alignment horizontal="center" vertical="center"/>
    </xf>
    <xf numFmtId="167" fontId="2" fillId="9" borderId="7" xfId="5" applyNumberFormat="1" applyFont="1" applyFill="1" applyBorder="1" applyAlignment="1">
      <alignment horizontal="center" vertical="center"/>
    </xf>
    <xf numFmtId="166" fontId="6" fillId="0" borderId="0" xfId="1" applyFont="1" applyBorder="1" applyAlignment="1">
      <alignment horizontal="center" vertical="center"/>
    </xf>
    <xf numFmtId="166" fontId="6" fillId="0" borderId="0" xfId="1" applyNumberFormat="1" applyFont="1" applyBorder="1" applyAlignment="1">
      <alignment horizontal="center" vertical="center"/>
    </xf>
    <xf numFmtId="166" fontId="6" fillId="0" borderId="15" xfId="1" applyFont="1" applyBorder="1" applyAlignment="1">
      <alignment horizontal="center" vertical="center"/>
    </xf>
    <xf numFmtId="9" fontId="6" fillId="9" borderId="0" xfId="3" applyFont="1" applyFill="1" applyBorder="1" applyAlignment="1">
      <alignment horizontal="center" vertical="center"/>
    </xf>
    <xf numFmtId="167" fontId="6" fillId="9" borderId="15" xfId="5" applyNumberFormat="1" applyFont="1" applyFill="1" applyBorder="1" applyAlignment="1">
      <alignment horizontal="center" vertical="center"/>
    </xf>
    <xf numFmtId="167" fontId="2" fillId="9" borderId="0" xfId="5" applyNumberFormat="1" applyFont="1" applyFill="1" applyBorder="1" applyAlignment="1">
      <alignment horizontal="center" vertical="center"/>
    </xf>
    <xf numFmtId="167" fontId="2" fillId="9" borderId="3" xfId="5" applyNumberFormat="1" applyFont="1" applyFill="1" applyBorder="1" applyAlignment="1">
      <alignment vertical="center"/>
    </xf>
    <xf numFmtId="167" fontId="2" fillId="9" borderId="1" xfId="5" applyNumberFormat="1" applyFont="1" applyFill="1" applyBorder="1" applyAlignment="1">
      <alignment vertical="center"/>
    </xf>
    <xf numFmtId="167" fontId="2" fillId="9" borderId="3" xfId="5" applyNumberFormat="1" applyFont="1" applyFill="1" applyBorder="1" applyAlignment="1">
      <alignment horizontal="center" vertical="center"/>
    </xf>
    <xf numFmtId="167" fontId="2" fillId="9" borderId="4" xfId="5" applyNumberFormat="1" applyFont="1" applyFill="1" applyBorder="1" applyAlignment="1">
      <alignment horizontal="center" vertical="center"/>
    </xf>
    <xf numFmtId="167" fontId="6" fillId="0" borderId="0" xfId="1" applyNumberFormat="1" applyFont="1" applyBorder="1" applyAlignment="1">
      <alignment horizontal="center" vertical="center"/>
    </xf>
    <xf numFmtId="167" fontId="6" fillId="9" borderId="0" xfId="5" applyNumberFormat="1" applyFont="1" applyFill="1" applyAlignment="1">
      <alignment horizontal="center" vertical="center"/>
    </xf>
    <xf numFmtId="167" fontId="6" fillId="9" borderId="1" xfId="5" applyNumberFormat="1" applyFont="1" applyFill="1" applyBorder="1" applyAlignment="1">
      <alignment horizontal="center" vertical="center"/>
    </xf>
    <xf numFmtId="167" fontId="2" fillId="9" borderId="6" xfId="5" applyNumberFormat="1" applyFont="1" applyFill="1" applyBorder="1" applyAlignment="1">
      <alignment horizontal="center" vertical="center"/>
    </xf>
    <xf numFmtId="167" fontId="2" fillId="9" borderId="1" xfId="5" applyNumberFormat="1" applyFont="1" applyFill="1" applyBorder="1" applyAlignment="1">
      <alignment horizontal="center" vertical="center"/>
    </xf>
    <xf numFmtId="167" fontId="2" fillId="9" borderId="9" xfId="5" applyNumberFormat="1" applyFont="1" applyFill="1" applyBorder="1" applyAlignment="1">
      <alignment vertical="center"/>
    </xf>
    <xf numFmtId="167" fontId="2" fillId="9" borderId="0" xfId="5" applyNumberFormat="1" applyFont="1" applyFill="1" applyBorder="1" applyAlignment="1">
      <alignment vertical="center"/>
    </xf>
    <xf numFmtId="167" fontId="2" fillId="9" borderId="9" xfId="5" applyNumberFormat="1" applyFont="1" applyFill="1" applyBorder="1" applyAlignment="1">
      <alignment horizontal="center" vertical="center"/>
    </xf>
    <xf numFmtId="167" fontId="2" fillId="9" borderId="8" xfId="5" applyNumberFormat="1" applyFont="1" applyFill="1" applyBorder="1" applyAlignment="1">
      <alignment horizontal="center" vertical="center"/>
    </xf>
    <xf numFmtId="167" fontId="2" fillId="9" borderId="5" xfId="5" applyNumberFormat="1" applyFont="1" applyFill="1" applyBorder="1" applyAlignment="1">
      <alignment vertical="center"/>
    </xf>
    <xf numFmtId="167" fontId="2" fillId="9" borderId="7" xfId="5" applyNumberFormat="1" applyFont="1" applyFill="1" applyBorder="1" applyAlignment="1">
      <alignment vertical="center"/>
    </xf>
    <xf numFmtId="168" fontId="6" fillId="0" borderId="0" xfId="1" applyNumberFormat="1" applyFont="1" applyBorder="1" applyAlignment="1">
      <alignment horizontal="center" vertical="center"/>
    </xf>
    <xf numFmtId="49" fontId="2" fillId="9" borderId="0" xfId="5" applyNumberFormat="1" applyFont="1" applyFill="1" applyBorder="1" applyAlignment="1">
      <alignment horizontal="justify" vertical="center" wrapText="1"/>
    </xf>
    <xf numFmtId="167" fontId="2" fillId="9" borderId="4" xfId="5" applyNumberFormat="1" applyFont="1" applyFill="1" applyBorder="1" applyAlignment="1">
      <alignment vertical="center"/>
    </xf>
    <xf numFmtId="166" fontId="6" fillId="0" borderId="1" xfId="1" applyFont="1" applyBorder="1" applyAlignment="1">
      <alignment horizontal="center" vertical="center"/>
    </xf>
    <xf numFmtId="0" fontId="3" fillId="3" borderId="2" xfId="0" applyFont="1" applyFill="1" applyBorder="1" applyAlignment="1">
      <alignment horizontal="center" vertical="top" wrapText="1"/>
    </xf>
    <xf numFmtId="0" fontId="6" fillId="3" borderId="2" xfId="0" applyFont="1" applyFill="1" applyBorder="1" applyAlignment="1">
      <alignment horizontal="center" vertical="top" wrapText="1"/>
    </xf>
    <xf numFmtId="179" fontId="2" fillId="9" borderId="2" xfId="1" applyNumberFormat="1" applyFont="1" applyFill="1" applyBorder="1" applyAlignment="1">
      <alignment horizontal="center" vertical="center"/>
    </xf>
    <xf numFmtId="10" fontId="2" fillId="9" borderId="2" xfId="3" applyNumberFormat="1" applyFont="1" applyFill="1" applyBorder="1" applyAlignment="1">
      <alignment horizontal="center" vertical="center"/>
    </xf>
    <xf numFmtId="167" fontId="3" fillId="0" borderId="15" xfId="1" applyNumberFormat="1" applyFont="1" applyBorder="1" applyAlignment="1">
      <alignment horizontal="center" vertical="center"/>
    </xf>
    <xf numFmtId="167" fontId="2" fillId="2" borderId="12" xfId="5" applyNumberFormat="1" applyFont="1" applyFill="1" applyBorder="1" applyAlignment="1">
      <alignment horizontal="center" vertical="center"/>
    </xf>
    <xf numFmtId="167" fontId="2" fillId="2" borderId="10" xfId="5" applyNumberFormat="1" applyFont="1" applyFill="1" applyBorder="1" applyAlignment="1">
      <alignment horizontal="center" vertical="center"/>
    </xf>
    <xf numFmtId="167" fontId="2" fillId="2" borderId="11" xfId="5" applyNumberFormat="1" applyFont="1" applyFill="1" applyBorder="1" applyAlignment="1">
      <alignment horizontal="center" vertical="center"/>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9" fontId="2" fillId="0" borderId="6" xfId="3" applyFont="1" applyBorder="1" applyAlignment="1">
      <alignment horizontal="right" vertical="center"/>
    </xf>
    <xf numFmtId="167" fontId="3" fillId="12" borderId="15" xfId="1" applyNumberFormat="1" applyFont="1" applyFill="1" applyBorder="1" applyAlignment="1">
      <alignment horizontal="center" vertical="center"/>
    </xf>
    <xf numFmtId="166" fontId="6" fillId="0" borderId="0" xfId="1" applyFont="1" applyAlignment="1">
      <alignment horizontal="center" vertical="center" wrapText="1"/>
    </xf>
    <xf numFmtId="169" fontId="2" fillId="0" borderId="0" xfId="1" applyNumberFormat="1" applyFont="1" applyAlignment="1">
      <alignment horizontal="center" vertical="center"/>
    </xf>
    <xf numFmtId="167" fontId="38" fillId="9" borderId="5" xfId="5" applyNumberFormat="1" applyFont="1" applyFill="1" applyBorder="1" applyAlignment="1">
      <alignment horizontal="center"/>
    </xf>
    <xf numFmtId="167" fontId="38" fillId="9" borderId="7" xfId="5" applyNumberFormat="1" applyFont="1" applyFill="1" applyBorder="1" applyAlignment="1">
      <alignment horizont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167" fontId="38" fillId="9" borderId="9" xfId="5" applyNumberFormat="1" applyFont="1" applyFill="1" applyBorder="1" applyAlignment="1">
      <alignment horizontal="center"/>
    </xf>
    <xf numFmtId="167" fontId="38" fillId="9" borderId="8" xfId="5" applyNumberFormat="1" applyFont="1" applyFill="1" applyBorder="1" applyAlignment="1">
      <alignment horizontal="center"/>
    </xf>
    <xf numFmtId="167" fontId="38" fillId="9" borderId="3" xfId="5" applyNumberFormat="1" applyFont="1" applyFill="1" applyBorder="1" applyAlignment="1">
      <alignment horizontal="center"/>
    </xf>
    <xf numFmtId="167" fontId="38" fillId="9" borderId="4" xfId="5" applyNumberFormat="1" applyFont="1" applyFill="1" applyBorder="1" applyAlignment="1">
      <alignment horizontal="center"/>
    </xf>
    <xf numFmtId="167" fontId="2" fillId="9" borderId="9" xfId="1" applyNumberFormat="1" applyFont="1" applyFill="1" applyBorder="1" applyAlignment="1">
      <alignment horizontal="center"/>
    </xf>
    <xf numFmtId="167" fontId="2" fillId="9" borderId="8" xfId="1" applyNumberFormat="1" applyFont="1" applyFill="1" applyBorder="1" applyAlignment="1">
      <alignment horizontal="center"/>
    </xf>
    <xf numFmtId="167" fontId="2" fillId="9" borderId="0" xfId="1" applyNumberFormat="1" applyFont="1" applyFill="1" applyBorder="1" applyAlignment="1">
      <alignment horizontal="center"/>
    </xf>
    <xf numFmtId="167" fontId="2" fillId="9" borderId="5" xfId="1" applyNumberFormat="1" applyFont="1" applyFill="1" applyBorder="1" applyAlignment="1">
      <alignment horizontal="center"/>
    </xf>
    <xf numFmtId="167" fontId="2" fillId="9" borderId="7" xfId="1" applyNumberFormat="1" applyFont="1" applyFill="1" applyBorder="1" applyAlignment="1">
      <alignment horizontal="center"/>
    </xf>
    <xf numFmtId="167" fontId="2" fillId="9" borderId="6" xfId="1" applyNumberFormat="1" applyFont="1" applyFill="1" applyBorder="1" applyAlignment="1">
      <alignment horizontal="center"/>
    </xf>
    <xf numFmtId="167" fontId="2" fillId="9" borderId="3" xfId="1" applyNumberFormat="1" applyFont="1" applyFill="1" applyBorder="1" applyAlignment="1">
      <alignment horizontal="center"/>
    </xf>
    <xf numFmtId="167" fontId="2" fillId="9" borderId="4" xfId="1" applyNumberFormat="1" applyFont="1" applyFill="1" applyBorder="1" applyAlignment="1">
      <alignment horizontal="center"/>
    </xf>
    <xf numFmtId="167" fontId="2" fillId="9" borderId="1" xfId="1" applyNumberFormat="1" applyFont="1" applyFill="1" applyBorder="1" applyAlignment="1">
      <alignment horizontal="center"/>
    </xf>
    <xf numFmtId="167" fontId="38" fillId="10" borderId="10" xfId="1" applyNumberFormat="1" applyFont="1" applyFill="1" applyBorder="1" applyAlignment="1">
      <alignment horizontal="center"/>
    </xf>
    <xf numFmtId="167" fontId="38" fillId="10" borderId="36" xfId="1" applyNumberFormat="1" applyFont="1" applyFill="1" applyBorder="1" applyAlignment="1">
      <alignment horizontal="center"/>
    </xf>
    <xf numFmtId="0" fontId="39" fillId="10" borderId="12" xfId="0" applyFont="1" applyFill="1" applyBorder="1" applyAlignment="1">
      <alignment horizontal="center"/>
    </xf>
    <xf numFmtId="0" fontId="39" fillId="10" borderId="10" xfId="0" applyFont="1" applyFill="1" applyBorder="1" applyAlignment="1">
      <alignment horizontal="center"/>
    </xf>
    <xf numFmtId="167" fontId="2" fillId="10" borderId="10" xfId="1" applyNumberFormat="1" applyFont="1" applyFill="1" applyBorder="1" applyAlignment="1">
      <alignment horizontal="center"/>
    </xf>
    <xf numFmtId="167" fontId="2" fillId="10" borderId="11" xfId="1" applyNumberFormat="1" applyFont="1" applyFill="1" applyBorder="1" applyAlignment="1">
      <alignment horizontal="center"/>
    </xf>
    <xf numFmtId="0" fontId="7" fillId="0" borderId="6" xfId="0" applyFont="1" applyBorder="1" applyAlignment="1">
      <alignment horizontal="center" vertical="center"/>
    </xf>
    <xf numFmtId="0" fontId="38" fillId="9" borderId="0" xfId="0" applyFont="1" applyFill="1" applyBorder="1" applyAlignment="1">
      <alignment horizontal="left"/>
    </xf>
    <xf numFmtId="165" fontId="76" fillId="9" borderId="0" xfId="0" applyNumberFormat="1" applyFont="1" applyFill="1" applyBorder="1" applyAlignment="1">
      <alignment horizontal="left"/>
    </xf>
    <xf numFmtId="0" fontId="3" fillId="10" borderId="12" xfId="0" applyFont="1" applyFill="1" applyBorder="1" applyAlignment="1">
      <alignment horizontal="center" vertical="center"/>
    </xf>
    <xf numFmtId="0" fontId="3" fillId="10" borderId="10" xfId="0" applyFont="1" applyFill="1" applyBorder="1" applyAlignment="1">
      <alignment horizontal="center" vertical="center"/>
    </xf>
    <xf numFmtId="3" fontId="40" fillId="9" borderId="0" xfId="1" applyNumberFormat="1" applyFont="1" applyFill="1" applyBorder="1" applyAlignment="1">
      <alignment horizontal="left"/>
    </xf>
    <xf numFmtId="3" fontId="40" fillId="9" borderId="24" xfId="1" applyNumberFormat="1" applyFont="1" applyFill="1" applyBorder="1" applyAlignment="1">
      <alignment horizontal="left"/>
    </xf>
    <xf numFmtId="167" fontId="38" fillId="0" borderId="0" xfId="9" applyNumberFormat="1" applyFont="1" applyBorder="1" applyAlignment="1">
      <alignment horizontal="center"/>
    </xf>
    <xf numFmtId="167" fontId="38" fillId="0" borderId="8" xfId="9" applyNumberFormat="1" applyFont="1" applyBorder="1" applyAlignment="1">
      <alignment horizontal="center"/>
    </xf>
    <xf numFmtId="167" fontId="38" fillId="0" borderId="9" xfId="9" applyNumberFormat="1" applyFont="1" applyBorder="1" applyAlignment="1">
      <alignment horizontal="center"/>
    </xf>
    <xf numFmtId="167" fontId="38" fillId="0" borderId="5" xfId="9" applyNumberFormat="1" applyFont="1" applyBorder="1" applyAlignment="1">
      <alignment horizontal="center"/>
    </xf>
    <xf numFmtId="167" fontId="38" fillId="0" borderId="7" xfId="9" applyNumberFormat="1" applyFont="1" applyBorder="1" applyAlignment="1">
      <alignment horizontal="center"/>
    </xf>
    <xf numFmtId="167" fontId="38" fillId="0" borderId="3" xfId="9" applyNumberFormat="1" applyFont="1" applyBorder="1" applyAlignment="1">
      <alignment horizontal="center"/>
    </xf>
    <xf numFmtId="167" fontId="38" fillId="0" borderId="4" xfId="9" applyNumberFormat="1" applyFont="1" applyBorder="1" applyAlignment="1">
      <alignment horizontal="center"/>
    </xf>
    <xf numFmtId="167" fontId="38" fillId="0" borderId="1" xfId="9" applyNumberFormat="1" applyFont="1" applyBorder="1" applyAlignment="1">
      <alignment horizontal="center"/>
    </xf>
    <xf numFmtId="167" fontId="38" fillId="0" borderId="6" xfId="9" applyNumberFormat="1" applyFont="1" applyBorder="1" applyAlignment="1">
      <alignment horizontal="center"/>
    </xf>
    <xf numFmtId="0" fontId="38" fillId="0" borderId="9" xfId="8" applyFont="1" applyFill="1" applyBorder="1" applyAlignment="1">
      <alignment horizontal="center" wrapText="1"/>
    </xf>
    <xf numFmtId="0" fontId="38" fillId="0" borderId="0" xfId="8" applyFont="1" applyFill="1" applyBorder="1" applyAlignment="1">
      <alignment horizontal="center" wrapText="1"/>
    </xf>
    <xf numFmtId="0" fontId="38" fillId="0" borderId="8" xfId="8" applyFont="1" applyFill="1" applyBorder="1" applyAlignment="1">
      <alignment horizontal="center" wrapText="1"/>
    </xf>
    <xf numFmtId="0" fontId="6" fillId="0" borderId="2" xfId="0" applyFont="1" applyBorder="1" applyAlignment="1">
      <alignment horizontal="left" vertical="center" indent="1"/>
    </xf>
    <xf numFmtId="167" fontId="2" fillId="0" borderId="2" xfId="0" applyNumberFormat="1" applyFont="1" applyBorder="1" applyAlignment="1">
      <alignment horizontal="center" vertical="center"/>
    </xf>
    <xf numFmtId="166" fontId="2" fillId="0" borderId="2" xfId="1" applyFont="1" applyBorder="1" applyAlignment="1">
      <alignment horizontal="center" vertical="center"/>
    </xf>
    <xf numFmtId="0" fontId="6" fillId="4" borderId="2" xfId="0" applyFont="1" applyFill="1" applyBorder="1" applyAlignment="1">
      <alignment horizontal="center" vertical="center" wrapText="1"/>
    </xf>
    <xf numFmtId="0" fontId="38" fillId="2" borderId="2" xfId="4" applyFont="1" applyFill="1" applyBorder="1" applyAlignment="1">
      <alignment horizontal="center" vertical="center" wrapText="1"/>
    </xf>
    <xf numFmtId="0" fontId="3" fillId="0" borderId="0" xfId="0" applyFont="1" applyAlignment="1">
      <alignment horizontal="center"/>
    </xf>
    <xf numFmtId="0" fontId="2" fillId="0" borderId="0" xfId="0" applyFont="1" applyAlignment="1">
      <alignment horizontal="center"/>
    </xf>
    <xf numFmtId="0" fontId="2" fillId="0" borderId="6" xfId="0" applyFont="1" applyBorder="1" applyAlignment="1">
      <alignment horizontal="center"/>
    </xf>
    <xf numFmtId="0" fontId="38" fillId="2" borderId="2" xfId="4" applyFont="1" applyFill="1" applyBorder="1" applyAlignment="1">
      <alignment horizontal="center" vertical="center"/>
    </xf>
    <xf numFmtId="0" fontId="39" fillId="2" borderId="2" xfId="4" applyFont="1" applyFill="1" applyBorder="1" applyAlignment="1">
      <alignment horizontal="center"/>
    </xf>
    <xf numFmtId="0" fontId="38" fillId="2" borderId="13" xfId="4" applyFont="1" applyFill="1" applyBorder="1" applyAlignment="1">
      <alignment horizontal="center" vertical="center" wrapText="1"/>
    </xf>
    <xf numFmtId="0" fontId="38" fillId="2" borderId="22" xfId="4" applyFont="1" applyFill="1" applyBorder="1" applyAlignment="1">
      <alignment horizontal="center" vertical="center" wrapText="1"/>
    </xf>
    <xf numFmtId="0" fontId="38" fillId="2" borderId="14" xfId="4" applyFont="1" applyFill="1" applyBorder="1" applyAlignment="1">
      <alignment horizontal="center" vertical="center" wrapText="1"/>
    </xf>
    <xf numFmtId="166" fontId="39" fillId="0" borderId="10" xfId="5" applyFont="1" applyFill="1" applyBorder="1" applyAlignment="1">
      <alignment horizontal="center"/>
    </xf>
    <xf numFmtId="166" fontId="96" fillId="0" borderId="0" xfId="5" applyFont="1" applyBorder="1" applyAlignment="1">
      <alignment horizontal="center"/>
    </xf>
    <xf numFmtId="166" fontId="38" fillId="0" borderId="0" xfId="5" applyFont="1" applyFill="1" applyBorder="1" applyAlignment="1">
      <alignment horizontal="center"/>
    </xf>
    <xf numFmtId="0" fontId="93" fillId="0" borderId="9" xfId="0" applyFont="1" applyBorder="1" applyAlignment="1">
      <alignment horizontal="center" vertical="center"/>
    </xf>
    <xf numFmtId="0" fontId="93" fillId="0" borderId="0" xfId="0" applyFont="1" applyBorder="1" applyAlignment="1">
      <alignment horizontal="center" vertical="center"/>
    </xf>
    <xf numFmtId="14" fontId="9" fillId="0" borderId="0" xfId="0" applyNumberFormat="1" applyFont="1" applyFill="1" applyBorder="1" applyAlignment="1">
      <alignment horizontal="center" vertical="center"/>
    </xf>
    <xf numFmtId="0" fontId="40" fillId="0" borderId="9" xfId="4" applyFont="1" applyBorder="1" applyAlignment="1">
      <alignment horizontal="center" wrapText="1"/>
    </xf>
    <xf numFmtId="0" fontId="40" fillId="0" borderId="0" xfId="4" applyFont="1" applyBorder="1" applyAlignment="1">
      <alignment horizontal="center" wrapText="1"/>
    </xf>
    <xf numFmtId="0" fontId="40" fillId="0" borderId="8" xfId="4" applyFont="1" applyBorder="1" applyAlignment="1">
      <alignment horizontal="center" wrapText="1"/>
    </xf>
    <xf numFmtId="3" fontId="2" fillId="9" borderId="2" xfId="0" applyNumberFormat="1" applyFont="1" applyFill="1" applyBorder="1" applyAlignment="1">
      <alignment horizontal="center"/>
    </xf>
    <xf numFmtId="0" fontId="4" fillId="18" borderId="12" xfId="0" applyFont="1" applyFill="1" applyBorder="1" applyAlignment="1">
      <alignment horizontal="center" vertical="center"/>
    </xf>
    <xf numFmtId="0" fontId="4" fillId="18" borderId="11" xfId="0" applyFont="1" applyFill="1" applyBorder="1" applyAlignment="1">
      <alignment horizontal="center" vertical="center"/>
    </xf>
    <xf numFmtId="3" fontId="6" fillId="9" borderId="2" xfId="0" applyNumberFormat="1" applyFont="1" applyFill="1" applyBorder="1" applyAlignment="1">
      <alignment horizontal="center"/>
    </xf>
    <xf numFmtId="3" fontId="4" fillId="18" borderId="2" xfId="0" applyNumberFormat="1" applyFont="1" applyFill="1" applyBorder="1" applyAlignment="1">
      <alignment horizontal="center"/>
    </xf>
    <xf numFmtId="166" fontId="38" fillId="12" borderId="0" xfId="1" applyFont="1" applyFill="1" applyBorder="1" applyAlignment="1">
      <alignment horizontal="center"/>
    </xf>
    <xf numFmtId="0" fontId="40" fillId="19" borderId="2" xfId="0" applyFont="1" applyFill="1" applyBorder="1" applyAlignment="1">
      <alignment horizontal="left"/>
    </xf>
    <xf numFmtId="0" fontId="6" fillId="18" borderId="2" xfId="0" applyFont="1" applyFill="1" applyBorder="1" applyAlignment="1">
      <alignment horizontal="left"/>
    </xf>
    <xf numFmtId="0" fontId="6" fillId="19" borderId="2" xfId="0" applyFont="1" applyFill="1" applyBorder="1" applyAlignment="1">
      <alignment horizontal="left"/>
    </xf>
    <xf numFmtId="166" fontId="37" fillId="0" borderId="0" xfId="1" applyFont="1" applyBorder="1" applyAlignment="1">
      <alignment horizontal="center"/>
    </xf>
    <xf numFmtId="0" fontId="39" fillId="0" borderId="6" xfId="4" applyFont="1" applyBorder="1" applyAlignment="1">
      <alignment horizontal="center"/>
    </xf>
    <xf numFmtId="0" fontId="39" fillId="12" borderId="0" xfId="4" applyFont="1" applyFill="1" applyBorder="1" applyAlignment="1">
      <alignment horizontal="left"/>
    </xf>
    <xf numFmtId="166" fontId="39" fillId="12" borderId="10" xfId="1" applyFont="1" applyFill="1" applyBorder="1" applyAlignment="1">
      <alignment horizontal="center"/>
    </xf>
    <xf numFmtId="0" fontId="35" fillId="0" borderId="38" xfId="0" applyFont="1" applyBorder="1" applyAlignment="1">
      <alignment horizontal="left" vertical="center"/>
    </xf>
    <xf numFmtId="167" fontId="2" fillId="0" borderId="38" xfId="1" applyNumberFormat="1" applyFont="1" applyBorder="1" applyAlignment="1">
      <alignment horizontal="center" vertical="center"/>
    </xf>
    <xf numFmtId="0" fontId="6" fillId="2" borderId="2" xfId="0" applyFont="1" applyFill="1" applyBorder="1" applyAlignment="1">
      <alignment horizontal="center" vertical="center" wrapText="1"/>
    </xf>
    <xf numFmtId="3" fontId="2" fillId="9" borderId="3" xfId="0" applyNumberFormat="1" applyFont="1" applyFill="1" applyBorder="1" applyAlignment="1">
      <alignment horizontal="center" vertical="center"/>
    </xf>
    <xf numFmtId="3" fontId="2" fillId="9" borderId="4" xfId="0" applyNumberFormat="1" applyFont="1" applyFill="1" applyBorder="1" applyAlignment="1">
      <alignment horizontal="center" vertical="center"/>
    </xf>
    <xf numFmtId="3" fontId="2" fillId="9" borderId="5" xfId="0" applyNumberFormat="1" applyFont="1" applyFill="1" applyBorder="1" applyAlignment="1">
      <alignment horizontal="center" vertical="center"/>
    </xf>
    <xf numFmtId="3" fontId="2" fillId="9" borderId="7" xfId="0" applyNumberFormat="1" applyFont="1" applyFill="1" applyBorder="1" applyAlignment="1">
      <alignment horizontal="center" vertical="center"/>
    </xf>
    <xf numFmtId="0" fontId="35" fillId="0" borderId="14" xfId="0" applyFont="1" applyBorder="1" applyAlignment="1">
      <alignment horizontal="left" vertical="center"/>
    </xf>
    <xf numFmtId="0" fontId="6" fillId="0" borderId="2" xfId="0" applyFont="1" applyBorder="1" applyAlignment="1">
      <alignment horizontal="left" vertical="center"/>
    </xf>
    <xf numFmtId="9" fontId="2" fillId="0" borderId="2" xfId="3" applyFont="1" applyBorder="1" applyAlignment="1">
      <alignment horizontal="center" vertical="center"/>
    </xf>
    <xf numFmtId="167" fontId="38" fillId="0" borderId="5" xfId="10" applyNumberFormat="1" applyFont="1" applyBorder="1" applyAlignment="1">
      <alignment horizontal="center"/>
    </xf>
    <xf numFmtId="167" fontId="38" fillId="0" borderId="6" xfId="10" applyNumberFormat="1" applyFont="1" applyBorder="1" applyAlignment="1">
      <alignment horizontal="center"/>
    </xf>
    <xf numFmtId="167" fontId="38" fillId="0" borderId="7" xfId="10" applyNumberFormat="1" applyFont="1" applyBorder="1" applyAlignment="1">
      <alignment horizontal="center"/>
    </xf>
    <xf numFmtId="0" fontId="4" fillId="6" borderId="12"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3" fillId="6" borderId="2" xfId="0" applyFont="1" applyFill="1" applyBorder="1" applyAlignment="1">
      <alignment horizontal="center" vertical="center"/>
    </xf>
    <xf numFmtId="167" fontId="38" fillId="0" borderId="9" xfId="10" applyNumberFormat="1" applyFont="1" applyBorder="1" applyAlignment="1">
      <alignment horizontal="center"/>
    </xf>
    <xf numFmtId="167" fontId="38" fillId="0" borderId="0" xfId="10" applyNumberFormat="1" applyFont="1" applyBorder="1" applyAlignment="1">
      <alignment horizontal="center"/>
    </xf>
    <xf numFmtId="167" fontId="38" fillId="0" borderId="8" xfId="10" applyNumberFormat="1" applyFont="1" applyBorder="1" applyAlignment="1">
      <alignment horizontal="center"/>
    </xf>
    <xf numFmtId="14" fontId="3" fillId="0" borderId="0" xfId="0" applyNumberFormat="1" applyFont="1" applyFill="1" applyBorder="1" applyAlignment="1">
      <alignment horizontal="center" vertical="center"/>
    </xf>
    <xf numFmtId="167" fontId="38" fillId="0" borderId="9" xfId="5" applyNumberFormat="1" applyFont="1" applyBorder="1" applyAlignment="1">
      <alignment horizontal="center"/>
    </xf>
    <xf numFmtId="167" fontId="38" fillId="0" borderId="8" xfId="5" applyNumberFormat="1" applyFont="1" applyBorder="1" applyAlignment="1">
      <alignment horizontal="center"/>
    </xf>
    <xf numFmtId="167" fontId="38" fillId="0" borderId="5" xfId="5" applyNumberFormat="1" applyFont="1" applyBorder="1" applyAlignment="1">
      <alignment horizontal="center"/>
    </xf>
    <xf numFmtId="167" fontId="38" fillId="0" borderId="7" xfId="5" applyNumberFormat="1" applyFont="1" applyBorder="1" applyAlignment="1">
      <alignment horizontal="center"/>
    </xf>
    <xf numFmtId="0" fontId="38" fillId="0" borderId="0" xfId="4" applyFont="1" applyBorder="1" applyAlignment="1">
      <alignment horizontal="center"/>
    </xf>
    <xf numFmtId="14" fontId="3" fillId="0" borderId="6" xfId="0" applyNumberFormat="1" applyFont="1" applyFill="1" applyBorder="1" applyAlignment="1">
      <alignment horizontal="center" vertical="center"/>
    </xf>
    <xf numFmtId="0" fontId="3" fillId="0" borderId="6" xfId="0" applyFont="1" applyFill="1" applyBorder="1" applyAlignment="1">
      <alignment horizontal="center" vertical="center"/>
    </xf>
    <xf numFmtId="167" fontId="39" fillId="0" borderId="0" xfId="5" applyNumberFormat="1" applyFont="1" applyBorder="1" applyAlignment="1">
      <alignment horizontal="center"/>
    </xf>
    <xf numFmtId="0" fontId="39" fillId="0" borderId="0" xfId="4" applyFont="1" applyBorder="1" applyAlignment="1">
      <alignment horizontal="center"/>
    </xf>
    <xf numFmtId="167" fontId="38" fillId="0" borderId="3" xfId="5" applyNumberFormat="1" applyFont="1" applyBorder="1" applyAlignment="1">
      <alignment horizontal="center"/>
    </xf>
    <xf numFmtId="167" fontId="38" fillId="0" borderId="4" xfId="5" applyNumberFormat="1" applyFont="1" applyBorder="1" applyAlignment="1">
      <alignment horizontal="center"/>
    </xf>
    <xf numFmtId="167" fontId="39" fillId="12" borderId="0" xfId="5" applyNumberFormat="1" applyFont="1" applyFill="1" applyBorder="1" applyAlignment="1">
      <alignment horizontal="center"/>
    </xf>
    <xf numFmtId="167" fontId="39" fillId="12" borderId="10" xfId="5" applyNumberFormat="1" applyFont="1" applyFill="1" applyBorder="1" applyAlignment="1">
      <alignment horizontal="center"/>
    </xf>
    <xf numFmtId="167" fontId="39" fillId="0" borderId="0" xfId="5" applyNumberFormat="1" applyFont="1" applyFill="1" applyBorder="1" applyAlignment="1">
      <alignment horizontal="center"/>
    </xf>
    <xf numFmtId="0" fontId="4" fillId="0" borderId="0" xfId="0" applyFont="1" applyBorder="1" applyAlignment="1">
      <alignment horizontal="center" vertical="center"/>
    </xf>
    <xf numFmtId="0" fontId="40" fillId="0" borderId="9" xfId="4" applyFont="1" applyBorder="1" applyAlignment="1">
      <alignment horizontal="center" vertical="center" wrapText="1"/>
    </xf>
    <xf numFmtId="0" fontId="40" fillId="0" borderId="0" xfId="4" applyFont="1" applyBorder="1" applyAlignment="1">
      <alignment horizontal="center" vertical="center" wrapText="1"/>
    </xf>
    <xf numFmtId="0" fontId="40" fillId="0" borderId="8" xfId="4" applyFont="1" applyBorder="1" applyAlignment="1">
      <alignment horizontal="center" vertical="center" wrapText="1"/>
    </xf>
    <xf numFmtId="3" fontId="39" fillId="0" borderId="0" xfId="4" applyNumberFormat="1" applyFont="1" applyBorder="1" applyAlignment="1">
      <alignment horizontal="center"/>
    </xf>
    <xf numFmtId="0" fontId="88" fillId="15" borderId="12" xfId="0" applyFont="1" applyFill="1" applyBorder="1" applyAlignment="1">
      <alignment horizontal="center" vertical="center"/>
    </xf>
    <xf numFmtId="0" fontId="88" fillId="15" borderId="10" xfId="0" applyFont="1" applyFill="1" applyBorder="1" applyAlignment="1">
      <alignment horizontal="center" vertical="center"/>
    </xf>
    <xf numFmtId="0" fontId="88" fillId="15" borderId="11" xfId="0" applyFont="1" applyFill="1" applyBorder="1" applyAlignment="1">
      <alignment horizontal="center" vertical="center"/>
    </xf>
    <xf numFmtId="0" fontId="62" fillId="9" borderId="0" xfId="0" applyFont="1" applyFill="1" applyBorder="1" applyAlignment="1">
      <alignment horizontal="left" vertical="center"/>
    </xf>
    <xf numFmtId="0" fontId="62" fillId="9" borderId="6" xfId="0" applyFont="1" applyFill="1" applyBorder="1" applyAlignment="1">
      <alignment horizontal="left" vertical="center"/>
    </xf>
    <xf numFmtId="0" fontId="105" fillId="21" borderId="12" xfId="0" applyFont="1" applyFill="1" applyBorder="1" applyAlignment="1">
      <alignment horizontal="center" vertical="center" wrapText="1"/>
    </xf>
    <xf numFmtId="0" fontId="105" fillId="21" borderId="11" xfId="0" applyFont="1" applyFill="1" applyBorder="1" applyAlignment="1">
      <alignment horizontal="center" vertical="center" wrapText="1"/>
    </xf>
    <xf numFmtId="0" fontId="110" fillId="21" borderId="12" xfId="0" applyFont="1" applyFill="1" applyBorder="1" applyAlignment="1">
      <alignment horizontal="center" vertical="center" wrapText="1"/>
    </xf>
    <xf numFmtId="0" fontId="110" fillId="21" borderId="11" xfId="0" applyFont="1" applyFill="1" applyBorder="1" applyAlignment="1">
      <alignment horizontal="center" vertical="center" wrapText="1"/>
    </xf>
    <xf numFmtId="0" fontId="36" fillId="9" borderId="0" xfId="0" applyFont="1" applyFill="1" applyBorder="1" applyAlignment="1">
      <alignment horizontal="left" indent="12"/>
    </xf>
    <xf numFmtId="0" fontId="101" fillId="9" borderId="9" xfId="0" applyFont="1" applyFill="1" applyBorder="1" applyAlignment="1">
      <alignment horizontal="left" vertical="center" wrapText="1" indent="2"/>
    </xf>
    <xf numFmtId="0" fontId="101" fillId="9" borderId="8" xfId="0" applyFont="1" applyFill="1" applyBorder="1" applyAlignment="1">
      <alignment horizontal="left" vertical="center" wrapText="1" indent="2"/>
    </xf>
    <xf numFmtId="0" fontId="101" fillId="9" borderId="0" xfId="0" applyFont="1" applyFill="1" applyBorder="1" applyAlignment="1">
      <alignment horizontal="right" indent="1"/>
    </xf>
    <xf numFmtId="0" fontId="101" fillId="9" borderId="8" xfId="0" applyFont="1" applyFill="1" applyBorder="1" applyAlignment="1">
      <alignment horizontal="right" indent="1"/>
    </xf>
    <xf numFmtId="0" fontId="101" fillId="9" borderId="5" xfId="0" applyFont="1" applyFill="1" applyBorder="1" applyAlignment="1">
      <alignment horizontal="left" vertical="center" wrapText="1" indent="2"/>
    </xf>
    <xf numFmtId="0" fontId="101" fillId="9" borderId="7" xfId="0" applyFont="1" applyFill="1" applyBorder="1" applyAlignment="1">
      <alignment horizontal="left" vertical="center" wrapText="1" indent="2"/>
    </xf>
    <xf numFmtId="0" fontId="101" fillId="9" borderId="6" xfId="0" applyFont="1" applyFill="1" applyBorder="1" applyAlignment="1">
      <alignment horizontal="right" indent="1"/>
    </xf>
    <xf numFmtId="0" fontId="101" fillId="9" borderId="7" xfId="0" applyFont="1" applyFill="1" applyBorder="1" applyAlignment="1">
      <alignment horizontal="right" indent="1"/>
    </xf>
    <xf numFmtId="0" fontId="42" fillId="9" borderId="0" xfId="0" applyFont="1" applyFill="1" applyBorder="1" applyAlignment="1">
      <alignment horizontal="left" indent="12"/>
    </xf>
    <xf numFmtId="0" fontId="101" fillId="9" borderId="3" xfId="0" applyFont="1" applyFill="1" applyBorder="1" applyAlignment="1">
      <alignment horizontal="center" vertical="center" wrapText="1"/>
    </xf>
    <xf numFmtId="0" fontId="101" fillId="9" borderId="4" xfId="0" applyFont="1" applyFill="1" applyBorder="1" applyAlignment="1">
      <alignment horizontal="center" vertical="center" wrapText="1"/>
    </xf>
    <xf numFmtId="0" fontId="102" fillId="9" borderId="1" xfId="0" applyFont="1" applyFill="1" applyBorder="1" applyAlignment="1">
      <alignment horizontal="right"/>
    </xf>
    <xf numFmtId="0" fontId="102" fillId="9" borderId="4" xfId="0" applyFont="1" applyFill="1" applyBorder="1" applyAlignment="1">
      <alignment horizontal="right"/>
    </xf>
    <xf numFmtId="0" fontId="92" fillId="9" borderId="0" xfId="0" applyFont="1" applyFill="1" applyBorder="1" applyAlignment="1">
      <alignment horizontal="left" indent="12"/>
    </xf>
    <xf numFmtId="0" fontId="92" fillId="0" borderId="0" xfId="0" applyFont="1" applyAlignment="1">
      <alignment horizontal="center"/>
    </xf>
    <xf numFmtId="0" fontId="92" fillId="0" borderId="6" xfId="0" applyFont="1" applyBorder="1" applyAlignment="1">
      <alignment horizontal="center"/>
    </xf>
    <xf numFmtId="169" fontId="36" fillId="9" borderId="6" xfId="0" applyNumberFormat="1" applyFont="1" applyFill="1" applyBorder="1" applyAlignment="1">
      <alignment horizontal="center" vertical="center"/>
    </xf>
    <xf numFmtId="169" fontId="42" fillId="9" borderId="0" xfId="0" applyNumberFormat="1" applyFont="1" applyFill="1" applyBorder="1" applyAlignment="1">
      <alignment horizontal="center" vertical="center"/>
    </xf>
    <xf numFmtId="169" fontId="36" fillId="9" borderId="0" xfId="0" applyNumberFormat="1" applyFont="1" applyFill="1" applyBorder="1" applyAlignment="1">
      <alignment horizontal="center" vertical="center"/>
    </xf>
    <xf numFmtId="0" fontId="21" fillId="9" borderId="0" xfId="0" applyFont="1" applyFill="1" applyAlignment="1">
      <alignment horizontal="center" vertical="center"/>
    </xf>
    <xf numFmtId="0" fontId="10" fillId="9" borderId="0" xfId="0" applyFont="1" applyFill="1" applyAlignment="1">
      <alignment horizontal="center" vertical="center"/>
    </xf>
    <xf numFmtId="0" fontId="10" fillId="9" borderId="6" xfId="0" applyFont="1" applyFill="1" applyBorder="1" applyAlignment="1">
      <alignment horizontal="center" vertical="center"/>
    </xf>
    <xf numFmtId="182" fontId="38" fillId="0" borderId="0" xfId="1" applyNumberFormat="1" applyFont="1" applyAlignment="1">
      <alignment horizontal="center"/>
    </xf>
    <xf numFmtId="182" fontId="39" fillId="0" borderId="1" xfId="1" applyNumberFormat="1" applyFont="1" applyBorder="1" applyAlignment="1">
      <alignment horizontal="center"/>
    </xf>
    <xf numFmtId="182" fontId="39" fillId="0" borderId="15" xfId="1" applyNumberFormat="1" applyFont="1" applyBorder="1" applyAlignment="1">
      <alignment horizontal="center"/>
    </xf>
    <xf numFmtId="0" fontId="121" fillId="0" borderId="0" xfId="0" applyFont="1" applyAlignment="1">
      <alignment horizontal="left" indent="2"/>
    </xf>
    <xf numFmtId="169" fontId="42" fillId="9" borderId="15" xfId="0" applyNumberFormat="1" applyFont="1" applyFill="1" applyBorder="1" applyAlignment="1">
      <alignment horizontal="center" vertical="center"/>
    </xf>
    <xf numFmtId="0" fontId="39" fillId="21" borderId="12" xfId="0" applyFont="1" applyFill="1" applyBorder="1" applyAlignment="1">
      <alignment horizontal="center"/>
    </xf>
    <xf numFmtId="0" fontId="39" fillId="21" borderId="10" xfId="0" applyFont="1" applyFill="1" applyBorder="1" applyAlignment="1">
      <alignment horizontal="center"/>
    </xf>
    <xf numFmtId="0" fontId="39" fillId="21" borderId="11" xfId="0" applyFont="1" applyFill="1" applyBorder="1" applyAlignment="1">
      <alignment horizontal="center"/>
    </xf>
    <xf numFmtId="182" fontId="38" fillId="0" borderId="0" xfId="1" applyNumberFormat="1" applyFont="1" applyBorder="1" applyAlignment="1">
      <alignment horizontal="center"/>
    </xf>
    <xf numFmtId="182" fontId="39" fillId="0" borderId="0" xfId="1" applyNumberFormat="1" applyFont="1" applyBorder="1" applyAlignment="1">
      <alignment horizontal="center"/>
    </xf>
    <xf numFmtId="167" fontId="3" fillId="0" borderId="0" xfId="1" applyNumberFormat="1" applyFont="1" applyFill="1" applyBorder="1" applyAlignment="1">
      <alignment horizontal="center" vertical="center"/>
    </xf>
    <xf numFmtId="167" fontId="3" fillId="0" borderId="8" xfId="1" applyNumberFormat="1" applyFont="1" applyFill="1" applyBorder="1" applyAlignment="1">
      <alignment horizontal="center" vertical="center"/>
    </xf>
    <xf numFmtId="167" fontId="3" fillId="0" borderId="10" xfId="1" applyNumberFormat="1" applyFont="1" applyFill="1" applyBorder="1" applyAlignment="1">
      <alignment horizontal="center" vertical="center"/>
    </xf>
    <xf numFmtId="167" fontId="2" fillId="0" borderId="0" xfId="1" applyNumberFormat="1" applyFont="1" applyFill="1" applyBorder="1" applyAlignment="1">
      <alignment horizontal="center" vertical="center"/>
    </xf>
    <xf numFmtId="167" fontId="2" fillId="0" borderId="8" xfId="1" applyNumberFormat="1" applyFont="1" applyFill="1" applyBorder="1" applyAlignment="1">
      <alignment horizontal="center" vertical="center"/>
    </xf>
    <xf numFmtId="167" fontId="11" fillId="0" borderId="0" xfId="1" applyNumberFormat="1" applyFont="1" applyFill="1" applyBorder="1" applyAlignment="1">
      <alignment horizontal="center" vertical="center"/>
    </xf>
    <xf numFmtId="167" fontId="11" fillId="0" borderId="8" xfId="1" applyNumberFormat="1" applyFont="1" applyFill="1" applyBorder="1" applyAlignment="1">
      <alignment horizontal="center" vertical="center"/>
    </xf>
    <xf numFmtId="167" fontId="3" fillId="0" borderId="6" xfId="1" applyNumberFormat="1" applyFont="1" applyFill="1" applyBorder="1" applyAlignment="1">
      <alignment horizontal="center" vertical="center"/>
    </xf>
    <xf numFmtId="167" fontId="3" fillId="0" borderId="7" xfId="1" applyNumberFormat="1" applyFont="1" applyFill="1" applyBorder="1" applyAlignment="1">
      <alignment horizontal="center" vertical="center"/>
    </xf>
    <xf numFmtId="0" fontId="36" fillId="0" borderId="2" xfId="0" applyFont="1" applyBorder="1" applyAlignment="1">
      <alignment horizontal="left" vertical="center" wrapText="1"/>
    </xf>
    <xf numFmtId="166" fontId="6" fillId="0" borderId="0" xfId="5" applyFont="1" applyFill="1" applyBorder="1" applyAlignment="1">
      <alignment horizontal="center"/>
    </xf>
    <xf numFmtId="181" fontId="2" fillId="0" borderId="0" xfId="1" applyNumberFormat="1" applyFont="1" applyBorder="1" applyAlignment="1">
      <alignment horizontal="center" vertical="center"/>
    </xf>
    <xf numFmtId="181" fontId="3" fillId="0" borderId="15" xfId="1" applyNumberFormat="1" applyFont="1" applyBorder="1" applyAlignment="1">
      <alignment horizontal="center" vertical="center"/>
    </xf>
    <xf numFmtId="181" fontId="3" fillId="0" borderId="27" xfId="1" applyNumberFormat="1" applyFont="1" applyBorder="1" applyAlignment="1">
      <alignment horizontal="center" vertical="center"/>
    </xf>
    <xf numFmtId="166" fontId="3" fillId="0" borderId="0" xfId="5" applyFont="1" applyFill="1" applyBorder="1" applyAlignment="1">
      <alignment horizontal="center"/>
    </xf>
    <xf numFmtId="166" fontId="2" fillId="0" borderId="0" xfId="5" applyFont="1" applyFill="1" applyBorder="1" applyAlignment="1">
      <alignment horizontal="center"/>
    </xf>
    <xf numFmtId="181" fontId="3" fillId="0" borderId="10" xfId="1" applyNumberFormat="1" applyFont="1" applyBorder="1" applyAlignment="1">
      <alignment horizontal="center" vertical="center"/>
    </xf>
    <xf numFmtId="181" fontId="3" fillId="0" borderId="11" xfId="1" applyNumberFormat="1" applyFont="1" applyBorder="1" applyAlignment="1">
      <alignment horizontal="center" vertical="center"/>
    </xf>
    <xf numFmtId="0" fontId="6" fillId="0" borderId="0" xfId="0" applyFont="1" applyFill="1" applyBorder="1" applyAlignment="1">
      <alignment horizontal="center"/>
    </xf>
    <xf numFmtId="0" fontId="118" fillId="0" borderId="12" xfId="4" applyFont="1" applyBorder="1" applyAlignment="1">
      <alignment horizontal="left"/>
    </xf>
    <xf numFmtId="0" fontId="118" fillId="0" borderId="10" xfId="4" applyFont="1" applyBorder="1" applyAlignment="1">
      <alignment horizontal="left"/>
    </xf>
    <xf numFmtId="0" fontId="118" fillId="0" borderId="11" xfId="4" applyFont="1" applyBorder="1" applyAlignment="1">
      <alignment horizontal="left"/>
    </xf>
    <xf numFmtId="167" fontId="119" fillId="25" borderId="12" xfId="1" applyNumberFormat="1" applyFont="1" applyFill="1" applyBorder="1" applyAlignment="1">
      <alignment horizontal="center" wrapText="1"/>
    </xf>
    <xf numFmtId="167" fontId="119" fillId="25" borderId="11" xfId="1" applyNumberFormat="1" applyFont="1" applyFill="1" applyBorder="1" applyAlignment="1">
      <alignment horizontal="center" wrapText="1"/>
    </xf>
    <xf numFmtId="0" fontId="25" fillId="0" borderId="12" xfId="0" applyFont="1" applyBorder="1" applyAlignment="1">
      <alignment horizontal="left" indent="1"/>
    </xf>
    <xf numFmtId="0" fontId="25" fillId="0" borderId="10" xfId="0" applyFont="1" applyBorder="1" applyAlignment="1">
      <alignment horizontal="left" indent="1"/>
    </xf>
    <xf numFmtId="0" fontId="25" fillId="0" borderId="11" xfId="0" applyFont="1" applyBorder="1" applyAlignment="1">
      <alignment horizontal="left" indent="1"/>
    </xf>
    <xf numFmtId="0" fontId="3" fillId="0" borderId="0" xfId="0" applyFont="1" applyFill="1" applyBorder="1" applyAlignment="1">
      <alignment horizontal="center"/>
    </xf>
    <xf numFmtId="0" fontId="116" fillId="0" borderId="49" xfId="4" applyFont="1" applyBorder="1" applyAlignment="1">
      <alignment horizontal="left" indent="1"/>
    </xf>
    <xf numFmtId="0" fontId="116" fillId="0" borderId="43" xfId="4" applyFont="1" applyBorder="1" applyAlignment="1">
      <alignment horizontal="left" indent="1"/>
    </xf>
    <xf numFmtId="0" fontId="116" fillId="0" borderId="44" xfId="4" applyFont="1" applyBorder="1" applyAlignment="1">
      <alignment horizontal="left" indent="1"/>
    </xf>
    <xf numFmtId="167" fontId="117" fillId="25" borderId="49" xfId="1" applyNumberFormat="1" applyFont="1" applyFill="1" applyBorder="1" applyAlignment="1">
      <alignment horizontal="center" wrapText="1"/>
    </xf>
    <xf numFmtId="167" fontId="117" fillId="25" borderId="44" xfId="1" applyNumberFormat="1" applyFont="1" applyFill="1" applyBorder="1" applyAlignment="1">
      <alignment horizontal="center" wrapText="1"/>
    </xf>
    <xf numFmtId="0" fontId="35" fillId="0" borderId="49" xfId="0" applyFont="1" applyBorder="1" applyAlignment="1">
      <alignment horizontal="left" indent="1"/>
    </xf>
    <xf numFmtId="0" fontId="35" fillId="0" borderId="43" xfId="0" applyFont="1" applyBorder="1" applyAlignment="1">
      <alignment horizontal="left" indent="1"/>
    </xf>
    <xf numFmtId="0" fontId="35" fillId="0" borderId="44" xfId="0" applyFont="1" applyBorder="1" applyAlignment="1">
      <alignment horizontal="left" indent="1"/>
    </xf>
    <xf numFmtId="0" fontId="116" fillId="0" borderId="63" xfId="4" applyFont="1" applyBorder="1" applyAlignment="1">
      <alignment horizontal="left" indent="1"/>
    </xf>
    <xf numFmtId="0" fontId="116" fillId="0" borderId="46" xfId="4" applyFont="1" applyBorder="1" applyAlignment="1">
      <alignment horizontal="left" indent="1"/>
    </xf>
    <xf numFmtId="0" fontId="116" fillId="0" borderId="47" xfId="4" applyFont="1" applyBorder="1" applyAlignment="1">
      <alignment horizontal="left" indent="1"/>
    </xf>
    <xf numFmtId="167" fontId="117" fillId="25" borderId="63" xfId="1" applyNumberFormat="1" applyFont="1" applyFill="1" applyBorder="1" applyAlignment="1">
      <alignment horizontal="center" wrapText="1"/>
    </xf>
    <xf numFmtId="167" fontId="117" fillId="25" borderId="47" xfId="1" applyNumberFormat="1" applyFont="1" applyFill="1" applyBorder="1" applyAlignment="1">
      <alignment horizontal="center" wrapText="1"/>
    </xf>
    <xf numFmtId="0" fontId="35" fillId="0" borderId="63" xfId="0" applyFont="1" applyBorder="1" applyAlignment="1">
      <alignment horizontal="left" indent="1"/>
    </xf>
    <xf numFmtId="0" fontId="35" fillId="0" borderId="46" xfId="0" applyFont="1" applyBorder="1" applyAlignment="1">
      <alignment horizontal="left" indent="1"/>
    </xf>
    <xf numFmtId="0" fontId="35" fillId="0" borderId="47" xfId="0" applyFont="1" applyBorder="1" applyAlignment="1">
      <alignment horizontal="left" indent="1"/>
    </xf>
    <xf numFmtId="0" fontId="115" fillId="2" borderId="12" xfId="0" applyFont="1" applyFill="1" applyBorder="1" applyAlignment="1">
      <alignment horizontal="center" vertical="center" wrapText="1"/>
    </xf>
    <xf numFmtId="0" fontId="115" fillId="2" borderId="10" xfId="0" applyFont="1" applyFill="1" applyBorder="1" applyAlignment="1">
      <alignment horizontal="center" vertical="center" wrapText="1"/>
    </xf>
    <xf numFmtId="0" fontId="115" fillId="2" borderId="11" xfId="0" applyFont="1" applyFill="1" applyBorder="1" applyAlignment="1">
      <alignment horizontal="center" vertical="center" wrapText="1"/>
    </xf>
    <xf numFmtId="0" fontId="25" fillId="24" borderId="12" xfId="0" applyFont="1" applyFill="1" applyBorder="1" applyAlignment="1">
      <alignment horizontal="center" vertical="center"/>
    </xf>
    <xf numFmtId="0" fontId="25" fillId="24" borderId="10" xfId="0" applyFont="1" applyFill="1" applyBorder="1" applyAlignment="1">
      <alignment horizontal="center" vertical="center"/>
    </xf>
    <xf numFmtId="0" fontId="25" fillId="24" borderId="11" xfId="0" applyFont="1" applyFill="1" applyBorder="1" applyAlignment="1">
      <alignment horizontal="center" vertical="center"/>
    </xf>
    <xf numFmtId="167" fontId="113" fillId="0" borderId="0" xfId="1" applyNumberFormat="1" applyFont="1" applyFill="1" applyBorder="1" applyAlignment="1">
      <alignment horizontal="center" vertical="center"/>
    </xf>
    <xf numFmtId="167" fontId="113" fillId="0" borderId="8" xfId="1" applyNumberFormat="1" applyFont="1" applyFill="1" applyBorder="1" applyAlignment="1">
      <alignment horizontal="center" vertical="center"/>
    </xf>
    <xf numFmtId="0" fontId="116" fillId="0" borderId="49" xfId="4" applyFont="1" applyBorder="1" applyAlignment="1">
      <alignment horizontal="left"/>
    </xf>
    <xf numFmtId="0" fontId="116" fillId="0" borderId="43" xfId="4" applyFont="1" applyBorder="1" applyAlignment="1">
      <alignment horizontal="left"/>
    </xf>
    <xf numFmtId="0" fontId="116" fillId="0" borderId="44" xfId="4" applyFont="1" applyBorder="1" applyAlignment="1">
      <alignment horizontal="left"/>
    </xf>
    <xf numFmtId="0" fontId="116" fillId="0" borderId="63" xfId="4" applyFont="1" applyBorder="1" applyAlignment="1">
      <alignment horizontal="left"/>
    </xf>
    <xf numFmtId="0" fontId="116" fillId="0" borderId="46" xfId="4" applyFont="1" applyBorder="1" applyAlignment="1">
      <alignment horizontal="left"/>
    </xf>
    <xf numFmtId="0" fontId="116" fillId="0" borderId="47" xfId="4" applyFont="1" applyBorder="1" applyAlignment="1">
      <alignment horizontal="left"/>
    </xf>
    <xf numFmtId="0" fontId="3" fillId="0" borderId="10" xfId="0" applyFont="1" applyBorder="1" applyAlignment="1">
      <alignment horizontal="center" vertical="center"/>
    </xf>
    <xf numFmtId="0" fontId="40" fillId="0" borderId="63" xfId="4" applyFont="1" applyBorder="1" applyAlignment="1">
      <alignment horizontal="left"/>
    </xf>
    <xf numFmtId="0" fontId="40" fillId="0" borderId="46" xfId="4" applyFont="1" applyBorder="1" applyAlignment="1">
      <alignment horizontal="left"/>
    </xf>
    <xf numFmtId="0" fontId="40" fillId="0" borderId="47" xfId="4" applyFont="1" applyBorder="1" applyAlignment="1">
      <alignment horizontal="left"/>
    </xf>
    <xf numFmtId="167" fontId="68" fillId="25" borderId="63" xfId="1" applyNumberFormat="1" applyFont="1" applyFill="1" applyBorder="1" applyAlignment="1">
      <alignment horizontal="center" wrapText="1"/>
    </xf>
    <xf numFmtId="167" fontId="68" fillId="25" borderId="47" xfId="1" applyNumberFormat="1" applyFont="1" applyFill="1" applyBorder="1" applyAlignment="1">
      <alignment horizontal="center" wrapText="1"/>
    </xf>
    <xf numFmtId="0" fontId="6" fillId="0" borderId="63" xfId="0" applyFont="1" applyBorder="1" applyAlignment="1">
      <alignment horizontal="left" indent="1"/>
    </xf>
    <xf numFmtId="0" fontId="6" fillId="0" borderId="46" xfId="0" applyFont="1" applyBorder="1" applyAlignment="1">
      <alignment horizontal="left" indent="1"/>
    </xf>
    <xf numFmtId="0" fontId="6" fillId="0" borderId="47" xfId="0" applyFont="1" applyBorder="1" applyAlignment="1">
      <alignment horizontal="left" indent="1"/>
    </xf>
    <xf numFmtId="0" fontId="83" fillId="0" borderId="12" xfId="4" applyFont="1" applyBorder="1" applyAlignment="1">
      <alignment horizontal="left"/>
    </xf>
    <xf numFmtId="0" fontId="83" fillId="0" borderId="10" xfId="4" applyFont="1" applyBorder="1" applyAlignment="1">
      <alignment horizontal="left"/>
    </xf>
    <xf numFmtId="0" fontId="83" fillId="0" borderId="11" xfId="4" applyFont="1" applyBorder="1" applyAlignment="1">
      <alignment horizontal="left"/>
    </xf>
    <xf numFmtId="167" fontId="114" fillId="25" borderId="12" xfId="1" applyNumberFormat="1" applyFont="1" applyFill="1" applyBorder="1" applyAlignment="1">
      <alignment horizontal="center" wrapText="1"/>
    </xf>
    <xf numFmtId="167" fontId="114" fillId="25" borderId="11" xfId="1" applyNumberFormat="1" applyFont="1" applyFill="1" applyBorder="1" applyAlignment="1">
      <alignment horizontal="center" wrapText="1"/>
    </xf>
    <xf numFmtId="0" fontId="6" fillId="0" borderId="12" xfId="0" applyFont="1" applyBorder="1" applyAlignment="1">
      <alignment horizontal="left" indent="1"/>
    </xf>
    <xf numFmtId="0" fontId="6" fillId="0" borderId="10" xfId="0" applyFont="1" applyBorder="1" applyAlignment="1">
      <alignment horizontal="left" indent="1"/>
    </xf>
    <xf numFmtId="0" fontId="6" fillId="0" borderId="11" xfId="0" applyFont="1" applyBorder="1" applyAlignment="1">
      <alignment horizontal="left" indent="1"/>
    </xf>
    <xf numFmtId="0" fontId="40" fillId="0" borderId="49" xfId="4" applyFont="1" applyBorder="1" applyAlignment="1">
      <alignment horizontal="left"/>
    </xf>
    <xf numFmtId="0" fontId="40" fillId="0" borderId="43" xfId="4" applyFont="1" applyBorder="1" applyAlignment="1">
      <alignment horizontal="left"/>
    </xf>
    <xf numFmtId="0" fontId="40" fillId="0" borderId="44" xfId="4" applyFont="1" applyBorder="1" applyAlignment="1">
      <alignment horizontal="left"/>
    </xf>
    <xf numFmtId="167" fontId="68" fillId="25" borderId="49" xfId="1" applyNumberFormat="1" applyFont="1" applyFill="1" applyBorder="1" applyAlignment="1">
      <alignment horizontal="center" wrapText="1"/>
    </xf>
    <xf numFmtId="167" fontId="68" fillId="25" borderId="44" xfId="1" applyNumberFormat="1" applyFont="1" applyFill="1" applyBorder="1" applyAlignment="1">
      <alignment horizontal="center" wrapText="1"/>
    </xf>
    <xf numFmtId="0" fontId="6" fillId="0" borderId="49" xfId="0" applyFont="1" applyBorder="1" applyAlignment="1">
      <alignment horizontal="left" indent="1"/>
    </xf>
    <xf numFmtId="0" fontId="6" fillId="0" borderId="43" xfId="0" applyFont="1" applyBorder="1" applyAlignment="1">
      <alignment horizontal="left" indent="1"/>
    </xf>
    <xf numFmtId="0" fontId="6" fillId="0" borderId="44" xfId="0" applyFont="1" applyBorder="1" applyAlignment="1">
      <alignment horizontal="left" indent="1"/>
    </xf>
    <xf numFmtId="0" fontId="112" fillId="2" borderId="12" xfId="0" applyFont="1" applyFill="1" applyBorder="1" applyAlignment="1">
      <alignment horizontal="center" vertical="center" wrapText="1"/>
    </xf>
    <xf numFmtId="0" fontId="112" fillId="2" borderId="10" xfId="0" applyFont="1" applyFill="1" applyBorder="1" applyAlignment="1">
      <alignment horizontal="center" vertical="center" wrapText="1"/>
    </xf>
    <xf numFmtId="0" fontId="112" fillId="2" borderId="11" xfId="0" applyFont="1" applyFill="1" applyBorder="1" applyAlignment="1">
      <alignment horizontal="center" vertical="center" wrapText="1"/>
    </xf>
    <xf numFmtId="0" fontId="4" fillId="24" borderId="12" xfId="0" applyFont="1" applyFill="1" applyBorder="1" applyAlignment="1">
      <alignment horizontal="center" vertical="center"/>
    </xf>
    <xf numFmtId="0" fontId="4" fillId="24" borderId="10" xfId="0" applyFont="1" applyFill="1" applyBorder="1" applyAlignment="1">
      <alignment horizontal="center" vertical="center"/>
    </xf>
    <xf numFmtId="0" fontId="4" fillId="24" borderId="11" xfId="0" applyFont="1" applyFill="1" applyBorder="1" applyAlignment="1">
      <alignment horizontal="center" vertical="center"/>
    </xf>
    <xf numFmtId="0" fontId="40" fillId="0" borderId="60" xfId="4" applyFont="1" applyBorder="1" applyAlignment="1">
      <alignment horizontal="left"/>
    </xf>
    <xf numFmtId="0" fontId="40" fillId="0" borderId="61" xfId="4" applyFont="1" applyBorder="1" applyAlignment="1">
      <alignment horizontal="left"/>
    </xf>
    <xf numFmtId="0" fontId="40" fillId="0" borderId="62" xfId="4" applyFont="1" applyBorder="1" applyAlignment="1">
      <alignment horizontal="left"/>
    </xf>
    <xf numFmtId="167" fontId="68" fillId="25" borderId="48" xfId="1" applyNumberFormat="1" applyFont="1" applyFill="1" applyBorder="1" applyAlignment="1">
      <alignment horizontal="center" wrapText="1"/>
    </xf>
    <xf numFmtId="167" fontId="68" fillId="25" borderId="42" xfId="1" applyNumberFormat="1" applyFont="1" applyFill="1" applyBorder="1" applyAlignment="1">
      <alignment horizontal="center" wrapText="1"/>
    </xf>
    <xf numFmtId="0" fontId="6" fillId="0" borderId="60" xfId="0" applyFont="1" applyBorder="1" applyAlignment="1">
      <alignment horizontal="left" indent="1"/>
    </xf>
    <xf numFmtId="0" fontId="6" fillId="0" borderId="61" xfId="0" applyFont="1" applyBorder="1" applyAlignment="1">
      <alignment horizontal="left" indent="1"/>
    </xf>
    <xf numFmtId="0" fontId="6" fillId="0" borderId="62" xfId="0" applyFont="1" applyBorder="1" applyAlignment="1">
      <alignment horizontal="left" indent="1"/>
    </xf>
    <xf numFmtId="167" fontId="2" fillId="0" borderId="6" xfId="1" applyNumberFormat="1" applyFont="1" applyFill="1" applyBorder="1" applyAlignment="1">
      <alignment horizontal="center" vertical="center"/>
    </xf>
    <xf numFmtId="167" fontId="2" fillId="0" borderId="7" xfId="1" applyNumberFormat="1" applyFont="1" applyFill="1" applyBorder="1" applyAlignment="1">
      <alignment horizontal="center" vertical="center"/>
    </xf>
    <xf numFmtId="167" fontId="68" fillId="25" borderId="50" xfId="1" applyNumberFormat="1" applyFont="1" applyFill="1" applyBorder="1" applyAlignment="1">
      <alignment horizontal="center" wrapText="1"/>
    </xf>
    <xf numFmtId="167" fontId="68" fillId="25" borderId="52" xfId="1" applyNumberFormat="1" applyFont="1" applyFill="1" applyBorder="1" applyAlignment="1">
      <alignment horizontal="center" wrapText="1"/>
    </xf>
    <xf numFmtId="0" fontId="6" fillId="0" borderId="50" xfId="0" applyFont="1" applyBorder="1" applyAlignment="1">
      <alignment horizontal="left" indent="1"/>
    </xf>
    <xf numFmtId="0" fontId="6" fillId="0" borderId="51" xfId="0" applyFont="1" applyBorder="1" applyAlignment="1">
      <alignment horizontal="left" indent="1"/>
    </xf>
    <xf numFmtId="0" fontId="6" fillId="0" borderId="52" xfId="0" applyFont="1" applyBorder="1" applyAlignment="1">
      <alignment horizontal="left" indent="1"/>
    </xf>
    <xf numFmtId="0" fontId="112" fillId="2" borderId="12" xfId="0" applyFont="1" applyFill="1" applyBorder="1" applyAlignment="1">
      <alignment horizontal="center" vertical="top" wrapText="1"/>
    </xf>
    <xf numFmtId="0" fontId="112" fillId="2" borderId="10" xfId="0" applyFont="1" applyFill="1" applyBorder="1" applyAlignment="1">
      <alignment horizontal="center" vertical="top" wrapText="1"/>
    </xf>
    <xf numFmtId="0" fontId="112" fillId="2" borderId="11" xfId="0" applyFont="1" applyFill="1" applyBorder="1" applyAlignment="1">
      <alignment horizontal="center" vertical="top" wrapText="1"/>
    </xf>
    <xf numFmtId="0" fontId="4" fillId="24" borderId="12" xfId="0" applyFont="1" applyFill="1" applyBorder="1" applyAlignment="1">
      <alignment horizontal="center"/>
    </xf>
    <xf numFmtId="0" fontId="4" fillId="24" borderId="10" xfId="0" applyFont="1" applyFill="1" applyBorder="1" applyAlignment="1">
      <alignment horizontal="center"/>
    </xf>
    <xf numFmtId="0" fontId="4" fillId="24" borderId="11" xfId="0" applyFont="1" applyFill="1" applyBorder="1" applyAlignment="1">
      <alignment horizontal="center"/>
    </xf>
    <xf numFmtId="167" fontId="68" fillId="25" borderId="60" xfId="1" applyNumberFormat="1" applyFont="1" applyFill="1" applyBorder="1" applyAlignment="1">
      <alignment horizontal="center" wrapText="1"/>
    </xf>
    <xf numFmtId="167" fontId="68" fillId="25" borderId="62" xfId="1" applyNumberFormat="1" applyFont="1" applyFill="1" applyBorder="1" applyAlignment="1">
      <alignment horizontal="center" wrapText="1"/>
    </xf>
    <xf numFmtId="0" fontId="6" fillId="0" borderId="48" xfId="0" applyFont="1" applyBorder="1" applyAlignment="1">
      <alignment horizontal="left" indent="1"/>
    </xf>
    <xf numFmtId="0" fontId="6" fillId="0" borderId="41" xfId="0" applyFont="1" applyBorder="1" applyAlignment="1">
      <alignment horizontal="left" indent="1"/>
    </xf>
    <xf numFmtId="0" fontId="6" fillId="0" borderId="42" xfId="0" applyFont="1" applyBorder="1" applyAlignment="1">
      <alignment horizontal="left" indent="1"/>
    </xf>
    <xf numFmtId="0" fontId="42" fillId="13" borderId="2" xfId="0" applyFont="1" applyFill="1" applyBorder="1" applyAlignment="1">
      <alignment horizontal="center" vertical="center" wrapText="1"/>
    </xf>
    <xf numFmtId="0" fontId="2" fillId="9" borderId="0" xfId="0" applyFont="1" applyFill="1" applyAlignment="1">
      <alignment horizontal="center"/>
    </xf>
    <xf numFmtId="0" fontId="2" fillId="9" borderId="0" xfId="0" applyFont="1" applyFill="1" applyBorder="1" applyAlignment="1">
      <alignment horizontal="center"/>
    </xf>
    <xf numFmtId="37" fontId="39" fillId="35" borderId="2" xfId="14" applyFont="1" applyFill="1" applyBorder="1" applyAlignment="1">
      <alignment horizontal="center" vertical="center" wrapText="1"/>
    </xf>
    <xf numFmtId="0" fontId="42" fillId="9" borderId="0" xfId="0" applyFont="1" applyFill="1" applyBorder="1" applyAlignment="1">
      <alignment horizontal="center"/>
    </xf>
    <xf numFmtId="0" fontId="38" fillId="35" borderId="0" xfId="17" applyFont="1" applyFill="1" applyAlignment="1">
      <alignment horizontal="center"/>
    </xf>
    <xf numFmtId="0" fontId="3" fillId="9" borderId="0" xfId="0" applyFont="1" applyFill="1" applyBorder="1" applyAlignment="1">
      <alignment horizontal="center"/>
    </xf>
    <xf numFmtId="0" fontId="2" fillId="9" borderId="6" xfId="0" applyFont="1" applyFill="1" applyBorder="1" applyAlignment="1">
      <alignment horizontal="center"/>
    </xf>
    <xf numFmtId="0" fontId="3" fillId="9" borderId="0" xfId="0" applyFont="1" applyFill="1" applyAlignment="1">
      <alignment horizontal="left"/>
    </xf>
    <xf numFmtId="0" fontId="2" fillId="9" borderId="0" xfId="0" applyFont="1" applyFill="1" applyAlignment="1">
      <alignment horizontal="left"/>
    </xf>
    <xf numFmtId="0" fontId="3" fillId="9" borderId="6" xfId="0" applyNumberFormat="1" applyFont="1" applyFill="1" applyBorder="1" applyAlignment="1">
      <alignment horizontal="center"/>
    </xf>
    <xf numFmtId="0" fontId="35" fillId="9" borderId="9" xfId="0" applyFont="1" applyFill="1" applyBorder="1" applyAlignment="1">
      <alignment horizontal="left" vertical="center" wrapText="1"/>
    </xf>
    <xf numFmtId="0" fontId="35" fillId="9" borderId="0" xfId="0" applyFont="1" applyFill="1" applyBorder="1" applyAlignment="1">
      <alignment horizontal="left" vertical="center" wrapText="1"/>
    </xf>
    <xf numFmtId="0" fontId="35" fillId="9" borderId="8" xfId="0" applyFont="1" applyFill="1" applyBorder="1" applyAlignment="1">
      <alignment horizontal="left" vertical="center" wrapText="1"/>
    </xf>
    <xf numFmtId="0" fontId="35" fillId="9" borderId="5" xfId="0" applyFont="1" applyFill="1" applyBorder="1" applyAlignment="1">
      <alignment horizontal="left" vertical="center" wrapText="1"/>
    </xf>
    <xf numFmtId="0" fontId="35" fillId="9" borderId="6" xfId="0" applyFont="1" applyFill="1" applyBorder="1" applyAlignment="1">
      <alignment horizontal="left" vertical="center" wrapText="1"/>
    </xf>
    <xf numFmtId="0" fontId="35" fillId="9" borderId="7" xfId="0" applyFont="1" applyFill="1" applyBorder="1" applyAlignment="1">
      <alignment horizontal="left" vertical="center" wrapText="1"/>
    </xf>
    <xf numFmtId="0" fontId="21" fillId="11" borderId="13" xfId="0" applyFont="1" applyFill="1" applyBorder="1" applyAlignment="1">
      <alignment horizontal="center" vertical="center" wrapText="1"/>
    </xf>
    <xf numFmtId="0" fontId="21" fillId="11" borderId="14" xfId="0" applyFont="1" applyFill="1" applyBorder="1" applyAlignment="1">
      <alignment horizontal="center" vertical="center" wrapText="1"/>
    </xf>
    <xf numFmtId="0" fontId="161" fillId="9" borderId="22" xfId="0" applyFont="1" applyFill="1" applyBorder="1" applyAlignment="1">
      <alignment horizontal="left" vertical="top" wrapText="1"/>
    </xf>
    <xf numFmtId="0" fontId="21" fillId="2" borderId="10" xfId="0" applyNumberFormat="1" applyFont="1" applyFill="1" applyBorder="1" applyAlignment="1">
      <alignment horizontal="center" vertical="center"/>
    </xf>
    <xf numFmtId="0" fontId="21" fillId="2" borderId="11" xfId="0" applyNumberFormat="1" applyFont="1" applyFill="1" applyBorder="1" applyAlignment="1">
      <alignment horizontal="center" vertical="center"/>
    </xf>
    <xf numFmtId="0" fontId="161" fillId="9" borderId="0" xfId="0" applyFont="1" applyFill="1" applyBorder="1" applyAlignment="1">
      <alignment horizontal="center" vertical="center"/>
    </xf>
    <xf numFmtId="0" fontId="161" fillId="9" borderId="8" xfId="0" applyFont="1" applyFill="1" applyBorder="1" applyAlignment="1">
      <alignment horizontal="center" vertical="center"/>
    </xf>
    <xf numFmtId="0" fontId="21" fillId="2" borderId="12" xfId="0" applyFont="1" applyFill="1" applyBorder="1" applyAlignment="1">
      <alignment horizontal="left" vertical="center" indent="1"/>
    </xf>
    <xf numFmtId="0" fontId="21" fillId="2" borderId="10" xfId="0" applyFont="1" applyFill="1" applyBorder="1" applyAlignment="1">
      <alignment horizontal="left" vertical="center" indent="1"/>
    </xf>
    <xf numFmtId="0" fontId="21" fillId="11" borderId="2" xfId="0" applyFont="1" applyFill="1" applyBorder="1" applyAlignment="1">
      <alignment horizontal="center" vertical="center" wrapText="1"/>
    </xf>
    <xf numFmtId="0" fontId="10" fillId="9" borderId="0" xfId="0" applyFont="1" applyFill="1" applyBorder="1" applyAlignment="1">
      <alignment horizontal="center" vertical="center"/>
    </xf>
    <xf numFmtId="0" fontId="21" fillId="9" borderId="0" xfId="0" applyFont="1" applyFill="1" applyBorder="1" applyAlignment="1">
      <alignment horizontal="center" vertical="center"/>
    </xf>
    <xf numFmtId="0" fontId="42" fillId="9" borderId="0" xfId="0" applyFont="1" applyFill="1" applyAlignment="1">
      <alignment horizontal="center" vertical="center"/>
    </xf>
    <xf numFmtId="0" fontId="126" fillId="9" borderId="0" xfId="0" applyFont="1" applyFill="1" applyBorder="1" applyAlignment="1">
      <alignment horizontal="center" vertical="center" wrapText="1"/>
    </xf>
    <xf numFmtId="0" fontId="36" fillId="9" borderId="0" xfId="0" applyFont="1" applyFill="1" applyAlignment="1">
      <alignment horizontal="center"/>
    </xf>
    <xf numFmtId="0" fontId="127" fillId="9" borderId="0" xfId="0" applyFont="1" applyFill="1" applyBorder="1" applyAlignment="1">
      <alignment horizontal="center" vertical="center" wrapText="1"/>
    </xf>
    <xf numFmtId="0" fontId="61" fillId="9" borderId="0" xfId="0" applyFont="1" applyFill="1" applyAlignment="1">
      <alignment horizontal="center"/>
    </xf>
    <xf numFmtId="0" fontId="125" fillId="9" borderId="0" xfId="0" applyFont="1" applyFill="1" applyBorder="1" applyAlignment="1">
      <alignment horizontal="center" vertical="center" wrapText="1"/>
    </xf>
    <xf numFmtId="0" fontId="36" fillId="9" borderId="0" xfId="0" applyFont="1" applyFill="1" applyBorder="1" applyAlignment="1">
      <alignment horizontal="center" vertical="center" wrapText="1"/>
    </xf>
    <xf numFmtId="0" fontId="61" fillId="9" borderId="0" xfId="0" applyFont="1" applyFill="1" applyBorder="1" applyAlignment="1">
      <alignment horizontal="center" vertical="center" wrapText="1"/>
    </xf>
    <xf numFmtId="0" fontId="42" fillId="9" borderId="1" xfId="0" applyFont="1" applyFill="1" applyBorder="1" applyAlignment="1">
      <alignment horizontal="center" vertical="center" wrapText="1"/>
    </xf>
    <xf numFmtId="0" fontId="42" fillId="9" borderId="0" xfId="0" applyFont="1" applyFill="1" applyBorder="1" applyAlignment="1">
      <alignment horizontal="center" vertical="center" wrapText="1"/>
    </xf>
  </cellXfs>
  <cellStyles count="18">
    <cellStyle name="Comma 2" xfId="9" xr:uid="{00000000-0005-0000-0000-000001000000}"/>
    <cellStyle name="Comma 2 2" xfId="15" xr:uid="{00000000-0005-0000-0000-000002000000}"/>
    <cellStyle name="Comma 3" xfId="12" xr:uid="{00000000-0005-0000-0000-000003000000}"/>
    <cellStyle name="Comma 4" xfId="7" xr:uid="{00000000-0005-0000-0000-000004000000}"/>
    <cellStyle name="Hipervínculo" xfId="13" builtinId="8"/>
    <cellStyle name="Millares" xfId="1" builtinId="3"/>
    <cellStyle name="Millares 2" xfId="5" xr:uid="{00000000-0005-0000-0000-000007000000}"/>
    <cellStyle name="Millares 3" xfId="11" xr:uid="{00000000-0005-0000-0000-000008000000}"/>
    <cellStyle name="Millares_Soluciones_tutorial_5" xfId="10" xr:uid="{00000000-0005-0000-0000-000009000000}"/>
    <cellStyle name="Moneda" xfId="2" builtinId="4"/>
    <cellStyle name="Normal" xfId="0" builtinId="0"/>
    <cellStyle name="Normal 10" xfId="17" xr:uid="{00000000-0005-0000-0000-00000B000000}"/>
    <cellStyle name="Normal 2" xfId="4" xr:uid="{00000000-0005-0000-0000-00000C000000}"/>
    <cellStyle name="Normal 2 2" xfId="16" xr:uid="{00000000-0005-0000-0000-00000D000000}"/>
    <cellStyle name="Normal 2 3" xfId="14" xr:uid="{00000000-0005-0000-0000-00000E000000}"/>
    <cellStyle name="Normal 3" xfId="8" xr:uid="{00000000-0005-0000-0000-00000F000000}"/>
    <cellStyle name="Normal 4" xfId="6" xr:uid="{00000000-0005-0000-0000-000010000000}"/>
    <cellStyle name="Porcentaje" xfId="3" builtinId="5"/>
  </cellStyles>
  <dxfs count="0"/>
  <tableStyles count="0" defaultTableStyle="TableStyleMedium2" defaultPivotStyle="PivotStyleLight16"/>
  <colors>
    <mruColors>
      <color rgb="FFCCFFCC"/>
      <color rgb="FFDDF2DA"/>
      <color rgb="FFFFFFCC"/>
      <color rgb="FF0000FF"/>
      <color rgb="FFFFEBFF"/>
      <color rgb="FFFF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2" Type="http://schemas.microsoft.com/office/2007/relationships/hdphoto" Target="../media/hdphoto2.wdp"/><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emf"/></Relationships>
</file>

<file path=xl/drawings/_rels/drawing14.xml.rels><?xml version="1.0" encoding="UTF-8" standalone="yes"?>
<Relationships xmlns="http://schemas.openxmlformats.org/package/2006/relationships"><Relationship Id="rId3" Type="http://schemas.microsoft.com/office/2007/relationships/hdphoto" Target="../media/hdphoto3.wdp"/><Relationship Id="rId2" Type="http://schemas.openxmlformats.org/officeDocument/2006/relationships/image" Target="../media/image8.png"/><Relationship Id="rId1" Type="http://schemas.openxmlformats.org/officeDocument/2006/relationships/image" Target="../media/image7.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emf"/><Relationship Id="rId5" Type="http://schemas.openxmlformats.org/officeDocument/2006/relationships/image" Target="../media/image13.png"/><Relationship Id="rId4" Type="http://schemas.openxmlformats.org/officeDocument/2006/relationships/image" Target="../media/image1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5.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17.png"/><Relationship Id="rId2" Type="http://schemas.microsoft.com/office/2007/relationships/hdphoto" Target="../media/hdphoto4.wdp"/><Relationship Id="rId1" Type="http://schemas.openxmlformats.org/officeDocument/2006/relationships/image" Target="../media/image16.png"/><Relationship Id="rId6" Type="http://schemas.microsoft.com/office/2007/relationships/hdphoto" Target="../media/hdphoto5.wdp"/><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3</xdr:col>
      <xdr:colOff>895350</xdr:colOff>
      <xdr:row>4</xdr:row>
      <xdr:rowOff>0</xdr:rowOff>
    </xdr:from>
    <xdr:to>
      <xdr:col>5</xdr:col>
      <xdr:colOff>28575</xdr:colOff>
      <xdr:row>15</xdr:row>
      <xdr:rowOff>38100</xdr:rowOff>
    </xdr:to>
    <xdr:sp macro="" textlink="">
      <xdr:nvSpPr>
        <xdr:cNvPr id="4" name="Rectangular Callout 3">
          <a:extLst>
            <a:ext uri="{FF2B5EF4-FFF2-40B4-BE49-F238E27FC236}">
              <a16:creationId xmlns:a16="http://schemas.microsoft.com/office/drawing/2014/main" id="{00000000-0008-0000-0000-000004000000}"/>
            </a:ext>
          </a:extLst>
        </xdr:cNvPr>
        <xdr:cNvSpPr/>
      </xdr:nvSpPr>
      <xdr:spPr>
        <a:xfrm>
          <a:off x="1895475" y="714375"/>
          <a:ext cx="3686175" cy="2552700"/>
        </a:xfrm>
        <a:prstGeom prst="wedgeRectCallout">
          <a:avLst>
            <a:gd name="adj1" fmla="val -61464"/>
            <a:gd name="adj2" fmla="val -34888"/>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just"/>
          <a:r>
            <a:rPr lang="es-AR" sz="1100" b="1">
              <a:solidFill>
                <a:schemeClr val="bg1"/>
              </a:solidFill>
              <a:latin typeface="Garamond" panose="02020404030301010803" pitchFamily="18" charset="0"/>
            </a:rPr>
            <a:t>Orientación:</a:t>
          </a:r>
        </a:p>
        <a:p>
          <a:pPr algn="just"/>
          <a:r>
            <a:rPr lang="es-AR" sz="1100" b="1">
              <a:solidFill>
                <a:schemeClr val="bg1"/>
              </a:solidFill>
              <a:latin typeface="Garamond" panose="02020404030301010803" pitchFamily="18" charset="0"/>
            </a:rPr>
            <a:t>En este archivo encontrarás las soluciones sugeridas por la cátedra de Fundamentos de Contabilidad para la resolución de los ejercicios adicionales.</a:t>
          </a:r>
        </a:p>
        <a:p>
          <a:pPr algn="just"/>
          <a:r>
            <a:rPr lang="es-AR" sz="1100" b="1">
              <a:solidFill>
                <a:schemeClr val="bg1"/>
              </a:solidFill>
              <a:latin typeface="Garamond" panose="02020404030301010803" pitchFamily="18" charset="0"/>
            </a:rPr>
            <a:t>Te recomendamos revisar estas soluciones una vez que hayas preparado tu propia propuesta de resolución de los ejercicios, para que puedas contrastarla con la que te proponemos y de ese modo puedas autoevaluar cuánto has aprendido.</a:t>
          </a:r>
        </a:p>
        <a:p>
          <a:pPr algn="just"/>
          <a:r>
            <a:rPr lang="es-AR" sz="1100" b="1">
              <a:solidFill>
                <a:schemeClr val="bg1"/>
              </a:solidFill>
              <a:latin typeface="Garamond" panose="02020404030301010803" pitchFamily="18" charset="0"/>
            </a:rPr>
            <a:t>Si encontrás alguna oportunidad de mejora en alguna de las soluciones sugeridas, te agradecemos nos lo comentes para seguir mejorando este archivo.</a:t>
          </a:r>
        </a:p>
        <a:p>
          <a:pPr algn="just"/>
          <a:r>
            <a:rPr lang="es-AR" sz="1100" b="1">
              <a:solidFill>
                <a:schemeClr val="bg1"/>
              </a:solidFill>
              <a:latin typeface="Garamond" panose="02020404030301010803" pitchFamily="18" charset="0"/>
            </a:rPr>
            <a:t>¡Esperamos que el material te sea de utilidad!</a:t>
          </a:r>
        </a:p>
        <a:p>
          <a:pPr algn="just"/>
          <a:r>
            <a:rPr lang="es-AR" sz="1100" b="1">
              <a:solidFill>
                <a:schemeClr val="bg1"/>
              </a:solidFill>
              <a:latin typeface="Garamond" panose="02020404030301010803" pitchFamily="18" charset="0"/>
            </a:rPr>
            <a:t>Atentamente,</a:t>
          </a:r>
        </a:p>
        <a:p>
          <a:pPr algn="just"/>
          <a:r>
            <a:rPr lang="es-AR" sz="1100" b="1" i="1">
              <a:solidFill>
                <a:schemeClr val="bg1"/>
              </a:solidFill>
              <a:latin typeface="Garamond" panose="02020404030301010803" pitchFamily="18" charset="0"/>
            </a:rPr>
            <a:t>Equipo de Fundamentos de Contabilidad</a:t>
          </a:r>
        </a:p>
      </xdr:txBody>
    </xdr:sp>
    <xdr:clientData/>
  </xdr:twoCellAnchor>
  <xdr:twoCellAnchor editAs="oneCell">
    <xdr:from>
      <xdr:col>2</xdr:col>
      <xdr:colOff>76200</xdr:colOff>
      <xdr:row>3</xdr:row>
      <xdr:rowOff>66674</xdr:rowOff>
    </xdr:from>
    <xdr:to>
      <xdr:col>3</xdr:col>
      <xdr:colOff>542926</xdr:colOff>
      <xdr:row>6</xdr:row>
      <xdr:rowOff>190500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857250" y="676274"/>
          <a:ext cx="685801" cy="6858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107156</xdr:colOff>
      <xdr:row>165</xdr:row>
      <xdr:rowOff>11907</xdr:rowOff>
    </xdr:from>
    <xdr:to>
      <xdr:col>10</xdr:col>
      <xdr:colOff>166687</xdr:colOff>
      <xdr:row>169</xdr:row>
      <xdr:rowOff>47627</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3071812" y="31444407"/>
          <a:ext cx="2917031" cy="797720"/>
        </a:xfrm>
        <a:prstGeom prst="wedgeRoundRectCallout">
          <a:avLst>
            <a:gd name="adj1" fmla="val -38384"/>
            <a:gd name="adj2" fmla="val 82600"/>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s-AR" sz="1000" b="0">
              <a:latin typeface="Garamond" panose="02020404030301010803" pitchFamily="18" charset="0"/>
            </a:rPr>
            <a:t>Margen bruto</a:t>
          </a:r>
          <a:r>
            <a:rPr lang="es-AR" sz="1000" b="0" baseline="0">
              <a:latin typeface="Garamond" panose="02020404030301010803" pitchFamily="18" charset="0"/>
            </a:rPr>
            <a:t> = (Ventas - Costo de ventas) / Ventas</a:t>
          </a:r>
        </a:p>
        <a:p>
          <a:pPr algn="l"/>
          <a:r>
            <a:rPr lang="es-AR" sz="1000" b="0" baseline="0">
              <a:latin typeface="Garamond" panose="02020404030301010803" pitchFamily="18" charset="0"/>
            </a:rPr>
            <a:t>60% = (Ventas - 6.000) / Ventas</a:t>
          </a:r>
        </a:p>
        <a:p>
          <a:pPr algn="l"/>
          <a:r>
            <a:rPr lang="es-AR" sz="1000" b="0" baseline="0">
              <a:latin typeface="Garamond" panose="02020404030301010803" pitchFamily="18" charset="0"/>
            </a:rPr>
            <a:t>despejando...</a:t>
          </a:r>
        </a:p>
        <a:p>
          <a:pPr algn="l"/>
          <a:r>
            <a:rPr lang="es-AR" sz="1000" b="0" baseline="0">
              <a:latin typeface="Garamond" panose="02020404030301010803" pitchFamily="18" charset="0"/>
            </a:rPr>
            <a:t>Ventas = 6.000 / (1-0,6)</a:t>
          </a:r>
          <a:endParaRPr lang="es-AR" sz="1000" b="0">
            <a:latin typeface="Garamond" panose="02020404030301010803"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257175</xdr:colOff>
      <xdr:row>531</xdr:row>
      <xdr:rowOff>161925</xdr:rowOff>
    </xdr:from>
    <xdr:to>
      <xdr:col>16</xdr:col>
      <xdr:colOff>19050</xdr:colOff>
      <xdr:row>534</xdr:row>
      <xdr:rowOff>76200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381875" y="100555425"/>
          <a:ext cx="300037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solidFill>
                <a:srgbClr val="333399"/>
              </a:solidFill>
              <a:latin typeface="Garamond" panose="02020404030301010803" pitchFamily="18" charset="0"/>
            </a:rPr>
            <a:t>Movimiento originado</a:t>
          </a:r>
        </a:p>
      </xdr:txBody>
    </xdr:sp>
    <xdr:clientData/>
  </xdr:twoCellAnchor>
  <xdr:twoCellAnchor>
    <xdr:from>
      <xdr:col>12</xdr:col>
      <xdr:colOff>9529</xdr:colOff>
      <xdr:row>533</xdr:row>
      <xdr:rowOff>4763</xdr:rowOff>
    </xdr:from>
    <xdr:to>
      <xdr:col>15</xdr:col>
      <xdr:colOff>319089</xdr:colOff>
      <xdr:row>534</xdr:row>
      <xdr:rowOff>47625</xdr:rowOff>
    </xdr:to>
    <xdr:sp macro="" textlink="">
      <xdr:nvSpPr>
        <xdr:cNvPr id="3" name="Right Brace 2">
          <a:extLst>
            <a:ext uri="{FF2B5EF4-FFF2-40B4-BE49-F238E27FC236}">
              <a16:creationId xmlns:a16="http://schemas.microsoft.com/office/drawing/2014/main" id="{00000000-0008-0000-0300-000003000000}"/>
            </a:ext>
          </a:extLst>
        </xdr:cNvPr>
        <xdr:cNvSpPr/>
      </xdr:nvSpPr>
      <xdr:spPr>
        <a:xfrm rot="16200000">
          <a:off x="8791578" y="99769614"/>
          <a:ext cx="233362" cy="2252660"/>
        </a:xfrm>
        <a:prstGeom prst="rightBrace">
          <a:avLst/>
        </a:prstGeom>
        <a:ln>
          <a:solidFill>
            <a:srgbClr val="333399"/>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oneCellAnchor>
    <xdr:from>
      <xdr:col>1</xdr:col>
      <xdr:colOff>171450</xdr:colOff>
      <xdr:row>4</xdr:row>
      <xdr:rowOff>28575</xdr:rowOff>
    </xdr:from>
    <xdr:ext cx="5380990" cy="3409950"/>
    <xdr:pic>
      <xdr:nvPicPr>
        <xdr:cNvPr id="4" name="Picture 3">
          <a:extLst>
            <a:ext uri="{FF2B5EF4-FFF2-40B4-BE49-F238E27FC236}">
              <a16:creationId xmlns:a16="http://schemas.microsoft.com/office/drawing/2014/main" id="{00000000-0008-0000-0300-000004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659" r="1550" b="2094"/>
        <a:stretch/>
      </xdr:blipFill>
      <xdr:spPr bwMode="auto">
        <a:xfrm>
          <a:off x="819150" y="790575"/>
          <a:ext cx="5380990" cy="3409950"/>
        </a:xfrm>
        <a:prstGeom prst="rect">
          <a:avLst/>
        </a:prstGeom>
        <a:noFill/>
        <a:ln>
          <a:noFill/>
        </a:ln>
        <a:extLst>
          <a:ext uri="{53640926-AAD7-44D8-BBD7-CCE9431645EC}">
            <a14:shadowObscured xmlns:a14="http://schemas.microsoft.com/office/drawing/2010/main"/>
          </a:ext>
        </a:extLst>
      </xdr:spPr>
    </xdr:pic>
    <xdr:clientData/>
  </xdr:oneCellAnchor>
  <xdr:twoCellAnchor>
    <xdr:from>
      <xdr:col>6</xdr:col>
      <xdr:colOff>295275</xdr:colOff>
      <xdr:row>412</xdr:row>
      <xdr:rowOff>152400</xdr:rowOff>
    </xdr:from>
    <xdr:to>
      <xdr:col>16</xdr:col>
      <xdr:colOff>19050</xdr:colOff>
      <xdr:row>416</xdr:row>
      <xdr:rowOff>66675</xdr:rowOff>
    </xdr:to>
    <xdr:sp macro="" textlink="">
      <xdr:nvSpPr>
        <xdr:cNvPr id="5" name="Rectangular Callout 4">
          <a:extLst>
            <a:ext uri="{FF2B5EF4-FFF2-40B4-BE49-F238E27FC236}">
              <a16:creationId xmlns:a16="http://schemas.microsoft.com/office/drawing/2014/main" id="{00000000-0008-0000-0300-000005000000}"/>
            </a:ext>
          </a:extLst>
        </xdr:cNvPr>
        <xdr:cNvSpPr/>
      </xdr:nvSpPr>
      <xdr:spPr>
        <a:xfrm>
          <a:off x="2257425" y="74495025"/>
          <a:ext cx="3533775" cy="676275"/>
        </a:xfrm>
        <a:prstGeom prst="wedgeRectCallout">
          <a:avLst>
            <a:gd name="adj1" fmla="val 37388"/>
            <a:gd name="adj2" fmla="val -65901"/>
          </a:avLst>
        </a:prstGeom>
      </xdr:spPr>
      <xdr:style>
        <a:lnRef idx="1">
          <a:schemeClr val="accent3"/>
        </a:lnRef>
        <a:fillRef idx="2">
          <a:schemeClr val="accent3"/>
        </a:fillRef>
        <a:effectRef idx="1">
          <a:schemeClr val="accent3"/>
        </a:effectRef>
        <a:fontRef idx="minor">
          <a:schemeClr val="dk1"/>
        </a:fontRef>
      </xdr:style>
      <xdr:txBody>
        <a:bodyPr vertOverflow="clip" horzOverflow="clip" lIns="36000" tIns="36000" rIns="36000" bIns="36000" rtlCol="0" anchor="t"/>
        <a:lstStyle/>
        <a:p>
          <a:pPr algn="l"/>
          <a:r>
            <a:rPr lang="es-AR" sz="1100">
              <a:latin typeface="Garamond" panose="02020404030301010803" pitchFamily="18" charset="0"/>
            </a:rPr>
            <a:t>Es decir que por cada peso vendido, la compañía ha logrado quedarse con </a:t>
          </a:r>
          <a:r>
            <a:rPr lang="es-AR" sz="1100" b="1">
              <a:latin typeface="Garamond" panose="02020404030301010803" pitchFamily="18" charset="0"/>
            </a:rPr>
            <a:t>54 centavos </a:t>
          </a:r>
          <a:r>
            <a:rPr lang="es-AR" sz="1100">
              <a:latin typeface="Garamond" panose="02020404030301010803" pitchFamily="18" charset="0"/>
            </a:rPr>
            <a:t>luego de haber pagado los </a:t>
          </a:r>
          <a:r>
            <a:rPr lang="es-AR" sz="1100" b="1" i="1">
              <a:latin typeface="Garamond" panose="02020404030301010803" pitchFamily="18" charset="0"/>
            </a:rPr>
            <a:t>gastos generales del negocio</a:t>
          </a:r>
          <a:r>
            <a:rPr lang="es-AR" sz="1100">
              <a:latin typeface="Garamond" panose="02020404030301010803" pitchFamily="18" charset="0"/>
            </a:rPr>
            <a:t>. </a:t>
          </a:r>
        </a:p>
      </xdr:txBody>
    </xdr:sp>
    <xdr:clientData/>
  </xdr:twoCellAnchor>
  <xdr:twoCellAnchor>
    <xdr:from>
      <xdr:col>6</xdr:col>
      <xdr:colOff>247650</xdr:colOff>
      <xdr:row>419</xdr:row>
      <xdr:rowOff>152400</xdr:rowOff>
    </xdr:from>
    <xdr:to>
      <xdr:col>15</xdr:col>
      <xdr:colOff>352425</xdr:colOff>
      <xdr:row>423</xdr:row>
      <xdr:rowOff>66675</xdr:rowOff>
    </xdr:to>
    <xdr:sp macro="" textlink="">
      <xdr:nvSpPr>
        <xdr:cNvPr id="6" name="Rectangular Callout 5">
          <a:extLst>
            <a:ext uri="{FF2B5EF4-FFF2-40B4-BE49-F238E27FC236}">
              <a16:creationId xmlns:a16="http://schemas.microsoft.com/office/drawing/2014/main" id="{00000000-0008-0000-0300-000006000000}"/>
            </a:ext>
          </a:extLst>
        </xdr:cNvPr>
        <xdr:cNvSpPr/>
      </xdr:nvSpPr>
      <xdr:spPr>
        <a:xfrm>
          <a:off x="2209800" y="75857100"/>
          <a:ext cx="3533775" cy="676275"/>
        </a:xfrm>
        <a:prstGeom prst="wedgeRectCallout">
          <a:avLst>
            <a:gd name="adj1" fmla="val 37388"/>
            <a:gd name="adj2" fmla="val -65901"/>
          </a:avLst>
        </a:prstGeom>
      </xdr:spPr>
      <xdr:style>
        <a:lnRef idx="1">
          <a:schemeClr val="accent3"/>
        </a:lnRef>
        <a:fillRef idx="2">
          <a:schemeClr val="accent3"/>
        </a:fillRef>
        <a:effectRef idx="1">
          <a:schemeClr val="accent3"/>
        </a:effectRef>
        <a:fontRef idx="minor">
          <a:schemeClr val="dk1"/>
        </a:fontRef>
      </xdr:style>
      <xdr:txBody>
        <a:bodyPr vertOverflow="clip" horzOverflow="clip" lIns="36000" tIns="36000" rIns="36000" bIns="36000" rtlCol="0" anchor="t"/>
        <a:lstStyle/>
        <a:p>
          <a:pPr algn="l"/>
          <a:r>
            <a:rPr lang="es-AR" sz="1100">
              <a:latin typeface="Garamond" panose="02020404030301010803" pitchFamily="18" charset="0"/>
            </a:rPr>
            <a:t>Es decir que por cada peso vendido, la compañía ha logrado quedarse con 22</a:t>
          </a:r>
          <a:r>
            <a:rPr lang="es-AR" sz="1100" b="1">
              <a:latin typeface="Garamond" panose="02020404030301010803" pitchFamily="18" charset="0"/>
            </a:rPr>
            <a:t> centavos </a:t>
          </a:r>
          <a:r>
            <a:rPr lang="es-AR" sz="1100">
              <a:latin typeface="Garamond" panose="02020404030301010803" pitchFamily="18" charset="0"/>
            </a:rPr>
            <a:t>luego de haber pagado </a:t>
          </a:r>
          <a:r>
            <a:rPr lang="es-AR" sz="1100" b="1" i="1">
              <a:latin typeface="Garamond" panose="02020404030301010803" pitchFamily="18" charset="0"/>
            </a:rPr>
            <a:t>todos</a:t>
          </a:r>
          <a:r>
            <a:rPr lang="es-AR" sz="1100" b="1" i="1" baseline="0">
              <a:latin typeface="Garamond" panose="02020404030301010803" pitchFamily="18" charset="0"/>
            </a:rPr>
            <a:t> los gastos de la entidad. </a:t>
          </a:r>
          <a:endParaRPr lang="es-AR" sz="1100" i="1">
            <a:latin typeface="Garamond" panose="020204040303010108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142874</xdr:colOff>
      <xdr:row>2</xdr:row>
      <xdr:rowOff>83344</xdr:rowOff>
    </xdr:from>
    <xdr:to>
      <xdr:col>3</xdr:col>
      <xdr:colOff>327977</xdr:colOff>
      <xdr:row>12</xdr:row>
      <xdr:rowOff>16669</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462279" y="411639"/>
          <a:ext cx="1406208" cy="1590040"/>
          <a:chOff x="-71660" y="0"/>
          <a:chExt cx="1504537" cy="1217930"/>
        </a:xfrm>
      </xdr:grpSpPr>
      <xdr:grpSp>
        <xdr:nvGrpSpPr>
          <xdr:cNvPr id="3" name="Group 2">
            <a:extLst>
              <a:ext uri="{FF2B5EF4-FFF2-40B4-BE49-F238E27FC236}">
                <a16:creationId xmlns:a16="http://schemas.microsoft.com/office/drawing/2014/main" id="{00000000-0008-0000-0400-000003000000}"/>
              </a:ext>
            </a:extLst>
          </xdr:cNvPr>
          <xdr:cNvGrpSpPr/>
        </xdr:nvGrpSpPr>
        <xdr:grpSpPr>
          <a:xfrm>
            <a:off x="-71660" y="0"/>
            <a:ext cx="1504537" cy="1128080"/>
            <a:chOff x="-71660" y="0"/>
            <a:chExt cx="1504537" cy="1128080"/>
          </a:xfrm>
        </xdr:grpSpPr>
        <xdr:sp macro="" textlink="">
          <xdr:nvSpPr>
            <xdr:cNvPr id="5" name="Pentagon 4">
              <a:extLst>
                <a:ext uri="{FF2B5EF4-FFF2-40B4-BE49-F238E27FC236}">
                  <a16:creationId xmlns:a16="http://schemas.microsoft.com/office/drawing/2014/main" id="{00000000-0008-0000-0400-000005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6" name="Text Box 2">
              <a:extLst>
                <a:ext uri="{FF2B5EF4-FFF2-40B4-BE49-F238E27FC236}">
                  <a16:creationId xmlns:a16="http://schemas.microsoft.com/office/drawing/2014/main" id="{00000000-0008-0000-0400-000006000000}"/>
                </a:ext>
              </a:extLst>
            </xdr:cNvPr>
            <xdr:cNvSpPr txBox="1">
              <a:spLocks noChangeArrowheads="1"/>
            </xdr:cNvSpPr>
          </xdr:nvSpPr>
          <xdr:spPr bwMode="auto">
            <a:xfrm>
              <a:off x="-71660" y="1"/>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18034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Walter calculó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margen bruto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del </a:t>
              </a:r>
              <a:r>
                <a:rPr lang="es-ES_tradnl" sz="1200" i="1" u="none">
                  <a:solidFill>
                    <a:sysClr val="windowText" lastClr="000000"/>
                  </a:solidFill>
                  <a:effectLst/>
                  <a:latin typeface="Garamond" panose="02020404030301010803" pitchFamily="18" charset="0"/>
                  <a:ea typeface="Times New Roman" panose="02020603050405020304" pitchFamily="18" charset="0"/>
                  <a:cs typeface="Times New Roman" panose="02020603050405020304" pitchFamily="18" charset="0"/>
                </a:rPr>
                <a:t>Estado de Resultados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y notó un incremento.</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4" name="Oval 3">
            <a:extLst>
              <a:ext uri="{FF2B5EF4-FFF2-40B4-BE49-F238E27FC236}">
                <a16:creationId xmlns:a16="http://schemas.microsoft.com/office/drawing/2014/main" id="{00000000-0008-0000-0400-000004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3</xdr:col>
      <xdr:colOff>376237</xdr:colOff>
      <xdr:row>2</xdr:row>
      <xdr:rowOff>83344</xdr:rowOff>
    </xdr:from>
    <xdr:to>
      <xdr:col>5</xdr:col>
      <xdr:colOff>561339</xdr:colOff>
      <xdr:row>12</xdr:row>
      <xdr:rowOff>16669</xdr:rowOff>
    </xdr:to>
    <xdr:grpSp>
      <xdr:nvGrpSpPr>
        <xdr:cNvPr id="7" name="Group 6">
          <a:extLst>
            <a:ext uri="{FF2B5EF4-FFF2-40B4-BE49-F238E27FC236}">
              <a16:creationId xmlns:a16="http://schemas.microsoft.com/office/drawing/2014/main" id="{00000000-0008-0000-0400-000007000000}"/>
            </a:ext>
          </a:extLst>
        </xdr:cNvPr>
        <xdr:cNvGrpSpPr/>
      </xdr:nvGrpSpPr>
      <xdr:grpSpPr>
        <a:xfrm>
          <a:off x="1914842" y="411639"/>
          <a:ext cx="1404302" cy="1590040"/>
          <a:chOff x="-71660" y="0"/>
          <a:chExt cx="1504537" cy="1217930"/>
        </a:xfrm>
      </xdr:grpSpPr>
      <xdr:grpSp>
        <xdr:nvGrpSpPr>
          <xdr:cNvPr id="8" name="Group 7">
            <a:extLst>
              <a:ext uri="{FF2B5EF4-FFF2-40B4-BE49-F238E27FC236}">
                <a16:creationId xmlns:a16="http://schemas.microsoft.com/office/drawing/2014/main" id="{00000000-0008-0000-0400-000008000000}"/>
              </a:ext>
            </a:extLst>
          </xdr:cNvPr>
          <xdr:cNvGrpSpPr/>
        </xdr:nvGrpSpPr>
        <xdr:grpSpPr>
          <a:xfrm>
            <a:off x="-71660" y="0"/>
            <a:ext cx="1504537" cy="1128080"/>
            <a:chOff x="-71660" y="0"/>
            <a:chExt cx="1504537" cy="1128080"/>
          </a:xfrm>
        </xdr:grpSpPr>
        <xdr:sp macro="" textlink="">
          <xdr:nvSpPr>
            <xdr:cNvPr id="10" name="Pentagon 9">
              <a:extLst>
                <a:ext uri="{FF2B5EF4-FFF2-40B4-BE49-F238E27FC236}">
                  <a16:creationId xmlns:a16="http://schemas.microsoft.com/office/drawing/2014/main" id="{00000000-0008-0000-0400-00000A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11" name="Text Box 2">
              <a:extLst>
                <a:ext uri="{FF2B5EF4-FFF2-40B4-BE49-F238E27FC236}">
                  <a16:creationId xmlns:a16="http://schemas.microsoft.com/office/drawing/2014/main" id="{00000000-0008-0000-0400-00000B000000}"/>
                </a:ext>
              </a:extLst>
            </xdr:cNvPr>
            <xdr:cNvSpPr txBox="1">
              <a:spLocks noChangeArrowheads="1"/>
            </xdr:cNvSpPr>
          </xdr:nvSpPr>
          <xdr:spPr bwMode="auto">
            <a:xfrm>
              <a:off x="-71660" y="1"/>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18034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Jaime recibió una importante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orden de compra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del cliente Kiwi y preparó el pedido.</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9" name="Oval 8">
            <a:extLst>
              <a:ext uri="{FF2B5EF4-FFF2-40B4-BE49-F238E27FC236}">
                <a16:creationId xmlns:a16="http://schemas.microsoft.com/office/drawing/2014/main" id="{00000000-0008-0000-0400-000009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6</xdr:col>
      <xdr:colOff>2381</xdr:colOff>
      <xdr:row>2</xdr:row>
      <xdr:rowOff>83344</xdr:rowOff>
    </xdr:from>
    <xdr:to>
      <xdr:col>8</xdr:col>
      <xdr:colOff>187483</xdr:colOff>
      <xdr:row>12</xdr:row>
      <xdr:rowOff>16669</xdr:rowOff>
    </xdr:to>
    <xdr:grpSp>
      <xdr:nvGrpSpPr>
        <xdr:cNvPr id="12" name="Group 11">
          <a:extLst>
            <a:ext uri="{FF2B5EF4-FFF2-40B4-BE49-F238E27FC236}">
              <a16:creationId xmlns:a16="http://schemas.microsoft.com/office/drawing/2014/main" id="{00000000-0008-0000-0400-00000C000000}"/>
            </a:ext>
          </a:extLst>
        </xdr:cNvPr>
        <xdr:cNvGrpSpPr/>
      </xdr:nvGrpSpPr>
      <xdr:grpSpPr>
        <a:xfrm>
          <a:off x="3367881" y="411639"/>
          <a:ext cx="1404302" cy="1590040"/>
          <a:chOff x="-71660" y="0"/>
          <a:chExt cx="1504537" cy="1217930"/>
        </a:xfrm>
      </xdr:grpSpPr>
      <xdr:grpSp>
        <xdr:nvGrpSpPr>
          <xdr:cNvPr id="13" name="Group 12">
            <a:extLst>
              <a:ext uri="{FF2B5EF4-FFF2-40B4-BE49-F238E27FC236}">
                <a16:creationId xmlns:a16="http://schemas.microsoft.com/office/drawing/2014/main" id="{00000000-0008-0000-0400-00000D000000}"/>
              </a:ext>
            </a:extLst>
          </xdr:cNvPr>
          <xdr:cNvGrpSpPr/>
        </xdr:nvGrpSpPr>
        <xdr:grpSpPr>
          <a:xfrm>
            <a:off x="-71660" y="0"/>
            <a:ext cx="1504537" cy="1128080"/>
            <a:chOff x="-71660" y="0"/>
            <a:chExt cx="1504537" cy="1128080"/>
          </a:xfrm>
        </xdr:grpSpPr>
        <xdr:sp macro="" textlink="">
          <xdr:nvSpPr>
            <xdr:cNvPr id="15" name="Pentagon 14">
              <a:extLst>
                <a:ext uri="{FF2B5EF4-FFF2-40B4-BE49-F238E27FC236}">
                  <a16:creationId xmlns:a16="http://schemas.microsoft.com/office/drawing/2014/main" id="{00000000-0008-0000-0400-00000F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16" name="Text Box 2">
              <a:extLst>
                <a:ext uri="{FF2B5EF4-FFF2-40B4-BE49-F238E27FC236}">
                  <a16:creationId xmlns:a16="http://schemas.microsoft.com/office/drawing/2014/main" id="{00000000-0008-0000-0400-000010000000}"/>
                </a:ext>
              </a:extLst>
            </xdr:cNvPr>
            <xdr:cNvSpPr txBox="1">
              <a:spLocks noChangeArrowheads="1"/>
            </xdr:cNvSpPr>
          </xdr:nvSpPr>
          <xdr:spPr bwMode="auto">
            <a:xfrm>
              <a:off x="-71660" y="1"/>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18034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Franco revisó que en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libro Mayor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de Ventas del sistema contable estuviera la venta realizada a Kiwi.</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14" name="Oval 13">
            <a:extLst>
              <a:ext uri="{FF2B5EF4-FFF2-40B4-BE49-F238E27FC236}">
                <a16:creationId xmlns:a16="http://schemas.microsoft.com/office/drawing/2014/main" id="{00000000-0008-0000-0400-00000E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8</xdr:col>
      <xdr:colOff>245268</xdr:colOff>
      <xdr:row>2</xdr:row>
      <xdr:rowOff>83344</xdr:rowOff>
    </xdr:from>
    <xdr:to>
      <xdr:col>10</xdr:col>
      <xdr:colOff>430371</xdr:colOff>
      <xdr:row>12</xdr:row>
      <xdr:rowOff>16669</xdr:rowOff>
    </xdr:to>
    <xdr:grpSp>
      <xdr:nvGrpSpPr>
        <xdr:cNvPr id="17" name="Group 16">
          <a:extLst>
            <a:ext uri="{FF2B5EF4-FFF2-40B4-BE49-F238E27FC236}">
              <a16:creationId xmlns:a16="http://schemas.microsoft.com/office/drawing/2014/main" id="{00000000-0008-0000-0400-000011000000}"/>
            </a:ext>
          </a:extLst>
        </xdr:cNvPr>
        <xdr:cNvGrpSpPr/>
      </xdr:nvGrpSpPr>
      <xdr:grpSpPr>
        <a:xfrm>
          <a:off x="4833778" y="411639"/>
          <a:ext cx="1398588" cy="1590040"/>
          <a:chOff x="-71660" y="0"/>
          <a:chExt cx="1504537" cy="1217930"/>
        </a:xfrm>
      </xdr:grpSpPr>
      <xdr:grpSp>
        <xdr:nvGrpSpPr>
          <xdr:cNvPr id="18" name="Group 17">
            <a:extLst>
              <a:ext uri="{FF2B5EF4-FFF2-40B4-BE49-F238E27FC236}">
                <a16:creationId xmlns:a16="http://schemas.microsoft.com/office/drawing/2014/main" id="{00000000-0008-0000-0400-000012000000}"/>
              </a:ext>
            </a:extLst>
          </xdr:cNvPr>
          <xdr:cNvGrpSpPr/>
        </xdr:nvGrpSpPr>
        <xdr:grpSpPr>
          <a:xfrm>
            <a:off x="-71660" y="0"/>
            <a:ext cx="1504537" cy="1128080"/>
            <a:chOff x="-71660" y="0"/>
            <a:chExt cx="1504537" cy="1128080"/>
          </a:xfrm>
        </xdr:grpSpPr>
        <xdr:sp macro="" textlink="">
          <xdr:nvSpPr>
            <xdr:cNvPr id="20" name="Pentagon 19">
              <a:extLst>
                <a:ext uri="{FF2B5EF4-FFF2-40B4-BE49-F238E27FC236}">
                  <a16:creationId xmlns:a16="http://schemas.microsoft.com/office/drawing/2014/main" id="{00000000-0008-0000-0400-000014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21" name="Text Box 2">
              <a:extLst>
                <a:ext uri="{FF2B5EF4-FFF2-40B4-BE49-F238E27FC236}">
                  <a16:creationId xmlns:a16="http://schemas.microsoft.com/office/drawing/2014/main" id="{00000000-0008-0000-0400-000015000000}"/>
                </a:ext>
              </a:extLst>
            </xdr:cNvPr>
            <xdr:cNvSpPr txBox="1">
              <a:spLocks noChangeArrowheads="1"/>
            </xdr:cNvSpPr>
          </xdr:nvSpPr>
          <xdr:spPr bwMode="auto">
            <a:xfrm>
              <a:off x="-71660" y="1"/>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Franco entregó a Walter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Estado de Resultados</a:t>
              </a:r>
              <a:r>
                <a:rPr lang="es-ES_tradnl" sz="1200" i="1">
                  <a:solidFill>
                    <a:srgbClr val="002060"/>
                  </a:solidFill>
                  <a:effectLst/>
                  <a:latin typeface="Garamond" panose="02020404030301010803" pitchFamily="18" charset="0"/>
                  <a:ea typeface="Times New Roman" panose="02020603050405020304" pitchFamily="18" charset="0"/>
                  <a:cs typeface="Times New Roman" panose="02020603050405020304" pitchFamily="18" charset="0"/>
                </a:rPr>
                <a:t>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actualizado, incluyendo un número mayor en la cifra de Ventas.</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19" name="Oval 18">
            <a:extLst>
              <a:ext uri="{FF2B5EF4-FFF2-40B4-BE49-F238E27FC236}">
                <a16:creationId xmlns:a16="http://schemas.microsoft.com/office/drawing/2014/main" id="{00000000-0008-0000-0400-000013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1</xdr:col>
      <xdr:colOff>200024</xdr:colOff>
      <xdr:row>13</xdr:row>
      <xdr:rowOff>78581</xdr:rowOff>
    </xdr:from>
    <xdr:to>
      <xdr:col>3</xdr:col>
      <xdr:colOff>385127</xdr:colOff>
      <xdr:row>23</xdr:row>
      <xdr:rowOff>96361</xdr:rowOff>
    </xdr:to>
    <xdr:grpSp>
      <xdr:nvGrpSpPr>
        <xdr:cNvPr id="22" name="Group 21">
          <a:extLst>
            <a:ext uri="{FF2B5EF4-FFF2-40B4-BE49-F238E27FC236}">
              <a16:creationId xmlns:a16="http://schemas.microsoft.com/office/drawing/2014/main" id="{00000000-0008-0000-0400-000016000000}"/>
            </a:ext>
          </a:extLst>
        </xdr:cNvPr>
        <xdr:cNvGrpSpPr/>
      </xdr:nvGrpSpPr>
      <xdr:grpSpPr>
        <a:xfrm rot="10800000">
          <a:off x="515619" y="2224881"/>
          <a:ext cx="1406208" cy="1672590"/>
          <a:chOff x="-71660" y="-65265"/>
          <a:chExt cx="1504537" cy="1283195"/>
        </a:xfrm>
      </xdr:grpSpPr>
      <xdr:grpSp>
        <xdr:nvGrpSpPr>
          <xdr:cNvPr id="23" name="Group 22">
            <a:extLst>
              <a:ext uri="{FF2B5EF4-FFF2-40B4-BE49-F238E27FC236}">
                <a16:creationId xmlns:a16="http://schemas.microsoft.com/office/drawing/2014/main" id="{00000000-0008-0000-0400-000017000000}"/>
              </a:ext>
            </a:extLst>
          </xdr:cNvPr>
          <xdr:cNvGrpSpPr/>
        </xdr:nvGrpSpPr>
        <xdr:grpSpPr>
          <a:xfrm>
            <a:off x="-71660" y="-65265"/>
            <a:ext cx="1504537" cy="1193345"/>
            <a:chOff x="-71660" y="-65265"/>
            <a:chExt cx="1504537" cy="1193345"/>
          </a:xfrm>
        </xdr:grpSpPr>
        <xdr:sp macro="" textlink="">
          <xdr:nvSpPr>
            <xdr:cNvPr id="25" name="Pentagon 24">
              <a:extLst>
                <a:ext uri="{FF2B5EF4-FFF2-40B4-BE49-F238E27FC236}">
                  <a16:creationId xmlns:a16="http://schemas.microsoft.com/office/drawing/2014/main" id="{00000000-0008-0000-0400-000019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26" name="Text Box 2">
              <a:extLst>
                <a:ext uri="{FF2B5EF4-FFF2-40B4-BE49-F238E27FC236}">
                  <a16:creationId xmlns:a16="http://schemas.microsoft.com/office/drawing/2014/main" id="{00000000-0008-0000-0400-00001A000000}"/>
                </a:ext>
              </a:extLst>
            </xdr:cNvPr>
            <xdr:cNvSpPr txBox="1">
              <a:spLocks noChangeArrowheads="1"/>
            </xdr:cNvSpPr>
          </xdr:nvSpPr>
          <xdr:spPr bwMode="auto">
            <a:xfrm rot="10800000">
              <a:off x="-71660" y="-65265"/>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Jaime entregó el pedido al cliente, junto con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remito</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24" name="Oval 23">
            <a:extLst>
              <a:ext uri="{FF2B5EF4-FFF2-40B4-BE49-F238E27FC236}">
                <a16:creationId xmlns:a16="http://schemas.microsoft.com/office/drawing/2014/main" id="{00000000-0008-0000-0400-000018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3</xdr:col>
      <xdr:colOff>433387</xdr:colOff>
      <xdr:row>13</xdr:row>
      <xdr:rowOff>78581</xdr:rowOff>
    </xdr:from>
    <xdr:to>
      <xdr:col>6</xdr:col>
      <xdr:colOff>11271</xdr:colOff>
      <xdr:row>23</xdr:row>
      <xdr:rowOff>105886</xdr:rowOff>
    </xdr:to>
    <xdr:grpSp>
      <xdr:nvGrpSpPr>
        <xdr:cNvPr id="27" name="Group 26">
          <a:extLst>
            <a:ext uri="{FF2B5EF4-FFF2-40B4-BE49-F238E27FC236}">
              <a16:creationId xmlns:a16="http://schemas.microsoft.com/office/drawing/2014/main" id="{00000000-0008-0000-0400-00001B000000}"/>
            </a:ext>
          </a:extLst>
        </xdr:cNvPr>
        <xdr:cNvGrpSpPr/>
      </xdr:nvGrpSpPr>
      <xdr:grpSpPr>
        <a:xfrm rot="10800000">
          <a:off x="1968182" y="2224881"/>
          <a:ext cx="1406684" cy="1680210"/>
          <a:chOff x="-71660" y="-72517"/>
          <a:chExt cx="1504537" cy="1290447"/>
        </a:xfrm>
      </xdr:grpSpPr>
      <xdr:grpSp>
        <xdr:nvGrpSpPr>
          <xdr:cNvPr id="28" name="Group 27">
            <a:extLst>
              <a:ext uri="{FF2B5EF4-FFF2-40B4-BE49-F238E27FC236}">
                <a16:creationId xmlns:a16="http://schemas.microsoft.com/office/drawing/2014/main" id="{00000000-0008-0000-0400-00001C000000}"/>
              </a:ext>
            </a:extLst>
          </xdr:cNvPr>
          <xdr:cNvGrpSpPr/>
        </xdr:nvGrpSpPr>
        <xdr:grpSpPr>
          <a:xfrm>
            <a:off x="-71660" y="-72517"/>
            <a:ext cx="1504537" cy="1200597"/>
            <a:chOff x="-71660" y="-72517"/>
            <a:chExt cx="1504537" cy="1200597"/>
          </a:xfrm>
        </xdr:grpSpPr>
        <xdr:sp macro="" textlink="">
          <xdr:nvSpPr>
            <xdr:cNvPr id="30" name="Pentagon 29">
              <a:extLst>
                <a:ext uri="{FF2B5EF4-FFF2-40B4-BE49-F238E27FC236}">
                  <a16:creationId xmlns:a16="http://schemas.microsoft.com/office/drawing/2014/main" id="{00000000-0008-0000-0400-00001E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31" name="Text Box 2">
              <a:extLst>
                <a:ext uri="{FF2B5EF4-FFF2-40B4-BE49-F238E27FC236}">
                  <a16:creationId xmlns:a16="http://schemas.microsoft.com/office/drawing/2014/main" id="{00000000-0008-0000-0400-00001F000000}"/>
                </a:ext>
              </a:extLst>
            </xdr:cNvPr>
            <xdr:cNvSpPr txBox="1">
              <a:spLocks noChangeArrowheads="1"/>
            </xdr:cNvSpPr>
          </xdr:nvSpPr>
          <xdr:spPr bwMode="auto">
            <a:xfrm rot="10800000">
              <a:off x="-71660" y="-72517"/>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Franco registró en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libro diario </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una venta.</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29" name="Oval 28">
            <a:extLst>
              <a:ext uri="{FF2B5EF4-FFF2-40B4-BE49-F238E27FC236}">
                <a16:creationId xmlns:a16="http://schemas.microsoft.com/office/drawing/2014/main" id="{00000000-0008-0000-0400-00001D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6</xdr:col>
      <xdr:colOff>59531</xdr:colOff>
      <xdr:row>13</xdr:row>
      <xdr:rowOff>78581</xdr:rowOff>
    </xdr:from>
    <xdr:to>
      <xdr:col>8</xdr:col>
      <xdr:colOff>244633</xdr:colOff>
      <xdr:row>23</xdr:row>
      <xdr:rowOff>105886</xdr:rowOff>
    </xdr:to>
    <xdr:grpSp>
      <xdr:nvGrpSpPr>
        <xdr:cNvPr id="32" name="Group 31">
          <a:extLst>
            <a:ext uri="{FF2B5EF4-FFF2-40B4-BE49-F238E27FC236}">
              <a16:creationId xmlns:a16="http://schemas.microsoft.com/office/drawing/2014/main" id="{00000000-0008-0000-0400-000020000000}"/>
            </a:ext>
          </a:extLst>
        </xdr:cNvPr>
        <xdr:cNvGrpSpPr/>
      </xdr:nvGrpSpPr>
      <xdr:grpSpPr>
        <a:xfrm rot="10800000">
          <a:off x="3428841" y="2224881"/>
          <a:ext cx="1404302" cy="1680210"/>
          <a:chOff x="-71660" y="-72517"/>
          <a:chExt cx="1504537" cy="1290447"/>
        </a:xfrm>
      </xdr:grpSpPr>
      <xdr:grpSp>
        <xdr:nvGrpSpPr>
          <xdr:cNvPr id="33" name="Group 32">
            <a:extLst>
              <a:ext uri="{FF2B5EF4-FFF2-40B4-BE49-F238E27FC236}">
                <a16:creationId xmlns:a16="http://schemas.microsoft.com/office/drawing/2014/main" id="{00000000-0008-0000-0400-000021000000}"/>
              </a:ext>
            </a:extLst>
          </xdr:cNvPr>
          <xdr:cNvGrpSpPr/>
        </xdr:nvGrpSpPr>
        <xdr:grpSpPr>
          <a:xfrm>
            <a:off x="-71660" y="-72517"/>
            <a:ext cx="1504537" cy="1200597"/>
            <a:chOff x="-71660" y="-72517"/>
            <a:chExt cx="1504537" cy="1200597"/>
          </a:xfrm>
        </xdr:grpSpPr>
        <xdr:sp macro="" textlink="">
          <xdr:nvSpPr>
            <xdr:cNvPr id="35" name="Pentagon 34">
              <a:extLst>
                <a:ext uri="{FF2B5EF4-FFF2-40B4-BE49-F238E27FC236}">
                  <a16:creationId xmlns:a16="http://schemas.microsoft.com/office/drawing/2014/main" id="{00000000-0008-0000-0400-000023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36" name="Text Box 2">
              <a:extLst>
                <a:ext uri="{FF2B5EF4-FFF2-40B4-BE49-F238E27FC236}">
                  <a16:creationId xmlns:a16="http://schemas.microsoft.com/office/drawing/2014/main" id="{00000000-0008-0000-0400-000024000000}"/>
                </a:ext>
              </a:extLst>
            </xdr:cNvPr>
            <xdr:cNvSpPr txBox="1">
              <a:spLocks noChangeArrowheads="1"/>
            </xdr:cNvSpPr>
          </xdr:nvSpPr>
          <xdr:spPr bwMode="auto">
            <a:xfrm rot="10800000">
              <a:off x="-71660" y="-72517"/>
              <a:ext cx="1503991" cy="913130"/>
            </a:xfrm>
            <a:prstGeom prst="rect">
              <a:avLst/>
            </a:prstGeom>
            <a:noFill/>
            <a:ln w="9525">
              <a:noFill/>
              <a:miter lim="800000"/>
              <a:headEnd/>
              <a:tailEnd/>
            </a:ln>
          </xdr:spPr>
          <xdr:txBody>
            <a:bodyPr rot="0" vert="horz" wrap="square" lIns="91440" tIns="45720" rIns="91440" bIns="45720" anchor="t" anchorCtr="0">
              <a:noAutofit/>
            </a:bodyPr>
            <a:lstStyle/>
            <a:p>
              <a:pPr indent="0" algn="ctr">
                <a:spcAft>
                  <a:spcPts val="100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Franco imprimió el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Balance de Saldos</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 que ahora incluye la venta realizada a Kiwi.</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34" name="Oval 33">
            <a:extLst>
              <a:ext uri="{FF2B5EF4-FFF2-40B4-BE49-F238E27FC236}">
                <a16:creationId xmlns:a16="http://schemas.microsoft.com/office/drawing/2014/main" id="{00000000-0008-0000-0400-000022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twoCellAnchor>
    <xdr:from>
      <xdr:col>8</xdr:col>
      <xdr:colOff>200026</xdr:colOff>
      <xdr:row>13</xdr:row>
      <xdr:rowOff>78581</xdr:rowOff>
    </xdr:from>
    <xdr:to>
      <xdr:col>10</xdr:col>
      <xdr:colOff>487522</xdr:colOff>
      <xdr:row>23</xdr:row>
      <xdr:rowOff>105886</xdr:rowOff>
    </xdr:to>
    <xdr:grpSp>
      <xdr:nvGrpSpPr>
        <xdr:cNvPr id="37" name="Group 36">
          <a:extLst>
            <a:ext uri="{FF2B5EF4-FFF2-40B4-BE49-F238E27FC236}">
              <a16:creationId xmlns:a16="http://schemas.microsoft.com/office/drawing/2014/main" id="{00000000-0008-0000-0400-000025000000}"/>
            </a:ext>
          </a:extLst>
        </xdr:cNvPr>
        <xdr:cNvGrpSpPr/>
      </xdr:nvGrpSpPr>
      <xdr:grpSpPr>
        <a:xfrm rot="10800000">
          <a:off x="4782821" y="2224881"/>
          <a:ext cx="1510506" cy="1680210"/>
          <a:chOff x="-71661" y="-72517"/>
          <a:chExt cx="1614238" cy="1290447"/>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71661" y="-72517"/>
            <a:ext cx="1614238" cy="1200597"/>
            <a:chOff x="-71661" y="-72517"/>
            <a:chExt cx="1614238" cy="1200597"/>
          </a:xfrm>
        </xdr:grpSpPr>
        <xdr:sp macro="" textlink="">
          <xdr:nvSpPr>
            <xdr:cNvPr id="40" name="Pentagon 39">
              <a:extLst>
                <a:ext uri="{FF2B5EF4-FFF2-40B4-BE49-F238E27FC236}">
                  <a16:creationId xmlns:a16="http://schemas.microsoft.com/office/drawing/2014/main" id="{00000000-0008-0000-0400-000028000000}"/>
                </a:ext>
              </a:extLst>
            </xdr:cNvPr>
            <xdr:cNvSpPr/>
          </xdr:nvSpPr>
          <xdr:spPr>
            <a:xfrm rot="5400000">
              <a:off x="152399" y="-152399"/>
              <a:ext cx="1128080" cy="1432877"/>
            </a:xfrm>
            <a:prstGeom prst="homePlate">
              <a:avLst>
                <a:gd name="adj" fmla="val 20536"/>
              </a:avLst>
            </a:prstGeom>
            <a:solidFill>
              <a:schemeClr val="bg1"/>
            </a:solidFill>
            <a:ln w="9525">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indent="180340" algn="ctr">
                <a:spcAft>
                  <a:spcPts val="1000"/>
                </a:spcAft>
              </a:pPr>
              <a:r>
                <a:rPr lang="es-AR" sz="1200">
                  <a:effectLst/>
                  <a:latin typeface="Garamond" panose="02020404030301010803" pitchFamily="18" charset="0"/>
                  <a:ea typeface="MS Mincho" panose="02020609040205080304" pitchFamily="49" charset="-128"/>
                  <a:cs typeface="Times New Roman" panose="02020603050405020304" pitchFamily="18" charset="0"/>
                </a:rPr>
                <a:t> </a:t>
              </a:r>
            </a:p>
          </xdr:txBody>
        </xdr:sp>
        <xdr:sp macro="" textlink="">
          <xdr:nvSpPr>
            <xdr:cNvPr id="41" name="Text Box 2">
              <a:extLst>
                <a:ext uri="{FF2B5EF4-FFF2-40B4-BE49-F238E27FC236}">
                  <a16:creationId xmlns:a16="http://schemas.microsoft.com/office/drawing/2014/main" id="{00000000-0008-0000-0400-000029000000}"/>
                </a:ext>
              </a:extLst>
            </xdr:cNvPr>
            <xdr:cNvSpPr txBox="1">
              <a:spLocks noChangeArrowheads="1"/>
            </xdr:cNvSpPr>
          </xdr:nvSpPr>
          <xdr:spPr bwMode="auto">
            <a:xfrm rot="10800000">
              <a:off x="-71661" y="-72517"/>
              <a:ext cx="1614238" cy="913130"/>
            </a:xfrm>
            <a:prstGeom prst="rect">
              <a:avLst/>
            </a:prstGeom>
            <a:noFill/>
            <a:ln w="9525">
              <a:noFill/>
              <a:miter lim="800000"/>
              <a:headEnd/>
              <a:tailEnd/>
            </a:ln>
          </xdr:spPr>
          <xdr:txBody>
            <a:bodyPr rot="0" vert="horz" wrap="square" lIns="91440" tIns="45720" rIns="91440" bIns="45720" anchor="t" anchorCtr="0">
              <a:noAutofit/>
            </a:bodyPr>
            <a:lstStyle/>
            <a:p>
              <a:pPr indent="0" algn="ctr">
                <a:spcAft>
                  <a:spcPts val="0"/>
                </a:spcAft>
              </a:pP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Kiwi recibió el pedido, firmó el remito de conformidad, y Rodrigo emitió la </a:t>
              </a:r>
              <a:r>
                <a:rPr lang="es-ES_tradnl" sz="1200" i="1" u="sng">
                  <a:solidFill>
                    <a:srgbClr val="333399"/>
                  </a:solidFill>
                  <a:effectLst/>
                  <a:latin typeface="Garamond" panose="02020404030301010803" pitchFamily="18" charset="0"/>
                  <a:ea typeface="Times New Roman" panose="02020603050405020304" pitchFamily="18" charset="0"/>
                  <a:cs typeface="Times New Roman" panose="02020603050405020304" pitchFamily="18" charset="0"/>
                </a:rPr>
                <a:t>factura</a:t>
              </a:r>
              <a:r>
                <a:rPr lang="es-ES_tradnl" sz="1200" i="1">
                  <a:solidFill>
                    <a:srgbClr val="000000"/>
                  </a:solidFill>
                  <a:effectLst/>
                  <a:latin typeface="Garamond" panose="02020404030301010803" pitchFamily="18" charset="0"/>
                  <a:ea typeface="Times New Roman" panose="02020603050405020304" pitchFamily="18" charset="0"/>
                  <a:cs typeface="Times New Roman" panose="02020603050405020304" pitchFamily="18" charset="0"/>
                </a:rPr>
                <a:t>, quedándose con el duplicado.</a:t>
              </a:r>
              <a:endParaRPr lang="es-AR" sz="1200">
                <a:effectLst/>
                <a:latin typeface="Garamond" panose="02020404030301010803" pitchFamily="18" charset="0"/>
                <a:ea typeface="MS Mincho" panose="02020609040205080304" pitchFamily="49" charset="-128"/>
                <a:cs typeface="Times New Roman" panose="02020603050405020304" pitchFamily="18" charset="0"/>
              </a:endParaRPr>
            </a:p>
          </xdr:txBody>
        </xdr:sp>
      </xdr:grpSp>
      <xdr:sp macro="" textlink="">
        <xdr:nvSpPr>
          <xdr:cNvPr id="39" name="Oval 38">
            <a:extLst>
              <a:ext uri="{FF2B5EF4-FFF2-40B4-BE49-F238E27FC236}">
                <a16:creationId xmlns:a16="http://schemas.microsoft.com/office/drawing/2014/main" id="{00000000-0008-0000-0400-000027000000}"/>
              </a:ext>
            </a:extLst>
          </xdr:cNvPr>
          <xdr:cNvSpPr/>
        </xdr:nvSpPr>
        <xdr:spPr>
          <a:xfrm>
            <a:off x="400050" y="866775"/>
            <a:ext cx="600075" cy="351155"/>
          </a:xfrm>
          <a:prstGeom prst="ellipse">
            <a:avLst/>
          </a:prstGeom>
          <a:solidFill>
            <a:schemeClr val="bg1"/>
          </a:solidFill>
          <a:ln w="9525">
            <a:solidFill>
              <a:schemeClr val="tx1">
                <a:lumMod val="50000"/>
                <a:lumOff val="5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AR"/>
          </a:p>
        </xdr:txBody>
      </xdr:sp>
    </xdr:grpSp>
    <xdr:clientData/>
  </xdr:twoCellAnchor>
  <xdr:oneCellAnchor>
    <xdr:from>
      <xdr:col>2</xdr:col>
      <xdr:colOff>0</xdr:colOff>
      <xdr:row>9</xdr:row>
      <xdr:rowOff>154780</xdr:rowOff>
    </xdr:from>
    <xdr:ext cx="488157" cy="259686"/>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1219200" y="1869280"/>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8</a:t>
          </a:r>
          <a:endParaRPr lang="es-AR" sz="1200" b="1" dirty="0">
            <a:solidFill>
              <a:srgbClr val="313131"/>
            </a:solidFill>
            <a:latin typeface="Garamond" panose="02020404030301010803" pitchFamily="18" charset="0"/>
          </a:endParaRPr>
        </a:p>
      </xdr:txBody>
    </xdr:sp>
    <xdr:clientData/>
  </xdr:oneCellAnchor>
  <xdr:oneCellAnchor>
    <xdr:from>
      <xdr:col>4</xdr:col>
      <xdr:colOff>235743</xdr:colOff>
      <xdr:row>10</xdr:row>
      <xdr:rowOff>2380</xdr:rowOff>
    </xdr:from>
    <xdr:ext cx="488157" cy="259686"/>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674143" y="1907380"/>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1</a:t>
          </a:r>
          <a:endParaRPr lang="es-AR" sz="1200" b="1" dirty="0">
            <a:solidFill>
              <a:srgbClr val="313131"/>
            </a:solidFill>
            <a:latin typeface="Garamond" panose="02020404030301010803" pitchFamily="18" charset="0"/>
          </a:endParaRPr>
        </a:p>
      </xdr:txBody>
    </xdr:sp>
    <xdr:clientData/>
  </xdr:oneCellAnchor>
  <xdr:oneCellAnchor>
    <xdr:from>
      <xdr:col>6</xdr:col>
      <xdr:colOff>483393</xdr:colOff>
      <xdr:row>9</xdr:row>
      <xdr:rowOff>161924</xdr:rowOff>
    </xdr:from>
    <xdr:ext cx="488157" cy="259686"/>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4140993" y="1876424"/>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5</a:t>
          </a:r>
          <a:endParaRPr lang="es-AR" sz="1200" b="1" dirty="0">
            <a:solidFill>
              <a:srgbClr val="313131"/>
            </a:solidFill>
            <a:latin typeface="Garamond" panose="02020404030301010803" pitchFamily="18" charset="0"/>
          </a:endParaRPr>
        </a:p>
      </xdr:txBody>
    </xdr:sp>
    <xdr:clientData/>
  </xdr:oneCellAnchor>
  <xdr:oneCellAnchor>
    <xdr:from>
      <xdr:col>9</xdr:col>
      <xdr:colOff>123823</xdr:colOff>
      <xdr:row>9</xdr:row>
      <xdr:rowOff>159542</xdr:rowOff>
    </xdr:from>
    <xdr:ext cx="488157" cy="259686"/>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5610223" y="1874042"/>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7</a:t>
          </a:r>
          <a:endParaRPr lang="es-AR" sz="1200" b="1" dirty="0">
            <a:solidFill>
              <a:srgbClr val="313131"/>
            </a:solidFill>
            <a:latin typeface="Garamond" panose="02020404030301010803" pitchFamily="18" charset="0"/>
          </a:endParaRPr>
        </a:p>
      </xdr:txBody>
    </xdr:sp>
    <xdr:clientData/>
  </xdr:oneCellAnchor>
  <xdr:oneCellAnchor>
    <xdr:from>
      <xdr:col>1</xdr:col>
      <xdr:colOff>604837</xdr:colOff>
      <xdr:row>14</xdr:row>
      <xdr:rowOff>2377</xdr:rowOff>
    </xdr:from>
    <xdr:ext cx="488157" cy="259686"/>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214437" y="2669377"/>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2</a:t>
          </a:r>
          <a:endParaRPr lang="es-AR" sz="1200" b="1" dirty="0">
            <a:solidFill>
              <a:srgbClr val="313131"/>
            </a:solidFill>
            <a:latin typeface="Garamond" panose="02020404030301010803" pitchFamily="18" charset="0"/>
          </a:endParaRPr>
        </a:p>
      </xdr:txBody>
    </xdr:sp>
    <xdr:clientData/>
  </xdr:oneCellAnchor>
  <xdr:oneCellAnchor>
    <xdr:from>
      <xdr:col>4</xdr:col>
      <xdr:colOff>233362</xdr:colOff>
      <xdr:row>14</xdr:row>
      <xdr:rowOff>7140</xdr:rowOff>
    </xdr:from>
    <xdr:ext cx="488157" cy="259686"/>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2671762" y="2674140"/>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4</a:t>
          </a:r>
          <a:endParaRPr lang="es-AR" sz="1200" b="1" dirty="0">
            <a:solidFill>
              <a:srgbClr val="313131"/>
            </a:solidFill>
            <a:latin typeface="Garamond" panose="02020404030301010803" pitchFamily="18" charset="0"/>
          </a:endParaRPr>
        </a:p>
      </xdr:txBody>
    </xdr:sp>
    <xdr:clientData/>
  </xdr:oneCellAnchor>
  <xdr:oneCellAnchor>
    <xdr:from>
      <xdr:col>6</xdr:col>
      <xdr:colOff>481012</xdr:colOff>
      <xdr:row>14</xdr:row>
      <xdr:rowOff>4759</xdr:rowOff>
    </xdr:from>
    <xdr:ext cx="488157" cy="259686"/>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4138612" y="2671759"/>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6</a:t>
          </a:r>
          <a:endParaRPr lang="es-AR" sz="1200" b="1" dirty="0">
            <a:solidFill>
              <a:srgbClr val="313131"/>
            </a:solidFill>
            <a:latin typeface="Garamond" panose="02020404030301010803" pitchFamily="18" charset="0"/>
          </a:endParaRPr>
        </a:p>
      </xdr:txBody>
    </xdr:sp>
    <xdr:clientData/>
  </xdr:oneCellAnchor>
  <xdr:oneCellAnchor>
    <xdr:from>
      <xdr:col>9</xdr:col>
      <xdr:colOff>121442</xdr:colOff>
      <xdr:row>14</xdr:row>
      <xdr:rowOff>2377</xdr:rowOff>
    </xdr:from>
    <xdr:ext cx="488157" cy="259686"/>
    <xdr:sp macro="" textlink="">
      <xdr:nvSpPr>
        <xdr:cNvPr id="49" name="TextBox 48">
          <a:extLst>
            <a:ext uri="{FF2B5EF4-FFF2-40B4-BE49-F238E27FC236}">
              <a16:creationId xmlns:a16="http://schemas.microsoft.com/office/drawing/2014/main" id="{00000000-0008-0000-0400-000031000000}"/>
            </a:ext>
          </a:extLst>
        </xdr:cNvPr>
        <xdr:cNvSpPr txBox="1"/>
      </xdr:nvSpPr>
      <xdr:spPr>
        <a:xfrm>
          <a:off x="5607842" y="2669377"/>
          <a:ext cx="488157" cy="259686"/>
        </a:xfrm>
        <a:prstGeom prst="rect">
          <a:avLst/>
        </a:prstGeom>
        <a:noFill/>
      </xdr:spPr>
      <xdr:txBody>
        <a:bodyPr vertOverflow="clip" horzOverflow="clip" wrap="square" lIns="0" tIns="0" rIns="0" bIns="0" rtlCol="0" anchor="t">
          <a:spAutoFit/>
        </a:bodyPr>
        <a:lstStyle/>
        <a:p>
          <a:pPr marL="0" indent="0" algn="ctr">
            <a:spcBef>
              <a:spcPts val="600"/>
            </a:spcBef>
            <a:buSzPct val="100000"/>
            <a:buFont typeface="Arial"/>
            <a:buNone/>
          </a:pPr>
          <a:r>
            <a:rPr lang="es-AR" sz="1800" b="1" dirty="0">
              <a:solidFill>
                <a:srgbClr val="313131"/>
              </a:solidFill>
              <a:latin typeface="Garamond" panose="02020404030301010803" pitchFamily="18" charset="0"/>
            </a:rPr>
            <a:t>3</a:t>
          </a:r>
          <a:endParaRPr lang="es-AR" sz="1200" b="1" dirty="0">
            <a:solidFill>
              <a:srgbClr val="313131"/>
            </a:solidFill>
            <a:latin typeface="Garamond" panose="02020404030301010803" pitchFamily="18" charset="0"/>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14</xdr:col>
      <xdr:colOff>361950</xdr:colOff>
      <xdr:row>19</xdr:row>
      <xdr:rowOff>19050</xdr:rowOff>
    </xdr:from>
    <xdr:to>
      <xdr:col>15</xdr:col>
      <xdr:colOff>238125</xdr:colOff>
      <xdr:row>20</xdr:row>
      <xdr:rowOff>28575</xdr:rowOff>
    </xdr:to>
    <xdr:grpSp>
      <xdr:nvGrpSpPr>
        <xdr:cNvPr id="2" name="4 Grupo">
          <a:extLst>
            <a:ext uri="{FF2B5EF4-FFF2-40B4-BE49-F238E27FC236}">
              <a16:creationId xmlns:a16="http://schemas.microsoft.com/office/drawing/2014/main" id="{00000000-0008-0000-0700-000002000000}"/>
            </a:ext>
          </a:extLst>
        </xdr:cNvPr>
        <xdr:cNvGrpSpPr/>
      </xdr:nvGrpSpPr>
      <xdr:grpSpPr>
        <a:xfrm>
          <a:off x="5341620" y="3642360"/>
          <a:ext cx="243840" cy="198120"/>
          <a:chOff x="3905250" y="2409825"/>
          <a:chExt cx="257175" cy="200025"/>
        </a:xfrm>
      </xdr:grpSpPr>
      <xdr:sp macro="" textlink="">
        <xdr:nvSpPr>
          <xdr:cNvPr id="3" name="2 CuadroTexto">
            <a:extLst>
              <a:ext uri="{FF2B5EF4-FFF2-40B4-BE49-F238E27FC236}">
                <a16:creationId xmlns:a16="http://schemas.microsoft.com/office/drawing/2014/main" id="{00000000-0008-0000-0700-000003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B050"/>
                </a:solidFill>
                <a:sym typeface="Wingdings"/>
              </a:rPr>
              <a:t> </a:t>
            </a:r>
            <a:endParaRPr lang="es-AR" sz="1100" b="1">
              <a:solidFill>
                <a:srgbClr val="00B050"/>
              </a:solidFill>
            </a:endParaRPr>
          </a:p>
        </xdr:txBody>
      </xdr:sp>
      <xdr:sp macro="" textlink="">
        <xdr:nvSpPr>
          <xdr:cNvPr id="4" name="3 Elipse">
            <a:extLst>
              <a:ext uri="{FF2B5EF4-FFF2-40B4-BE49-F238E27FC236}">
                <a16:creationId xmlns:a16="http://schemas.microsoft.com/office/drawing/2014/main" id="{00000000-0008-0000-0700-000004000000}"/>
              </a:ext>
            </a:extLst>
          </xdr:cNvPr>
          <xdr:cNvSpPr/>
        </xdr:nvSpPr>
        <xdr:spPr>
          <a:xfrm>
            <a:off x="3952875" y="2409825"/>
            <a:ext cx="152400" cy="152400"/>
          </a:xfrm>
          <a:prstGeom prst="ellipse">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8</xdr:col>
      <xdr:colOff>0</xdr:colOff>
      <xdr:row>20</xdr:row>
      <xdr:rowOff>9525</xdr:rowOff>
    </xdr:from>
    <xdr:to>
      <xdr:col>8</xdr:col>
      <xdr:colOff>247650</xdr:colOff>
      <xdr:row>21</xdr:row>
      <xdr:rowOff>19050</xdr:rowOff>
    </xdr:to>
    <xdr:grpSp>
      <xdr:nvGrpSpPr>
        <xdr:cNvPr id="5" name="5 Grupo">
          <a:extLst>
            <a:ext uri="{FF2B5EF4-FFF2-40B4-BE49-F238E27FC236}">
              <a16:creationId xmlns:a16="http://schemas.microsoft.com/office/drawing/2014/main" id="{00000000-0008-0000-0700-000005000000}"/>
            </a:ext>
          </a:extLst>
        </xdr:cNvPr>
        <xdr:cNvGrpSpPr/>
      </xdr:nvGrpSpPr>
      <xdr:grpSpPr>
        <a:xfrm>
          <a:off x="2705100" y="3817620"/>
          <a:ext cx="251460" cy="205740"/>
          <a:chOff x="3905250" y="2409825"/>
          <a:chExt cx="257175" cy="200025"/>
        </a:xfrm>
      </xdr:grpSpPr>
      <xdr:sp macro="" textlink="">
        <xdr:nvSpPr>
          <xdr:cNvPr id="6" name="6 CuadroTexto">
            <a:extLst>
              <a:ext uri="{FF2B5EF4-FFF2-40B4-BE49-F238E27FC236}">
                <a16:creationId xmlns:a16="http://schemas.microsoft.com/office/drawing/2014/main" id="{00000000-0008-0000-0700-000006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B050"/>
                </a:solidFill>
                <a:sym typeface="Wingdings"/>
              </a:rPr>
              <a:t> </a:t>
            </a:r>
            <a:endParaRPr lang="es-AR" sz="1100" b="1">
              <a:solidFill>
                <a:srgbClr val="00B050"/>
              </a:solidFill>
            </a:endParaRPr>
          </a:p>
        </xdr:txBody>
      </xdr:sp>
      <xdr:sp macro="" textlink="">
        <xdr:nvSpPr>
          <xdr:cNvPr id="7" name="7 Elipse">
            <a:extLst>
              <a:ext uri="{FF2B5EF4-FFF2-40B4-BE49-F238E27FC236}">
                <a16:creationId xmlns:a16="http://schemas.microsoft.com/office/drawing/2014/main" id="{00000000-0008-0000-0700-000007000000}"/>
              </a:ext>
            </a:extLst>
          </xdr:cNvPr>
          <xdr:cNvSpPr/>
        </xdr:nvSpPr>
        <xdr:spPr>
          <a:xfrm>
            <a:off x="3952875" y="2409825"/>
            <a:ext cx="152400" cy="152400"/>
          </a:xfrm>
          <a:prstGeom prst="ellipse">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8</xdr:col>
      <xdr:colOff>0</xdr:colOff>
      <xdr:row>21</xdr:row>
      <xdr:rowOff>9525</xdr:rowOff>
    </xdr:from>
    <xdr:to>
      <xdr:col>8</xdr:col>
      <xdr:colOff>247650</xdr:colOff>
      <xdr:row>22</xdr:row>
      <xdr:rowOff>19050</xdr:rowOff>
    </xdr:to>
    <xdr:grpSp>
      <xdr:nvGrpSpPr>
        <xdr:cNvPr id="8" name="8 Grupo">
          <a:extLst>
            <a:ext uri="{FF2B5EF4-FFF2-40B4-BE49-F238E27FC236}">
              <a16:creationId xmlns:a16="http://schemas.microsoft.com/office/drawing/2014/main" id="{00000000-0008-0000-0700-000008000000}"/>
            </a:ext>
          </a:extLst>
        </xdr:cNvPr>
        <xdr:cNvGrpSpPr/>
      </xdr:nvGrpSpPr>
      <xdr:grpSpPr>
        <a:xfrm>
          <a:off x="2705100" y="4008120"/>
          <a:ext cx="251460" cy="205740"/>
          <a:chOff x="3905250" y="2409825"/>
          <a:chExt cx="257175" cy="200025"/>
        </a:xfrm>
      </xdr:grpSpPr>
      <xdr:sp macro="" textlink="">
        <xdr:nvSpPr>
          <xdr:cNvPr id="9" name="9 CuadroTexto">
            <a:extLst>
              <a:ext uri="{FF2B5EF4-FFF2-40B4-BE49-F238E27FC236}">
                <a16:creationId xmlns:a16="http://schemas.microsoft.com/office/drawing/2014/main" id="{00000000-0008-0000-0700-000009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00FF"/>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0" name="10 Elipse">
            <a:extLst>
              <a:ext uri="{FF2B5EF4-FFF2-40B4-BE49-F238E27FC236}">
                <a16:creationId xmlns:a16="http://schemas.microsoft.com/office/drawing/2014/main" id="{00000000-0008-0000-0700-00000A000000}"/>
              </a:ext>
            </a:extLst>
          </xdr:cNvPr>
          <xdr:cNvSpPr/>
        </xdr:nvSpPr>
        <xdr:spPr>
          <a:xfrm>
            <a:off x="3952875" y="2409825"/>
            <a:ext cx="152400" cy="152400"/>
          </a:xfrm>
          <a:prstGeom prst="ellipse">
            <a:avLst/>
          </a:prstGeom>
          <a:noFill/>
          <a:ln w="952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14</xdr:col>
      <xdr:colOff>361950</xdr:colOff>
      <xdr:row>20</xdr:row>
      <xdr:rowOff>9525</xdr:rowOff>
    </xdr:from>
    <xdr:to>
      <xdr:col>15</xdr:col>
      <xdr:colOff>238125</xdr:colOff>
      <xdr:row>21</xdr:row>
      <xdr:rowOff>19050</xdr:rowOff>
    </xdr:to>
    <xdr:grpSp>
      <xdr:nvGrpSpPr>
        <xdr:cNvPr id="11" name="11 Grupo">
          <a:extLst>
            <a:ext uri="{FF2B5EF4-FFF2-40B4-BE49-F238E27FC236}">
              <a16:creationId xmlns:a16="http://schemas.microsoft.com/office/drawing/2014/main" id="{00000000-0008-0000-0700-00000B000000}"/>
            </a:ext>
          </a:extLst>
        </xdr:cNvPr>
        <xdr:cNvGrpSpPr/>
      </xdr:nvGrpSpPr>
      <xdr:grpSpPr>
        <a:xfrm>
          <a:off x="5341620" y="3817620"/>
          <a:ext cx="243840" cy="205740"/>
          <a:chOff x="3905250" y="2409825"/>
          <a:chExt cx="257175" cy="200025"/>
        </a:xfrm>
      </xdr:grpSpPr>
      <xdr:sp macro="" textlink="">
        <xdr:nvSpPr>
          <xdr:cNvPr id="12" name="12 CuadroTexto">
            <a:extLst>
              <a:ext uri="{FF2B5EF4-FFF2-40B4-BE49-F238E27FC236}">
                <a16:creationId xmlns:a16="http://schemas.microsoft.com/office/drawing/2014/main" id="{00000000-0008-0000-0700-00000C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00FF"/>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3" name="13 Elipse">
            <a:extLst>
              <a:ext uri="{FF2B5EF4-FFF2-40B4-BE49-F238E27FC236}">
                <a16:creationId xmlns:a16="http://schemas.microsoft.com/office/drawing/2014/main" id="{00000000-0008-0000-0700-00000D000000}"/>
              </a:ext>
            </a:extLst>
          </xdr:cNvPr>
          <xdr:cNvSpPr/>
        </xdr:nvSpPr>
        <xdr:spPr>
          <a:xfrm>
            <a:off x="3952875" y="2409825"/>
            <a:ext cx="152400" cy="152400"/>
          </a:xfrm>
          <a:prstGeom prst="ellipse">
            <a:avLst/>
          </a:prstGeom>
          <a:noFill/>
          <a:ln w="952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6</xdr:col>
      <xdr:colOff>371475</xdr:colOff>
      <xdr:row>19</xdr:row>
      <xdr:rowOff>28575</xdr:rowOff>
    </xdr:from>
    <xdr:to>
      <xdr:col>7</xdr:col>
      <xdr:colOff>238125</xdr:colOff>
      <xdr:row>20</xdr:row>
      <xdr:rowOff>38100</xdr:rowOff>
    </xdr:to>
    <xdr:grpSp>
      <xdr:nvGrpSpPr>
        <xdr:cNvPr id="14" name="14 Grupo">
          <a:extLst>
            <a:ext uri="{FF2B5EF4-FFF2-40B4-BE49-F238E27FC236}">
              <a16:creationId xmlns:a16="http://schemas.microsoft.com/office/drawing/2014/main" id="{00000000-0008-0000-0700-00000E000000}"/>
            </a:ext>
          </a:extLst>
        </xdr:cNvPr>
        <xdr:cNvGrpSpPr/>
      </xdr:nvGrpSpPr>
      <xdr:grpSpPr>
        <a:xfrm>
          <a:off x="2316480" y="3649980"/>
          <a:ext cx="243840" cy="198120"/>
          <a:chOff x="3905250" y="2409825"/>
          <a:chExt cx="257175" cy="200025"/>
        </a:xfrm>
      </xdr:grpSpPr>
      <xdr:sp macro="" textlink="">
        <xdr:nvSpPr>
          <xdr:cNvPr id="15" name="15 CuadroTexto">
            <a:extLst>
              <a:ext uri="{FF2B5EF4-FFF2-40B4-BE49-F238E27FC236}">
                <a16:creationId xmlns:a16="http://schemas.microsoft.com/office/drawing/2014/main" id="{00000000-0008-0000-0700-00000F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6" name="16 Elipse">
            <a:extLst>
              <a:ext uri="{FF2B5EF4-FFF2-40B4-BE49-F238E27FC236}">
                <a16:creationId xmlns:a16="http://schemas.microsoft.com/office/drawing/2014/main" id="{00000000-0008-0000-0700-000010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15</xdr:col>
      <xdr:colOff>66675</xdr:colOff>
      <xdr:row>21</xdr:row>
      <xdr:rowOff>161925</xdr:rowOff>
    </xdr:from>
    <xdr:to>
      <xdr:col>15</xdr:col>
      <xdr:colOff>323850</xdr:colOff>
      <xdr:row>22</xdr:row>
      <xdr:rowOff>171450</xdr:rowOff>
    </xdr:to>
    <xdr:grpSp>
      <xdr:nvGrpSpPr>
        <xdr:cNvPr id="17" name="17 Grupo">
          <a:extLst>
            <a:ext uri="{FF2B5EF4-FFF2-40B4-BE49-F238E27FC236}">
              <a16:creationId xmlns:a16="http://schemas.microsoft.com/office/drawing/2014/main" id="{00000000-0008-0000-0700-000011000000}"/>
            </a:ext>
          </a:extLst>
        </xdr:cNvPr>
        <xdr:cNvGrpSpPr/>
      </xdr:nvGrpSpPr>
      <xdr:grpSpPr>
        <a:xfrm>
          <a:off x="5417820" y="4160520"/>
          <a:ext cx="259080" cy="205740"/>
          <a:chOff x="3905250" y="2409825"/>
          <a:chExt cx="257175" cy="200025"/>
        </a:xfrm>
      </xdr:grpSpPr>
      <xdr:sp macro="" textlink="">
        <xdr:nvSpPr>
          <xdr:cNvPr id="18" name="18 CuadroTexto">
            <a:extLst>
              <a:ext uri="{FF2B5EF4-FFF2-40B4-BE49-F238E27FC236}">
                <a16:creationId xmlns:a16="http://schemas.microsoft.com/office/drawing/2014/main" id="{00000000-0008-0000-0700-000012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9" name="19 Elipse">
            <a:extLst>
              <a:ext uri="{FF2B5EF4-FFF2-40B4-BE49-F238E27FC236}">
                <a16:creationId xmlns:a16="http://schemas.microsoft.com/office/drawing/2014/main" id="{00000000-0008-0000-0700-000013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14</xdr:col>
      <xdr:colOff>361950</xdr:colOff>
      <xdr:row>28</xdr:row>
      <xdr:rowOff>19050</xdr:rowOff>
    </xdr:from>
    <xdr:to>
      <xdr:col>15</xdr:col>
      <xdr:colOff>238125</xdr:colOff>
      <xdr:row>29</xdr:row>
      <xdr:rowOff>28575</xdr:rowOff>
    </xdr:to>
    <xdr:grpSp>
      <xdr:nvGrpSpPr>
        <xdr:cNvPr id="20" name="20 Grupo">
          <a:extLst>
            <a:ext uri="{FF2B5EF4-FFF2-40B4-BE49-F238E27FC236}">
              <a16:creationId xmlns:a16="http://schemas.microsoft.com/office/drawing/2014/main" id="{00000000-0008-0000-0700-000014000000}"/>
            </a:ext>
          </a:extLst>
        </xdr:cNvPr>
        <xdr:cNvGrpSpPr/>
      </xdr:nvGrpSpPr>
      <xdr:grpSpPr>
        <a:xfrm>
          <a:off x="5341620" y="5356860"/>
          <a:ext cx="243840" cy="198120"/>
          <a:chOff x="3905250" y="2409825"/>
          <a:chExt cx="257175" cy="200025"/>
        </a:xfrm>
      </xdr:grpSpPr>
      <xdr:sp macro="" textlink="">
        <xdr:nvSpPr>
          <xdr:cNvPr id="21" name="21 CuadroTexto">
            <a:extLst>
              <a:ext uri="{FF2B5EF4-FFF2-40B4-BE49-F238E27FC236}">
                <a16:creationId xmlns:a16="http://schemas.microsoft.com/office/drawing/2014/main" id="{00000000-0008-0000-0700-000015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2" name="22 Elipse">
            <a:extLst>
              <a:ext uri="{FF2B5EF4-FFF2-40B4-BE49-F238E27FC236}">
                <a16:creationId xmlns:a16="http://schemas.microsoft.com/office/drawing/2014/main" id="{00000000-0008-0000-0700-000016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8</xdr:col>
      <xdr:colOff>0</xdr:colOff>
      <xdr:row>29</xdr:row>
      <xdr:rowOff>19050</xdr:rowOff>
    </xdr:from>
    <xdr:to>
      <xdr:col>8</xdr:col>
      <xdr:colOff>247650</xdr:colOff>
      <xdr:row>30</xdr:row>
      <xdr:rowOff>28575</xdr:rowOff>
    </xdr:to>
    <xdr:grpSp>
      <xdr:nvGrpSpPr>
        <xdr:cNvPr id="23" name="23 Grupo">
          <a:extLst>
            <a:ext uri="{FF2B5EF4-FFF2-40B4-BE49-F238E27FC236}">
              <a16:creationId xmlns:a16="http://schemas.microsoft.com/office/drawing/2014/main" id="{00000000-0008-0000-0700-000017000000}"/>
            </a:ext>
          </a:extLst>
        </xdr:cNvPr>
        <xdr:cNvGrpSpPr/>
      </xdr:nvGrpSpPr>
      <xdr:grpSpPr>
        <a:xfrm>
          <a:off x="2705100" y="5547360"/>
          <a:ext cx="251460" cy="198120"/>
          <a:chOff x="3905250" y="2409825"/>
          <a:chExt cx="257175" cy="200025"/>
        </a:xfrm>
      </xdr:grpSpPr>
      <xdr:sp macro="" textlink="">
        <xdr:nvSpPr>
          <xdr:cNvPr id="24" name="24 CuadroTexto">
            <a:extLst>
              <a:ext uri="{FF2B5EF4-FFF2-40B4-BE49-F238E27FC236}">
                <a16:creationId xmlns:a16="http://schemas.microsoft.com/office/drawing/2014/main" id="{00000000-0008-0000-0700-000018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5" name="25 Elipse">
            <a:extLst>
              <a:ext uri="{FF2B5EF4-FFF2-40B4-BE49-F238E27FC236}">
                <a16:creationId xmlns:a16="http://schemas.microsoft.com/office/drawing/2014/main" id="{00000000-0008-0000-0700-000019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6</xdr:col>
      <xdr:colOff>371475</xdr:colOff>
      <xdr:row>28</xdr:row>
      <xdr:rowOff>19050</xdr:rowOff>
    </xdr:from>
    <xdr:to>
      <xdr:col>7</xdr:col>
      <xdr:colOff>238125</xdr:colOff>
      <xdr:row>29</xdr:row>
      <xdr:rowOff>28575</xdr:rowOff>
    </xdr:to>
    <xdr:grpSp>
      <xdr:nvGrpSpPr>
        <xdr:cNvPr id="26" name="26 Grupo">
          <a:extLst>
            <a:ext uri="{FF2B5EF4-FFF2-40B4-BE49-F238E27FC236}">
              <a16:creationId xmlns:a16="http://schemas.microsoft.com/office/drawing/2014/main" id="{00000000-0008-0000-0700-00001A000000}"/>
            </a:ext>
          </a:extLst>
        </xdr:cNvPr>
        <xdr:cNvGrpSpPr/>
      </xdr:nvGrpSpPr>
      <xdr:grpSpPr>
        <a:xfrm>
          <a:off x="2316480" y="5356860"/>
          <a:ext cx="243840" cy="198120"/>
          <a:chOff x="3905250" y="2409825"/>
          <a:chExt cx="257175" cy="200025"/>
        </a:xfrm>
      </xdr:grpSpPr>
      <xdr:sp macro="" textlink="">
        <xdr:nvSpPr>
          <xdr:cNvPr id="27" name="27 CuadroTexto">
            <a:extLst>
              <a:ext uri="{FF2B5EF4-FFF2-40B4-BE49-F238E27FC236}">
                <a16:creationId xmlns:a16="http://schemas.microsoft.com/office/drawing/2014/main" id="{00000000-0008-0000-0700-00001B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9933"/>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8" name="28 Elipse">
            <a:extLst>
              <a:ext uri="{FF2B5EF4-FFF2-40B4-BE49-F238E27FC236}">
                <a16:creationId xmlns:a16="http://schemas.microsoft.com/office/drawing/2014/main" id="{00000000-0008-0000-0700-00001C000000}"/>
              </a:ext>
            </a:extLst>
          </xdr:cNvPr>
          <xdr:cNvSpPr/>
        </xdr:nvSpPr>
        <xdr:spPr>
          <a:xfrm>
            <a:off x="3952875" y="2409825"/>
            <a:ext cx="152400" cy="152400"/>
          </a:xfrm>
          <a:prstGeom prst="ellipse">
            <a:avLst/>
          </a:prstGeom>
          <a:noFill/>
          <a:ln w="9525">
            <a:solidFill>
              <a:srgbClr val="FF99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15</xdr:col>
      <xdr:colOff>57150</xdr:colOff>
      <xdr:row>29</xdr:row>
      <xdr:rowOff>152400</xdr:rowOff>
    </xdr:from>
    <xdr:to>
      <xdr:col>15</xdr:col>
      <xdr:colOff>314325</xdr:colOff>
      <xdr:row>30</xdr:row>
      <xdr:rowOff>161925</xdr:rowOff>
    </xdr:to>
    <xdr:grpSp>
      <xdr:nvGrpSpPr>
        <xdr:cNvPr id="29" name="29 Grupo">
          <a:extLst>
            <a:ext uri="{FF2B5EF4-FFF2-40B4-BE49-F238E27FC236}">
              <a16:creationId xmlns:a16="http://schemas.microsoft.com/office/drawing/2014/main" id="{00000000-0008-0000-0700-00001D000000}"/>
            </a:ext>
          </a:extLst>
        </xdr:cNvPr>
        <xdr:cNvGrpSpPr/>
      </xdr:nvGrpSpPr>
      <xdr:grpSpPr>
        <a:xfrm>
          <a:off x="5410200" y="5676900"/>
          <a:ext cx="251460" cy="198120"/>
          <a:chOff x="3905250" y="2409825"/>
          <a:chExt cx="257175" cy="200025"/>
        </a:xfrm>
      </xdr:grpSpPr>
      <xdr:sp macro="" textlink="">
        <xdr:nvSpPr>
          <xdr:cNvPr id="30" name="30 CuadroTexto">
            <a:extLst>
              <a:ext uri="{FF2B5EF4-FFF2-40B4-BE49-F238E27FC236}">
                <a16:creationId xmlns:a16="http://schemas.microsoft.com/office/drawing/2014/main" id="{00000000-0008-0000-0700-00001E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9933"/>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31" name="31 Elipse">
            <a:extLst>
              <a:ext uri="{FF2B5EF4-FFF2-40B4-BE49-F238E27FC236}">
                <a16:creationId xmlns:a16="http://schemas.microsoft.com/office/drawing/2014/main" id="{00000000-0008-0000-0700-00001F000000}"/>
              </a:ext>
            </a:extLst>
          </xdr:cNvPr>
          <xdr:cNvSpPr/>
        </xdr:nvSpPr>
        <xdr:spPr>
          <a:xfrm>
            <a:off x="3952875" y="2409825"/>
            <a:ext cx="152400" cy="152400"/>
          </a:xfrm>
          <a:prstGeom prst="ellipse">
            <a:avLst/>
          </a:prstGeom>
          <a:noFill/>
          <a:ln w="9525">
            <a:solidFill>
              <a:srgbClr val="FF99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12</xdr:col>
      <xdr:colOff>38100</xdr:colOff>
      <xdr:row>307</xdr:row>
      <xdr:rowOff>9525</xdr:rowOff>
    </xdr:from>
    <xdr:to>
      <xdr:col>12</xdr:col>
      <xdr:colOff>180975</xdr:colOff>
      <xdr:row>308</xdr:row>
      <xdr:rowOff>171450</xdr:rowOff>
    </xdr:to>
    <xdr:sp macro="" textlink="">
      <xdr:nvSpPr>
        <xdr:cNvPr id="32" name="32 Cerrar llave">
          <a:extLst>
            <a:ext uri="{FF2B5EF4-FFF2-40B4-BE49-F238E27FC236}">
              <a16:creationId xmlns:a16="http://schemas.microsoft.com/office/drawing/2014/main" id="{00000000-0008-0000-0700-000020000000}"/>
            </a:ext>
          </a:extLst>
        </xdr:cNvPr>
        <xdr:cNvSpPr/>
      </xdr:nvSpPr>
      <xdr:spPr>
        <a:xfrm>
          <a:off x="7810500" y="58493025"/>
          <a:ext cx="142875" cy="352425"/>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12</xdr:col>
      <xdr:colOff>128587</xdr:colOff>
      <xdr:row>306</xdr:row>
      <xdr:rowOff>23814</xdr:rowOff>
    </xdr:from>
    <xdr:to>
      <xdr:col>13</xdr:col>
      <xdr:colOff>123824</xdr:colOff>
      <xdr:row>308</xdr:row>
      <xdr:rowOff>95253</xdr:rowOff>
    </xdr:to>
    <xdr:sp macro="" textlink="">
      <xdr:nvSpPr>
        <xdr:cNvPr id="33" name="35 Flecha en U">
          <a:extLst>
            <a:ext uri="{FF2B5EF4-FFF2-40B4-BE49-F238E27FC236}">
              <a16:creationId xmlns:a16="http://schemas.microsoft.com/office/drawing/2014/main" id="{00000000-0008-0000-0700-000021000000}"/>
            </a:ext>
          </a:extLst>
        </xdr:cNvPr>
        <xdr:cNvSpPr/>
      </xdr:nvSpPr>
      <xdr:spPr>
        <a:xfrm rot="5400000">
          <a:off x="7996236" y="58221565"/>
          <a:ext cx="452439" cy="642937"/>
        </a:xfrm>
        <a:prstGeom prst="uturnArrow">
          <a:avLst>
            <a:gd name="adj1" fmla="val 10127"/>
            <a:gd name="adj2" fmla="val 19937"/>
            <a:gd name="adj3" fmla="val 22468"/>
            <a:gd name="adj4" fmla="val 41218"/>
            <a:gd name="adj5" fmla="val 7500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15</xdr:col>
      <xdr:colOff>0</xdr:colOff>
      <xdr:row>446</xdr:row>
      <xdr:rowOff>57079</xdr:rowOff>
    </xdr:from>
    <xdr:to>
      <xdr:col>15</xdr:col>
      <xdr:colOff>185506</xdr:colOff>
      <xdr:row>448</xdr:row>
      <xdr:rowOff>57078</xdr:rowOff>
    </xdr:to>
    <xdr:sp macro="" textlink="">
      <xdr:nvSpPr>
        <xdr:cNvPr id="34" name="Flecha curvada hacia la izquierda 1">
          <a:extLst>
            <a:ext uri="{FF2B5EF4-FFF2-40B4-BE49-F238E27FC236}">
              <a16:creationId xmlns:a16="http://schemas.microsoft.com/office/drawing/2014/main" id="{00000000-0008-0000-0700-000022000000}"/>
            </a:ext>
          </a:extLst>
        </xdr:cNvPr>
        <xdr:cNvSpPr/>
      </xdr:nvSpPr>
      <xdr:spPr>
        <a:xfrm>
          <a:off x="9715500" y="85020079"/>
          <a:ext cx="185506" cy="380999"/>
        </a:xfrm>
        <a:prstGeom prst="curvedLeftArrow">
          <a:avLst>
            <a:gd name="adj1" fmla="val 37701"/>
            <a:gd name="adj2" fmla="val 58929"/>
            <a:gd name="adj3" fmla="val 25000"/>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solidFill>
              <a:schemeClr val="tx1"/>
            </a:solidFill>
            <a:latin typeface="+mn-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171450</xdr:colOff>
      <xdr:row>23</xdr:row>
      <xdr:rowOff>123825</xdr:rowOff>
    </xdr:from>
    <xdr:to>
      <xdr:col>14</xdr:col>
      <xdr:colOff>47625</xdr:colOff>
      <xdr:row>24</xdr:row>
      <xdr:rowOff>133350</xdr:rowOff>
    </xdr:to>
    <xdr:grpSp>
      <xdr:nvGrpSpPr>
        <xdr:cNvPr id="2" name="1 Grupo">
          <a:extLst>
            <a:ext uri="{FF2B5EF4-FFF2-40B4-BE49-F238E27FC236}">
              <a16:creationId xmlns:a16="http://schemas.microsoft.com/office/drawing/2014/main" id="{00000000-0008-0000-0800-000002000000}"/>
            </a:ext>
          </a:extLst>
        </xdr:cNvPr>
        <xdr:cNvGrpSpPr/>
      </xdr:nvGrpSpPr>
      <xdr:grpSpPr>
        <a:xfrm>
          <a:off x="4701540" y="4511040"/>
          <a:ext cx="243840" cy="205740"/>
          <a:chOff x="3905250" y="2409825"/>
          <a:chExt cx="257175" cy="200025"/>
        </a:xfrm>
      </xdr:grpSpPr>
      <xdr:sp macro="" textlink="">
        <xdr:nvSpPr>
          <xdr:cNvPr id="3" name="2 CuadroTexto">
            <a:extLst>
              <a:ext uri="{FF2B5EF4-FFF2-40B4-BE49-F238E27FC236}">
                <a16:creationId xmlns:a16="http://schemas.microsoft.com/office/drawing/2014/main" id="{00000000-0008-0000-0800-000003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B050"/>
                </a:solidFill>
                <a:sym typeface="Wingdings"/>
              </a:rPr>
              <a:t> </a:t>
            </a:r>
            <a:endParaRPr lang="es-AR" sz="1100" b="1">
              <a:solidFill>
                <a:srgbClr val="00B050"/>
              </a:solidFill>
            </a:endParaRPr>
          </a:p>
        </xdr:txBody>
      </xdr:sp>
      <xdr:sp macro="" textlink="">
        <xdr:nvSpPr>
          <xdr:cNvPr id="4" name="3 Elipse">
            <a:extLst>
              <a:ext uri="{FF2B5EF4-FFF2-40B4-BE49-F238E27FC236}">
                <a16:creationId xmlns:a16="http://schemas.microsoft.com/office/drawing/2014/main" id="{00000000-0008-0000-0800-000004000000}"/>
              </a:ext>
            </a:extLst>
          </xdr:cNvPr>
          <xdr:cNvSpPr/>
        </xdr:nvSpPr>
        <xdr:spPr>
          <a:xfrm>
            <a:off x="3952875" y="2409825"/>
            <a:ext cx="152400" cy="152400"/>
          </a:xfrm>
          <a:prstGeom prst="ellipse">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4</xdr:col>
      <xdr:colOff>266700</xdr:colOff>
      <xdr:row>21</xdr:row>
      <xdr:rowOff>161925</xdr:rowOff>
    </xdr:from>
    <xdr:to>
      <xdr:col>5</xdr:col>
      <xdr:colOff>133350</xdr:colOff>
      <xdr:row>22</xdr:row>
      <xdr:rowOff>171450</xdr:rowOff>
    </xdr:to>
    <xdr:grpSp>
      <xdr:nvGrpSpPr>
        <xdr:cNvPr id="5" name="4 Grupo">
          <a:extLst>
            <a:ext uri="{FF2B5EF4-FFF2-40B4-BE49-F238E27FC236}">
              <a16:creationId xmlns:a16="http://schemas.microsoft.com/office/drawing/2014/main" id="{00000000-0008-0000-0800-000005000000}"/>
            </a:ext>
          </a:extLst>
        </xdr:cNvPr>
        <xdr:cNvGrpSpPr/>
      </xdr:nvGrpSpPr>
      <xdr:grpSpPr>
        <a:xfrm>
          <a:off x="1432560" y="4168140"/>
          <a:ext cx="243840" cy="205740"/>
          <a:chOff x="3905250" y="2409825"/>
          <a:chExt cx="257175" cy="200025"/>
        </a:xfrm>
      </xdr:grpSpPr>
      <xdr:sp macro="" textlink="">
        <xdr:nvSpPr>
          <xdr:cNvPr id="6" name="5 CuadroTexto">
            <a:extLst>
              <a:ext uri="{FF2B5EF4-FFF2-40B4-BE49-F238E27FC236}">
                <a16:creationId xmlns:a16="http://schemas.microsoft.com/office/drawing/2014/main" id="{00000000-0008-0000-0800-000006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B050"/>
                </a:solidFill>
                <a:sym typeface="Wingdings"/>
              </a:rPr>
              <a:t> </a:t>
            </a:r>
            <a:endParaRPr lang="es-AR" sz="1100" b="1">
              <a:solidFill>
                <a:srgbClr val="00B050"/>
              </a:solidFill>
            </a:endParaRPr>
          </a:p>
        </xdr:txBody>
      </xdr:sp>
      <xdr:sp macro="" textlink="">
        <xdr:nvSpPr>
          <xdr:cNvPr id="7" name="6 Elipse">
            <a:extLst>
              <a:ext uri="{FF2B5EF4-FFF2-40B4-BE49-F238E27FC236}">
                <a16:creationId xmlns:a16="http://schemas.microsoft.com/office/drawing/2014/main" id="{00000000-0008-0000-0800-000007000000}"/>
              </a:ext>
            </a:extLst>
          </xdr:cNvPr>
          <xdr:cNvSpPr/>
        </xdr:nvSpPr>
        <xdr:spPr>
          <a:xfrm>
            <a:off x="3952875" y="2409825"/>
            <a:ext cx="152400" cy="152400"/>
          </a:xfrm>
          <a:prstGeom prst="ellipse">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6</xdr:col>
      <xdr:colOff>371474</xdr:colOff>
      <xdr:row>11</xdr:row>
      <xdr:rowOff>28576</xdr:rowOff>
    </xdr:from>
    <xdr:to>
      <xdr:col>7</xdr:col>
      <xdr:colOff>276225</xdr:colOff>
      <xdr:row>12</xdr:row>
      <xdr:rowOff>58511</xdr:rowOff>
    </xdr:to>
    <xdr:grpSp>
      <xdr:nvGrpSpPr>
        <xdr:cNvPr id="8" name="13 Grupo">
          <a:extLst>
            <a:ext uri="{FF2B5EF4-FFF2-40B4-BE49-F238E27FC236}">
              <a16:creationId xmlns:a16="http://schemas.microsoft.com/office/drawing/2014/main" id="{00000000-0008-0000-0800-000008000000}"/>
            </a:ext>
          </a:extLst>
        </xdr:cNvPr>
        <xdr:cNvGrpSpPr/>
      </xdr:nvGrpSpPr>
      <xdr:grpSpPr>
        <a:xfrm>
          <a:off x="2285999" y="2133601"/>
          <a:ext cx="274321" cy="222340"/>
          <a:chOff x="3905250" y="2409825"/>
          <a:chExt cx="257175" cy="200025"/>
        </a:xfrm>
      </xdr:grpSpPr>
      <xdr:sp macro="" textlink="">
        <xdr:nvSpPr>
          <xdr:cNvPr id="9" name="14 CuadroTexto">
            <a:extLst>
              <a:ext uri="{FF2B5EF4-FFF2-40B4-BE49-F238E27FC236}">
                <a16:creationId xmlns:a16="http://schemas.microsoft.com/office/drawing/2014/main" id="{00000000-0008-0000-0800-000009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0" name="15 Elipse">
            <a:extLst>
              <a:ext uri="{FF2B5EF4-FFF2-40B4-BE49-F238E27FC236}">
                <a16:creationId xmlns:a16="http://schemas.microsoft.com/office/drawing/2014/main" id="{00000000-0008-0000-0800-00000A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b="1"/>
          </a:p>
        </xdr:txBody>
      </xdr:sp>
    </xdr:grpSp>
    <xdr:clientData/>
  </xdr:twoCellAnchor>
  <xdr:twoCellAnchor>
    <xdr:from>
      <xdr:col>8</xdr:col>
      <xdr:colOff>0</xdr:colOff>
      <xdr:row>36</xdr:row>
      <xdr:rowOff>28575</xdr:rowOff>
    </xdr:from>
    <xdr:to>
      <xdr:col>8</xdr:col>
      <xdr:colOff>238125</xdr:colOff>
      <xdr:row>37</xdr:row>
      <xdr:rowOff>38100</xdr:rowOff>
    </xdr:to>
    <xdr:grpSp>
      <xdr:nvGrpSpPr>
        <xdr:cNvPr id="11" name="28 Grupo">
          <a:extLst>
            <a:ext uri="{FF2B5EF4-FFF2-40B4-BE49-F238E27FC236}">
              <a16:creationId xmlns:a16="http://schemas.microsoft.com/office/drawing/2014/main" id="{00000000-0008-0000-0800-00000B000000}"/>
            </a:ext>
          </a:extLst>
        </xdr:cNvPr>
        <xdr:cNvGrpSpPr/>
      </xdr:nvGrpSpPr>
      <xdr:grpSpPr>
        <a:xfrm>
          <a:off x="2659380" y="6896100"/>
          <a:ext cx="236220" cy="198120"/>
          <a:chOff x="3905250" y="2409825"/>
          <a:chExt cx="257175" cy="200025"/>
        </a:xfrm>
      </xdr:grpSpPr>
      <xdr:sp macro="" textlink="">
        <xdr:nvSpPr>
          <xdr:cNvPr id="12" name="29 CuadroTexto">
            <a:extLst>
              <a:ext uri="{FF2B5EF4-FFF2-40B4-BE49-F238E27FC236}">
                <a16:creationId xmlns:a16="http://schemas.microsoft.com/office/drawing/2014/main" id="{00000000-0008-0000-0800-00000C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9933"/>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3" name="30 Elipse">
            <a:extLst>
              <a:ext uri="{FF2B5EF4-FFF2-40B4-BE49-F238E27FC236}">
                <a16:creationId xmlns:a16="http://schemas.microsoft.com/office/drawing/2014/main" id="{00000000-0008-0000-0800-00000D000000}"/>
              </a:ext>
            </a:extLst>
          </xdr:cNvPr>
          <xdr:cNvSpPr/>
        </xdr:nvSpPr>
        <xdr:spPr>
          <a:xfrm>
            <a:off x="3952875" y="2409825"/>
            <a:ext cx="152400" cy="152400"/>
          </a:xfrm>
          <a:prstGeom prst="ellipse">
            <a:avLst/>
          </a:prstGeom>
          <a:noFill/>
          <a:ln w="9525">
            <a:solidFill>
              <a:srgbClr val="FF99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7</xdr:col>
      <xdr:colOff>314325</xdr:colOff>
      <xdr:row>13</xdr:row>
      <xdr:rowOff>95250</xdr:rowOff>
    </xdr:from>
    <xdr:to>
      <xdr:col>8</xdr:col>
      <xdr:colOff>180975</xdr:colOff>
      <xdr:row>14</xdr:row>
      <xdr:rowOff>104775</xdr:rowOff>
    </xdr:to>
    <xdr:grpSp>
      <xdr:nvGrpSpPr>
        <xdr:cNvPr id="14" name="34 Grupo">
          <a:extLst>
            <a:ext uri="{FF2B5EF4-FFF2-40B4-BE49-F238E27FC236}">
              <a16:creationId xmlns:a16="http://schemas.microsoft.com/office/drawing/2014/main" id="{00000000-0008-0000-0800-00000E000000}"/>
            </a:ext>
          </a:extLst>
        </xdr:cNvPr>
        <xdr:cNvGrpSpPr/>
      </xdr:nvGrpSpPr>
      <xdr:grpSpPr>
        <a:xfrm>
          <a:off x="2598420" y="2583180"/>
          <a:ext cx="243840" cy="198120"/>
          <a:chOff x="3905250" y="2409825"/>
          <a:chExt cx="257175" cy="200025"/>
        </a:xfrm>
      </xdr:grpSpPr>
      <xdr:sp macro="" textlink="">
        <xdr:nvSpPr>
          <xdr:cNvPr id="15" name="35 CuadroTexto">
            <a:extLst>
              <a:ext uri="{FF2B5EF4-FFF2-40B4-BE49-F238E27FC236}">
                <a16:creationId xmlns:a16="http://schemas.microsoft.com/office/drawing/2014/main" id="{00000000-0008-0000-0800-00000F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00FF"/>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16" name="36 Elipse">
            <a:extLst>
              <a:ext uri="{FF2B5EF4-FFF2-40B4-BE49-F238E27FC236}">
                <a16:creationId xmlns:a16="http://schemas.microsoft.com/office/drawing/2014/main" id="{00000000-0008-0000-0800-000010000000}"/>
              </a:ext>
            </a:extLst>
          </xdr:cNvPr>
          <xdr:cNvSpPr/>
        </xdr:nvSpPr>
        <xdr:spPr>
          <a:xfrm>
            <a:off x="3952875" y="2409825"/>
            <a:ext cx="152400" cy="152400"/>
          </a:xfrm>
          <a:prstGeom prst="ellipse">
            <a:avLst/>
          </a:prstGeom>
          <a:noFill/>
          <a:ln w="952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5</xdr:col>
      <xdr:colOff>85725</xdr:colOff>
      <xdr:row>26</xdr:row>
      <xdr:rowOff>66675</xdr:rowOff>
    </xdr:from>
    <xdr:to>
      <xdr:col>5</xdr:col>
      <xdr:colOff>342900</xdr:colOff>
      <xdr:row>27</xdr:row>
      <xdr:rowOff>76200</xdr:rowOff>
    </xdr:to>
    <xdr:grpSp>
      <xdr:nvGrpSpPr>
        <xdr:cNvPr id="17" name="37 Grupo">
          <a:extLst>
            <a:ext uri="{FF2B5EF4-FFF2-40B4-BE49-F238E27FC236}">
              <a16:creationId xmlns:a16="http://schemas.microsoft.com/office/drawing/2014/main" id="{00000000-0008-0000-0800-000011000000}"/>
            </a:ext>
          </a:extLst>
        </xdr:cNvPr>
        <xdr:cNvGrpSpPr/>
      </xdr:nvGrpSpPr>
      <xdr:grpSpPr>
        <a:xfrm>
          <a:off x="1623060" y="5029200"/>
          <a:ext cx="259080" cy="198120"/>
          <a:chOff x="3905250" y="2409825"/>
          <a:chExt cx="257175" cy="200025"/>
        </a:xfrm>
      </xdr:grpSpPr>
      <xdr:sp macro="" textlink="">
        <xdr:nvSpPr>
          <xdr:cNvPr id="18" name="38 CuadroTexto">
            <a:extLst>
              <a:ext uri="{FF2B5EF4-FFF2-40B4-BE49-F238E27FC236}">
                <a16:creationId xmlns:a16="http://schemas.microsoft.com/office/drawing/2014/main" id="{00000000-0008-0000-0800-000012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B050"/>
                </a:solidFill>
                <a:sym typeface="Wingdings"/>
              </a:rPr>
              <a:t> </a:t>
            </a:r>
            <a:endParaRPr lang="es-AR" sz="1100" b="1">
              <a:solidFill>
                <a:srgbClr val="00B050"/>
              </a:solidFill>
            </a:endParaRPr>
          </a:p>
        </xdr:txBody>
      </xdr:sp>
      <xdr:sp macro="" textlink="">
        <xdr:nvSpPr>
          <xdr:cNvPr id="19" name="39 Elipse">
            <a:extLst>
              <a:ext uri="{FF2B5EF4-FFF2-40B4-BE49-F238E27FC236}">
                <a16:creationId xmlns:a16="http://schemas.microsoft.com/office/drawing/2014/main" id="{00000000-0008-0000-0800-000013000000}"/>
              </a:ext>
            </a:extLst>
          </xdr:cNvPr>
          <xdr:cNvSpPr/>
        </xdr:nvSpPr>
        <xdr:spPr>
          <a:xfrm>
            <a:off x="3952875" y="2409825"/>
            <a:ext cx="152400" cy="152400"/>
          </a:xfrm>
          <a:prstGeom prst="ellipse">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14</xdr:col>
      <xdr:colOff>76200</xdr:colOff>
      <xdr:row>31</xdr:row>
      <xdr:rowOff>76200</xdr:rowOff>
    </xdr:from>
    <xdr:to>
      <xdr:col>14</xdr:col>
      <xdr:colOff>333375</xdr:colOff>
      <xdr:row>32</xdr:row>
      <xdr:rowOff>85725</xdr:rowOff>
    </xdr:to>
    <xdr:grpSp>
      <xdr:nvGrpSpPr>
        <xdr:cNvPr id="20" name="49 Grupo">
          <a:extLst>
            <a:ext uri="{FF2B5EF4-FFF2-40B4-BE49-F238E27FC236}">
              <a16:creationId xmlns:a16="http://schemas.microsoft.com/office/drawing/2014/main" id="{00000000-0008-0000-0800-000014000000}"/>
            </a:ext>
          </a:extLst>
        </xdr:cNvPr>
        <xdr:cNvGrpSpPr/>
      </xdr:nvGrpSpPr>
      <xdr:grpSpPr>
        <a:xfrm>
          <a:off x="4975860" y="5989320"/>
          <a:ext cx="259080" cy="198120"/>
          <a:chOff x="3905250" y="2409825"/>
          <a:chExt cx="257175" cy="200025"/>
        </a:xfrm>
      </xdr:grpSpPr>
      <xdr:sp macro="" textlink="">
        <xdr:nvSpPr>
          <xdr:cNvPr id="21" name="50 CuadroTexto">
            <a:extLst>
              <a:ext uri="{FF2B5EF4-FFF2-40B4-BE49-F238E27FC236}">
                <a16:creationId xmlns:a16="http://schemas.microsoft.com/office/drawing/2014/main" id="{00000000-0008-0000-0800-000015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9933"/>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2" name="51 Elipse">
            <a:extLst>
              <a:ext uri="{FF2B5EF4-FFF2-40B4-BE49-F238E27FC236}">
                <a16:creationId xmlns:a16="http://schemas.microsoft.com/office/drawing/2014/main" id="{00000000-0008-0000-0800-000016000000}"/>
              </a:ext>
            </a:extLst>
          </xdr:cNvPr>
          <xdr:cNvSpPr/>
        </xdr:nvSpPr>
        <xdr:spPr>
          <a:xfrm>
            <a:off x="3952875" y="2409825"/>
            <a:ext cx="152400" cy="152400"/>
          </a:xfrm>
          <a:prstGeom prst="ellipse">
            <a:avLst/>
          </a:prstGeom>
          <a:noFill/>
          <a:ln w="9525">
            <a:solidFill>
              <a:srgbClr val="FF99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14</xdr:col>
      <xdr:colOff>142875</xdr:colOff>
      <xdr:row>10</xdr:row>
      <xdr:rowOff>9525</xdr:rowOff>
    </xdr:from>
    <xdr:to>
      <xdr:col>15</xdr:col>
      <xdr:colOff>9525</xdr:colOff>
      <xdr:row>11</xdr:row>
      <xdr:rowOff>9525</xdr:rowOff>
    </xdr:to>
    <xdr:grpSp>
      <xdr:nvGrpSpPr>
        <xdr:cNvPr id="23" name="34 Grupo">
          <a:extLst>
            <a:ext uri="{FF2B5EF4-FFF2-40B4-BE49-F238E27FC236}">
              <a16:creationId xmlns:a16="http://schemas.microsoft.com/office/drawing/2014/main" id="{00000000-0008-0000-0800-000017000000}"/>
            </a:ext>
          </a:extLst>
        </xdr:cNvPr>
        <xdr:cNvGrpSpPr/>
      </xdr:nvGrpSpPr>
      <xdr:grpSpPr>
        <a:xfrm>
          <a:off x="5044440" y="1912620"/>
          <a:ext cx="236220" cy="198120"/>
          <a:chOff x="3905250" y="2409825"/>
          <a:chExt cx="257175" cy="200025"/>
        </a:xfrm>
      </xdr:grpSpPr>
      <xdr:sp macro="" textlink="">
        <xdr:nvSpPr>
          <xdr:cNvPr id="24" name="35 CuadroTexto">
            <a:extLst>
              <a:ext uri="{FF2B5EF4-FFF2-40B4-BE49-F238E27FC236}">
                <a16:creationId xmlns:a16="http://schemas.microsoft.com/office/drawing/2014/main" id="{00000000-0008-0000-0800-000018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0000FF"/>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5" name="36 Elipse">
            <a:extLst>
              <a:ext uri="{FF2B5EF4-FFF2-40B4-BE49-F238E27FC236}">
                <a16:creationId xmlns:a16="http://schemas.microsoft.com/office/drawing/2014/main" id="{00000000-0008-0000-0800-000019000000}"/>
              </a:ext>
            </a:extLst>
          </xdr:cNvPr>
          <xdr:cNvSpPr/>
        </xdr:nvSpPr>
        <xdr:spPr>
          <a:xfrm>
            <a:off x="3952875" y="2409825"/>
            <a:ext cx="152400" cy="152400"/>
          </a:xfrm>
          <a:prstGeom prst="ellipse">
            <a:avLst/>
          </a:prstGeom>
          <a:noFill/>
          <a:ln w="952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twoCellAnchor>
    <xdr:from>
      <xdr:col>14</xdr:col>
      <xdr:colOff>361949</xdr:colOff>
      <xdr:row>12</xdr:row>
      <xdr:rowOff>104776</xdr:rowOff>
    </xdr:from>
    <xdr:to>
      <xdr:col>15</xdr:col>
      <xdr:colOff>266700</xdr:colOff>
      <xdr:row>13</xdr:row>
      <xdr:rowOff>134711</xdr:rowOff>
    </xdr:to>
    <xdr:grpSp>
      <xdr:nvGrpSpPr>
        <xdr:cNvPr id="26" name="13 Grupo">
          <a:extLst>
            <a:ext uri="{FF2B5EF4-FFF2-40B4-BE49-F238E27FC236}">
              <a16:creationId xmlns:a16="http://schemas.microsoft.com/office/drawing/2014/main" id="{00000000-0008-0000-0800-00001A000000}"/>
            </a:ext>
          </a:extLst>
        </xdr:cNvPr>
        <xdr:cNvGrpSpPr/>
      </xdr:nvGrpSpPr>
      <xdr:grpSpPr>
        <a:xfrm>
          <a:off x="5265419" y="2400301"/>
          <a:ext cx="274321" cy="222340"/>
          <a:chOff x="3905250" y="2409825"/>
          <a:chExt cx="257175" cy="200025"/>
        </a:xfrm>
      </xdr:grpSpPr>
      <xdr:sp macro="" textlink="">
        <xdr:nvSpPr>
          <xdr:cNvPr id="27" name="14 CuadroTexto">
            <a:extLst>
              <a:ext uri="{FF2B5EF4-FFF2-40B4-BE49-F238E27FC236}">
                <a16:creationId xmlns:a16="http://schemas.microsoft.com/office/drawing/2014/main" id="{00000000-0008-0000-0800-00001B000000}"/>
              </a:ext>
            </a:extLst>
          </xdr:cNvPr>
          <xdr:cNvSpPr txBox="1"/>
        </xdr:nvSpPr>
        <xdr:spPr>
          <a:xfrm>
            <a:off x="3905250" y="2428875"/>
            <a:ext cx="257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s-AR" sz="1100" b="1">
                <a:solidFill>
                  <a:srgbClr val="FF0000"/>
                </a:solidFill>
                <a:sym typeface="Wingdings"/>
              </a:rPr>
              <a:t></a:t>
            </a:r>
            <a:r>
              <a:rPr lang="es-AR" sz="1100" b="1">
                <a:solidFill>
                  <a:srgbClr val="00B050"/>
                </a:solidFill>
                <a:sym typeface="Wingdings"/>
              </a:rPr>
              <a:t> </a:t>
            </a:r>
            <a:endParaRPr lang="es-AR" sz="1100" b="1">
              <a:solidFill>
                <a:srgbClr val="00B050"/>
              </a:solidFill>
            </a:endParaRPr>
          </a:p>
        </xdr:txBody>
      </xdr:sp>
      <xdr:sp macro="" textlink="">
        <xdr:nvSpPr>
          <xdr:cNvPr id="28" name="15 Elipse">
            <a:extLst>
              <a:ext uri="{FF2B5EF4-FFF2-40B4-BE49-F238E27FC236}">
                <a16:creationId xmlns:a16="http://schemas.microsoft.com/office/drawing/2014/main" id="{00000000-0008-0000-0800-00001C000000}"/>
              </a:ext>
            </a:extLst>
          </xdr:cNvPr>
          <xdr:cNvSpPr/>
        </xdr:nvSpPr>
        <xdr:spPr>
          <a:xfrm>
            <a:off x="3952875" y="2409825"/>
            <a:ext cx="152400" cy="152400"/>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209550</xdr:colOff>
      <xdr:row>87</xdr:row>
      <xdr:rowOff>152399</xdr:rowOff>
    </xdr:from>
    <xdr:to>
      <xdr:col>15</xdr:col>
      <xdr:colOff>314324</xdr:colOff>
      <xdr:row>91</xdr:row>
      <xdr:rowOff>161925</xdr:rowOff>
    </xdr:to>
    <xdr:sp macro="" textlink="">
      <xdr:nvSpPr>
        <xdr:cNvPr id="2" name="1 CuadroTexto">
          <a:extLst>
            <a:ext uri="{FF2B5EF4-FFF2-40B4-BE49-F238E27FC236}">
              <a16:creationId xmlns:a16="http://schemas.microsoft.com/office/drawing/2014/main" id="{00000000-0008-0000-0B00-000002000000}"/>
            </a:ext>
          </a:extLst>
        </xdr:cNvPr>
        <xdr:cNvSpPr txBox="1"/>
      </xdr:nvSpPr>
      <xdr:spPr>
        <a:xfrm>
          <a:off x="3381375" y="16678274"/>
          <a:ext cx="2419349" cy="771526"/>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l"/>
          <a:r>
            <a:rPr lang="es-AR" sz="1100">
              <a:latin typeface="Garamond" panose="02020404030301010803" pitchFamily="18" charset="0"/>
            </a:rPr>
            <a:t>Por P.E.P.S.</a:t>
          </a:r>
          <a:r>
            <a:rPr lang="es-AR" sz="1100" baseline="0">
              <a:latin typeface="Garamond" panose="02020404030301010803" pitchFamily="18" charset="0"/>
            </a:rPr>
            <a:t>, como las primero entradas son las que primero han salido, las que quedan en el saldo final (1.105) son las entradas en último lugar.</a:t>
          </a:r>
        </a:p>
      </xdr:txBody>
    </xdr:sp>
    <xdr:clientData/>
  </xdr:twoCellAnchor>
  <xdr:twoCellAnchor>
    <xdr:from>
      <xdr:col>8</xdr:col>
      <xdr:colOff>104775</xdr:colOff>
      <xdr:row>89</xdr:row>
      <xdr:rowOff>0</xdr:rowOff>
    </xdr:from>
    <xdr:to>
      <xdr:col>9</xdr:col>
      <xdr:colOff>171450</xdr:colOff>
      <xdr:row>91</xdr:row>
      <xdr:rowOff>9525</xdr:rowOff>
    </xdr:to>
    <xdr:sp macro="" textlink="">
      <xdr:nvSpPr>
        <xdr:cNvPr id="3" name="2 Flecha doblada">
          <a:extLst>
            <a:ext uri="{FF2B5EF4-FFF2-40B4-BE49-F238E27FC236}">
              <a16:creationId xmlns:a16="http://schemas.microsoft.com/office/drawing/2014/main" id="{00000000-0008-0000-0B00-000003000000}"/>
            </a:ext>
          </a:extLst>
        </xdr:cNvPr>
        <xdr:cNvSpPr/>
      </xdr:nvSpPr>
      <xdr:spPr>
        <a:xfrm>
          <a:off x="2886075" y="16906875"/>
          <a:ext cx="457200" cy="390525"/>
        </a:xfrm>
        <a:prstGeom prst="bentArrow">
          <a:avLst>
            <a:gd name="adj1" fmla="val 17683"/>
            <a:gd name="adj2" fmla="val 25000"/>
            <a:gd name="adj3" fmla="val 25000"/>
            <a:gd name="adj4" fmla="val 4375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10</xdr:col>
      <xdr:colOff>266702</xdr:colOff>
      <xdr:row>92</xdr:row>
      <xdr:rowOff>123824</xdr:rowOff>
    </xdr:from>
    <xdr:to>
      <xdr:col>15</xdr:col>
      <xdr:colOff>238126</xdr:colOff>
      <xdr:row>96</xdr:row>
      <xdr:rowOff>133350</xdr:rowOff>
    </xdr:to>
    <xdr:sp macro="" textlink="">
      <xdr:nvSpPr>
        <xdr:cNvPr id="4" name="3 CuadroTexto">
          <a:extLst>
            <a:ext uri="{FF2B5EF4-FFF2-40B4-BE49-F238E27FC236}">
              <a16:creationId xmlns:a16="http://schemas.microsoft.com/office/drawing/2014/main" id="{00000000-0008-0000-0B00-000004000000}"/>
            </a:ext>
          </a:extLst>
        </xdr:cNvPr>
        <xdr:cNvSpPr txBox="1"/>
      </xdr:nvSpPr>
      <xdr:spPr>
        <a:xfrm>
          <a:off x="3829052" y="17125949"/>
          <a:ext cx="1895474" cy="771526"/>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l"/>
          <a:r>
            <a:rPr lang="es-AR" sz="1100">
              <a:latin typeface="Garamond" panose="02020404030301010803" pitchFamily="18" charset="0"/>
            </a:rPr>
            <a:t>Por P.E.P.S.</a:t>
          </a:r>
          <a:r>
            <a:rPr lang="es-AR" sz="1100" baseline="0">
              <a:latin typeface="Garamond" panose="02020404030301010803" pitchFamily="18" charset="0"/>
            </a:rPr>
            <a:t>, como las primero entradas son las que primero han salido, las 695 que descargo son las de $50 y $52.</a:t>
          </a:r>
        </a:p>
      </xdr:txBody>
    </xdr:sp>
    <xdr:clientData/>
  </xdr:twoCellAnchor>
  <xdr:twoCellAnchor>
    <xdr:from>
      <xdr:col>10</xdr:col>
      <xdr:colOff>61910</xdr:colOff>
      <xdr:row>97</xdr:row>
      <xdr:rowOff>3</xdr:rowOff>
    </xdr:from>
    <xdr:to>
      <xdr:col>11</xdr:col>
      <xdr:colOff>285749</xdr:colOff>
      <xdr:row>98</xdr:row>
      <xdr:rowOff>152401</xdr:rowOff>
    </xdr:to>
    <xdr:sp macro="" textlink="">
      <xdr:nvSpPr>
        <xdr:cNvPr id="5" name="4 Flecha doblada">
          <a:extLst>
            <a:ext uri="{FF2B5EF4-FFF2-40B4-BE49-F238E27FC236}">
              <a16:creationId xmlns:a16="http://schemas.microsoft.com/office/drawing/2014/main" id="{00000000-0008-0000-0B00-000005000000}"/>
            </a:ext>
          </a:extLst>
        </xdr:cNvPr>
        <xdr:cNvSpPr/>
      </xdr:nvSpPr>
      <xdr:spPr>
        <a:xfrm rot="16200000" flipV="1">
          <a:off x="3759993" y="17818895"/>
          <a:ext cx="342898" cy="614364"/>
        </a:xfrm>
        <a:prstGeom prst="bentArrow">
          <a:avLst>
            <a:gd name="adj1" fmla="val 23239"/>
            <a:gd name="adj2" fmla="val 25000"/>
            <a:gd name="adj3" fmla="val 25000"/>
            <a:gd name="adj4" fmla="val 4375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2</xdr:col>
      <xdr:colOff>38099</xdr:colOff>
      <xdr:row>194</xdr:row>
      <xdr:rowOff>190499</xdr:rowOff>
    </xdr:from>
    <xdr:to>
      <xdr:col>15</xdr:col>
      <xdr:colOff>152400</xdr:colOff>
      <xdr:row>201</xdr:row>
      <xdr:rowOff>9524</xdr:rowOff>
    </xdr:to>
    <xdr:sp macro="" textlink="">
      <xdr:nvSpPr>
        <xdr:cNvPr id="7" name="6 CuadroTexto">
          <a:extLst>
            <a:ext uri="{FF2B5EF4-FFF2-40B4-BE49-F238E27FC236}">
              <a16:creationId xmlns:a16="http://schemas.microsoft.com/office/drawing/2014/main" id="{00000000-0008-0000-0B00-000007000000}"/>
            </a:ext>
          </a:extLst>
        </xdr:cNvPr>
        <xdr:cNvSpPr txBox="1"/>
      </xdr:nvSpPr>
      <xdr:spPr>
        <a:xfrm>
          <a:off x="476249" y="35852099"/>
          <a:ext cx="5162551" cy="1152525"/>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lvl="0"/>
          <a:r>
            <a:rPr lang="es-AR" sz="1100" b="1" i="1" u="sng">
              <a:solidFill>
                <a:sysClr val="windowText" lastClr="000000"/>
              </a:solidFill>
              <a:latin typeface="Garamond" panose="02020404030301010803" pitchFamily="18" charset="0"/>
            </a:rPr>
            <a:t>Muebles y útiles</a:t>
          </a:r>
          <a:r>
            <a:rPr lang="es-AR" sz="1100" b="1" i="1">
              <a:solidFill>
                <a:sysClr val="windowText" lastClr="000000"/>
              </a:solidFill>
              <a:latin typeface="Garamond" panose="02020404030301010803" pitchFamily="18" charset="0"/>
            </a:rPr>
            <a:t>:</a:t>
          </a:r>
        </a:p>
        <a:p>
          <a:pPr lvl="0"/>
          <a:r>
            <a:rPr lang="es-AR" sz="1100" i="1">
              <a:solidFill>
                <a:sysClr val="windowText" lastClr="000000"/>
              </a:solidFill>
              <a:effectLst/>
              <a:latin typeface="+mn-lt"/>
              <a:ea typeface="+mn-ea"/>
              <a:cs typeface="+mn-cs"/>
            </a:rPr>
            <a:t>▪ </a:t>
          </a:r>
          <a:r>
            <a:rPr lang="es-AR" sz="1100" i="1">
              <a:solidFill>
                <a:sysClr val="windowText" lastClr="000000"/>
              </a:solidFill>
              <a:latin typeface="Garamond" panose="02020404030301010803" pitchFamily="18" charset="0"/>
            </a:rPr>
            <a:t>El valor de origen se</a:t>
          </a:r>
          <a:r>
            <a:rPr lang="es-AR" sz="1100" i="1" baseline="0">
              <a:solidFill>
                <a:sysClr val="windowText" lastClr="000000"/>
              </a:solidFill>
              <a:latin typeface="Garamond" panose="02020404030301010803" pitchFamily="18" charset="0"/>
            </a:rPr>
            <a:t> obtiene sumando valor residual y depreciaciones acumuladas.</a:t>
          </a:r>
        </a:p>
        <a:p>
          <a:pPr lvl="0"/>
          <a:r>
            <a:rPr lang="es-AR" sz="1100" i="1">
              <a:solidFill>
                <a:sysClr val="windowText" lastClr="000000"/>
              </a:solidFill>
              <a:effectLst/>
              <a:latin typeface="+mn-lt"/>
              <a:ea typeface="+mn-ea"/>
              <a:cs typeface="+mn-cs"/>
            </a:rPr>
            <a:t>▪ </a:t>
          </a:r>
          <a:r>
            <a:rPr lang="es-AR" sz="1100" i="1" baseline="0">
              <a:solidFill>
                <a:sysClr val="windowText" lastClr="000000"/>
              </a:solidFill>
              <a:latin typeface="Garamond" panose="02020404030301010803" pitchFamily="18" charset="0"/>
            </a:rPr>
            <a:t>El valor amortizable se obtiene restando al valor de origen el valor de recupero (o valor al término).</a:t>
          </a:r>
        </a:p>
        <a:p>
          <a:pPr lvl="0"/>
          <a:r>
            <a:rPr lang="es-AR" sz="1100" i="1">
              <a:solidFill>
                <a:sysClr val="windowText" lastClr="000000"/>
              </a:solidFill>
              <a:effectLst/>
              <a:latin typeface="+mn-lt"/>
              <a:ea typeface="+mn-ea"/>
              <a:cs typeface="+mn-cs"/>
            </a:rPr>
            <a:t>▪ </a:t>
          </a:r>
          <a:r>
            <a:rPr lang="es-AR" sz="1100" i="1" baseline="0">
              <a:solidFill>
                <a:sysClr val="windowText" lastClr="000000"/>
              </a:solidFill>
              <a:latin typeface="Garamond" panose="02020404030301010803" pitchFamily="18" charset="0"/>
            </a:rPr>
            <a:t>La cuota de amortización se obtiene dividiendo las depreciaciones acumuladas por el tiempo en que estas depreciaciones ocurrieron (10 meses) según la fecha de adquisición.</a:t>
          </a:r>
        </a:p>
        <a:p>
          <a:pPr lvl="0"/>
          <a:r>
            <a:rPr lang="es-AR" sz="1100" i="1">
              <a:solidFill>
                <a:sysClr val="windowText" lastClr="000000"/>
              </a:solidFill>
              <a:effectLst/>
              <a:latin typeface="+mn-lt"/>
              <a:ea typeface="+mn-ea"/>
              <a:cs typeface="+mn-cs"/>
            </a:rPr>
            <a:t>▪ </a:t>
          </a:r>
          <a:r>
            <a:rPr lang="es-AR" sz="1100" i="1" baseline="0">
              <a:solidFill>
                <a:sysClr val="windowText" lastClr="000000"/>
              </a:solidFill>
              <a:latin typeface="Garamond" panose="02020404030301010803" pitchFamily="18" charset="0"/>
            </a:rPr>
            <a:t>La vida útil se obtiene dividiendo el valor amortizable por la cuota de amortización</a:t>
          </a:r>
          <a:r>
            <a:rPr lang="es-AR" sz="1100" i="1" baseline="0">
              <a:solidFill>
                <a:srgbClr val="FF0000"/>
              </a:solidFill>
              <a:latin typeface="Garamond" panose="02020404030301010803" pitchFamily="18" charset="0"/>
            </a:rPr>
            <a:t>.</a:t>
          </a:r>
          <a:endParaRPr lang="es-AR" sz="1100" i="1">
            <a:solidFill>
              <a:srgbClr val="FF0000"/>
            </a:solidFill>
            <a:latin typeface="Garamond" panose="02020404030301010803" pitchFamily="18" charset="0"/>
          </a:endParaRPr>
        </a:p>
      </xdr:txBody>
    </xdr:sp>
    <xdr:clientData/>
  </xdr:twoCellAnchor>
  <xdr:twoCellAnchor>
    <xdr:from>
      <xdr:col>0</xdr:col>
      <xdr:colOff>42863</xdr:colOff>
      <xdr:row>192</xdr:row>
      <xdr:rowOff>33338</xdr:rowOff>
    </xdr:from>
    <xdr:to>
      <xdr:col>2</xdr:col>
      <xdr:colOff>4763</xdr:colOff>
      <xdr:row>198</xdr:row>
      <xdr:rowOff>23813</xdr:rowOff>
    </xdr:to>
    <xdr:sp macro="" textlink="">
      <xdr:nvSpPr>
        <xdr:cNvPr id="8" name="7 Flecha curvada hacia arriba">
          <a:extLst>
            <a:ext uri="{FF2B5EF4-FFF2-40B4-BE49-F238E27FC236}">
              <a16:creationId xmlns:a16="http://schemas.microsoft.com/office/drawing/2014/main" id="{00000000-0008-0000-0B00-000008000000}"/>
            </a:ext>
          </a:extLst>
        </xdr:cNvPr>
        <xdr:cNvSpPr/>
      </xdr:nvSpPr>
      <xdr:spPr>
        <a:xfrm rot="5400000">
          <a:off x="-323850" y="35680651"/>
          <a:ext cx="1133475" cy="400050"/>
        </a:xfrm>
        <a:prstGeom prst="curvedUpArrow">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2</xdr:col>
      <xdr:colOff>257175</xdr:colOff>
      <xdr:row>298</xdr:row>
      <xdr:rowOff>47625</xdr:rowOff>
    </xdr:from>
    <xdr:to>
      <xdr:col>3</xdr:col>
      <xdr:colOff>323850</xdr:colOff>
      <xdr:row>299</xdr:row>
      <xdr:rowOff>123825</xdr:rowOff>
    </xdr:to>
    <xdr:sp macro="" textlink="">
      <xdr:nvSpPr>
        <xdr:cNvPr id="6" name="5 Flecha abajo">
          <a:extLst>
            <a:ext uri="{FF2B5EF4-FFF2-40B4-BE49-F238E27FC236}">
              <a16:creationId xmlns:a16="http://schemas.microsoft.com/office/drawing/2014/main" id="{00000000-0008-0000-0B00-000006000000}"/>
            </a:ext>
          </a:extLst>
        </xdr:cNvPr>
        <xdr:cNvSpPr/>
      </xdr:nvSpPr>
      <xdr:spPr>
        <a:xfrm>
          <a:off x="695325" y="55997475"/>
          <a:ext cx="457200" cy="266700"/>
        </a:xfrm>
        <a:prstGeom prst="downArrow">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236964</xdr:colOff>
      <xdr:row>1</xdr:row>
      <xdr:rowOff>136859</xdr:rowOff>
    </xdr:from>
    <xdr:to>
      <xdr:col>2</xdr:col>
      <xdr:colOff>553612</xdr:colOff>
      <xdr:row>4</xdr:row>
      <xdr:rowOff>165434</xdr:rowOff>
    </xdr:to>
    <xdr:pic>
      <xdr:nvPicPr>
        <xdr:cNvPr id="2" name="1 Imagen" descr="http://www.clker.com/cliparts/1/u/K/G/7/S/tabla-surf-hi.png">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4040143">
          <a:off x="285751" y="269047"/>
          <a:ext cx="457200" cy="554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190499</xdr:colOff>
      <xdr:row>378</xdr:row>
      <xdr:rowOff>133349</xdr:rowOff>
    </xdr:from>
    <xdr:to>
      <xdr:col>13</xdr:col>
      <xdr:colOff>38101</xdr:colOff>
      <xdr:row>383</xdr:row>
      <xdr:rowOff>0</xdr:rowOff>
    </xdr:to>
    <xdr:sp macro="" textlink="">
      <xdr:nvSpPr>
        <xdr:cNvPr id="2" name="1 CuadroTexto">
          <a:extLst>
            <a:ext uri="{FF2B5EF4-FFF2-40B4-BE49-F238E27FC236}">
              <a16:creationId xmlns:a16="http://schemas.microsoft.com/office/drawing/2014/main" id="{00000000-0008-0000-0E00-000002000000}"/>
            </a:ext>
          </a:extLst>
        </xdr:cNvPr>
        <xdr:cNvSpPr txBox="1"/>
      </xdr:nvSpPr>
      <xdr:spPr>
        <a:xfrm>
          <a:off x="1409699" y="64636649"/>
          <a:ext cx="3362327" cy="8191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r>
            <a:rPr lang="es-AR" sz="1100" b="1" i="1">
              <a:latin typeface="Garamond" panose="02020404030301010803" pitchFamily="18" charset="0"/>
            </a:rPr>
            <a:t>Depreciación Edificio:</a:t>
          </a:r>
          <a:r>
            <a:rPr lang="es-AR" sz="1100" i="1">
              <a:latin typeface="Garamond" panose="02020404030301010803" pitchFamily="18" charset="0"/>
            </a:rPr>
            <a:t> Dado que según Balance inicial las depreciaciones acumuladas son 7.000 y el bien fue aportado en la constitución de la sociedad (01/02/X0), la cuota</a:t>
          </a:r>
          <a:r>
            <a:rPr lang="es-AR" sz="1100" i="1" baseline="0">
              <a:latin typeface="Garamond" panose="02020404030301010803" pitchFamily="18" charset="0"/>
            </a:rPr>
            <a:t> de deprecicación es 7.000/10=700, y la vida útil 420.000/700=600 meses (50 años)</a:t>
          </a:r>
        </a:p>
        <a:p>
          <a:endParaRPr lang="es-AR" sz="1100" i="1">
            <a:latin typeface="Garamond" panose="02020404030301010803" pitchFamily="18" charset="0"/>
          </a:endParaRPr>
        </a:p>
      </xdr:txBody>
    </xdr:sp>
    <xdr:clientData/>
  </xdr:twoCellAnchor>
  <xdr:twoCellAnchor>
    <xdr:from>
      <xdr:col>7</xdr:col>
      <xdr:colOff>381000</xdr:colOff>
      <xdr:row>376</xdr:row>
      <xdr:rowOff>9525</xdr:rowOff>
    </xdr:from>
    <xdr:to>
      <xdr:col>13</xdr:col>
      <xdr:colOff>19050</xdr:colOff>
      <xdr:row>378</xdr:row>
      <xdr:rowOff>114300</xdr:rowOff>
    </xdr:to>
    <xdr:sp macro="" textlink="">
      <xdr:nvSpPr>
        <xdr:cNvPr id="3" name="2 Llamada de flecha hacia abajo">
          <a:extLst>
            <a:ext uri="{FF2B5EF4-FFF2-40B4-BE49-F238E27FC236}">
              <a16:creationId xmlns:a16="http://schemas.microsoft.com/office/drawing/2014/main" id="{00000000-0008-0000-0E00-000003000000}"/>
            </a:ext>
          </a:extLst>
        </xdr:cNvPr>
        <xdr:cNvSpPr/>
      </xdr:nvSpPr>
      <xdr:spPr>
        <a:xfrm>
          <a:off x="2771775" y="64131825"/>
          <a:ext cx="1981200" cy="485775"/>
        </a:xfrm>
        <a:prstGeom prst="downArrowCallout">
          <a:avLst>
            <a:gd name="adj1" fmla="val 60294"/>
            <a:gd name="adj2" fmla="val 64394"/>
            <a:gd name="adj3" fmla="val 25000"/>
            <a:gd name="adj4" fmla="val 37526"/>
          </a:avLst>
        </a:prstGeom>
        <a:solidFill>
          <a:srgbClr val="BFBFBF">
            <a:alpha val="2902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5</xdr:col>
      <xdr:colOff>200025</xdr:colOff>
      <xdr:row>117</xdr:row>
      <xdr:rowOff>133350</xdr:rowOff>
    </xdr:from>
    <xdr:to>
      <xdr:col>6</xdr:col>
      <xdr:colOff>161925</xdr:colOff>
      <xdr:row>119</xdr:row>
      <xdr:rowOff>9525</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1809750" y="21088350"/>
          <a:ext cx="3524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i="1">
              <a:solidFill>
                <a:srgbClr val="FF0000"/>
              </a:solidFill>
              <a:latin typeface="Garamond" panose="02020404030301010803" pitchFamily="18" charset="0"/>
            </a:rPr>
            <a:t>(I)</a:t>
          </a:r>
        </a:p>
      </xdr:txBody>
    </xdr:sp>
    <xdr:clientData/>
  </xdr:twoCellAnchor>
  <xdr:twoCellAnchor>
    <xdr:from>
      <xdr:col>8</xdr:col>
      <xdr:colOff>361950</xdr:colOff>
      <xdr:row>117</xdr:row>
      <xdr:rowOff>142875</xdr:rowOff>
    </xdr:from>
    <xdr:to>
      <xdr:col>10</xdr:col>
      <xdr:colOff>9525</xdr:colOff>
      <xdr:row>119</xdr:row>
      <xdr:rowOff>19050</xdr:rowOff>
    </xdr:to>
    <xdr:sp macro="" textlink="">
      <xdr:nvSpPr>
        <xdr:cNvPr id="5" name="TextBox 4">
          <a:extLst>
            <a:ext uri="{FF2B5EF4-FFF2-40B4-BE49-F238E27FC236}">
              <a16:creationId xmlns:a16="http://schemas.microsoft.com/office/drawing/2014/main" id="{00000000-0008-0000-0E00-000005000000}"/>
            </a:ext>
          </a:extLst>
        </xdr:cNvPr>
        <xdr:cNvSpPr txBox="1"/>
      </xdr:nvSpPr>
      <xdr:spPr>
        <a:xfrm>
          <a:off x="3143250" y="21097875"/>
          <a:ext cx="428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i="1">
              <a:solidFill>
                <a:srgbClr val="FF0000"/>
              </a:solidFill>
              <a:latin typeface="Garamond" panose="02020404030301010803" pitchFamily="18" charset="0"/>
            </a:rPr>
            <a:t>(II)</a:t>
          </a:r>
        </a:p>
      </xdr:txBody>
    </xdr:sp>
    <xdr:clientData/>
  </xdr:twoCellAnchor>
  <xdr:twoCellAnchor>
    <xdr:from>
      <xdr:col>12</xdr:col>
      <xdr:colOff>28576</xdr:colOff>
      <xdr:row>119</xdr:row>
      <xdr:rowOff>9525</xdr:rowOff>
    </xdr:from>
    <xdr:to>
      <xdr:col>15</xdr:col>
      <xdr:colOff>352425</xdr:colOff>
      <xdr:row>125</xdr:row>
      <xdr:rowOff>19050</xdr:rowOff>
    </xdr:to>
    <xdr:sp macro="" textlink="">
      <xdr:nvSpPr>
        <xdr:cNvPr id="6" name="Line Callout 2 5">
          <a:extLst>
            <a:ext uri="{FF2B5EF4-FFF2-40B4-BE49-F238E27FC236}">
              <a16:creationId xmlns:a16="http://schemas.microsoft.com/office/drawing/2014/main" id="{00000000-0008-0000-0E00-000006000000}"/>
            </a:ext>
          </a:extLst>
        </xdr:cNvPr>
        <xdr:cNvSpPr/>
      </xdr:nvSpPr>
      <xdr:spPr>
        <a:xfrm>
          <a:off x="4371976" y="21345525"/>
          <a:ext cx="1476374" cy="1152525"/>
        </a:xfrm>
        <a:prstGeom prst="borderCallout2">
          <a:avLst>
            <a:gd name="adj1" fmla="val 18750"/>
            <a:gd name="adj2" fmla="val -3109"/>
            <a:gd name="adj3" fmla="val 18750"/>
            <a:gd name="adj4" fmla="val -16667"/>
            <a:gd name="adj5" fmla="val 49440"/>
            <a:gd name="adj6" fmla="val -21294"/>
          </a:avLst>
        </a:prstGeom>
        <a:solidFill>
          <a:schemeClr val="accent6">
            <a:lumMod val="40000"/>
            <a:lumOff val="6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0" bIns="0" rtlCol="0" anchor="t"/>
        <a:lstStyle/>
        <a:p>
          <a:pPr algn="ctr"/>
          <a:r>
            <a:rPr lang="es-AR" sz="1100" b="0" i="1">
              <a:solidFill>
                <a:sysClr val="windowText" lastClr="000000"/>
              </a:solidFill>
              <a:latin typeface="Garamond" panose="02020404030301010803" pitchFamily="18" charset="0"/>
            </a:rPr>
            <a:t>Nótese que el costo variable  de producción se distribuye para cada unidad producida, mientras que el costo variable de comercialización se distribuye para cada unidad comercializada (vendida).</a:t>
          </a:r>
        </a:p>
      </xdr:txBody>
    </xdr:sp>
    <xdr:clientData/>
  </xdr:twoCellAnchor>
  <xdr:twoCellAnchor>
    <xdr:from>
      <xdr:col>5</xdr:col>
      <xdr:colOff>0</xdr:colOff>
      <xdr:row>122</xdr:row>
      <xdr:rowOff>1</xdr:rowOff>
    </xdr:from>
    <xdr:to>
      <xdr:col>11</xdr:col>
      <xdr:colOff>304800</xdr:colOff>
      <xdr:row>123</xdr:row>
      <xdr:rowOff>1</xdr:rowOff>
    </xdr:to>
    <xdr:sp macro="" textlink="">
      <xdr:nvSpPr>
        <xdr:cNvPr id="7" name="Rounded Rectangle 6">
          <a:extLst>
            <a:ext uri="{FF2B5EF4-FFF2-40B4-BE49-F238E27FC236}">
              <a16:creationId xmlns:a16="http://schemas.microsoft.com/office/drawing/2014/main" id="{00000000-0008-0000-0E00-000007000000}"/>
            </a:ext>
          </a:extLst>
        </xdr:cNvPr>
        <xdr:cNvSpPr/>
      </xdr:nvSpPr>
      <xdr:spPr>
        <a:xfrm>
          <a:off x="1609725" y="21907501"/>
          <a:ext cx="2647950" cy="190500"/>
        </a:xfrm>
        <a:prstGeom prst="roundRect">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6</xdr:col>
      <xdr:colOff>285750</xdr:colOff>
      <xdr:row>157</xdr:row>
      <xdr:rowOff>19050</xdr:rowOff>
    </xdr:from>
    <xdr:to>
      <xdr:col>9</xdr:col>
      <xdr:colOff>9525</xdr:colOff>
      <xdr:row>158</xdr:row>
      <xdr:rowOff>85725</xdr:rowOff>
    </xdr:to>
    <xdr:sp macro="" textlink="">
      <xdr:nvSpPr>
        <xdr:cNvPr id="8" name="TextBox 7">
          <a:extLst>
            <a:ext uri="{FF2B5EF4-FFF2-40B4-BE49-F238E27FC236}">
              <a16:creationId xmlns:a16="http://schemas.microsoft.com/office/drawing/2014/main" id="{00000000-0008-0000-0E00-000008000000}"/>
            </a:ext>
          </a:extLst>
        </xdr:cNvPr>
        <xdr:cNvSpPr txBox="1"/>
      </xdr:nvSpPr>
      <xdr:spPr>
        <a:xfrm>
          <a:off x="2286000" y="28594050"/>
          <a:ext cx="895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0" i="1">
              <a:solidFill>
                <a:srgbClr val="FF0000"/>
              </a:solidFill>
              <a:latin typeface="Garamond" panose="02020404030301010803" pitchFamily="18" charset="0"/>
            </a:rPr>
            <a:t>del</a:t>
          </a:r>
          <a:r>
            <a:rPr lang="es-AR" sz="1100" b="0" i="1" baseline="0">
              <a:solidFill>
                <a:srgbClr val="FF0000"/>
              </a:solidFill>
              <a:latin typeface="Garamond" panose="02020404030301010803" pitchFamily="18" charset="0"/>
            </a:rPr>
            <a:t> punto 3.</a:t>
          </a:r>
          <a:endParaRPr lang="es-AR" sz="1100" b="0" i="1">
            <a:solidFill>
              <a:srgbClr val="FF0000"/>
            </a:solidFill>
            <a:latin typeface="Garamond" panose="02020404030301010803" pitchFamily="18" charset="0"/>
          </a:endParaRPr>
        </a:p>
      </xdr:txBody>
    </xdr:sp>
    <xdr:clientData/>
  </xdr:twoCellAnchor>
  <xdr:twoCellAnchor>
    <xdr:from>
      <xdr:col>5</xdr:col>
      <xdr:colOff>142876</xdr:colOff>
      <xdr:row>156</xdr:row>
      <xdr:rowOff>9525</xdr:rowOff>
    </xdr:from>
    <xdr:to>
      <xdr:col>5</xdr:col>
      <xdr:colOff>381001</xdr:colOff>
      <xdr:row>158</xdr:row>
      <xdr:rowOff>19050</xdr:rowOff>
    </xdr:to>
    <xdr:cxnSp macro="">
      <xdr:nvCxnSpPr>
        <xdr:cNvPr id="10" name="Elbow Connector 9">
          <a:extLst>
            <a:ext uri="{FF2B5EF4-FFF2-40B4-BE49-F238E27FC236}">
              <a16:creationId xmlns:a16="http://schemas.microsoft.com/office/drawing/2014/main" id="{00000000-0008-0000-0E00-00000A000000}"/>
            </a:ext>
          </a:extLst>
        </xdr:cNvPr>
        <xdr:cNvCxnSpPr/>
      </xdr:nvCxnSpPr>
      <xdr:spPr>
        <a:xfrm rot="5400000">
          <a:off x="1676401" y="28470225"/>
          <a:ext cx="390525" cy="23812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156</xdr:row>
      <xdr:rowOff>9525</xdr:rowOff>
    </xdr:from>
    <xdr:to>
      <xdr:col>2</xdr:col>
      <xdr:colOff>352425</xdr:colOff>
      <xdr:row>161</xdr:row>
      <xdr:rowOff>118269</xdr:rowOff>
    </xdr:to>
    <xdr:grpSp>
      <xdr:nvGrpSpPr>
        <xdr:cNvPr id="28" name="Group 27">
          <a:extLst>
            <a:ext uri="{FF2B5EF4-FFF2-40B4-BE49-F238E27FC236}">
              <a16:creationId xmlns:a16="http://schemas.microsoft.com/office/drawing/2014/main" id="{00000000-0008-0000-0E00-00001C000000}"/>
            </a:ext>
          </a:extLst>
        </xdr:cNvPr>
        <xdr:cNvGrpSpPr/>
      </xdr:nvGrpSpPr>
      <xdr:grpSpPr>
        <a:xfrm>
          <a:off x="523875" y="28394025"/>
          <a:ext cx="247650" cy="1061244"/>
          <a:chOff x="560388" y="28387675"/>
          <a:chExt cx="247650" cy="1061244"/>
        </a:xfrm>
      </xdr:grpSpPr>
      <xdr:cxnSp macro="">
        <xdr:nvCxnSpPr>
          <xdr:cNvPr id="23" name="Straight Connector 22">
            <a:extLst>
              <a:ext uri="{FF2B5EF4-FFF2-40B4-BE49-F238E27FC236}">
                <a16:creationId xmlns:a16="http://schemas.microsoft.com/office/drawing/2014/main" id="{00000000-0008-0000-0E00-000017000000}"/>
              </a:ext>
            </a:extLst>
          </xdr:cNvPr>
          <xdr:cNvCxnSpPr/>
        </xdr:nvCxnSpPr>
        <xdr:spPr>
          <a:xfrm>
            <a:off x="560388" y="28387675"/>
            <a:ext cx="0" cy="1060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E00-000018000000}"/>
              </a:ext>
            </a:extLst>
          </xdr:cNvPr>
          <xdr:cNvCxnSpPr/>
        </xdr:nvCxnSpPr>
        <xdr:spPr>
          <a:xfrm>
            <a:off x="560388" y="29448919"/>
            <a:ext cx="247650" cy="0"/>
          </a:xfrm>
          <a:prstGeom prst="line">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171450</xdr:colOff>
      <xdr:row>168</xdr:row>
      <xdr:rowOff>76201</xdr:rowOff>
    </xdr:from>
    <xdr:to>
      <xdr:col>13</xdr:col>
      <xdr:colOff>380999</xdr:colOff>
      <xdr:row>172</xdr:row>
      <xdr:rowOff>114300</xdr:rowOff>
    </xdr:to>
    <xdr:sp macro="" textlink="">
      <xdr:nvSpPr>
        <xdr:cNvPr id="29" name="Line Callout 2 28">
          <a:extLst>
            <a:ext uri="{FF2B5EF4-FFF2-40B4-BE49-F238E27FC236}">
              <a16:creationId xmlns:a16="http://schemas.microsoft.com/office/drawing/2014/main" id="{00000000-0008-0000-0E00-00001D000000}"/>
            </a:ext>
          </a:extLst>
        </xdr:cNvPr>
        <xdr:cNvSpPr/>
      </xdr:nvSpPr>
      <xdr:spPr>
        <a:xfrm>
          <a:off x="3343275" y="30746701"/>
          <a:ext cx="1771649" cy="800099"/>
        </a:xfrm>
        <a:prstGeom prst="borderCallout2">
          <a:avLst>
            <a:gd name="adj1" fmla="val 18750"/>
            <a:gd name="adj2" fmla="val -3109"/>
            <a:gd name="adj3" fmla="val 18750"/>
            <a:gd name="adj4" fmla="val -16667"/>
            <a:gd name="adj5" fmla="val -5322"/>
            <a:gd name="adj6" fmla="val -37961"/>
          </a:avLst>
        </a:prstGeom>
        <a:solidFill>
          <a:schemeClr val="accent3">
            <a:lumMod val="20000"/>
            <a:lumOff val="8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0" bIns="0" rtlCol="0" anchor="t"/>
        <a:lstStyle/>
        <a:p>
          <a:pPr algn="ctr"/>
          <a:r>
            <a:rPr lang="es-AR" sz="1100" b="0" i="1">
              <a:solidFill>
                <a:sysClr val="windowText" lastClr="000000"/>
              </a:solidFill>
              <a:latin typeface="Garamond" panose="02020404030301010803" pitchFamily="18" charset="0"/>
            </a:rPr>
            <a:t>Es</a:t>
          </a:r>
          <a:r>
            <a:rPr lang="es-AR" sz="1100" b="0" i="1" baseline="0">
              <a:solidFill>
                <a:sysClr val="windowText" lastClr="000000"/>
              </a:solidFill>
              <a:latin typeface="Garamond" panose="02020404030301010803" pitchFamily="18" charset="0"/>
            </a:rPr>
            <a:t> decir que la marcación es aproximadamente del 100%. </a:t>
          </a:r>
        </a:p>
        <a:p>
          <a:pPr algn="ctr"/>
          <a:r>
            <a:rPr lang="es-AR" sz="1100" b="0" i="1" baseline="0">
              <a:solidFill>
                <a:sysClr val="windowText" lastClr="000000"/>
              </a:solidFill>
              <a:latin typeface="Garamond" panose="02020404030301010803" pitchFamily="18" charset="0"/>
            </a:rPr>
            <a:t>En otras palabras, la ganancia bruta que se espera obtener equivale a una vez el costo total de las ventas.</a:t>
          </a:r>
          <a:endParaRPr lang="es-AR" sz="1100" b="0" i="1">
            <a:solidFill>
              <a:sysClr val="windowText" lastClr="000000"/>
            </a:solidFill>
            <a:latin typeface="Garamond" panose="02020404030301010803"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752475</xdr:colOff>
      <xdr:row>3</xdr:row>
      <xdr:rowOff>116205</xdr:rowOff>
    </xdr:to>
    <xdr:pic>
      <xdr:nvPicPr>
        <xdr:cNvPr id="2" name="1 Imagen" descr="http://imgs.abduzeedo.com/files/articles/logo-design-dragons/efe419df261088e644d47877fee4be63.png">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69846" y1="40769" x2="69846" y2="40769"/>
                      <a14:foregroundMark x1="75077" y1="43462" x2="75077" y2="43462"/>
                    </a14:backgroundRemoval>
                  </a14:imgEffect>
                  <a14:imgEffect>
                    <a14:brightnessContrast bright="40000"/>
                  </a14:imgEffect>
                </a14:imgLayer>
              </a14:imgProps>
            </a:ext>
            <a:ext uri="{28A0092B-C50C-407E-A947-70E740481C1C}">
              <a14:useLocalDpi xmlns:a14="http://schemas.microsoft.com/office/drawing/2010/main" val="0"/>
            </a:ext>
          </a:extLst>
        </a:blip>
        <a:srcRect/>
        <a:stretch>
          <a:fillRect/>
        </a:stretch>
      </xdr:blipFill>
      <xdr:spPr bwMode="auto">
        <a:xfrm>
          <a:off x="190500" y="0"/>
          <a:ext cx="752475" cy="601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12</xdr:row>
      <xdr:rowOff>346409</xdr:rowOff>
    </xdr:from>
    <xdr:to>
      <xdr:col>1</xdr:col>
      <xdr:colOff>676275</xdr:colOff>
      <xdr:row>14</xdr:row>
      <xdr:rowOff>147320</xdr:rowOff>
    </xdr:to>
    <xdr:pic>
      <xdr:nvPicPr>
        <xdr:cNvPr id="4" name="3 Imagen" descr="http://www.minicar.es/archivos/pegaso-logo.png">
          <a:extLst>
            <a:ext uri="{FF2B5EF4-FFF2-40B4-BE49-F238E27FC236}">
              <a16:creationId xmlns:a16="http://schemas.microsoft.com/office/drawing/2014/main" id="{00000000-0008-0000-0F00-000004000000}"/>
            </a:ext>
          </a:extLst>
        </xdr:cNvPr>
        <xdr:cNvPicPr/>
      </xdr:nvPicPr>
      <xdr:blipFill rotWithShape="1">
        <a:blip xmlns:r="http://schemas.openxmlformats.org/officeDocument/2006/relationships" r:embed="rId3" cstate="print">
          <a:duotone>
            <a:schemeClr val="accent1">
              <a:shade val="45000"/>
              <a:satMod val="135000"/>
            </a:schemeClr>
            <a:prstClr val="white"/>
          </a:duotone>
          <a:extLst>
            <a:ext uri="{28A0092B-C50C-407E-A947-70E740481C1C}">
              <a14:useLocalDpi xmlns:a14="http://schemas.microsoft.com/office/drawing/2010/main" val="0"/>
            </a:ext>
          </a:extLst>
        </a:blip>
        <a:srcRect l="31404" r="11232" b="41772"/>
        <a:stretch/>
      </xdr:blipFill>
      <xdr:spPr bwMode="auto">
        <a:xfrm>
          <a:off x="381000" y="4508834"/>
          <a:ext cx="485775" cy="400986"/>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114301</xdr:colOff>
      <xdr:row>346</xdr:row>
      <xdr:rowOff>28576</xdr:rowOff>
    </xdr:from>
    <xdr:to>
      <xdr:col>16</xdr:col>
      <xdr:colOff>266700</xdr:colOff>
      <xdr:row>347</xdr:row>
      <xdr:rowOff>76200</xdr:rowOff>
    </xdr:to>
    <xdr:sp macro="" textlink="">
      <xdr:nvSpPr>
        <xdr:cNvPr id="2" name="10 Flecha curvada hacia arriba">
          <a:extLst>
            <a:ext uri="{FF2B5EF4-FFF2-40B4-BE49-F238E27FC236}">
              <a16:creationId xmlns:a16="http://schemas.microsoft.com/office/drawing/2014/main" id="{00000000-0008-0000-1000-000002000000}"/>
            </a:ext>
          </a:extLst>
        </xdr:cNvPr>
        <xdr:cNvSpPr/>
      </xdr:nvSpPr>
      <xdr:spPr>
        <a:xfrm>
          <a:off x="2819401" y="84820126"/>
          <a:ext cx="1866899" cy="247649"/>
        </a:xfrm>
        <a:prstGeom prst="curvedUpArrow">
          <a:avLst>
            <a:gd name="adj1" fmla="val 99666"/>
            <a:gd name="adj2" fmla="val 237440"/>
            <a:gd name="adj3" fmla="val 25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oneCellAnchor>
    <xdr:from>
      <xdr:col>11</xdr:col>
      <xdr:colOff>247650</xdr:colOff>
      <xdr:row>347</xdr:row>
      <xdr:rowOff>123825</xdr:rowOff>
    </xdr:from>
    <xdr:ext cx="706155" cy="251031"/>
    <xdr:sp macro="" textlink="">
      <xdr:nvSpPr>
        <xdr:cNvPr id="3" name="11 CuadroTexto">
          <a:extLst>
            <a:ext uri="{FF2B5EF4-FFF2-40B4-BE49-F238E27FC236}">
              <a16:creationId xmlns:a16="http://schemas.microsoft.com/office/drawing/2014/main" id="{00000000-0008-0000-1000-000003000000}"/>
            </a:ext>
          </a:extLst>
        </xdr:cNvPr>
        <xdr:cNvSpPr txBox="1"/>
      </xdr:nvSpPr>
      <xdr:spPr>
        <a:xfrm>
          <a:off x="3238500" y="85115400"/>
          <a:ext cx="706155" cy="251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AR" sz="1100">
              <a:latin typeface="Garamond" panose="02020404030301010803" pitchFamily="18" charset="0"/>
            </a:rPr>
            <a:t>+150.000</a:t>
          </a:r>
        </a:p>
      </xdr:txBody>
    </xdr:sp>
    <xdr:clientData/>
  </xdr:oneCellAnchor>
  <xdr:twoCellAnchor>
    <xdr:from>
      <xdr:col>17</xdr:col>
      <xdr:colOff>3</xdr:colOff>
      <xdr:row>341</xdr:row>
      <xdr:rowOff>180977</xdr:rowOff>
    </xdr:from>
    <xdr:to>
      <xdr:col>18</xdr:col>
      <xdr:colOff>1</xdr:colOff>
      <xdr:row>345</xdr:row>
      <xdr:rowOff>171448</xdr:rowOff>
    </xdr:to>
    <xdr:sp macro="" textlink="">
      <xdr:nvSpPr>
        <xdr:cNvPr id="4" name="12 Flecha curvada hacia arriba">
          <a:extLst>
            <a:ext uri="{FF2B5EF4-FFF2-40B4-BE49-F238E27FC236}">
              <a16:creationId xmlns:a16="http://schemas.microsoft.com/office/drawing/2014/main" id="{00000000-0008-0000-1000-000004000000}"/>
            </a:ext>
          </a:extLst>
        </xdr:cNvPr>
        <xdr:cNvSpPr/>
      </xdr:nvSpPr>
      <xdr:spPr>
        <a:xfrm rot="16200000">
          <a:off x="4572004" y="84210526"/>
          <a:ext cx="752471" cy="352423"/>
        </a:xfrm>
        <a:prstGeom prst="curvedUpArrow">
          <a:avLst>
            <a:gd name="adj1" fmla="val 32712"/>
            <a:gd name="adj2" fmla="val 55479"/>
            <a:gd name="adj3" fmla="val 3773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oneCellAnchor>
    <xdr:from>
      <xdr:col>18</xdr:col>
      <xdr:colOff>28575</xdr:colOff>
      <xdr:row>343</xdr:row>
      <xdr:rowOff>133350</xdr:rowOff>
    </xdr:from>
    <xdr:ext cx="474104" cy="251031"/>
    <xdr:sp macro="" textlink="">
      <xdr:nvSpPr>
        <xdr:cNvPr id="5" name="13 CuadroTexto">
          <a:extLst>
            <a:ext uri="{FF2B5EF4-FFF2-40B4-BE49-F238E27FC236}">
              <a16:creationId xmlns:a16="http://schemas.microsoft.com/office/drawing/2014/main" id="{00000000-0008-0000-1000-000005000000}"/>
            </a:ext>
          </a:extLst>
        </xdr:cNvPr>
        <xdr:cNvSpPr txBox="1"/>
      </xdr:nvSpPr>
      <xdr:spPr>
        <a:xfrm>
          <a:off x="5153025" y="84343875"/>
          <a:ext cx="474104" cy="251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AR" sz="1100">
              <a:latin typeface="Garamond" panose="02020404030301010803" pitchFamily="18" charset="0"/>
            </a:rPr>
            <a:t>*0,75</a:t>
          </a:r>
        </a:p>
      </xdr:txBody>
    </xdr:sp>
    <xdr:clientData/>
  </xdr:oneCellAnchor>
  <xdr:twoCellAnchor>
    <xdr:from>
      <xdr:col>13</xdr:col>
      <xdr:colOff>28575</xdr:colOff>
      <xdr:row>346</xdr:row>
      <xdr:rowOff>123825</xdr:rowOff>
    </xdr:from>
    <xdr:to>
      <xdr:col>13</xdr:col>
      <xdr:colOff>257175</xdr:colOff>
      <xdr:row>347</xdr:row>
      <xdr:rowOff>161925</xdr:rowOff>
    </xdr:to>
    <xdr:sp macro="" textlink="">
      <xdr:nvSpPr>
        <xdr:cNvPr id="6" name="14 Elipse">
          <a:extLst>
            <a:ext uri="{FF2B5EF4-FFF2-40B4-BE49-F238E27FC236}">
              <a16:creationId xmlns:a16="http://schemas.microsoft.com/office/drawing/2014/main" id="{00000000-0008-0000-1000-000006000000}"/>
            </a:ext>
          </a:extLst>
        </xdr:cNvPr>
        <xdr:cNvSpPr/>
      </xdr:nvSpPr>
      <xdr:spPr>
        <a:xfrm>
          <a:off x="3590925" y="84915375"/>
          <a:ext cx="228600" cy="238125"/>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a:solidFill>
                <a:sysClr val="windowText" lastClr="000000"/>
              </a:solidFill>
              <a:latin typeface="Garamond" panose="02020404030301010803" pitchFamily="18" charset="0"/>
            </a:rPr>
            <a:t>1</a:t>
          </a:r>
        </a:p>
      </xdr:txBody>
    </xdr:sp>
    <xdr:clientData/>
  </xdr:twoCellAnchor>
  <xdr:twoCellAnchor>
    <xdr:from>
      <xdr:col>17</xdr:col>
      <xdr:colOff>200025</xdr:colOff>
      <xdr:row>343</xdr:row>
      <xdr:rowOff>85725</xdr:rowOff>
    </xdr:from>
    <xdr:to>
      <xdr:col>18</xdr:col>
      <xdr:colOff>76200</xdr:colOff>
      <xdr:row>344</xdr:row>
      <xdr:rowOff>123825</xdr:rowOff>
    </xdr:to>
    <xdr:sp macro="" textlink="">
      <xdr:nvSpPr>
        <xdr:cNvPr id="7" name="15 Elipse">
          <a:extLst>
            <a:ext uri="{FF2B5EF4-FFF2-40B4-BE49-F238E27FC236}">
              <a16:creationId xmlns:a16="http://schemas.microsoft.com/office/drawing/2014/main" id="{00000000-0008-0000-1000-000007000000}"/>
            </a:ext>
          </a:extLst>
        </xdr:cNvPr>
        <xdr:cNvSpPr/>
      </xdr:nvSpPr>
      <xdr:spPr>
        <a:xfrm>
          <a:off x="4972050" y="84296250"/>
          <a:ext cx="228600" cy="228600"/>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a:solidFill>
                <a:sysClr val="windowText" lastClr="000000"/>
              </a:solidFill>
              <a:latin typeface="Garamond" panose="02020404030301010803" pitchFamily="18" charset="0"/>
            </a:rPr>
            <a:t>2</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2</xdr:col>
      <xdr:colOff>133351</xdr:colOff>
      <xdr:row>286</xdr:row>
      <xdr:rowOff>114300</xdr:rowOff>
    </xdr:from>
    <xdr:ext cx="5181599" cy="727122"/>
    <xdr:sp macro="" textlink="">
      <xdr:nvSpPr>
        <xdr:cNvPr id="2" name="3 CuadroTexto">
          <a:extLst>
            <a:ext uri="{FF2B5EF4-FFF2-40B4-BE49-F238E27FC236}">
              <a16:creationId xmlns:a16="http://schemas.microsoft.com/office/drawing/2014/main" id="{00000000-0008-0000-1200-000002000000}"/>
            </a:ext>
          </a:extLst>
        </xdr:cNvPr>
        <xdr:cNvSpPr txBox="1"/>
      </xdr:nvSpPr>
      <xdr:spPr>
        <a:xfrm>
          <a:off x="561976" y="53654325"/>
          <a:ext cx="5181599" cy="727122"/>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AR" sz="1100" i="1">
              <a:latin typeface="Garamond" panose="02020404030301010803" pitchFamily="18" charset="0"/>
            </a:rPr>
            <a:t>Las acciones deben registrarse a V.N.R., de modo que debe </a:t>
          </a:r>
          <a:r>
            <a:rPr lang="es-AR" sz="1100" i="1" u="sng">
              <a:latin typeface="Garamond" panose="02020404030301010803" pitchFamily="18" charset="0"/>
            </a:rPr>
            <a:t>restarse</a:t>
          </a:r>
          <a:r>
            <a:rPr lang="es-AR" sz="1100" i="1" u="none" baseline="0">
              <a:latin typeface="Garamond" panose="02020404030301010803" pitchFamily="18" charset="0"/>
            </a:rPr>
            <a:t> al precio de la acción, la </a:t>
          </a:r>
          <a:r>
            <a:rPr lang="es-AR" sz="1100" b="1" i="1" u="none" baseline="0">
              <a:latin typeface="Garamond" panose="02020404030301010803" pitchFamily="18" charset="0"/>
            </a:rPr>
            <a:t>comisión de venta </a:t>
          </a:r>
          <a:r>
            <a:rPr lang="es-AR" sz="1100" b="0" i="1" u="none" baseline="0">
              <a:latin typeface="Garamond" panose="02020404030301010803" pitchFamily="18" charset="0"/>
            </a:rPr>
            <a:t>(</a:t>
          </a:r>
          <a:r>
            <a:rPr lang="es-AR" sz="1100" i="1" u="none" baseline="0">
              <a:latin typeface="Garamond" panose="02020404030301010803" pitchFamily="18" charset="0"/>
            </a:rPr>
            <a:t>que se incurriría si decidiese venderse). Además, por la compra de las acciones, se incurre efectivamente en un gasto de </a:t>
          </a:r>
          <a:r>
            <a:rPr lang="es-AR" sz="1100" b="1" i="1" u="none" baseline="0">
              <a:latin typeface="Garamond" panose="02020404030301010803" pitchFamily="18" charset="0"/>
            </a:rPr>
            <a:t>comisión por la compra</a:t>
          </a:r>
          <a:r>
            <a:rPr lang="es-AR" sz="1100" i="1" u="none" baseline="0">
              <a:latin typeface="Garamond" panose="02020404030301010803" pitchFamily="18" charset="0"/>
            </a:rPr>
            <a:t>. Por ello, se tiene un "resultado por tenencia inmediato" equivalente a dos veces la comisión.</a:t>
          </a:r>
          <a:endParaRPr lang="es-AR" sz="1100" i="1">
            <a:latin typeface="Garamond" panose="02020404030301010803" pitchFamily="18" charset="0"/>
          </a:endParaRPr>
        </a:p>
      </xdr:txBody>
    </xdr:sp>
    <xdr:clientData/>
  </xdr:oneCellAnchor>
  <xdr:twoCellAnchor>
    <xdr:from>
      <xdr:col>14</xdr:col>
      <xdr:colOff>85724</xdr:colOff>
      <xdr:row>284</xdr:row>
      <xdr:rowOff>38100</xdr:rowOff>
    </xdr:from>
    <xdr:to>
      <xdr:col>15</xdr:col>
      <xdr:colOff>28575</xdr:colOff>
      <xdr:row>287</xdr:row>
      <xdr:rowOff>57149</xdr:rowOff>
    </xdr:to>
    <xdr:sp macro="" textlink="">
      <xdr:nvSpPr>
        <xdr:cNvPr id="3" name="4 Flecha curvada hacia la izquierda">
          <a:extLst>
            <a:ext uri="{FF2B5EF4-FFF2-40B4-BE49-F238E27FC236}">
              <a16:creationId xmlns:a16="http://schemas.microsoft.com/office/drawing/2014/main" id="{00000000-0008-0000-1200-000003000000}"/>
            </a:ext>
          </a:extLst>
        </xdr:cNvPr>
        <xdr:cNvSpPr/>
      </xdr:nvSpPr>
      <xdr:spPr>
        <a:xfrm>
          <a:off x="5200649" y="53197125"/>
          <a:ext cx="323851" cy="590549"/>
        </a:xfrm>
        <a:prstGeom prst="curvedLeftArrow">
          <a:avLst>
            <a:gd name="adj1" fmla="val 31041"/>
            <a:gd name="adj2" fmla="val 94342"/>
            <a:gd name="adj3" fmla="val 4166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oneCellAnchor>
    <xdr:from>
      <xdr:col>2</xdr:col>
      <xdr:colOff>133351</xdr:colOff>
      <xdr:row>313</xdr:row>
      <xdr:rowOff>114300</xdr:rowOff>
    </xdr:from>
    <xdr:ext cx="5181599" cy="409728"/>
    <xdr:sp macro="" textlink="">
      <xdr:nvSpPr>
        <xdr:cNvPr id="4" name="6 CuadroTexto">
          <a:extLst>
            <a:ext uri="{FF2B5EF4-FFF2-40B4-BE49-F238E27FC236}">
              <a16:creationId xmlns:a16="http://schemas.microsoft.com/office/drawing/2014/main" id="{00000000-0008-0000-1200-000004000000}"/>
            </a:ext>
          </a:extLst>
        </xdr:cNvPr>
        <xdr:cNvSpPr txBox="1"/>
      </xdr:nvSpPr>
      <xdr:spPr>
        <a:xfrm>
          <a:off x="561976" y="58683525"/>
          <a:ext cx="5181599" cy="409728"/>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AR" sz="1100" i="1">
              <a:latin typeface="Garamond" panose="02020404030301010803" pitchFamily="18" charset="0"/>
            </a:rPr>
            <a:t>Las acciones deben registrarse al</a:t>
          </a:r>
          <a:r>
            <a:rPr lang="es-AR" sz="1100" i="1" baseline="0">
              <a:latin typeface="Garamond" panose="02020404030301010803" pitchFamily="18" charset="0"/>
            </a:rPr>
            <a:t> Costo de adquisición. Desde esta perspectiva, la comisión de compra es un gasto necesario, que por lo tanto debe ser activado al valor del activo.</a:t>
          </a:r>
          <a:endParaRPr lang="es-AR" sz="1100" i="1">
            <a:latin typeface="Garamond" panose="02020404030301010803" pitchFamily="18" charset="0"/>
          </a:endParaRPr>
        </a:p>
      </xdr:txBody>
    </xdr:sp>
    <xdr:clientData/>
  </xdr:oneCellAnchor>
  <xdr:twoCellAnchor>
    <xdr:from>
      <xdr:col>13</xdr:col>
      <xdr:colOff>295276</xdr:colOff>
      <xdr:row>311</xdr:row>
      <xdr:rowOff>38100</xdr:rowOff>
    </xdr:from>
    <xdr:to>
      <xdr:col>15</xdr:col>
      <xdr:colOff>28576</xdr:colOff>
      <xdr:row>314</xdr:row>
      <xdr:rowOff>57149</xdr:rowOff>
    </xdr:to>
    <xdr:sp macro="" textlink="">
      <xdr:nvSpPr>
        <xdr:cNvPr id="5" name="7 Flecha curvada hacia la izquierda">
          <a:extLst>
            <a:ext uri="{FF2B5EF4-FFF2-40B4-BE49-F238E27FC236}">
              <a16:creationId xmlns:a16="http://schemas.microsoft.com/office/drawing/2014/main" id="{00000000-0008-0000-1200-000005000000}"/>
            </a:ext>
          </a:extLst>
        </xdr:cNvPr>
        <xdr:cNvSpPr/>
      </xdr:nvSpPr>
      <xdr:spPr>
        <a:xfrm>
          <a:off x="5019676" y="58226325"/>
          <a:ext cx="504825" cy="590549"/>
        </a:xfrm>
        <a:prstGeom prst="curvedLeftArrow">
          <a:avLst>
            <a:gd name="adj1" fmla="val 22982"/>
            <a:gd name="adj2" fmla="val 94342"/>
            <a:gd name="adj3" fmla="val 37821"/>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7</xdr:col>
      <xdr:colOff>304799</xdr:colOff>
      <xdr:row>369</xdr:row>
      <xdr:rowOff>133366</xdr:rowOff>
    </xdr:from>
    <xdr:to>
      <xdr:col>15</xdr:col>
      <xdr:colOff>257175</xdr:colOff>
      <xdr:row>386</xdr:row>
      <xdr:rowOff>180982</xdr:rowOff>
    </xdr:to>
    <xdr:grpSp>
      <xdr:nvGrpSpPr>
        <xdr:cNvPr id="6" name="32 Grupo">
          <a:extLst>
            <a:ext uri="{FF2B5EF4-FFF2-40B4-BE49-F238E27FC236}">
              <a16:creationId xmlns:a16="http://schemas.microsoft.com/office/drawing/2014/main" id="{00000000-0008-0000-1200-000006000000}"/>
            </a:ext>
          </a:extLst>
        </xdr:cNvPr>
        <xdr:cNvGrpSpPr/>
      </xdr:nvGrpSpPr>
      <xdr:grpSpPr>
        <a:xfrm>
          <a:off x="2628899" y="69204856"/>
          <a:ext cx="2994661" cy="3284211"/>
          <a:chOff x="2695574" y="78743175"/>
          <a:chExt cx="3057526" cy="2908401"/>
        </a:xfrm>
      </xdr:grpSpPr>
      <xdr:grpSp>
        <xdr:nvGrpSpPr>
          <xdr:cNvPr id="7" name="14 Grupo">
            <a:extLst>
              <a:ext uri="{FF2B5EF4-FFF2-40B4-BE49-F238E27FC236}">
                <a16:creationId xmlns:a16="http://schemas.microsoft.com/office/drawing/2014/main" id="{00000000-0008-0000-1200-000007000000}"/>
              </a:ext>
            </a:extLst>
          </xdr:cNvPr>
          <xdr:cNvGrpSpPr/>
        </xdr:nvGrpSpPr>
        <xdr:grpSpPr>
          <a:xfrm>
            <a:off x="2695574" y="79000350"/>
            <a:ext cx="3057526" cy="409575"/>
            <a:chOff x="3267074" y="78819375"/>
            <a:chExt cx="2581275" cy="409575"/>
          </a:xfrm>
        </xdr:grpSpPr>
        <xdr:sp macro="" textlink="">
          <xdr:nvSpPr>
            <xdr:cNvPr id="25" name="11 Flecha a la derecha con muesca">
              <a:extLst>
                <a:ext uri="{FF2B5EF4-FFF2-40B4-BE49-F238E27FC236}">
                  <a16:creationId xmlns:a16="http://schemas.microsoft.com/office/drawing/2014/main" id="{00000000-0008-0000-1200-000019000000}"/>
                </a:ext>
              </a:extLst>
            </xdr:cNvPr>
            <xdr:cNvSpPr/>
          </xdr:nvSpPr>
          <xdr:spPr>
            <a:xfrm>
              <a:off x="3267074" y="78828900"/>
              <a:ext cx="390525" cy="379677"/>
            </a:xfrm>
            <a:prstGeom prst="notchedRightArrow">
              <a:avLst>
                <a:gd name="adj1" fmla="val 61428"/>
                <a:gd name="adj2" fmla="val 50000"/>
              </a:avLst>
            </a:prstGeom>
            <a:solidFill>
              <a:srgbClr val="99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sp macro="" textlink="">
          <xdr:nvSpPr>
            <xdr:cNvPr id="26" name="12 Elipse">
              <a:extLst>
                <a:ext uri="{FF2B5EF4-FFF2-40B4-BE49-F238E27FC236}">
                  <a16:creationId xmlns:a16="http://schemas.microsoft.com/office/drawing/2014/main" id="{00000000-0008-0000-1200-00001A000000}"/>
                </a:ext>
              </a:extLst>
            </xdr:cNvPr>
            <xdr:cNvSpPr/>
          </xdr:nvSpPr>
          <xdr:spPr>
            <a:xfrm>
              <a:off x="3381375" y="78924150"/>
              <a:ext cx="180975" cy="180975"/>
            </a:xfrm>
            <a:prstGeom prst="ellipse">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i="0">
                  <a:solidFill>
                    <a:sysClr val="windowText" lastClr="000000"/>
                  </a:solidFill>
                </a:rPr>
                <a:t>1</a:t>
              </a:r>
              <a:endParaRPr lang="es-AR" sz="1100" i="0"/>
            </a:p>
          </xdr:txBody>
        </xdr:sp>
        <xdr:sp macro="" textlink="">
          <xdr:nvSpPr>
            <xdr:cNvPr id="27" name="13 CuadroTexto">
              <a:extLst>
                <a:ext uri="{FF2B5EF4-FFF2-40B4-BE49-F238E27FC236}">
                  <a16:creationId xmlns:a16="http://schemas.microsoft.com/office/drawing/2014/main" id="{00000000-0008-0000-1200-00001B000000}"/>
                </a:ext>
              </a:extLst>
            </xdr:cNvPr>
            <xdr:cNvSpPr txBox="1"/>
          </xdr:nvSpPr>
          <xdr:spPr>
            <a:xfrm>
              <a:off x="3667124" y="78819375"/>
              <a:ext cx="2181225" cy="4095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s-AR" sz="1100" i="1">
                  <a:latin typeface="Garamond" panose="02020404030301010803" pitchFamily="18" charset="0"/>
                </a:rPr>
                <a:t>Tomo el dato de Valor de Origen y Valor Residual. La diferencia son las Depreciaciones Acumuladas.</a:t>
              </a:r>
            </a:p>
          </xdr:txBody>
        </xdr:sp>
      </xdr:grpSp>
      <xdr:grpSp>
        <xdr:nvGrpSpPr>
          <xdr:cNvPr id="8" name="15 Grupo">
            <a:extLst>
              <a:ext uri="{FF2B5EF4-FFF2-40B4-BE49-F238E27FC236}">
                <a16:creationId xmlns:a16="http://schemas.microsoft.com/office/drawing/2014/main" id="{00000000-0008-0000-1200-000008000000}"/>
              </a:ext>
            </a:extLst>
          </xdr:cNvPr>
          <xdr:cNvGrpSpPr/>
        </xdr:nvGrpSpPr>
        <xdr:grpSpPr>
          <a:xfrm>
            <a:off x="2695574" y="79495650"/>
            <a:ext cx="3057526" cy="409575"/>
            <a:chOff x="3267074" y="78819375"/>
            <a:chExt cx="2581275" cy="409575"/>
          </a:xfrm>
        </xdr:grpSpPr>
        <xdr:sp macro="" textlink="">
          <xdr:nvSpPr>
            <xdr:cNvPr id="22" name="16 Flecha a la derecha con muesca">
              <a:extLst>
                <a:ext uri="{FF2B5EF4-FFF2-40B4-BE49-F238E27FC236}">
                  <a16:creationId xmlns:a16="http://schemas.microsoft.com/office/drawing/2014/main" id="{00000000-0008-0000-1200-000016000000}"/>
                </a:ext>
              </a:extLst>
            </xdr:cNvPr>
            <xdr:cNvSpPr/>
          </xdr:nvSpPr>
          <xdr:spPr>
            <a:xfrm>
              <a:off x="3267074" y="78828900"/>
              <a:ext cx="390525" cy="379677"/>
            </a:xfrm>
            <a:prstGeom prst="notchedRightArrow">
              <a:avLst>
                <a:gd name="adj1" fmla="val 61428"/>
                <a:gd name="adj2" fmla="val 50000"/>
              </a:avLst>
            </a:prstGeom>
            <a:solidFill>
              <a:srgbClr val="99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sp macro="" textlink="">
          <xdr:nvSpPr>
            <xdr:cNvPr id="23" name="17 Elipse">
              <a:extLst>
                <a:ext uri="{FF2B5EF4-FFF2-40B4-BE49-F238E27FC236}">
                  <a16:creationId xmlns:a16="http://schemas.microsoft.com/office/drawing/2014/main" id="{00000000-0008-0000-1200-000017000000}"/>
                </a:ext>
              </a:extLst>
            </xdr:cNvPr>
            <xdr:cNvSpPr/>
          </xdr:nvSpPr>
          <xdr:spPr>
            <a:xfrm>
              <a:off x="3381375" y="78924150"/>
              <a:ext cx="180975" cy="180975"/>
            </a:xfrm>
            <a:prstGeom prst="ellipse">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i="0">
                  <a:solidFill>
                    <a:sysClr val="windowText" lastClr="000000"/>
                  </a:solidFill>
                </a:rPr>
                <a:t>2</a:t>
              </a:r>
              <a:endParaRPr lang="es-AR" sz="1100" i="0"/>
            </a:p>
          </xdr:txBody>
        </xdr:sp>
        <xdr:sp macro="" textlink="">
          <xdr:nvSpPr>
            <xdr:cNvPr id="24" name="18 CuadroTexto">
              <a:extLst>
                <a:ext uri="{FF2B5EF4-FFF2-40B4-BE49-F238E27FC236}">
                  <a16:creationId xmlns:a16="http://schemas.microsoft.com/office/drawing/2014/main" id="{00000000-0008-0000-1200-000018000000}"/>
                </a:ext>
              </a:extLst>
            </xdr:cNvPr>
            <xdr:cNvSpPr txBox="1"/>
          </xdr:nvSpPr>
          <xdr:spPr>
            <a:xfrm>
              <a:off x="3667124" y="78819375"/>
              <a:ext cx="2181225" cy="4095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s-AR" sz="1100" i="1">
                  <a:latin typeface="Garamond" panose="02020404030301010803" pitchFamily="18" charset="0"/>
                </a:rPr>
                <a:t>Con vida útil 50 años, calculo la depreciación contable de un año: 120.000/50 = </a:t>
              </a:r>
              <a:r>
                <a:rPr lang="es-AR" sz="1100" b="1" i="1">
                  <a:latin typeface="Garamond" panose="02020404030301010803" pitchFamily="18" charset="0"/>
                </a:rPr>
                <a:t>$2.400</a:t>
              </a:r>
              <a:r>
                <a:rPr lang="es-AR" sz="1100" i="1">
                  <a:latin typeface="Garamond" panose="02020404030301010803" pitchFamily="18" charset="0"/>
                </a:rPr>
                <a:t>.</a:t>
              </a:r>
            </a:p>
          </xdr:txBody>
        </xdr:sp>
      </xdr:grpSp>
      <xdr:grpSp>
        <xdr:nvGrpSpPr>
          <xdr:cNvPr id="9" name="19 Grupo">
            <a:extLst>
              <a:ext uri="{FF2B5EF4-FFF2-40B4-BE49-F238E27FC236}">
                <a16:creationId xmlns:a16="http://schemas.microsoft.com/office/drawing/2014/main" id="{00000000-0008-0000-1200-000009000000}"/>
              </a:ext>
            </a:extLst>
          </xdr:cNvPr>
          <xdr:cNvGrpSpPr/>
        </xdr:nvGrpSpPr>
        <xdr:grpSpPr>
          <a:xfrm>
            <a:off x="2695574" y="79981425"/>
            <a:ext cx="3057526" cy="581025"/>
            <a:chOff x="3267074" y="78819375"/>
            <a:chExt cx="2581275" cy="581025"/>
          </a:xfrm>
        </xdr:grpSpPr>
        <xdr:sp macro="" textlink="">
          <xdr:nvSpPr>
            <xdr:cNvPr id="19" name="20 Flecha a la derecha con muesca">
              <a:extLst>
                <a:ext uri="{FF2B5EF4-FFF2-40B4-BE49-F238E27FC236}">
                  <a16:creationId xmlns:a16="http://schemas.microsoft.com/office/drawing/2014/main" id="{00000000-0008-0000-1200-000013000000}"/>
                </a:ext>
              </a:extLst>
            </xdr:cNvPr>
            <xdr:cNvSpPr/>
          </xdr:nvSpPr>
          <xdr:spPr>
            <a:xfrm>
              <a:off x="3267074" y="78828900"/>
              <a:ext cx="390525" cy="379677"/>
            </a:xfrm>
            <a:prstGeom prst="notchedRightArrow">
              <a:avLst>
                <a:gd name="adj1" fmla="val 61428"/>
                <a:gd name="adj2" fmla="val 50000"/>
              </a:avLst>
            </a:prstGeom>
            <a:solidFill>
              <a:srgbClr val="99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sp macro="" textlink="">
          <xdr:nvSpPr>
            <xdr:cNvPr id="20" name="21 Elipse">
              <a:extLst>
                <a:ext uri="{FF2B5EF4-FFF2-40B4-BE49-F238E27FC236}">
                  <a16:creationId xmlns:a16="http://schemas.microsoft.com/office/drawing/2014/main" id="{00000000-0008-0000-1200-000014000000}"/>
                </a:ext>
              </a:extLst>
            </xdr:cNvPr>
            <xdr:cNvSpPr/>
          </xdr:nvSpPr>
          <xdr:spPr>
            <a:xfrm>
              <a:off x="3381375" y="78924150"/>
              <a:ext cx="180975" cy="180975"/>
            </a:xfrm>
            <a:prstGeom prst="ellipse">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i="0">
                  <a:solidFill>
                    <a:sysClr val="windowText" lastClr="000000"/>
                  </a:solidFill>
                </a:rPr>
                <a:t>3</a:t>
              </a:r>
            </a:p>
          </xdr:txBody>
        </xdr:sp>
        <xdr:sp macro="" textlink="">
          <xdr:nvSpPr>
            <xdr:cNvPr id="21" name="22 CuadroTexto">
              <a:extLst>
                <a:ext uri="{FF2B5EF4-FFF2-40B4-BE49-F238E27FC236}">
                  <a16:creationId xmlns:a16="http://schemas.microsoft.com/office/drawing/2014/main" id="{00000000-0008-0000-1200-000015000000}"/>
                </a:ext>
              </a:extLst>
            </xdr:cNvPr>
            <xdr:cNvSpPr txBox="1"/>
          </xdr:nvSpPr>
          <xdr:spPr>
            <a:xfrm>
              <a:off x="3667124" y="78819375"/>
              <a:ext cx="2181225" cy="5810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s-AR" sz="1100" i="1">
                  <a:latin typeface="Garamond" panose="02020404030301010803" pitchFamily="18" charset="0"/>
                </a:rPr>
                <a:t>Del cociente entre las Depreciaciones Acumuladas y la Depreciación de un año, surge que el bien ya vivió 15 años. Por lo tanto</a:t>
              </a:r>
              <a:r>
                <a:rPr lang="es-AR" sz="1100" i="1" baseline="0">
                  <a:latin typeface="Garamond" panose="02020404030301010803" pitchFamily="18" charset="0"/>
                </a:rPr>
                <a:t>, le quedan 35 años por vivir.</a:t>
              </a:r>
              <a:endParaRPr lang="es-AR" sz="1100" i="1">
                <a:latin typeface="Garamond" panose="02020404030301010803" pitchFamily="18" charset="0"/>
              </a:endParaRPr>
            </a:p>
          </xdr:txBody>
        </xdr:sp>
      </xdr:grpSp>
      <xdr:grpSp>
        <xdr:nvGrpSpPr>
          <xdr:cNvPr id="10" name="23 Grupo">
            <a:extLst>
              <a:ext uri="{FF2B5EF4-FFF2-40B4-BE49-F238E27FC236}">
                <a16:creationId xmlns:a16="http://schemas.microsoft.com/office/drawing/2014/main" id="{00000000-0008-0000-1200-00000A000000}"/>
              </a:ext>
            </a:extLst>
          </xdr:cNvPr>
          <xdr:cNvGrpSpPr/>
        </xdr:nvGrpSpPr>
        <xdr:grpSpPr>
          <a:xfrm>
            <a:off x="2695574" y="80629125"/>
            <a:ext cx="3057526" cy="409575"/>
            <a:chOff x="3267074" y="78819375"/>
            <a:chExt cx="2581275" cy="409575"/>
          </a:xfrm>
        </xdr:grpSpPr>
        <xdr:sp macro="" textlink="">
          <xdr:nvSpPr>
            <xdr:cNvPr id="16" name="24 Flecha a la derecha con muesca">
              <a:extLst>
                <a:ext uri="{FF2B5EF4-FFF2-40B4-BE49-F238E27FC236}">
                  <a16:creationId xmlns:a16="http://schemas.microsoft.com/office/drawing/2014/main" id="{00000000-0008-0000-1200-000010000000}"/>
                </a:ext>
              </a:extLst>
            </xdr:cNvPr>
            <xdr:cNvSpPr/>
          </xdr:nvSpPr>
          <xdr:spPr>
            <a:xfrm>
              <a:off x="3267074" y="78828900"/>
              <a:ext cx="390525" cy="379677"/>
            </a:xfrm>
            <a:prstGeom prst="notchedRightArrow">
              <a:avLst>
                <a:gd name="adj1" fmla="val 61428"/>
                <a:gd name="adj2" fmla="val 50000"/>
              </a:avLst>
            </a:prstGeom>
            <a:solidFill>
              <a:srgbClr val="99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sp macro="" textlink="">
          <xdr:nvSpPr>
            <xdr:cNvPr id="17" name="25 Elipse">
              <a:extLst>
                <a:ext uri="{FF2B5EF4-FFF2-40B4-BE49-F238E27FC236}">
                  <a16:creationId xmlns:a16="http://schemas.microsoft.com/office/drawing/2014/main" id="{00000000-0008-0000-1200-000011000000}"/>
                </a:ext>
              </a:extLst>
            </xdr:cNvPr>
            <xdr:cNvSpPr/>
          </xdr:nvSpPr>
          <xdr:spPr>
            <a:xfrm>
              <a:off x="3381375" y="78924150"/>
              <a:ext cx="180975" cy="180975"/>
            </a:xfrm>
            <a:prstGeom prst="ellipse">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i="0">
                  <a:solidFill>
                    <a:sysClr val="windowText" lastClr="000000"/>
                  </a:solidFill>
                </a:rPr>
                <a:t>4</a:t>
              </a:r>
              <a:endParaRPr lang="es-AR" sz="1100" i="0"/>
            </a:p>
          </xdr:txBody>
        </xdr:sp>
        <xdr:sp macro="" textlink="">
          <xdr:nvSpPr>
            <xdr:cNvPr id="18" name="26 CuadroTexto">
              <a:extLst>
                <a:ext uri="{FF2B5EF4-FFF2-40B4-BE49-F238E27FC236}">
                  <a16:creationId xmlns:a16="http://schemas.microsoft.com/office/drawing/2014/main" id="{00000000-0008-0000-1200-000012000000}"/>
                </a:ext>
              </a:extLst>
            </xdr:cNvPr>
            <xdr:cNvSpPr txBox="1"/>
          </xdr:nvSpPr>
          <xdr:spPr>
            <a:xfrm>
              <a:off x="3667124" y="78819375"/>
              <a:ext cx="2181225" cy="4095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s-AR" sz="1100" i="1">
                  <a:latin typeface="Garamond" panose="02020404030301010803" pitchFamily="18" charset="0"/>
                </a:rPr>
                <a:t>Calculo la depreciación que tendría el Valor de Plaza del Edificio</a:t>
              </a:r>
              <a:r>
                <a:rPr lang="es-AR" sz="1100" i="1" baseline="0">
                  <a:latin typeface="Garamond" panose="02020404030301010803" pitchFamily="18" charset="0"/>
                </a:rPr>
                <a:t> </a:t>
              </a:r>
              <a:r>
                <a:rPr lang="es-AR" sz="1100" i="1">
                  <a:latin typeface="Garamond" panose="02020404030301010803" pitchFamily="18" charset="0"/>
                </a:rPr>
                <a:t>con 35 años de vida útil. Da </a:t>
              </a:r>
              <a:r>
                <a:rPr lang="es-AR" sz="1100" b="1" i="1">
                  <a:latin typeface="Garamond" panose="02020404030301010803" pitchFamily="18" charset="0"/>
                </a:rPr>
                <a:t>$3.600</a:t>
              </a:r>
              <a:r>
                <a:rPr lang="es-AR" sz="1100" i="1">
                  <a:latin typeface="Garamond" panose="02020404030301010803" pitchFamily="18" charset="0"/>
                </a:rPr>
                <a:t>.</a:t>
              </a:r>
            </a:p>
          </xdr:txBody>
        </xdr:sp>
      </xdr:grpSp>
      <xdr:grpSp>
        <xdr:nvGrpSpPr>
          <xdr:cNvPr id="11" name="27 Grupo">
            <a:extLst>
              <a:ext uri="{FF2B5EF4-FFF2-40B4-BE49-F238E27FC236}">
                <a16:creationId xmlns:a16="http://schemas.microsoft.com/office/drawing/2014/main" id="{00000000-0008-0000-1200-00000B000000}"/>
              </a:ext>
            </a:extLst>
          </xdr:cNvPr>
          <xdr:cNvGrpSpPr/>
        </xdr:nvGrpSpPr>
        <xdr:grpSpPr>
          <a:xfrm>
            <a:off x="2695574" y="81105375"/>
            <a:ext cx="3057526" cy="546201"/>
            <a:chOff x="3267074" y="78819375"/>
            <a:chExt cx="2581275" cy="546201"/>
          </a:xfrm>
        </xdr:grpSpPr>
        <xdr:sp macro="" textlink="">
          <xdr:nvSpPr>
            <xdr:cNvPr id="13" name="28 Flecha a la derecha con muesca">
              <a:extLst>
                <a:ext uri="{FF2B5EF4-FFF2-40B4-BE49-F238E27FC236}">
                  <a16:creationId xmlns:a16="http://schemas.microsoft.com/office/drawing/2014/main" id="{00000000-0008-0000-1200-00000D000000}"/>
                </a:ext>
              </a:extLst>
            </xdr:cNvPr>
            <xdr:cNvSpPr/>
          </xdr:nvSpPr>
          <xdr:spPr>
            <a:xfrm>
              <a:off x="3267074" y="78828900"/>
              <a:ext cx="390525" cy="379677"/>
            </a:xfrm>
            <a:prstGeom prst="notchedRightArrow">
              <a:avLst>
                <a:gd name="adj1" fmla="val 61428"/>
                <a:gd name="adj2" fmla="val 50000"/>
              </a:avLst>
            </a:prstGeom>
            <a:solidFill>
              <a:srgbClr val="99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sp macro="" textlink="">
          <xdr:nvSpPr>
            <xdr:cNvPr id="14" name="29 Elipse">
              <a:extLst>
                <a:ext uri="{FF2B5EF4-FFF2-40B4-BE49-F238E27FC236}">
                  <a16:creationId xmlns:a16="http://schemas.microsoft.com/office/drawing/2014/main" id="{00000000-0008-0000-1200-00000E000000}"/>
                </a:ext>
              </a:extLst>
            </xdr:cNvPr>
            <xdr:cNvSpPr/>
          </xdr:nvSpPr>
          <xdr:spPr>
            <a:xfrm>
              <a:off x="3381375" y="78924150"/>
              <a:ext cx="180975" cy="180975"/>
            </a:xfrm>
            <a:prstGeom prst="ellipse">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AR" sz="1100" b="1" i="0">
                  <a:solidFill>
                    <a:sysClr val="windowText" lastClr="000000"/>
                  </a:solidFill>
                </a:rPr>
                <a:t>5</a:t>
              </a:r>
              <a:endParaRPr lang="es-AR" sz="1100" i="0"/>
            </a:p>
          </xdr:txBody>
        </xdr:sp>
        <xdr:sp macro="" textlink="">
          <xdr:nvSpPr>
            <xdr:cNvPr id="15" name="30 CuadroTexto">
              <a:extLst>
                <a:ext uri="{FF2B5EF4-FFF2-40B4-BE49-F238E27FC236}">
                  <a16:creationId xmlns:a16="http://schemas.microsoft.com/office/drawing/2014/main" id="{00000000-0008-0000-1200-00000F000000}"/>
                </a:ext>
              </a:extLst>
            </xdr:cNvPr>
            <xdr:cNvSpPr txBox="1"/>
          </xdr:nvSpPr>
          <xdr:spPr>
            <a:xfrm>
              <a:off x="3667124" y="78819375"/>
              <a:ext cx="2181225" cy="54620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s-AR" sz="1100" i="1">
                  <a:latin typeface="Garamond" panose="02020404030301010803" pitchFamily="18" charset="0"/>
                </a:rPr>
                <a:t>La diferencia entre la depreciación contable y la depreciación calculada en el punto (4) es la variación del mayor valor.</a:t>
              </a:r>
              <a:r>
                <a:rPr lang="es-AR" sz="1100" i="1" baseline="0">
                  <a:latin typeface="Garamond" panose="02020404030301010803" pitchFamily="18" charset="0"/>
                </a:rPr>
                <a:t> O sea 3.600-2.400 = </a:t>
              </a:r>
              <a:r>
                <a:rPr lang="es-AR" sz="1100" b="1" i="1" baseline="0">
                  <a:latin typeface="Garamond" panose="02020404030301010803" pitchFamily="18" charset="0"/>
                </a:rPr>
                <a:t>1.200</a:t>
              </a:r>
              <a:r>
                <a:rPr lang="es-AR" sz="1100" i="1" baseline="0">
                  <a:latin typeface="Garamond" panose="02020404030301010803" pitchFamily="18" charset="0"/>
                </a:rPr>
                <a:t>.</a:t>
              </a:r>
              <a:endParaRPr lang="es-AR" sz="1100" i="1">
                <a:latin typeface="Garamond" panose="02020404030301010803" pitchFamily="18" charset="0"/>
              </a:endParaRPr>
            </a:p>
          </xdr:txBody>
        </xdr:sp>
      </xdr:grpSp>
      <xdr:sp macro="" textlink="">
        <xdr:nvSpPr>
          <xdr:cNvPr id="12" name="31 CuadroTexto">
            <a:extLst>
              <a:ext uri="{FF2B5EF4-FFF2-40B4-BE49-F238E27FC236}">
                <a16:creationId xmlns:a16="http://schemas.microsoft.com/office/drawing/2014/main" id="{00000000-0008-0000-1200-00000C000000}"/>
              </a:ext>
            </a:extLst>
          </xdr:cNvPr>
          <xdr:cNvSpPr txBox="1"/>
        </xdr:nvSpPr>
        <xdr:spPr>
          <a:xfrm>
            <a:off x="2914650" y="78743175"/>
            <a:ext cx="1205586" cy="243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AR" sz="1050" b="0" i="1" u="sng">
                <a:latin typeface="Garamond" panose="02020404030301010803" pitchFamily="18" charset="0"/>
              </a:rPr>
              <a:t>Explicación del cálculo</a:t>
            </a:r>
          </a:p>
        </xdr:txBody>
      </xdr:sp>
    </xdr:grpSp>
    <xdr:clientData/>
  </xdr:twoCellAnchor>
  <xdr:twoCellAnchor editAs="oneCell">
    <xdr:from>
      <xdr:col>0</xdr:col>
      <xdr:colOff>0</xdr:colOff>
      <xdr:row>71</xdr:row>
      <xdr:rowOff>38099</xdr:rowOff>
    </xdr:from>
    <xdr:to>
      <xdr:col>16</xdr:col>
      <xdr:colOff>0</xdr:colOff>
      <xdr:row>80</xdr:row>
      <xdr:rowOff>57150</xdr:rowOff>
    </xdr:to>
    <xdr:pic>
      <xdr:nvPicPr>
        <xdr:cNvPr id="28" name="35 Imagen">
          <a:extLst>
            <a:ext uri="{FF2B5EF4-FFF2-40B4-BE49-F238E27FC236}">
              <a16:creationId xmlns:a16="http://schemas.microsoft.com/office/drawing/2014/main" id="{00000000-0008-0000-1200-00001C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07" r="1823"/>
        <a:stretch/>
      </xdr:blipFill>
      <xdr:spPr bwMode="auto">
        <a:xfrm>
          <a:off x="0" y="13582649"/>
          <a:ext cx="5876925" cy="1733551"/>
        </a:xfrm>
        <a:prstGeom prst="rect">
          <a:avLst/>
        </a:prstGeom>
        <a:noFill/>
        <a:ln>
          <a:noFill/>
        </a:ln>
        <a:extLst>
          <a:ext uri="{53640926-AAD7-44D8-BBD7-CCE9431645EC}">
            <a14:shadowObscured xmlns:a14="http://schemas.microsoft.com/office/drawing/2010/main"/>
          </a:ext>
        </a:extLst>
      </xdr:spPr>
    </xdr:pic>
    <xdr:clientData/>
  </xdr:twoCellAnchor>
  <xdr:twoCellAnchor>
    <xdr:from>
      <xdr:col>3</xdr:col>
      <xdr:colOff>152399</xdr:colOff>
      <xdr:row>170</xdr:row>
      <xdr:rowOff>180973</xdr:rowOff>
    </xdr:from>
    <xdr:to>
      <xdr:col>4</xdr:col>
      <xdr:colOff>28575</xdr:colOff>
      <xdr:row>173</xdr:row>
      <xdr:rowOff>38100</xdr:rowOff>
    </xdr:to>
    <xdr:sp macro="" textlink="">
      <xdr:nvSpPr>
        <xdr:cNvPr id="29" name="1 Flecha doblada">
          <a:extLst>
            <a:ext uri="{FF2B5EF4-FFF2-40B4-BE49-F238E27FC236}">
              <a16:creationId xmlns:a16="http://schemas.microsoft.com/office/drawing/2014/main" id="{00000000-0008-0000-1200-00001D000000}"/>
            </a:ext>
          </a:extLst>
        </xdr:cNvPr>
        <xdr:cNvSpPr/>
      </xdr:nvSpPr>
      <xdr:spPr>
        <a:xfrm flipV="1">
          <a:off x="971549" y="31518223"/>
          <a:ext cx="266701" cy="428627"/>
        </a:xfrm>
        <a:prstGeom prst="bentArrow">
          <a:avLst>
            <a:gd name="adj1" fmla="val 25000"/>
            <a:gd name="adj2" fmla="val 35714"/>
            <a:gd name="adj3" fmla="val 25000"/>
            <a:gd name="adj4" fmla="val 43750"/>
          </a:avLst>
        </a:prstGeom>
        <a:solidFill>
          <a:schemeClr val="accent5">
            <a:lumMod val="60000"/>
            <a:lumOff val="4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8</xdr:col>
      <xdr:colOff>19049</xdr:colOff>
      <xdr:row>183</xdr:row>
      <xdr:rowOff>190498</xdr:rowOff>
    </xdr:from>
    <xdr:to>
      <xdr:col>8</xdr:col>
      <xdr:colOff>285750</xdr:colOff>
      <xdr:row>186</xdr:row>
      <xdr:rowOff>47625</xdr:rowOff>
    </xdr:to>
    <xdr:sp macro="" textlink="">
      <xdr:nvSpPr>
        <xdr:cNvPr id="30" name="36 Flecha doblada">
          <a:extLst>
            <a:ext uri="{FF2B5EF4-FFF2-40B4-BE49-F238E27FC236}">
              <a16:creationId xmlns:a16="http://schemas.microsoft.com/office/drawing/2014/main" id="{00000000-0008-0000-1200-00001E000000}"/>
            </a:ext>
          </a:extLst>
        </xdr:cNvPr>
        <xdr:cNvSpPr/>
      </xdr:nvSpPr>
      <xdr:spPr>
        <a:xfrm flipV="1">
          <a:off x="2790824" y="34032823"/>
          <a:ext cx="266701" cy="428627"/>
        </a:xfrm>
        <a:prstGeom prst="bentArrow">
          <a:avLst>
            <a:gd name="adj1" fmla="val 25000"/>
            <a:gd name="adj2" fmla="val 35714"/>
            <a:gd name="adj3" fmla="val 25000"/>
            <a:gd name="adj4" fmla="val 43750"/>
          </a:avLst>
        </a:prstGeom>
        <a:solidFill>
          <a:schemeClr val="accent5">
            <a:lumMod val="60000"/>
            <a:lumOff val="4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351558</xdr:colOff>
      <xdr:row>246</xdr:row>
      <xdr:rowOff>188929</xdr:rowOff>
    </xdr:from>
    <xdr:to>
      <xdr:col>7</xdr:col>
      <xdr:colOff>161925</xdr:colOff>
      <xdr:row>249</xdr:row>
      <xdr:rowOff>19484</xdr:rowOff>
    </xdr:to>
    <xdr:sp macro="" textlink="">
      <xdr:nvSpPr>
        <xdr:cNvPr id="2" name="2 Flecha doblada">
          <a:extLst>
            <a:ext uri="{FF2B5EF4-FFF2-40B4-BE49-F238E27FC236}">
              <a16:creationId xmlns:a16="http://schemas.microsoft.com/office/drawing/2014/main" id="{00000000-0008-0000-1500-000002000000}"/>
            </a:ext>
          </a:extLst>
        </xdr:cNvPr>
        <xdr:cNvSpPr/>
      </xdr:nvSpPr>
      <xdr:spPr>
        <a:xfrm flipV="1">
          <a:off x="2342283" y="56634079"/>
          <a:ext cx="200892" cy="411580"/>
        </a:xfrm>
        <a:prstGeom prst="bentArrow">
          <a:avLst>
            <a:gd name="adj1" fmla="val 21491"/>
            <a:gd name="adj2" fmla="val 25000"/>
            <a:gd name="adj3" fmla="val 25000"/>
            <a:gd name="adj4" fmla="val 4375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684440</xdr:colOff>
      <xdr:row>0</xdr:row>
      <xdr:rowOff>133350</xdr:rowOff>
    </xdr:from>
    <xdr:to>
      <xdr:col>8</xdr:col>
      <xdr:colOff>762000</xdr:colOff>
      <xdr:row>2</xdr:row>
      <xdr:rowOff>174171</xdr:rowOff>
    </xdr:to>
    <xdr:sp macro="" textlink="">
      <xdr:nvSpPr>
        <xdr:cNvPr id="2" name="4 Rectángulo">
          <a:extLst>
            <a:ext uri="{FF2B5EF4-FFF2-40B4-BE49-F238E27FC236}">
              <a16:creationId xmlns:a16="http://schemas.microsoft.com/office/drawing/2014/main" id="{00000000-0008-0000-1700-000002000000}"/>
            </a:ext>
          </a:extLst>
        </xdr:cNvPr>
        <xdr:cNvSpPr/>
      </xdr:nvSpPr>
      <xdr:spPr>
        <a:xfrm>
          <a:off x="6085115" y="133350"/>
          <a:ext cx="1553935" cy="450396"/>
        </a:xfrm>
        <a:prstGeom prst="rect">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effectLst/>
          </a:endParaRPr>
        </a:p>
      </xdr:txBody>
    </xdr:sp>
    <xdr:clientData/>
  </xdr:twoCellAnchor>
  <xdr:twoCellAnchor editAs="oneCell">
    <xdr:from>
      <xdr:col>7</xdr:col>
      <xdr:colOff>843642</xdr:colOff>
      <xdr:row>0</xdr:row>
      <xdr:rowOff>187778</xdr:rowOff>
    </xdr:from>
    <xdr:to>
      <xdr:col>8</xdr:col>
      <xdr:colOff>334735</xdr:colOff>
      <xdr:row>2</xdr:row>
      <xdr:rowOff>113588</xdr:rowOff>
    </xdr:to>
    <xdr:pic>
      <xdr:nvPicPr>
        <xdr:cNvPr id="3" name="1 Imagen" descr="https://upload.wikimedia.org/wikipedia/commons/thumb/3/31/Logo_Banco_Galicia.svg/2000px-Logo_Banco_Galicia.svg.png">
          <a:extLst>
            <a:ext uri="{FF2B5EF4-FFF2-40B4-BE49-F238E27FC236}">
              <a16:creationId xmlns:a16="http://schemas.microsoft.com/office/drawing/2014/main" id="{00000000-0008-0000-17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44317" y="187778"/>
          <a:ext cx="1157968" cy="335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276226</xdr:colOff>
      <xdr:row>2</xdr:row>
      <xdr:rowOff>69453</xdr:rowOff>
    </xdr:from>
    <xdr:to>
      <xdr:col>1</xdr:col>
      <xdr:colOff>885825</xdr:colOff>
      <xdr:row>4</xdr:row>
      <xdr:rowOff>152638</xdr:rowOff>
    </xdr:to>
    <xdr:pic>
      <xdr:nvPicPr>
        <xdr:cNvPr id="4" name="3 Imagen" descr="http://turismo.corrientes.gob.ar/assets/articulos/2649/detalle/10360840CHMBya2015.jpg?1423334587">
          <a:extLst>
            <a:ext uri="{FF2B5EF4-FFF2-40B4-BE49-F238E27FC236}">
              <a16:creationId xmlns:a16="http://schemas.microsoft.com/office/drawing/2014/main" id="{00000000-0008-0000-1700-000004000000}"/>
            </a:ext>
          </a:extLst>
        </xdr:cNvPr>
        <xdr:cNvPicPr>
          <a:picLocks noChangeAspect="1" noChangeArrowheads="1"/>
        </xdr:cNvPicPr>
      </xdr:nvPicPr>
      <xdr:blipFill rotWithShape="1">
        <a:blip xmlns:r="http://schemas.openxmlformats.org/officeDocument/2006/relationships" r:embed="rId2" cstate="print">
          <a:duotone>
            <a:schemeClr val="accent5">
              <a:shade val="45000"/>
              <a:satMod val="135000"/>
            </a:schemeClr>
            <a:prstClr val="white"/>
          </a:duotone>
          <a:extLst>
            <a:ext uri="{BEBA8EAE-BF5A-486C-A8C5-ECC9F3942E4B}">
              <a14:imgProps xmlns:a14="http://schemas.microsoft.com/office/drawing/2010/main">
                <a14:imgLayer r:embed="rId3">
                  <a14:imgEffect>
                    <a14:backgroundRemoval t="0" b="81500" l="0" r="100000">
                      <a14:foregroundMark x1="3167" y1="71833" x2="3167" y2="71833"/>
                      <a14:foregroundMark x1="16667" y1="70000" x2="16667" y2="70000"/>
                      <a14:foregroundMark x1="35500" y1="72167" x2="35500" y2="72167"/>
                      <a14:foregroundMark x1="41333" y1="71833" x2="41333" y2="71833"/>
                      <a14:foregroundMark x1="58667" y1="75833" x2="58667" y2="75833"/>
                      <a14:foregroundMark x1="70000" y1="73500" x2="70000" y2="73500"/>
                      <a14:foregroundMark x1="88833" y1="73167" x2="88833" y2="73167"/>
                      <a14:foregroundMark x1="94500" y1="63000" x2="94500" y2="63000"/>
                      <a14:foregroundMark x1="46333" y1="49000" x2="46333" y2="49000"/>
                      <a14:foregroundMark x1="62000" y1="54833" x2="62000" y2="54833"/>
                      <a14:foregroundMark x1="63500" y1="24000" x2="63500" y2="24000"/>
                      <a14:foregroundMark x1="68833" y1="25667" x2="68833" y2="25667"/>
                      <a14:foregroundMark x1="72500" y1="29333" x2="72500" y2="29333"/>
                      <a14:foregroundMark x1="77833" y1="33000" x2="77833" y2="33000"/>
                      <a14:foregroundMark x1="81833" y1="37000" x2="81833" y2="37000"/>
                      <a14:foregroundMark x1="86167" y1="42500" x2="86167" y2="42500"/>
                      <a14:foregroundMark x1="84000" y1="43500" x2="77167" y2="44333"/>
                      <a14:foregroundMark x1="77500" y1="39833" x2="70000" y2="43500"/>
                      <a14:foregroundMark x1="68833" y1="46833" x2="78167" y2="44167"/>
                      <a14:foregroundMark x1="78333" y1="32667" x2="68833" y2="40667"/>
                      <a14:foregroundMark x1="74000" y1="28667" x2="65167" y2="40167"/>
                      <a14:foregroundMark x1="70000" y1="25333" x2="63000" y2="37333"/>
                      <a14:foregroundMark x1="64167" y1="21833" x2="59833" y2="35833"/>
                      <a14:foregroundMark x1="31833" y1="11333" x2="31833" y2="11333"/>
                      <a14:foregroundMark x1="28333" y1="11000" x2="37000" y2="7000"/>
                      <a14:foregroundMark x1="87000" y1="50833" x2="68500" y2="50333"/>
                      <a14:backgroundMark x1="14167" y1="22833" x2="14167" y2="22833"/>
                      <a14:backgroundMark x1="7167" y1="10833" x2="5833" y2="54000"/>
                      <a14:backgroundMark x1="15500" y1="56833" x2="48167" y2="63167"/>
                      <a14:backgroundMark x1="44167" y1="29833" x2="42667" y2="41333"/>
                      <a14:backgroundMark x1="41000" y1="19167" x2="40167" y2="21333"/>
                      <a14:backgroundMark x1="46833" y1="22500" x2="46833" y2="22500"/>
                      <a14:backgroundMark x1="33000" y1="75833" x2="33000" y2="75833"/>
                    </a14:backgroundRemoval>
                  </a14:imgEffect>
                </a14:imgLayer>
              </a14:imgProps>
            </a:ext>
            <a:ext uri="{28A0092B-C50C-407E-A947-70E740481C1C}">
              <a14:useLocalDpi xmlns:a14="http://schemas.microsoft.com/office/drawing/2010/main" val="0"/>
            </a:ext>
          </a:extLst>
        </a:blip>
        <a:srcRect b="19167"/>
        <a:stretch/>
      </xdr:blipFill>
      <xdr:spPr bwMode="auto">
        <a:xfrm>
          <a:off x="504826" y="479028"/>
          <a:ext cx="609599" cy="492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176211</xdr:colOff>
      <xdr:row>695</xdr:row>
      <xdr:rowOff>161925</xdr:rowOff>
    </xdr:from>
    <xdr:to>
      <xdr:col>16</xdr:col>
      <xdr:colOff>57150</xdr:colOff>
      <xdr:row>698</xdr:row>
      <xdr:rowOff>19050</xdr:rowOff>
    </xdr:to>
    <xdr:sp macro="" textlink="">
      <xdr:nvSpPr>
        <xdr:cNvPr id="2" name="1 CuadroTexto">
          <a:extLst>
            <a:ext uri="{FF2B5EF4-FFF2-40B4-BE49-F238E27FC236}">
              <a16:creationId xmlns:a16="http://schemas.microsoft.com/office/drawing/2014/main" id="{00000000-0008-0000-1A00-000002000000}"/>
            </a:ext>
          </a:extLst>
        </xdr:cNvPr>
        <xdr:cNvSpPr txBox="1"/>
      </xdr:nvSpPr>
      <xdr:spPr>
        <a:xfrm>
          <a:off x="2395536" y="132264150"/>
          <a:ext cx="337661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i="1">
              <a:latin typeface="Garamond" panose="02020404030301010803" pitchFamily="18" charset="0"/>
            </a:rPr>
            <a:t>El único aspecto</a:t>
          </a:r>
          <a:r>
            <a:rPr lang="es-AR" sz="1100" i="1" baseline="0">
              <a:latin typeface="Garamond" panose="02020404030301010803" pitchFamily="18" charset="0"/>
            </a:rPr>
            <a:t> del E.F.E. que cambia al ser armado por el método directo son las </a:t>
          </a:r>
          <a:r>
            <a:rPr lang="es-AR" sz="1100" b="1" i="1" baseline="0">
              <a:latin typeface="Garamond" panose="02020404030301010803" pitchFamily="18" charset="0"/>
            </a:rPr>
            <a:t>Actividades Operativas</a:t>
          </a:r>
          <a:r>
            <a:rPr lang="es-AR" sz="1100" i="1" baseline="0">
              <a:latin typeface="Garamond" panose="02020404030301010803" pitchFamily="18" charset="0"/>
            </a:rPr>
            <a:t>. </a:t>
          </a:r>
          <a:endParaRPr lang="es-AR" sz="1100" i="1">
            <a:latin typeface="Garamond" panose="02020404030301010803" pitchFamily="18" charset="0"/>
          </a:endParaRPr>
        </a:p>
      </xdr:txBody>
    </xdr:sp>
    <xdr:clientData/>
  </xdr:twoCellAnchor>
  <xdr:twoCellAnchor>
    <xdr:from>
      <xdr:col>6</xdr:col>
      <xdr:colOff>219075</xdr:colOff>
      <xdr:row>696</xdr:row>
      <xdr:rowOff>57149</xdr:rowOff>
    </xdr:from>
    <xdr:to>
      <xdr:col>7</xdr:col>
      <xdr:colOff>133350</xdr:colOff>
      <xdr:row>697</xdr:row>
      <xdr:rowOff>161924</xdr:rowOff>
    </xdr:to>
    <xdr:sp macro="" textlink="">
      <xdr:nvSpPr>
        <xdr:cNvPr id="3" name="2 Flecha doblada">
          <a:extLst>
            <a:ext uri="{FF2B5EF4-FFF2-40B4-BE49-F238E27FC236}">
              <a16:creationId xmlns:a16="http://schemas.microsoft.com/office/drawing/2014/main" id="{00000000-0008-0000-1A00-000003000000}"/>
            </a:ext>
          </a:extLst>
        </xdr:cNvPr>
        <xdr:cNvSpPr/>
      </xdr:nvSpPr>
      <xdr:spPr>
        <a:xfrm flipV="1">
          <a:off x="2047875" y="132349874"/>
          <a:ext cx="304800" cy="295275"/>
        </a:xfrm>
        <a:prstGeom prst="ben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7</xdr:col>
      <xdr:colOff>176211</xdr:colOff>
      <xdr:row>741</xdr:row>
      <xdr:rowOff>161925</xdr:rowOff>
    </xdr:from>
    <xdr:to>
      <xdr:col>16</xdr:col>
      <xdr:colOff>57150</xdr:colOff>
      <xdr:row>744</xdr:row>
      <xdr:rowOff>19050</xdr:rowOff>
    </xdr:to>
    <xdr:sp macro="" textlink="">
      <xdr:nvSpPr>
        <xdr:cNvPr id="4" name="3 CuadroTexto">
          <a:extLst>
            <a:ext uri="{FF2B5EF4-FFF2-40B4-BE49-F238E27FC236}">
              <a16:creationId xmlns:a16="http://schemas.microsoft.com/office/drawing/2014/main" id="{00000000-0008-0000-1A00-000004000000}"/>
            </a:ext>
          </a:extLst>
        </xdr:cNvPr>
        <xdr:cNvSpPr txBox="1"/>
      </xdr:nvSpPr>
      <xdr:spPr>
        <a:xfrm>
          <a:off x="2395536" y="141341475"/>
          <a:ext cx="337661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i="1">
              <a:latin typeface="Garamond" panose="02020404030301010803" pitchFamily="18" charset="0"/>
            </a:rPr>
            <a:t>El único aspecto</a:t>
          </a:r>
          <a:r>
            <a:rPr lang="es-AR" sz="1100" i="1" baseline="0">
              <a:latin typeface="Garamond" panose="02020404030301010803" pitchFamily="18" charset="0"/>
            </a:rPr>
            <a:t> del E.F.E. que cambia al ser armado por el método directo son las </a:t>
          </a:r>
          <a:r>
            <a:rPr lang="es-AR" sz="1100" b="1" i="1" baseline="0">
              <a:latin typeface="Garamond" panose="02020404030301010803" pitchFamily="18" charset="0"/>
            </a:rPr>
            <a:t>Actividades Operativas</a:t>
          </a:r>
          <a:r>
            <a:rPr lang="es-AR" sz="1100" i="1" baseline="0">
              <a:latin typeface="Garamond" panose="02020404030301010803" pitchFamily="18" charset="0"/>
            </a:rPr>
            <a:t>. </a:t>
          </a:r>
          <a:endParaRPr lang="es-AR" sz="1100" i="1">
            <a:latin typeface="Garamond" panose="02020404030301010803" pitchFamily="18" charset="0"/>
          </a:endParaRPr>
        </a:p>
      </xdr:txBody>
    </xdr:sp>
    <xdr:clientData/>
  </xdr:twoCellAnchor>
  <xdr:twoCellAnchor>
    <xdr:from>
      <xdr:col>6</xdr:col>
      <xdr:colOff>219075</xdr:colOff>
      <xdr:row>742</xdr:row>
      <xdr:rowOff>57149</xdr:rowOff>
    </xdr:from>
    <xdr:to>
      <xdr:col>7</xdr:col>
      <xdr:colOff>133350</xdr:colOff>
      <xdr:row>743</xdr:row>
      <xdr:rowOff>161924</xdr:rowOff>
    </xdr:to>
    <xdr:sp macro="" textlink="">
      <xdr:nvSpPr>
        <xdr:cNvPr id="5" name="4 Flecha doblada">
          <a:extLst>
            <a:ext uri="{FF2B5EF4-FFF2-40B4-BE49-F238E27FC236}">
              <a16:creationId xmlns:a16="http://schemas.microsoft.com/office/drawing/2014/main" id="{00000000-0008-0000-1A00-000005000000}"/>
            </a:ext>
          </a:extLst>
        </xdr:cNvPr>
        <xdr:cNvSpPr/>
      </xdr:nvSpPr>
      <xdr:spPr>
        <a:xfrm flipV="1">
          <a:off x="2047875" y="141427199"/>
          <a:ext cx="304800" cy="295275"/>
        </a:xfrm>
        <a:prstGeom prst="ben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solidFill>
              <a:schemeClr val="tx1"/>
            </a:solidFill>
          </a:endParaRPr>
        </a:p>
      </xdr:txBody>
    </xdr:sp>
    <xdr:clientData/>
  </xdr:twoCellAnchor>
  <xdr:twoCellAnchor>
    <xdr:from>
      <xdr:col>11</xdr:col>
      <xdr:colOff>0</xdr:colOff>
      <xdr:row>612</xdr:row>
      <xdr:rowOff>166688</xdr:rowOff>
    </xdr:from>
    <xdr:to>
      <xdr:col>12</xdr:col>
      <xdr:colOff>1853</xdr:colOff>
      <xdr:row>614</xdr:row>
      <xdr:rowOff>11909</xdr:rowOff>
    </xdr:to>
    <xdr:pic>
      <xdr:nvPicPr>
        <xdr:cNvPr id="6" name="Picture 224">
          <a:extLst>
            <a:ext uri="{FF2B5EF4-FFF2-40B4-BE49-F238E27FC236}">
              <a16:creationId xmlns:a16="http://schemas.microsoft.com/office/drawing/2014/main" id="{00000000-0008-0000-1A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91000" y="115788282"/>
          <a:ext cx="394759" cy="392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xdr:colOff>
      <xdr:row>612</xdr:row>
      <xdr:rowOff>166688</xdr:rowOff>
    </xdr:from>
    <xdr:to>
      <xdr:col>13</xdr:col>
      <xdr:colOff>1854</xdr:colOff>
      <xdr:row>614</xdr:row>
      <xdr:rowOff>11909</xdr:rowOff>
    </xdr:to>
    <xdr:pic>
      <xdr:nvPicPr>
        <xdr:cNvPr id="7" name="Picture 200">
          <a:extLst>
            <a:ext uri="{FF2B5EF4-FFF2-40B4-BE49-F238E27FC236}">
              <a16:creationId xmlns:a16="http://schemas.microsoft.com/office/drawing/2014/main" id="{00000000-0008-0000-1A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83907" y="115788282"/>
          <a:ext cx="394760" cy="392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612</xdr:row>
      <xdr:rowOff>166688</xdr:rowOff>
    </xdr:from>
    <xdr:to>
      <xdr:col>14</xdr:col>
      <xdr:colOff>4493</xdr:colOff>
      <xdr:row>614</xdr:row>
      <xdr:rowOff>11909</xdr:rowOff>
    </xdr:to>
    <xdr:pic>
      <xdr:nvPicPr>
        <xdr:cNvPr id="8" name="Picture 199">
          <a:extLst>
            <a:ext uri="{FF2B5EF4-FFF2-40B4-BE49-F238E27FC236}">
              <a16:creationId xmlns:a16="http://schemas.microsoft.com/office/drawing/2014/main" id="{00000000-0008-0000-1A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6813" y="115788282"/>
          <a:ext cx="385493" cy="392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612</xdr:row>
      <xdr:rowOff>166688</xdr:rowOff>
    </xdr:from>
    <xdr:to>
      <xdr:col>15</xdr:col>
      <xdr:colOff>4493</xdr:colOff>
      <xdr:row>614</xdr:row>
      <xdr:rowOff>11909</xdr:rowOff>
    </xdr:to>
    <xdr:pic>
      <xdr:nvPicPr>
        <xdr:cNvPr id="9" name="Picture 225">
          <a:extLst>
            <a:ext uri="{FF2B5EF4-FFF2-40B4-BE49-F238E27FC236}">
              <a16:creationId xmlns:a16="http://schemas.microsoft.com/office/drawing/2014/main" id="{00000000-0008-0000-1A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357813" y="115788282"/>
          <a:ext cx="385493" cy="392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380998</xdr:colOff>
      <xdr:row>612</xdr:row>
      <xdr:rowOff>166687</xdr:rowOff>
    </xdr:from>
    <xdr:to>
      <xdr:col>16</xdr:col>
      <xdr:colOff>14998</xdr:colOff>
      <xdr:row>614</xdr:row>
      <xdr:rowOff>15000</xdr:rowOff>
    </xdr:to>
    <xdr:pic>
      <xdr:nvPicPr>
        <xdr:cNvPr id="10" name="Picture 9">
          <a:extLst>
            <a:ext uri="{FF2B5EF4-FFF2-40B4-BE49-F238E27FC236}">
              <a16:creationId xmlns:a16="http://schemas.microsoft.com/office/drawing/2014/main" id="{00000000-0008-0000-1A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57811" y="115788281"/>
          <a:ext cx="396000" cy="396000"/>
        </a:xfrm>
        <a:prstGeom prst="rect">
          <a:avLst/>
        </a:prstGeom>
      </xdr:spPr>
    </xdr:pic>
    <xdr:clientData/>
  </xdr:twoCellAnchor>
  <xdr:oneCellAnchor>
    <xdr:from>
      <xdr:col>2</xdr:col>
      <xdr:colOff>206375</xdr:colOff>
      <xdr:row>857</xdr:row>
      <xdr:rowOff>95250</xdr:rowOff>
    </xdr:from>
    <xdr:ext cx="4997450" cy="7978775"/>
    <xdr:pic>
      <xdr:nvPicPr>
        <xdr:cNvPr id="11" name="Picture 10">
          <a:extLst>
            <a:ext uri="{FF2B5EF4-FFF2-40B4-BE49-F238E27FC236}">
              <a16:creationId xmlns:a16="http://schemas.microsoft.com/office/drawing/2014/main" id="{00000000-0008-0000-1A00-00000B000000}"/>
            </a:ext>
          </a:extLst>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6250" y="161163000"/>
          <a:ext cx="4997450" cy="7978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34</xdr:col>
      <xdr:colOff>2190750</xdr:colOff>
      <xdr:row>3</xdr:row>
      <xdr:rowOff>8931</xdr:rowOff>
    </xdr:from>
    <xdr:ext cx="257175" cy="196185"/>
    <xdr:pic>
      <xdr:nvPicPr>
        <xdr:cNvPr id="2" name="Picture 1" descr="http://static.freepik.com/foto-gratis/elefante-de-color_17-701212533.jpg">
          <a:extLst>
            <a:ext uri="{FF2B5EF4-FFF2-40B4-BE49-F238E27FC236}">
              <a16:creationId xmlns:a16="http://schemas.microsoft.com/office/drawing/2014/main" id="{00000000-0008-0000-1B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47250" y="561381"/>
          <a:ext cx="257175" cy="19618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2057400</xdr:colOff>
      <xdr:row>3</xdr:row>
      <xdr:rowOff>8931</xdr:rowOff>
    </xdr:from>
    <xdr:ext cx="257175" cy="196185"/>
    <xdr:pic>
      <xdr:nvPicPr>
        <xdr:cNvPr id="3" name="Picture 2" descr="http://static.freepik.com/foto-gratis/elefante-de-color_17-701212533.jpg">
          <a:extLst>
            <a:ext uri="{FF2B5EF4-FFF2-40B4-BE49-F238E27FC236}">
              <a16:creationId xmlns:a16="http://schemas.microsoft.com/office/drawing/2014/main" id="{00000000-0008-0000-1B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44300" y="561381"/>
          <a:ext cx="257175" cy="19618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352425</xdr:colOff>
      <xdr:row>2</xdr:row>
      <xdr:rowOff>189906</xdr:rowOff>
    </xdr:from>
    <xdr:ext cx="285750" cy="193010"/>
    <xdr:pic>
      <xdr:nvPicPr>
        <xdr:cNvPr id="4" name="Picture 3" descr="http://static.freepik.com/foto-gratis/elefante-de-color_17-701212533.jpg">
          <a:extLst>
            <a:ext uri="{FF2B5EF4-FFF2-40B4-BE49-F238E27FC236}">
              <a16:creationId xmlns:a16="http://schemas.microsoft.com/office/drawing/2014/main" id="{00000000-0008-0000-1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00525" y="551856"/>
          <a:ext cx="285750" cy="1930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25</xdr:col>
      <xdr:colOff>676275</xdr:colOff>
      <xdr:row>3</xdr:row>
      <xdr:rowOff>8931</xdr:rowOff>
    </xdr:from>
    <xdr:ext cx="301625" cy="196185"/>
    <xdr:pic>
      <xdr:nvPicPr>
        <xdr:cNvPr id="5" name="Picture 4" descr="http://static.freepik.com/foto-gratis/elefante-de-color_17-701212533.jpg">
          <a:extLst>
            <a:ext uri="{FF2B5EF4-FFF2-40B4-BE49-F238E27FC236}">
              <a16:creationId xmlns:a16="http://schemas.microsoft.com/office/drawing/2014/main" id="{00000000-0008-0000-1B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671925" y="561381"/>
          <a:ext cx="301625" cy="19618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2</xdr:col>
      <xdr:colOff>1428758</xdr:colOff>
      <xdr:row>2</xdr:row>
      <xdr:rowOff>170128</xdr:rowOff>
    </xdr:from>
    <xdr:to>
      <xdr:col>2</xdr:col>
      <xdr:colOff>1864527</xdr:colOff>
      <xdr:row>4</xdr:row>
      <xdr:rowOff>178594</xdr:rowOff>
    </xdr:to>
    <xdr:pic>
      <xdr:nvPicPr>
        <xdr:cNvPr id="2" name="Picture 1" descr="http://biojmlorca.blogia.com/upload/externo-070efd9cdad6dd8f5b4bb7808a4d8904.jpg">
          <a:extLst>
            <a:ext uri="{FF2B5EF4-FFF2-40B4-BE49-F238E27FC236}">
              <a16:creationId xmlns:a16="http://schemas.microsoft.com/office/drawing/2014/main" id="{00000000-0008-0000-1C00-000002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337" b="94293" l="4444" r="94568"/>
                  </a14:imgEffect>
                </a14:imgLayer>
              </a14:imgProps>
            </a:ext>
            <a:ext uri="{28A0092B-C50C-407E-A947-70E740481C1C}">
              <a14:useLocalDpi xmlns:a14="http://schemas.microsoft.com/office/drawing/2010/main" val="0"/>
            </a:ext>
          </a:extLst>
        </a:blip>
        <a:srcRect/>
        <a:stretch>
          <a:fillRect/>
        </a:stretch>
      </xdr:blipFill>
      <xdr:spPr bwMode="auto">
        <a:xfrm>
          <a:off x="1726414" y="551128"/>
          <a:ext cx="435769" cy="389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1862140</xdr:colOff>
      <xdr:row>2</xdr:row>
      <xdr:rowOff>172509</xdr:rowOff>
    </xdr:from>
    <xdr:to>
      <xdr:col>11</xdr:col>
      <xdr:colOff>90490</xdr:colOff>
      <xdr:row>4</xdr:row>
      <xdr:rowOff>180975</xdr:rowOff>
    </xdr:to>
    <xdr:pic>
      <xdr:nvPicPr>
        <xdr:cNvPr id="3" name="Picture 2" descr="http://biojmlorca.blogia.com/upload/externo-070efd9cdad6dd8f5b4bb7808a4d8904.jpg">
          <a:extLst>
            <a:ext uri="{FF2B5EF4-FFF2-40B4-BE49-F238E27FC236}">
              <a16:creationId xmlns:a16="http://schemas.microsoft.com/office/drawing/2014/main" id="{00000000-0008-0000-1C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77390" y="553509"/>
          <a:ext cx="428625" cy="389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1962150</xdr:colOff>
      <xdr:row>2</xdr:row>
      <xdr:rowOff>172509</xdr:rowOff>
    </xdr:from>
    <xdr:to>
      <xdr:col>18</xdr:col>
      <xdr:colOff>2390775</xdr:colOff>
      <xdr:row>4</xdr:row>
      <xdr:rowOff>180975</xdr:rowOff>
    </xdr:to>
    <xdr:pic>
      <xdr:nvPicPr>
        <xdr:cNvPr id="4" name="Picture 3" descr="http://biojmlorca.blogia.com/upload/externo-070efd9cdad6dd8f5b4bb7808a4d8904.jpg">
          <a:extLst>
            <a:ext uri="{FF2B5EF4-FFF2-40B4-BE49-F238E27FC236}">
              <a16:creationId xmlns:a16="http://schemas.microsoft.com/office/drawing/2014/main" id="{00000000-0008-0000-1C00-000004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192375" y="553509"/>
          <a:ext cx="428625" cy="389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9525</xdr:colOff>
      <xdr:row>3</xdr:row>
      <xdr:rowOff>29634</xdr:rowOff>
    </xdr:from>
    <xdr:to>
      <xdr:col>25</xdr:col>
      <xdr:colOff>438150</xdr:colOff>
      <xdr:row>5</xdr:row>
      <xdr:rowOff>38100</xdr:rowOff>
    </xdr:to>
    <xdr:pic>
      <xdr:nvPicPr>
        <xdr:cNvPr id="5" name="Picture 4" descr="http://biojmlorca.blogia.com/upload/externo-070efd9cdad6dd8f5b4bb7808a4d8904.jpg">
          <a:extLst>
            <a:ext uri="{FF2B5EF4-FFF2-40B4-BE49-F238E27FC236}">
              <a16:creationId xmlns:a16="http://schemas.microsoft.com/office/drawing/2014/main" id="{00000000-0008-0000-1C00-000005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7337" b="94293" l="4444" r="94568"/>
                  </a14:imgEffect>
                </a14:imgLayer>
              </a14:imgProps>
            </a:ext>
            <a:ext uri="{28A0092B-C50C-407E-A947-70E740481C1C}">
              <a14:useLocalDpi xmlns:a14="http://schemas.microsoft.com/office/drawing/2010/main" val="0"/>
            </a:ext>
          </a:extLst>
        </a:blip>
        <a:srcRect/>
        <a:stretch>
          <a:fillRect/>
        </a:stretch>
      </xdr:blipFill>
      <xdr:spPr bwMode="auto">
        <a:xfrm>
          <a:off x="21793200" y="601134"/>
          <a:ext cx="428625" cy="389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1:L17"/>
  <sheetViews>
    <sheetView showGridLines="0" workbookViewId="0"/>
  </sheetViews>
  <sheetFormatPr baseColWidth="10" defaultColWidth="9.140625" defaultRowHeight="15" x14ac:dyDescent="0.25"/>
  <cols>
    <col min="1" max="1" width="5.140625" style="1421" customWidth="1"/>
    <col min="2" max="2" width="6.42578125" style="1421" customWidth="1"/>
    <col min="3" max="3" width="3.28515625" style="1421" customWidth="1"/>
    <col min="4" max="4" width="16.140625" style="1421" customWidth="1"/>
    <col min="5" max="5" width="52.140625" style="1421" customWidth="1"/>
    <col min="6" max="7" width="1.7109375" style="1421" customWidth="1"/>
    <col min="8" max="8" width="12.28515625" style="1421" customWidth="1"/>
    <col min="9" max="9" width="5.7109375" style="1421" customWidth="1"/>
    <col min="10" max="10" width="2.42578125" style="1421" customWidth="1"/>
    <col min="11" max="11" width="56.28515625" style="1421" bestFit="1" customWidth="1"/>
    <col min="12" max="12" width="4.42578125" style="1421" customWidth="1"/>
    <col min="13" max="16384" width="9.140625" style="1421"/>
  </cols>
  <sheetData>
    <row r="1" spans="2:12" ht="15.75" thickBot="1" x14ac:dyDescent="0.3"/>
    <row r="2" spans="2:12" ht="16.5" thickTop="1" thickBot="1" x14ac:dyDescent="0.3">
      <c r="B2" s="1422"/>
      <c r="C2" s="1423"/>
      <c r="D2" s="1423"/>
      <c r="E2" s="1423"/>
      <c r="F2" s="1423"/>
      <c r="G2" s="1423"/>
      <c r="H2" s="1423"/>
      <c r="I2" s="1423"/>
      <c r="J2" s="1423"/>
      <c r="K2" s="1423"/>
      <c r="L2" s="1424"/>
    </row>
    <row r="3" spans="2:12" ht="15.75" thickBot="1" x14ac:dyDescent="0.3">
      <c r="B3" s="1425"/>
      <c r="C3" s="1839" t="s">
        <v>2267</v>
      </c>
      <c r="D3" s="1840"/>
      <c r="E3" s="1840"/>
      <c r="F3" s="1840"/>
      <c r="G3" s="1840"/>
      <c r="H3" s="1840"/>
      <c r="I3" s="1840"/>
      <c r="J3" s="1840"/>
      <c r="K3" s="1841"/>
      <c r="L3" s="1426"/>
    </row>
    <row r="4" spans="2:12" ht="8.25" customHeight="1" x14ac:dyDescent="0.25">
      <c r="B4" s="1425"/>
      <c r="C4" s="1427"/>
      <c r="D4" s="1427"/>
      <c r="E4" s="1427"/>
      <c r="F4" s="1427"/>
      <c r="G4" s="1427"/>
      <c r="H4" s="1427"/>
      <c r="I4" s="1427"/>
      <c r="J4" s="1427"/>
      <c r="K4" s="1427"/>
      <c r="L4" s="1426"/>
    </row>
    <row r="5" spans="2:12" ht="18" customHeight="1" x14ac:dyDescent="0.25">
      <c r="B5" s="1425"/>
      <c r="C5" s="1427"/>
      <c r="D5" s="1427"/>
      <c r="E5" s="1842"/>
      <c r="F5" s="1433"/>
      <c r="G5" s="1433"/>
      <c r="H5" s="1432" t="s">
        <v>2263</v>
      </c>
      <c r="I5" s="1434" t="s">
        <v>2156</v>
      </c>
      <c r="J5" s="1428" t="s">
        <v>2262</v>
      </c>
      <c r="K5" s="1427" t="s">
        <v>2264</v>
      </c>
      <c r="L5" s="1426"/>
    </row>
    <row r="6" spans="2:12" ht="18" customHeight="1" x14ac:dyDescent="0.25">
      <c r="B6" s="1425"/>
      <c r="C6" s="1427"/>
      <c r="D6" s="1427"/>
      <c r="E6" s="1842"/>
      <c r="F6" s="1433"/>
      <c r="G6" s="1433"/>
      <c r="H6" s="1432" t="s">
        <v>2263</v>
      </c>
      <c r="I6" s="1434" t="s">
        <v>2156</v>
      </c>
      <c r="J6" s="1428" t="s">
        <v>2262</v>
      </c>
      <c r="K6" s="1427" t="s">
        <v>2265</v>
      </c>
      <c r="L6" s="1426"/>
    </row>
    <row r="7" spans="2:12" ht="18" customHeight="1" x14ac:dyDescent="0.25">
      <c r="B7" s="1425"/>
      <c r="C7" s="1427"/>
      <c r="D7" s="1427"/>
      <c r="E7" s="1842"/>
      <c r="F7" s="1433"/>
      <c r="G7" s="1433"/>
      <c r="H7" s="1432" t="s">
        <v>2263</v>
      </c>
      <c r="I7" s="1434" t="s">
        <v>2156</v>
      </c>
      <c r="J7" s="1428" t="s">
        <v>2262</v>
      </c>
      <c r="K7" s="1427" t="s">
        <v>2266</v>
      </c>
      <c r="L7" s="1426"/>
    </row>
    <row r="8" spans="2:12" ht="18" customHeight="1" x14ac:dyDescent="0.25">
      <c r="B8" s="1425"/>
      <c r="C8" s="1427"/>
      <c r="D8" s="1427"/>
      <c r="E8" s="1842"/>
      <c r="F8" s="1433"/>
      <c r="G8" s="1433"/>
      <c r="H8" s="1432" t="s">
        <v>2263</v>
      </c>
      <c r="I8" s="1434" t="s">
        <v>2156</v>
      </c>
      <c r="J8" s="1428" t="s">
        <v>2262</v>
      </c>
      <c r="K8" s="1427" t="s">
        <v>2427</v>
      </c>
      <c r="L8" s="1426"/>
    </row>
    <row r="9" spans="2:12" ht="18" customHeight="1" x14ac:dyDescent="0.25">
      <c r="B9" s="1425"/>
      <c r="C9" s="1427"/>
      <c r="D9" s="1427"/>
      <c r="E9" s="1842"/>
      <c r="F9" s="1433"/>
      <c r="G9" s="1433"/>
      <c r="H9" s="1432" t="s">
        <v>2263</v>
      </c>
      <c r="I9" s="1434" t="s">
        <v>2156</v>
      </c>
      <c r="J9" s="1428" t="s">
        <v>2262</v>
      </c>
      <c r="K9" s="1427" t="s">
        <v>2426</v>
      </c>
      <c r="L9" s="1426"/>
    </row>
    <row r="10" spans="2:12" ht="18" customHeight="1" x14ac:dyDescent="0.25">
      <c r="B10" s="1425"/>
      <c r="C10" s="1427"/>
      <c r="D10" s="1427"/>
      <c r="E10" s="1842"/>
      <c r="F10" s="1433"/>
      <c r="G10" s="1433"/>
      <c r="H10" s="1432" t="s">
        <v>2263</v>
      </c>
      <c r="I10" s="1434" t="s">
        <v>2156</v>
      </c>
      <c r="J10" s="1428" t="s">
        <v>2262</v>
      </c>
      <c r="K10" s="1427" t="s">
        <v>2420</v>
      </c>
      <c r="L10" s="1426"/>
    </row>
    <row r="11" spans="2:12" ht="18" customHeight="1" x14ac:dyDescent="0.25">
      <c r="B11" s="1425"/>
      <c r="C11" s="1427"/>
      <c r="D11" s="1427"/>
      <c r="E11" s="1842"/>
      <c r="F11" s="1433"/>
      <c r="G11" s="1433"/>
      <c r="H11" s="1432" t="s">
        <v>2263</v>
      </c>
      <c r="I11" s="1434" t="s">
        <v>2156</v>
      </c>
      <c r="J11" s="1428" t="s">
        <v>2262</v>
      </c>
      <c r="K11" s="1427" t="s">
        <v>2419</v>
      </c>
      <c r="L11" s="1426"/>
    </row>
    <row r="12" spans="2:12" ht="18" customHeight="1" x14ac:dyDescent="0.25">
      <c r="B12" s="1425"/>
      <c r="C12" s="1427"/>
      <c r="D12" s="1427"/>
      <c r="E12" s="1842"/>
      <c r="F12" s="1433"/>
      <c r="G12" s="1433"/>
      <c r="H12" s="1432" t="s">
        <v>2263</v>
      </c>
      <c r="I12" s="1434" t="s">
        <v>2156</v>
      </c>
      <c r="J12" s="1428" t="s">
        <v>2262</v>
      </c>
      <c r="K12" s="1427" t="s">
        <v>2421</v>
      </c>
      <c r="L12" s="1426"/>
    </row>
    <row r="13" spans="2:12" ht="18" customHeight="1" x14ac:dyDescent="0.25">
      <c r="B13" s="1425"/>
      <c r="C13" s="1427"/>
      <c r="D13" s="1427"/>
      <c r="E13" s="1842"/>
      <c r="F13" s="1433"/>
      <c r="G13" s="1433"/>
      <c r="H13" s="1432" t="s">
        <v>2263</v>
      </c>
      <c r="I13" s="1434" t="s">
        <v>2156</v>
      </c>
      <c r="J13" s="1428" t="s">
        <v>2262</v>
      </c>
      <c r="K13" s="1427" t="s">
        <v>2422</v>
      </c>
      <c r="L13" s="1426"/>
    </row>
    <row r="14" spans="2:12" ht="18" customHeight="1" x14ac:dyDescent="0.25">
      <c r="B14" s="1425"/>
      <c r="C14" s="1427"/>
      <c r="D14" s="1427"/>
      <c r="E14" s="1842"/>
      <c r="F14" s="1433"/>
      <c r="G14" s="1433"/>
      <c r="H14" s="1432" t="s">
        <v>2263</v>
      </c>
      <c r="I14" s="1434" t="s">
        <v>2156</v>
      </c>
      <c r="J14" s="1428" t="s">
        <v>2262</v>
      </c>
      <c r="K14" s="1427" t="s">
        <v>2424</v>
      </c>
      <c r="L14" s="1426"/>
    </row>
    <row r="15" spans="2:12" ht="18" customHeight="1" x14ac:dyDescent="0.25">
      <c r="B15" s="1425"/>
      <c r="C15" s="1427"/>
      <c r="D15" s="1427"/>
      <c r="E15" s="1842"/>
      <c r="F15" s="1433"/>
      <c r="G15" s="1433"/>
      <c r="H15" s="1432" t="s">
        <v>2263</v>
      </c>
      <c r="I15" s="1434" t="s">
        <v>2156</v>
      </c>
      <c r="J15" s="1428" t="s">
        <v>2262</v>
      </c>
      <c r="K15" s="1427" t="s">
        <v>2423</v>
      </c>
      <c r="L15" s="1426"/>
    </row>
    <row r="16" spans="2:12" ht="15.75" thickBot="1" x14ac:dyDescent="0.3">
      <c r="B16" s="1429"/>
      <c r="C16" s="1430"/>
      <c r="D16" s="1430"/>
      <c r="E16" s="1430"/>
      <c r="F16" s="1430"/>
      <c r="G16" s="1430"/>
      <c r="H16" s="1430"/>
      <c r="I16" s="1430"/>
      <c r="J16" s="1430"/>
      <c r="K16" s="1430"/>
      <c r="L16" s="1431"/>
    </row>
    <row r="17" ht="15.75" thickTop="1" x14ac:dyDescent="0.25"/>
  </sheetData>
  <sheetProtection algorithmName="SHA-512" hashValue="BG9YmvcqfFXZOi2T2fgMS+1vcZ6j04XudnnfunUD3BccLDou2ZIBtMAS+xNsDIIEt6PPKK3br825erXXj+OrrA==" saltValue="Q7rCc+Cme24FfmsgKN3s6A==" spinCount="100000" sheet="1" objects="1" scenarios="1"/>
  <mergeCells count="2">
    <mergeCell ref="C3:K3"/>
    <mergeCell ref="E5:E15"/>
  </mergeCells>
  <hyperlinks>
    <hyperlink ref="I5" location="'U2'!A1" display="F" xr:uid="{00000000-0004-0000-0000-000000000000}"/>
    <hyperlink ref="I6" location="'U3'!A1" display="F" xr:uid="{00000000-0004-0000-0000-000001000000}"/>
    <hyperlink ref="I7" location="'U4'!A1" display="F" xr:uid="{00000000-0004-0000-0000-000002000000}"/>
    <hyperlink ref="I8" location="'U5'!A1" display="F" xr:uid="{00000000-0004-0000-0000-000003000000}"/>
    <hyperlink ref="I9" location="'U6'!A1" display="F" xr:uid="{00000000-0004-0000-0000-000004000000}"/>
    <hyperlink ref="I10" location="'U7'!A1" display="F" xr:uid="{00000000-0004-0000-0000-000005000000}"/>
    <hyperlink ref="I11" location="'U8'!A1" display="F" xr:uid="{00000000-0004-0000-0000-000006000000}"/>
    <hyperlink ref="I12" location="'U9'!A1" display="F" xr:uid="{00000000-0004-0000-0000-000007000000}"/>
    <hyperlink ref="I13" location="'U10'!A1" display="F" xr:uid="{00000000-0004-0000-0000-000008000000}"/>
    <hyperlink ref="I14" location="'U11'!A1" display="F" xr:uid="{00000000-0004-0000-0000-000009000000}"/>
    <hyperlink ref="I15" location="'U12'!A1" display="F" xr:uid="{00000000-0004-0000-0000-00000A000000}"/>
  </hyperlink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247"/>
  <sheetViews>
    <sheetView showGridLines="0" view="pageLayout" topLeftCell="A303" zoomScaleNormal="100" workbookViewId="0">
      <selection activeCell="C251" sqref="C251"/>
    </sheetView>
  </sheetViews>
  <sheetFormatPr baseColWidth="10" defaultColWidth="9.140625" defaultRowHeight="15" x14ac:dyDescent="0.25"/>
  <cols>
    <col min="1" max="1" width="1" style="2" customWidth="1"/>
    <col min="2" max="2" width="4.28515625" style="2" bestFit="1" customWidth="1"/>
    <col min="3" max="3" width="28.7109375" style="2" customWidth="1"/>
    <col min="4" max="10" width="8" style="2" customWidth="1"/>
    <col min="11" max="11" width="1.42578125" style="2" customWidth="1"/>
    <col min="12" max="16384" width="9.140625" style="2"/>
  </cols>
  <sheetData>
    <row r="1" spans="1:11" x14ac:dyDescent="0.25">
      <c r="A1" s="4"/>
      <c r="B1" s="4"/>
      <c r="C1" s="4"/>
      <c r="D1" s="4"/>
      <c r="E1" s="4"/>
      <c r="F1" s="4"/>
      <c r="G1" s="4"/>
      <c r="H1" s="4"/>
      <c r="I1" s="4"/>
      <c r="J1" s="4"/>
      <c r="K1" s="4"/>
    </row>
    <row r="2" spans="1:11" x14ac:dyDescent="0.25">
      <c r="A2" s="1844" t="s">
        <v>20</v>
      </c>
      <c r="B2" s="1845"/>
      <c r="C2" s="1845"/>
      <c r="D2" s="1845"/>
      <c r="E2" s="1845"/>
      <c r="F2" s="1845"/>
      <c r="G2" s="1845"/>
      <c r="H2" s="1845"/>
      <c r="I2" s="1845"/>
      <c r="J2" s="1845"/>
      <c r="K2" s="1846"/>
    </row>
    <row r="3" spans="1:11" x14ac:dyDescent="0.25">
      <c r="A3" s="1847" t="s">
        <v>1498</v>
      </c>
      <c r="B3" s="1848"/>
      <c r="C3" s="1848"/>
      <c r="D3" s="1848"/>
      <c r="E3" s="1848"/>
      <c r="F3" s="1848"/>
      <c r="G3" s="1848"/>
      <c r="H3" s="1848"/>
      <c r="I3" s="1848"/>
      <c r="J3" s="1848"/>
      <c r="K3" s="1849"/>
    </row>
    <row r="5" spans="1:11" s="4" customFormat="1" ht="34.5" customHeight="1" x14ac:dyDescent="0.25">
      <c r="B5" s="1046" t="s">
        <v>1376</v>
      </c>
      <c r="C5" s="1046" t="s">
        <v>1497</v>
      </c>
      <c r="D5" s="1861" t="s">
        <v>1496</v>
      </c>
      <c r="E5" s="1871"/>
      <c r="F5" s="1862"/>
      <c r="G5" s="1843" t="s">
        <v>1495</v>
      </c>
      <c r="H5" s="1843"/>
      <c r="I5" s="1843" t="s">
        <v>1494</v>
      </c>
      <c r="J5" s="1843"/>
    </row>
    <row r="6" spans="1:11" s="4" customFormat="1" ht="15" customHeight="1" x14ac:dyDescent="0.25">
      <c r="B6" s="1034">
        <v>1</v>
      </c>
      <c r="C6" s="353" t="s">
        <v>1493</v>
      </c>
      <c r="D6" s="1856" t="s">
        <v>1467</v>
      </c>
      <c r="E6" s="1857"/>
      <c r="F6" s="1858"/>
      <c r="G6" s="1859" t="s">
        <v>1462</v>
      </c>
      <c r="H6" s="1860"/>
      <c r="I6" s="1859" t="s">
        <v>1462</v>
      </c>
      <c r="J6" s="1860"/>
    </row>
    <row r="7" spans="1:11" s="4" customFormat="1" ht="15" customHeight="1" x14ac:dyDescent="0.25">
      <c r="B7" s="1034">
        <v>2</v>
      </c>
      <c r="C7" s="353" t="s">
        <v>1492</v>
      </c>
      <c r="D7" s="1856" t="s">
        <v>1478</v>
      </c>
      <c r="E7" s="1857"/>
      <c r="F7" s="1858"/>
      <c r="G7" s="1859" t="s">
        <v>1462</v>
      </c>
      <c r="H7" s="1860"/>
      <c r="I7" s="1859" t="s">
        <v>1462</v>
      </c>
      <c r="J7" s="1860"/>
    </row>
    <row r="8" spans="1:11" s="4" customFormat="1" ht="15" customHeight="1" x14ac:dyDescent="0.25">
      <c r="B8" s="1034">
        <v>3</v>
      </c>
      <c r="C8" s="353" t="s">
        <v>1491</v>
      </c>
      <c r="D8" s="1856" t="s">
        <v>1467</v>
      </c>
      <c r="E8" s="1857"/>
      <c r="F8" s="1858"/>
      <c r="G8" s="1859" t="s">
        <v>1462</v>
      </c>
      <c r="H8" s="1860"/>
      <c r="I8" s="1859" t="s">
        <v>1462</v>
      </c>
      <c r="J8" s="1860"/>
    </row>
    <row r="9" spans="1:11" s="4" customFormat="1" ht="15" customHeight="1" x14ac:dyDescent="0.25">
      <c r="B9" s="1034">
        <v>4</v>
      </c>
      <c r="C9" s="353" t="s">
        <v>1490</v>
      </c>
      <c r="D9" s="1856" t="s">
        <v>1489</v>
      </c>
      <c r="E9" s="1857"/>
      <c r="F9" s="1858"/>
      <c r="G9" s="1859" t="s">
        <v>1462</v>
      </c>
      <c r="H9" s="1860"/>
      <c r="I9" s="1859" t="s">
        <v>1462</v>
      </c>
      <c r="J9" s="1860"/>
    </row>
    <row r="10" spans="1:11" s="4" customFormat="1" ht="15" customHeight="1" x14ac:dyDescent="0.25">
      <c r="B10" s="1034">
        <v>5</v>
      </c>
      <c r="C10" s="353" t="s">
        <v>1488</v>
      </c>
      <c r="D10" s="1856" t="s">
        <v>1481</v>
      </c>
      <c r="E10" s="1857"/>
      <c r="F10" s="1858"/>
      <c r="G10" s="1859" t="s">
        <v>1462</v>
      </c>
      <c r="H10" s="1860"/>
      <c r="I10" s="1859" t="s">
        <v>1462</v>
      </c>
      <c r="J10" s="1860"/>
    </row>
    <row r="11" spans="1:11" s="4" customFormat="1" ht="15" customHeight="1" x14ac:dyDescent="0.25">
      <c r="B11" s="1034">
        <v>6</v>
      </c>
      <c r="C11" s="353" t="s">
        <v>1487</v>
      </c>
      <c r="D11" s="1856" t="s">
        <v>1474</v>
      </c>
      <c r="E11" s="1857"/>
      <c r="F11" s="1858"/>
      <c r="G11" s="1859" t="s">
        <v>1462</v>
      </c>
      <c r="H11" s="1860"/>
      <c r="I11" s="1859" t="s">
        <v>1462</v>
      </c>
      <c r="J11" s="1860"/>
    </row>
    <row r="12" spans="1:11" s="4" customFormat="1" ht="15" customHeight="1" x14ac:dyDescent="0.25">
      <c r="B12" s="1034">
        <v>7</v>
      </c>
      <c r="C12" s="353" t="s">
        <v>1486</v>
      </c>
      <c r="D12" s="1856" t="s">
        <v>1485</v>
      </c>
      <c r="E12" s="1857"/>
      <c r="F12" s="1858"/>
      <c r="G12" s="1859" t="s">
        <v>806</v>
      </c>
      <c r="H12" s="1860"/>
      <c r="I12" s="1859" t="s">
        <v>1462</v>
      </c>
      <c r="J12" s="1860"/>
    </row>
    <row r="13" spans="1:11" s="4" customFormat="1" ht="15" customHeight="1" x14ac:dyDescent="0.25">
      <c r="B13" s="1034">
        <v>8</v>
      </c>
      <c r="C13" s="353" t="s">
        <v>1484</v>
      </c>
      <c r="D13" s="1856" t="s">
        <v>1476</v>
      </c>
      <c r="E13" s="1857"/>
      <c r="F13" s="1858"/>
      <c r="G13" s="1859" t="s">
        <v>806</v>
      </c>
      <c r="H13" s="1860"/>
      <c r="I13" s="1859" t="s">
        <v>1462</v>
      </c>
      <c r="J13" s="1860"/>
    </row>
    <row r="14" spans="1:11" s="4" customFormat="1" ht="15" customHeight="1" x14ac:dyDescent="0.25">
      <c r="B14" s="1034">
        <v>9</v>
      </c>
      <c r="C14" s="353" t="s">
        <v>1483</v>
      </c>
      <c r="D14" s="1856" t="s">
        <v>1478</v>
      </c>
      <c r="E14" s="1857"/>
      <c r="F14" s="1858"/>
      <c r="G14" s="1859" t="s">
        <v>1462</v>
      </c>
      <c r="H14" s="1860"/>
      <c r="I14" s="1859" t="s">
        <v>1462</v>
      </c>
      <c r="J14" s="1860"/>
    </row>
    <row r="15" spans="1:11" s="4" customFormat="1" ht="15" customHeight="1" x14ac:dyDescent="0.25">
      <c r="B15" s="1034">
        <v>10</v>
      </c>
      <c r="C15" s="353" t="s">
        <v>1482</v>
      </c>
      <c r="D15" s="1856" t="s">
        <v>1481</v>
      </c>
      <c r="E15" s="1857"/>
      <c r="F15" s="1858"/>
      <c r="G15" s="1859" t="s">
        <v>806</v>
      </c>
      <c r="H15" s="1860"/>
      <c r="I15" s="1859" t="s">
        <v>1462</v>
      </c>
      <c r="J15" s="1860"/>
    </row>
    <row r="16" spans="1:11" s="4" customFormat="1" ht="15" customHeight="1" x14ac:dyDescent="0.25">
      <c r="B16" s="1034">
        <v>11</v>
      </c>
      <c r="C16" s="353" t="s">
        <v>1480</v>
      </c>
      <c r="D16" s="1856" t="s">
        <v>1474</v>
      </c>
      <c r="E16" s="1857"/>
      <c r="F16" s="1858"/>
      <c r="G16" s="1859" t="s">
        <v>806</v>
      </c>
      <c r="H16" s="1860"/>
      <c r="I16" s="1859" t="s">
        <v>1462</v>
      </c>
      <c r="J16" s="1860"/>
    </row>
    <row r="17" spans="2:10" s="4" customFormat="1" ht="15" customHeight="1" x14ac:dyDescent="0.25">
      <c r="B17" s="1034">
        <v>12</v>
      </c>
      <c r="C17" s="353" t="s">
        <v>1479</v>
      </c>
      <c r="D17" s="1856" t="s">
        <v>1478</v>
      </c>
      <c r="E17" s="1857"/>
      <c r="F17" s="1858"/>
      <c r="G17" s="1859" t="s">
        <v>1462</v>
      </c>
      <c r="H17" s="1860"/>
      <c r="I17" s="1859" t="s">
        <v>1462</v>
      </c>
      <c r="J17" s="1860"/>
    </row>
    <row r="18" spans="2:10" s="4" customFormat="1" ht="15" customHeight="1" x14ac:dyDescent="0.25">
      <c r="B18" s="1034">
        <v>13</v>
      </c>
      <c r="C18" s="353" t="s">
        <v>1477</v>
      </c>
      <c r="D18" s="1856" t="s">
        <v>1476</v>
      </c>
      <c r="E18" s="1857"/>
      <c r="F18" s="1858"/>
      <c r="G18" s="1859" t="s">
        <v>806</v>
      </c>
      <c r="H18" s="1860"/>
      <c r="I18" s="1859" t="s">
        <v>1462</v>
      </c>
      <c r="J18" s="1860"/>
    </row>
    <row r="19" spans="2:10" s="4" customFormat="1" ht="15" customHeight="1" x14ac:dyDescent="0.25">
      <c r="B19" s="1034">
        <v>14</v>
      </c>
      <c r="C19" s="353" t="s">
        <v>1475</v>
      </c>
      <c r="D19" s="1856" t="s">
        <v>1474</v>
      </c>
      <c r="E19" s="1857"/>
      <c r="F19" s="1858"/>
      <c r="G19" s="1859" t="s">
        <v>1462</v>
      </c>
      <c r="H19" s="1860"/>
      <c r="I19" s="1859" t="s">
        <v>1462</v>
      </c>
      <c r="J19" s="1860"/>
    </row>
    <row r="20" spans="2:10" s="4" customFormat="1" ht="15" customHeight="1" x14ac:dyDescent="0.25">
      <c r="B20" s="1034">
        <v>15</v>
      </c>
      <c r="C20" s="353" t="s">
        <v>1473</v>
      </c>
      <c r="D20" s="1856" t="s">
        <v>1472</v>
      </c>
      <c r="E20" s="1857"/>
      <c r="F20" s="1858"/>
      <c r="G20" s="1859" t="s">
        <v>806</v>
      </c>
      <c r="H20" s="1860"/>
      <c r="I20" s="1859" t="s">
        <v>1462</v>
      </c>
      <c r="J20" s="1860"/>
    </row>
    <row r="21" spans="2:10" s="4" customFormat="1" ht="15" customHeight="1" x14ac:dyDescent="0.25">
      <c r="B21" s="1034">
        <v>16</v>
      </c>
      <c r="C21" s="353" t="s">
        <v>1471</v>
      </c>
      <c r="D21" s="1856" t="s">
        <v>1470</v>
      </c>
      <c r="E21" s="1857"/>
      <c r="F21" s="1858"/>
      <c r="G21" s="1859" t="s">
        <v>806</v>
      </c>
      <c r="H21" s="1860"/>
      <c r="I21" s="1859" t="s">
        <v>1462</v>
      </c>
      <c r="J21" s="1860"/>
    </row>
    <row r="22" spans="2:10" s="4" customFormat="1" ht="15" customHeight="1" x14ac:dyDescent="0.25">
      <c r="B22" s="1034">
        <v>17</v>
      </c>
      <c r="C22" s="353" t="s">
        <v>1469</v>
      </c>
      <c r="D22" s="1856" t="s">
        <v>1467</v>
      </c>
      <c r="E22" s="1857"/>
      <c r="F22" s="1858"/>
      <c r="G22" s="1859" t="s">
        <v>1462</v>
      </c>
      <c r="H22" s="1860"/>
      <c r="I22" s="1859" t="s">
        <v>1462</v>
      </c>
      <c r="J22" s="1860"/>
    </row>
    <row r="23" spans="2:10" s="4" customFormat="1" ht="15" customHeight="1" x14ac:dyDescent="0.25">
      <c r="B23" s="1034">
        <v>18</v>
      </c>
      <c r="C23" s="353" t="s">
        <v>1468</v>
      </c>
      <c r="D23" s="1856" t="s">
        <v>1467</v>
      </c>
      <c r="E23" s="1857"/>
      <c r="F23" s="1858"/>
      <c r="G23" s="1859" t="s">
        <v>1462</v>
      </c>
      <c r="H23" s="1860"/>
      <c r="I23" s="1859" t="s">
        <v>1462</v>
      </c>
      <c r="J23" s="1860"/>
    </row>
    <row r="24" spans="2:10" s="4" customFormat="1" ht="15" customHeight="1" x14ac:dyDescent="0.25">
      <c r="B24" s="1034">
        <v>19</v>
      </c>
      <c r="C24" s="353" t="s">
        <v>1466</v>
      </c>
      <c r="D24" s="1856" t="s">
        <v>1465</v>
      </c>
      <c r="E24" s="1857"/>
      <c r="F24" s="1858"/>
      <c r="G24" s="1859" t="s">
        <v>806</v>
      </c>
      <c r="H24" s="1860"/>
      <c r="I24" s="1859" t="s">
        <v>1462</v>
      </c>
      <c r="J24" s="1860"/>
    </row>
    <row r="25" spans="2:10" s="4" customFormat="1" ht="15" customHeight="1" x14ac:dyDescent="0.25">
      <c r="B25" s="1034">
        <v>20</v>
      </c>
      <c r="C25" s="594" t="s">
        <v>1464</v>
      </c>
      <c r="D25" s="1856" t="s">
        <v>1463</v>
      </c>
      <c r="E25" s="1857"/>
      <c r="F25" s="1858"/>
      <c r="G25" s="1859" t="s">
        <v>1462</v>
      </c>
      <c r="H25" s="1860"/>
      <c r="I25" s="1859" t="s">
        <v>1462</v>
      </c>
      <c r="J25" s="1860"/>
    </row>
    <row r="26" spans="2:10" s="4" customFormat="1" x14ac:dyDescent="0.25"/>
    <row r="27" spans="2:10" s="4" customFormat="1" x14ac:dyDescent="0.25"/>
    <row r="28" spans="2:10" s="4" customFormat="1" x14ac:dyDescent="0.25"/>
    <row r="29" spans="2:10" s="4" customFormat="1" x14ac:dyDescent="0.25"/>
    <row r="30" spans="2:10" s="4" customFormat="1" x14ac:dyDescent="0.25"/>
    <row r="31" spans="2:10" s="4" customFormat="1" x14ac:dyDescent="0.25"/>
    <row r="32" spans="2:10" s="4" customFormat="1" x14ac:dyDescent="0.25"/>
    <row r="33" spans="1:8" s="4" customFormat="1" x14ac:dyDescent="0.25"/>
    <row r="34" spans="1:8" s="4" customFormat="1" x14ac:dyDescent="0.25"/>
    <row r="35" spans="1:8" s="4" customFormat="1" x14ac:dyDescent="0.25"/>
    <row r="36" spans="1:8" s="4" customFormat="1" x14ac:dyDescent="0.25"/>
    <row r="37" spans="1:8" s="4" customFormat="1" x14ac:dyDescent="0.25"/>
    <row r="38" spans="1:8" s="4" customFormat="1" x14ac:dyDescent="0.25"/>
    <row r="39" spans="1:8" s="4" customFormat="1" x14ac:dyDescent="0.25"/>
    <row r="40" spans="1:8" s="4" customFormat="1" x14ac:dyDescent="0.25"/>
    <row r="41" spans="1:8" s="4" customFormat="1" x14ac:dyDescent="0.25"/>
    <row r="42" spans="1:8" s="4" customFormat="1" x14ac:dyDescent="0.25"/>
    <row r="43" spans="1:8" s="4" customFormat="1" x14ac:dyDescent="0.25"/>
    <row r="44" spans="1:8" s="4" customFormat="1" x14ac:dyDescent="0.25"/>
    <row r="45" spans="1:8" s="4" customFormat="1" x14ac:dyDescent="0.25"/>
    <row r="48" spans="1:8" x14ac:dyDescent="0.25">
      <c r="A48" s="4"/>
      <c r="B48" s="4"/>
      <c r="C48" s="4"/>
      <c r="D48" s="4"/>
      <c r="E48" s="4"/>
      <c r="F48" s="4"/>
      <c r="G48" s="4"/>
      <c r="H48" s="4"/>
    </row>
    <row r="49" spans="1:11" x14ac:dyDescent="0.25">
      <c r="A49" s="4"/>
      <c r="B49" s="4"/>
      <c r="C49" s="4"/>
      <c r="D49" s="1023"/>
      <c r="E49" s="1023"/>
      <c r="F49" s="4"/>
      <c r="G49" s="4"/>
      <c r="H49" s="4"/>
      <c r="I49" s="4"/>
      <c r="J49" s="4"/>
      <c r="K49" s="4"/>
    </row>
    <row r="50" spans="1:11" s="4" customFormat="1" x14ac:dyDescent="0.25">
      <c r="A50" s="3"/>
      <c r="B50" s="3"/>
      <c r="C50" s="3"/>
      <c r="D50" s="3"/>
      <c r="E50" s="3"/>
      <c r="F50" s="3"/>
      <c r="G50" s="3"/>
      <c r="H50" s="3"/>
      <c r="I50" s="3"/>
      <c r="J50" s="3"/>
      <c r="K50" s="3"/>
    </row>
    <row r="51" spans="1:11" s="4" customFormat="1" x14ac:dyDescent="0.25">
      <c r="A51" s="1844" t="str">
        <f>+A2</f>
        <v>Solución Adicional</v>
      </c>
      <c r="B51" s="1845"/>
      <c r="C51" s="1845"/>
      <c r="D51" s="1845"/>
      <c r="E51" s="1845"/>
      <c r="F51" s="1845"/>
      <c r="G51" s="1845"/>
      <c r="H51" s="1845"/>
      <c r="I51" s="1845"/>
      <c r="J51" s="1845"/>
      <c r="K51" s="1846"/>
    </row>
    <row r="52" spans="1:11" s="4" customFormat="1" x14ac:dyDescent="0.25">
      <c r="A52" s="1847" t="s">
        <v>1461</v>
      </c>
      <c r="B52" s="1848"/>
      <c r="C52" s="1848"/>
      <c r="D52" s="1848"/>
      <c r="E52" s="1848"/>
      <c r="F52" s="1848"/>
      <c r="G52" s="1848"/>
      <c r="H52" s="1848"/>
      <c r="I52" s="1848"/>
      <c r="J52" s="1848"/>
      <c r="K52" s="1849"/>
    </row>
    <row r="53" spans="1:11" s="4" customFormat="1" x14ac:dyDescent="0.25">
      <c r="A53" s="2"/>
      <c r="B53" s="2"/>
      <c r="C53" s="2"/>
      <c r="D53" s="2"/>
      <c r="E53" s="2"/>
      <c r="F53" s="2"/>
    </row>
    <row r="54" spans="1:11" s="4" customFormat="1" ht="24.75" customHeight="1" x14ac:dyDescent="0.25">
      <c r="B54" s="1046" t="s">
        <v>1376</v>
      </c>
      <c r="C54" s="1843" t="s">
        <v>1375</v>
      </c>
      <c r="D54" s="1843"/>
      <c r="E54" s="1843"/>
      <c r="F54" s="1843"/>
      <c r="G54" s="1843" t="s">
        <v>1460</v>
      </c>
      <c r="H54" s="1843"/>
      <c r="I54" s="1843" t="s">
        <v>1459</v>
      </c>
      <c r="J54" s="1843"/>
    </row>
    <row r="55" spans="1:11" s="4" customFormat="1" x14ac:dyDescent="0.25">
      <c r="B55" s="1034">
        <v>1</v>
      </c>
      <c r="C55" s="1850" t="s">
        <v>1458</v>
      </c>
      <c r="D55" s="1850"/>
      <c r="E55" s="1850"/>
      <c r="F55" s="1850"/>
      <c r="G55" s="1854" t="s">
        <v>1</v>
      </c>
      <c r="H55" s="1854"/>
      <c r="I55" s="1854"/>
      <c r="J55" s="1854"/>
    </row>
    <row r="56" spans="1:11" s="4" customFormat="1" x14ac:dyDescent="0.25">
      <c r="B56" s="1034">
        <v>2</v>
      </c>
      <c r="C56" s="1850" t="s">
        <v>1457</v>
      </c>
      <c r="D56" s="1850"/>
      <c r="E56" s="1850"/>
      <c r="F56" s="1850"/>
      <c r="G56" s="1854" t="s">
        <v>1</v>
      </c>
      <c r="H56" s="1854"/>
      <c r="I56" s="1854"/>
      <c r="J56" s="1854"/>
    </row>
    <row r="57" spans="1:11" s="4" customFormat="1" x14ac:dyDescent="0.25">
      <c r="B57" s="1034">
        <v>3</v>
      </c>
      <c r="C57" s="1850" t="s">
        <v>1456</v>
      </c>
      <c r="D57" s="1850"/>
      <c r="E57" s="1850"/>
      <c r="F57" s="1850"/>
      <c r="G57" s="1854"/>
      <c r="H57" s="1854"/>
      <c r="I57" s="1854" t="s">
        <v>1</v>
      </c>
      <c r="J57" s="1854"/>
    </row>
    <row r="58" spans="1:11" s="4" customFormat="1" x14ac:dyDescent="0.25">
      <c r="B58" s="1034">
        <v>4</v>
      </c>
      <c r="C58" s="1850" t="s">
        <v>1455</v>
      </c>
      <c r="D58" s="1850"/>
      <c r="E58" s="1850"/>
      <c r="F58" s="1850"/>
      <c r="G58" s="1854" t="s">
        <v>1</v>
      </c>
      <c r="H58" s="1854"/>
      <c r="I58" s="1854"/>
      <c r="J58" s="1854"/>
    </row>
    <row r="59" spans="1:11" s="4" customFormat="1" ht="15" customHeight="1" x14ac:dyDescent="0.25">
      <c r="B59" s="1034">
        <v>5</v>
      </c>
      <c r="C59" s="1850" t="s">
        <v>1454</v>
      </c>
      <c r="D59" s="1850"/>
      <c r="E59" s="1850"/>
      <c r="F59" s="1850"/>
      <c r="G59" s="1854"/>
      <c r="H59" s="1854"/>
      <c r="I59" s="1854" t="s">
        <v>1</v>
      </c>
      <c r="J59" s="1854"/>
    </row>
    <row r="60" spans="1:11" s="4" customFormat="1" x14ac:dyDescent="0.25">
      <c r="B60" s="1034">
        <v>6</v>
      </c>
      <c r="C60" s="1850" t="s">
        <v>1453</v>
      </c>
      <c r="D60" s="1850"/>
      <c r="E60" s="1850"/>
      <c r="F60" s="1850"/>
      <c r="G60" s="1854" t="s">
        <v>1</v>
      </c>
      <c r="H60" s="1854"/>
      <c r="I60" s="1854"/>
      <c r="J60" s="1854"/>
    </row>
    <row r="61" spans="1:11" s="4" customFormat="1" x14ac:dyDescent="0.25">
      <c r="B61" s="1034">
        <v>7</v>
      </c>
      <c r="C61" s="1850" t="s">
        <v>1452</v>
      </c>
      <c r="D61" s="1850"/>
      <c r="E61" s="1850"/>
      <c r="F61" s="1850"/>
      <c r="G61" s="1854" t="s">
        <v>1</v>
      </c>
      <c r="H61" s="1854"/>
      <c r="I61" s="1854"/>
      <c r="J61" s="1854"/>
    </row>
    <row r="62" spans="1:11" s="4" customFormat="1" x14ac:dyDescent="0.25">
      <c r="B62" s="1034">
        <v>8</v>
      </c>
      <c r="C62" s="1850" t="s">
        <v>1451</v>
      </c>
      <c r="D62" s="1850"/>
      <c r="E62" s="1850"/>
      <c r="F62" s="1850"/>
      <c r="G62" s="1854" t="s">
        <v>1</v>
      </c>
      <c r="H62" s="1854"/>
      <c r="I62" s="1854"/>
      <c r="J62" s="1854"/>
    </row>
    <row r="63" spans="1:11" s="4" customFormat="1" x14ac:dyDescent="0.25">
      <c r="B63" s="1034">
        <v>9</v>
      </c>
      <c r="C63" s="1850" t="s">
        <v>1450</v>
      </c>
      <c r="D63" s="1850"/>
      <c r="E63" s="1850"/>
      <c r="F63" s="1850"/>
      <c r="G63" s="1854"/>
      <c r="H63" s="1854"/>
      <c r="I63" s="1854" t="s">
        <v>1</v>
      </c>
      <c r="J63" s="1854"/>
    </row>
    <row r="64" spans="1:11" s="4" customFormat="1" x14ac:dyDescent="0.25">
      <c r="B64" s="1034">
        <v>10</v>
      </c>
      <c r="C64" s="1850" t="s">
        <v>1449</v>
      </c>
      <c r="D64" s="1850"/>
      <c r="E64" s="1850"/>
      <c r="F64" s="1850"/>
      <c r="G64" s="1854" t="s">
        <v>1</v>
      </c>
      <c r="H64" s="1854"/>
      <c r="I64" s="1854"/>
      <c r="J64" s="1854"/>
    </row>
    <row r="65" spans="2:10" s="4" customFormat="1" x14ac:dyDescent="0.25">
      <c r="B65" s="1034">
        <v>11</v>
      </c>
      <c r="C65" s="1850" t="s">
        <v>1448</v>
      </c>
      <c r="D65" s="1850"/>
      <c r="E65" s="1850"/>
      <c r="F65" s="1850"/>
      <c r="G65" s="1854"/>
      <c r="H65" s="1854"/>
      <c r="I65" s="1854" t="s">
        <v>1</v>
      </c>
      <c r="J65" s="1854"/>
    </row>
    <row r="66" spans="2:10" s="4" customFormat="1" x14ac:dyDescent="0.25">
      <c r="B66" s="1034">
        <v>12</v>
      </c>
      <c r="C66" s="1850" t="s">
        <v>1447</v>
      </c>
      <c r="D66" s="1850"/>
      <c r="E66" s="1850"/>
      <c r="F66" s="1850"/>
      <c r="G66" s="1854" t="s">
        <v>1</v>
      </c>
      <c r="H66" s="1854"/>
      <c r="I66" s="1854"/>
      <c r="J66" s="1854"/>
    </row>
    <row r="67" spans="2:10" s="4" customFormat="1" x14ac:dyDescent="0.25">
      <c r="B67" s="1034">
        <v>13</v>
      </c>
      <c r="C67" s="1850" t="s">
        <v>1446</v>
      </c>
      <c r="D67" s="1850"/>
      <c r="E67" s="1850"/>
      <c r="F67" s="1850"/>
      <c r="G67" s="1854"/>
      <c r="H67" s="1854"/>
      <c r="I67" s="1854" t="s">
        <v>1</v>
      </c>
      <c r="J67" s="1854"/>
    </row>
    <row r="68" spans="2:10" s="4" customFormat="1" x14ac:dyDescent="0.25">
      <c r="B68" s="1034">
        <v>14</v>
      </c>
      <c r="C68" s="1850" t="s">
        <v>1445</v>
      </c>
      <c r="D68" s="1850"/>
      <c r="E68" s="1850"/>
      <c r="F68" s="1850"/>
      <c r="G68" s="1854"/>
      <c r="H68" s="1854"/>
      <c r="I68" s="1854" t="s">
        <v>1</v>
      </c>
      <c r="J68" s="1854"/>
    </row>
    <row r="69" spans="2:10" s="4" customFormat="1" x14ac:dyDescent="0.25">
      <c r="B69" s="1034">
        <v>15</v>
      </c>
      <c r="C69" s="1850" t="s">
        <v>2111</v>
      </c>
      <c r="D69" s="1850"/>
      <c r="E69" s="1850"/>
      <c r="F69" s="1850"/>
      <c r="G69" s="1854"/>
      <c r="H69" s="1854"/>
      <c r="I69" s="1854" t="s">
        <v>1</v>
      </c>
      <c r="J69" s="1854"/>
    </row>
    <row r="70" spans="2:10" s="4" customFormat="1" x14ac:dyDescent="0.25">
      <c r="B70" s="1034">
        <v>16</v>
      </c>
      <c r="C70" s="1850" t="s">
        <v>1444</v>
      </c>
      <c r="D70" s="1850"/>
      <c r="E70" s="1850"/>
      <c r="F70" s="1850"/>
      <c r="G70" s="1854" t="s">
        <v>1</v>
      </c>
      <c r="H70" s="1854"/>
      <c r="I70" s="1854"/>
      <c r="J70" s="1854"/>
    </row>
    <row r="71" spans="2:10" s="4" customFormat="1" x14ac:dyDescent="0.25">
      <c r="B71" s="1034">
        <v>17</v>
      </c>
      <c r="C71" s="1850" t="s">
        <v>1443</v>
      </c>
      <c r="D71" s="1850"/>
      <c r="E71" s="1850"/>
      <c r="F71" s="1850"/>
      <c r="G71" s="1854" t="s">
        <v>1</v>
      </c>
      <c r="H71" s="1854"/>
      <c r="I71" s="1854"/>
      <c r="J71" s="1854"/>
    </row>
    <row r="72" spans="2:10" s="4" customFormat="1" x14ac:dyDescent="0.25">
      <c r="B72" s="1034">
        <v>18</v>
      </c>
      <c r="C72" s="1850" t="s">
        <v>1442</v>
      </c>
      <c r="D72" s="1850"/>
      <c r="E72" s="1850"/>
      <c r="F72" s="1850"/>
      <c r="G72" s="1854"/>
      <c r="H72" s="1854"/>
      <c r="I72" s="1854" t="s">
        <v>1</v>
      </c>
      <c r="J72" s="1854"/>
    </row>
    <row r="73" spans="2:10" s="4" customFormat="1" x14ac:dyDescent="0.25">
      <c r="B73" s="1034">
        <v>19</v>
      </c>
      <c r="C73" s="1850" t="s">
        <v>1441</v>
      </c>
      <c r="D73" s="1850"/>
      <c r="E73" s="1850"/>
      <c r="F73" s="1850"/>
      <c r="G73" s="1854"/>
      <c r="H73" s="1854"/>
      <c r="I73" s="1854" t="s">
        <v>1</v>
      </c>
      <c r="J73" s="1854"/>
    </row>
    <row r="74" spans="2:10" s="4" customFormat="1" x14ac:dyDescent="0.25">
      <c r="B74" s="1034">
        <v>20</v>
      </c>
      <c r="C74" s="1850" t="s">
        <v>1440</v>
      </c>
      <c r="D74" s="1850"/>
      <c r="E74" s="1850"/>
      <c r="F74" s="1850"/>
      <c r="G74" s="1854" t="s">
        <v>1</v>
      </c>
      <c r="H74" s="1854"/>
      <c r="I74" s="1854"/>
      <c r="J74" s="1854"/>
    </row>
    <row r="75" spans="2:10" s="4" customFormat="1" x14ac:dyDescent="0.25">
      <c r="B75" s="1034">
        <v>21</v>
      </c>
      <c r="C75" s="1850" t="s">
        <v>1439</v>
      </c>
      <c r="D75" s="1850"/>
      <c r="E75" s="1850"/>
      <c r="F75" s="1850"/>
      <c r="G75" s="1854" t="s">
        <v>1</v>
      </c>
      <c r="H75" s="1854"/>
      <c r="I75" s="1854"/>
      <c r="J75" s="1854"/>
    </row>
    <row r="76" spans="2:10" s="4" customFormat="1" x14ac:dyDescent="0.25">
      <c r="B76" s="1034">
        <v>22</v>
      </c>
      <c r="C76" s="1850" t="s">
        <v>1438</v>
      </c>
      <c r="D76" s="1850"/>
      <c r="E76" s="1850"/>
      <c r="F76" s="1850"/>
      <c r="G76" s="1854"/>
      <c r="H76" s="1854"/>
      <c r="I76" s="1854" t="s">
        <v>1</v>
      </c>
      <c r="J76" s="1854"/>
    </row>
    <row r="77" spans="2:10" s="4" customFormat="1" x14ac:dyDescent="0.25">
      <c r="B77" s="1034">
        <v>23</v>
      </c>
      <c r="C77" s="1850" t="s">
        <v>1437</v>
      </c>
      <c r="D77" s="1850"/>
      <c r="E77" s="1850"/>
      <c r="F77" s="1850"/>
      <c r="G77" s="1854"/>
      <c r="H77" s="1854"/>
      <c r="I77" s="1854" t="s">
        <v>1</v>
      </c>
      <c r="J77" s="1854"/>
    </row>
    <row r="78" spans="2:10" s="4" customFormat="1" x14ac:dyDescent="0.25">
      <c r="B78" s="1034">
        <v>24</v>
      </c>
      <c r="C78" s="1850" t="s">
        <v>1436</v>
      </c>
      <c r="D78" s="1850"/>
      <c r="E78" s="1850"/>
      <c r="F78" s="1850"/>
      <c r="G78" s="1854" t="s">
        <v>1</v>
      </c>
      <c r="H78" s="1854"/>
      <c r="I78" s="1854"/>
      <c r="J78" s="1854"/>
    </row>
    <row r="79" spans="2:10" s="4" customFormat="1" x14ac:dyDescent="0.25">
      <c r="B79" s="1034">
        <v>25</v>
      </c>
      <c r="C79" s="1850" t="s">
        <v>1435</v>
      </c>
      <c r="D79" s="1850"/>
      <c r="E79" s="1850"/>
      <c r="F79" s="1850"/>
      <c r="G79" s="1854" t="s">
        <v>1</v>
      </c>
      <c r="H79" s="1854"/>
      <c r="I79" s="1854"/>
      <c r="J79" s="1854"/>
    </row>
    <row r="80" spans="2:10" s="4" customFormat="1" x14ac:dyDescent="0.25">
      <c r="B80" s="1034">
        <v>26</v>
      </c>
      <c r="C80" s="1850" t="s">
        <v>1434</v>
      </c>
      <c r="D80" s="1850"/>
      <c r="E80" s="1850"/>
      <c r="F80" s="1850"/>
      <c r="G80" s="1854"/>
      <c r="H80" s="1854"/>
      <c r="I80" s="1854" t="s">
        <v>1</v>
      </c>
      <c r="J80" s="1854"/>
    </row>
    <row r="81" spans="1:10" s="4" customFormat="1" x14ac:dyDescent="0.25">
      <c r="B81" s="1034">
        <v>27</v>
      </c>
      <c r="C81" s="1850" t="s">
        <v>1433</v>
      </c>
      <c r="D81" s="1850"/>
      <c r="E81" s="1850"/>
      <c r="F81" s="1850"/>
      <c r="G81" s="1854"/>
      <c r="H81" s="1854"/>
      <c r="I81" s="1854" t="s">
        <v>1</v>
      </c>
      <c r="J81" s="1854"/>
    </row>
    <row r="82" spans="1:10" s="4" customFormat="1" x14ac:dyDescent="0.25">
      <c r="B82" s="1034">
        <v>28</v>
      </c>
      <c r="C82" s="1850" t="s">
        <v>1432</v>
      </c>
      <c r="D82" s="1850"/>
      <c r="E82" s="1850"/>
      <c r="F82" s="1850"/>
      <c r="G82" s="1854" t="s">
        <v>1</v>
      </c>
      <c r="H82" s="1854"/>
      <c r="I82" s="1854"/>
      <c r="J82" s="1854"/>
    </row>
    <row r="83" spans="1:10" s="4" customFormat="1" x14ac:dyDescent="0.25">
      <c r="B83" s="1034">
        <v>29</v>
      </c>
      <c r="C83" s="1850" t="s">
        <v>1431</v>
      </c>
      <c r="D83" s="1850"/>
      <c r="E83" s="1850"/>
      <c r="F83" s="1850"/>
      <c r="G83" s="1854"/>
      <c r="H83" s="1854"/>
      <c r="I83" s="1854" t="s">
        <v>1</v>
      </c>
      <c r="J83" s="1854"/>
    </row>
    <row r="84" spans="1:10" s="4" customFormat="1" x14ac:dyDescent="0.25">
      <c r="B84" s="1034">
        <v>30</v>
      </c>
      <c r="C84" s="1850" t="s">
        <v>1430</v>
      </c>
      <c r="D84" s="1850"/>
      <c r="E84" s="1850"/>
      <c r="F84" s="1850"/>
      <c r="G84" s="1854"/>
      <c r="H84" s="1854"/>
      <c r="I84" s="1854" t="s">
        <v>1</v>
      </c>
      <c r="J84" s="1854"/>
    </row>
    <row r="85" spans="1:10" s="4" customFormat="1" x14ac:dyDescent="0.25"/>
    <row r="86" spans="1:10" s="4" customFormat="1" x14ac:dyDescent="0.25"/>
    <row r="87" spans="1:10" s="4" customFormat="1" x14ac:dyDescent="0.25"/>
    <row r="88" spans="1:10" s="4" customFormat="1" x14ac:dyDescent="0.25"/>
    <row r="89" spans="1:10" s="4" customFormat="1" x14ac:dyDescent="0.25"/>
    <row r="90" spans="1:10" s="4" customFormat="1" x14ac:dyDescent="0.25"/>
    <row r="91" spans="1:10" s="4" customFormat="1" x14ac:dyDescent="0.25"/>
    <row r="92" spans="1:10" s="4" customFormat="1" x14ac:dyDescent="0.25"/>
    <row r="93" spans="1:10" s="4" customFormat="1" x14ac:dyDescent="0.25"/>
    <row r="94" spans="1:10" s="4" customFormat="1" x14ac:dyDescent="0.25"/>
    <row r="95" spans="1:10" s="4" customFormat="1" x14ac:dyDescent="0.25"/>
    <row r="96" spans="1:10" s="4" customFormat="1" x14ac:dyDescent="0.25">
      <c r="A96" s="2"/>
      <c r="B96" s="2"/>
      <c r="C96" s="2"/>
      <c r="D96" s="2"/>
      <c r="E96" s="2"/>
      <c r="F96" s="2"/>
    </row>
    <row r="97" spans="1:11" s="4" customFormat="1" x14ac:dyDescent="0.25">
      <c r="A97" s="2"/>
      <c r="B97" s="2"/>
      <c r="C97" s="2"/>
      <c r="D97" s="2"/>
      <c r="E97" s="2"/>
      <c r="F97" s="2"/>
    </row>
    <row r="98" spans="1:11" s="4" customFormat="1" x14ac:dyDescent="0.25"/>
    <row r="99" spans="1:11" s="4" customFormat="1" x14ac:dyDescent="0.25">
      <c r="C99" s="3"/>
      <c r="D99" s="3"/>
      <c r="E99" s="3"/>
      <c r="F99" s="3"/>
      <c r="G99" s="3"/>
      <c r="H99" s="3"/>
      <c r="I99" s="3"/>
      <c r="J99" s="3"/>
      <c r="K99" s="3"/>
    </row>
    <row r="100" spans="1:11" s="4" customFormat="1" x14ac:dyDescent="0.25">
      <c r="A100" s="1844" t="str">
        <f>+A51</f>
        <v>Solución Adicional</v>
      </c>
      <c r="B100" s="1845"/>
      <c r="C100" s="1845"/>
      <c r="D100" s="1845"/>
      <c r="E100" s="1845"/>
      <c r="F100" s="1845"/>
      <c r="G100" s="1845"/>
      <c r="H100" s="1845"/>
      <c r="I100" s="1845"/>
      <c r="J100" s="1845"/>
      <c r="K100" s="1846"/>
    </row>
    <row r="101" spans="1:11" s="4" customFormat="1" x14ac:dyDescent="0.25">
      <c r="A101" s="1847" t="s">
        <v>1429</v>
      </c>
      <c r="B101" s="1848"/>
      <c r="C101" s="1848"/>
      <c r="D101" s="1848"/>
      <c r="E101" s="1848"/>
      <c r="F101" s="1848"/>
      <c r="G101" s="1848"/>
      <c r="H101" s="1848"/>
      <c r="I101" s="1848"/>
      <c r="J101" s="1848"/>
      <c r="K101" s="1849"/>
    </row>
    <row r="102" spans="1:11" s="4" customFormat="1" x14ac:dyDescent="0.25">
      <c r="A102" s="2"/>
      <c r="B102" s="2"/>
      <c r="C102" s="2"/>
      <c r="D102" s="2"/>
      <c r="E102" s="2"/>
    </row>
    <row r="103" spans="1:11" s="4" customFormat="1" ht="21.75" customHeight="1" x14ac:dyDescent="0.25">
      <c r="B103" s="1046" t="s">
        <v>1376</v>
      </c>
      <c r="C103" s="1843" t="s">
        <v>1428</v>
      </c>
      <c r="D103" s="1843"/>
      <c r="E103" s="1843"/>
      <c r="F103" s="1843"/>
      <c r="G103" s="1843" t="s">
        <v>1427</v>
      </c>
      <c r="H103" s="1843"/>
      <c r="I103" s="1843"/>
      <c r="J103" s="1843"/>
    </row>
    <row r="104" spans="1:11" s="4" customFormat="1" x14ac:dyDescent="0.25">
      <c r="B104" s="1034">
        <v>1</v>
      </c>
      <c r="C104" s="1850" t="s">
        <v>1426</v>
      </c>
      <c r="D104" s="1850"/>
      <c r="E104" s="1850"/>
      <c r="F104" s="1850"/>
      <c r="G104" s="1850" t="s">
        <v>1404</v>
      </c>
      <c r="H104" s="1850"/>
      <c r="I104" s="1850"/>
      <c r="J104" s="1850"/>
    </row>
    <row r="105" spans="1:11" s="4" customFormat="1" x14ac:dyDescent="0.25">
      <c r="B105" s="1034">
        <v>2</v>
      </c>
      <c r="C105" s="1850" t="s">
        <v>1425</v>
      </c>
      <c r="D105" s="1850"/>
      <c r="E105" s="1850"/>
      <c r="F105" s="1850"/>
      <c r="G105" s="1850" t="s">
        <v>1406</v>
      </c>
      <c r="H105" s="1850"/>
      <c r="I105" s="1850"/>
      <c r="J105" s="1850"/>
    </row>
    <row r="106" spans="1:11" s="4" customFormat="1" x14ac:dyDescent="0.25">
      <c r="B106" s="1034">
        <v>3</v>
      </c>
      <c r="C106" s="1850" t="s">
        <v>1424</v>
      </c>
      <c r="D106" s="1850"/>
      <c r="E106" s="1850"/>
      <c r="F106" s="1850"/>
      <c r="G106" s="1850" t="s">
        <v>1404</v>
      </c>
      <c r="H106" s="1850"/>
      <c r="I106" s="1850"/>
      <c r="J106" s="1850"/>
    </row>
    <row r="107" spans="1:11" s="4" customFormat="1" x14ac:dyDescent="0.25">
      <c r="B107" s="1034">
        <v>4</v>
      </c>
      <c r="C107" s="1850" t="s">
        <v>1423</v>
      </c>
      <c r="D107" s="1850"/>
      <c r="E107" s="1850"/>
      <c r="F107" s="1850"/>
      <c r="G107" s="1850" t="s">
        <v>1404</v>
      </c>
      <c r="H107" s="1850"/>
      <c r="I107" s="1850"/>
      <c r="J107" s="1850"/>
    </row>
    <row r="108" spans="1:11" s="4" customFormat="1" x14ac:dyDescent="0.25">
      <c r="B108" s="1034">
        <v>5</v>
      </c>
      <c r="C108" s="1850" t="s">
        <v>1422</v>
      </c>
      <c r="D108" s="1850"/>
      <c r="E108" s="1850"/>
      <c r="F108" s="1850"/>
      <c r="G108" s="1850" t="s">
        <v>1408</v>
      </c>
      <c r="H108" s="1850"/>
      <c r="I108" s="1850"/>
      <c r="J108" s="1850"/>
    </row>
    <row r="109" spans="1:11" s="4" customFormat="1" x14ac:dyDescent="0.25">
      <c r="B109" s="1034">
        <v>6</v>
      </c>
      <c r="C109" s="1850" t="s">
        <v>1421</v>
      </c>
      <c r="D109" s="1850"/>
      <c r="E109" s="1850"/>
      <c r="F109" s="1850"/>
      <c r="G109" s="1850" t="s">
        <v>1406</v>
      </c>
      <c r="H109" s="1850"/>
      <c r="I109" s="1850"/>
      <c r="J109" s="1850"/>
    </row>
    <row r="110" spans="1:11" s="4" customFormat="1" x14ac:dyDescent="0.25">
      <c r="B110" s="1034">
        <v>7</v>
      </c>
      <c r="C110" s="1850" t="s">
        <v>1420</v>
      </c>
      <c r="D110" s="1850"/>
      <c r="E110" s="1850"/>
      <c r="F110" s="1850"/>
      <c r="G110" s="1850" t="s">
        <v>1404</v>
      </c>
      <c r="H110" s="1850"/>
      <c r="I110" s="1850"/>
      <c r="J110" s="1850"/>
    </row>
    <row r="111" spans="1:11" s="4" customFormat="1" x14ac:dyDescent="0.25">
      <c r="B111" s="1034">
        <v>8</v>
      </c>
      <c r="C111" s="1850" t="s">
        <v>1419</v>
      </c>
      <c r="D111" s="1850"/>
      <c r="E111" s="1850"/>
      <c r="F111" s="1850"/>
      <c r="G111" s="1850" t="s">
        <v>1404</v>
      </c>
      <c r="H111" s="1850"/>
      <c r="I111" s="1850"/>
      <c r="J111" s="1850"/>
    </row>
    <row r="112" spans="1:11" s="4" customFormat="1" x14ac:dyDescent="0.25">
      <c r="A112" s="2"/>
      <c r="B112" s="1034">
        <v>9</v>
      </c>
      <c r="C112" s="1850" t="s">
        <v>1418</v>
      </c>
      <c r="D112" s="1850"/>
      <c r="E112" s="1850"/>
      <c r="F112" s="1850"/>
      <c r="G112" s="1850" t="s">
        <v>1404</v>
      </c>
      <c r="H112" s="1850"/>
      <c r="I112" s="1850"/>
      <c r="J112" s="1850"/>
    </row>
    <row r="113" spans="1:10" s="4" customFormat="1" x14ac:dyDescent="0.25">
      <c r="A113" s="2"/>
      <c r="B113" s="1034">
        <v>10</v>
      </c>
      <c r="C113" s="1850" t="s">
        <v>1417</v>
      </c>
      <c r="D113" s="1850"/>
      <c r="E113" s="1850"/>
      <c r="F113" s="1850"/>
      <c r="G113" s="1850" t="s">
        <v>1404</v>
      </c>
      <c r="H113" s="1850"/>
      <c r="I113" s="1850"/>
      <c r="J113" s="1850"/>
    </row>
    <row r="114" spans="1:10" s="4" customFormat="1" x14ac:dyDescent="0.25">
      <c r="B114" s="1034">
        <v>11</v>
      </c>
      <c r="C114" s="1850" t="s">
        <v>1416</v>
      </c>
      <c r="D114" s="1850"/>
      <c r="E114" s="1850"/>
      <c r="F114" s="1850"/>
      <c r="G114" s="1850" t="s">
        <v>1406</v>
      </c>
      <c r="H114" s="1850"/>
      <c r="I114" s="1850"/>
      <c r="J114" s="1850"/>
    </row>
    <row r="115" spans="1:10" s="4" customFormat="1" x14ac:dyDescent="0.25">
      <c r="A115" s="2"/>
      <c r="B115" s="1034">
        <v>12</v>
      </c>
      <c r="C115" s="1850" t="s">
        <v>1415</v>
      </c>
      <c r="D115" s="1850"/>
      <c r="E115" s="1850"/>
      <c r="F115" s="1850"/>
      <c r="G115" s="1850" t="s">
        <v>1404</v>
      </c>
      <c r="H115" s="1850"/>
      <c r="I115" s="1850"/>
      <c r="J115" s="1850"/>
    </row>
    <row r="116" spans="1:10" s="4" customFormat="1" x14ac:dyDescent="0.25">
      <c r="A116" s="2"/>
      <c r="B116" s="1034">
        <v>13</v>
      </c>
      <c r="C116" s="1850" t="s">
        <v>1414</v>
      </c>
      <c r="D116" s="1850"/>
      <c r="E116" s="1850"/>
      <c r="F116" s="1850"/>
      <c r="G116" s="1855" t="s">
        <v>1406</v>
      </c>
      <c r="H116" s="1855"/>
      <c r="I116" s="1855"/>
      <c r="J116" s="1855"/>
    </row>
    <row r="117" spans="1:10" s="4" customFormat="1" x14ac:dyDescent="0.25">
      <c r="A117" s="2"/>
      <c r="B117" s="1034">
        <v>14</v>
      </c>
      <c r="C117" s="1850" t="s">
        <v>1413</v>
      </c>
      <c r="D117" s="1850"/>
      <c r="E117" s="1850"/>
      <c r="F117" s="1850"/>
      <c r="G117" s="1850" t="s">
        <v>1404</v>
      </c>
      <c r="H117" s="1850"/>
      <c r="I117" s="1850"/>
      <c r="J117" s="1850"/>
    </row>
    <row r="118" spans="1:10" s="4" customFormat="1" x14ac:dyDescent="0.25">
      <c r="A118" s="2"/>
      <c r="B118" s="1034">
        <v>15</v>
      </c>
      <c r="C118" s="1850" t="s">
        <v>1412</v>
      </c>
      <c r="D118" s="1850"/>
      <c r="E118" s="1850"/>
      <c r="F118" s="1850"/>
      <c r="G118" s="1850" t="s">
        <v>1408</v>
      </c>
      <c r="H118" s="1850"/>
      <c r="I118" s="1850"/>
      <c r="J118" s="1850"/>
    </row>
    <row r="119" spans="1:10" s="4" customFormat="1" x14ac:dyDescent="0.25">
      <c r="A119" s="2"/>
      <c r="B119" s="1034">
        <v>16</v>
      </c>
      <c r="C119" s="1850" t="s">
        <v>1411</v>
      </c>
      <c r="D119" s="1850"/>
      <c r="E119" s="1850"/>
      <c r="F119" s="1850"/>
      <c r="G119" s="1850" t="s">
        <v>1406</v>
      </c>
      <c r="H119" s="1850"/>
      <c r="I119" s="1850"/>
      <c r="J119" s="1850"/>
    </row>
    <row r="120" spans="1:10" s="4" customFormat="1" x14ac:dyDescent="0.25">
      <c r="A120" s="2"/>
      <c r="B120" s="1034">
        <v>17</v>
      </c>
      <c r="C120" s="1850" t="s">
        <v>1410</v>
      </c>
      <c r="D120" s="1850"/>
      <c r="E120" s="1850"/>
      <c r="F120" s="1850"/>
      <c r="G120" s="1850" t="s">
        <v>1404</v>
      </c>
      <c r="H120" s="1850"/>
      <c r="I120" s="1850"/>
      <c r="J120" s="1850"/>
    </row>
    <row r="121" spans="1:10" s="4" customFormat="1" x14ac:dyDescent="0.25">
      <c r="A121" s="2"/>
      <c r="B121" s="1034">
        <v>18</v>
      </c>
      <c r="C121" s="1850" t="s">
        <v>1409</v>
      </c>
      <c r="D121" s="1850"/>
      <c r="E121" s="1850"/>
      <c r="F121" s="1850"/>
      <c r="G121" s="1850" t="s">
        <v>1408</v>
      </c>
      <c r="H121" s="1850"/>
      <c r="I121" s="1850"/>
      <c r="J121" s="1850"/>
    </row>
    <row r="122" spans="1:10" s="4" customFormat="1" x14ac:dyDescent="0.25">
      <c r="A122" s="2"/>
      <c r="B122" s="1034">
        <v>19</v>
      </c>
      <c r="C122" s="1850" t="s">
        <v>1407</v>
      </c>
      <c r="D122" s="1850"/>
      <c r="E122" s="1850"/>
      <c r="F122" s="1850"/>
      <c r="G122" s="1850" t="s">
        <v>1406</v>
      </c>
      <c r="H122" s="1850"/>
      <c r="I122" s="1850"/>
      <c r="J122" s="1850"/>
    </row>
    <row r="123" spans="1:10" s="4" customFormat="1" x14ac:dyDescent="0.25">
      <c r="A123" s="2"/>
      <c r="B123" s="1034">
        <v>20</v>
      </c>
      <c r="C123" s="1850" t="s">
        <v>1405</v>
      </c>
      <c r="D123" s="1850"/>
      <c r="E123" s="1850"/>
      <c r="F123" s="1850"/>
      <c r="G123" s="1850" t="s">
        <v>1404</v>
      </c>
      <c r="H123" s="1850"/>
      <c r="I123" s="1850"/>
      <c r="J123" s="1850"/>
    </row>
    <row r="124" spans="1:10" s="4" customFormat="1" x14ac:dyDescent="0.25">
      <c r="A124" s="2"/>
      <c r="B124" s="2"/>
      <c r="C124" s="2"/>
      <c r="D124" s="2"/>
      <c r="E124" s="2"/>
    </row>
    <row r="125" spans="1:10" s="4" customFormat="1" x14ac:dyDescent="0.25">
      <c r="D125" s="1023"/>
      <c r="E125" s="1023"/>
    </row>
    <row r="126" spans="1:10" s="4" customFormat="1" x14ac:dyDescent="0.25">
      <c r="D126" s="1023"/>
      <c r="E126" s="1023"/>
    </row>
    <row r="127" spans="1:10" s="4" customFormat="1" x14ac:dyDescent="0.25">
      <c r="D127" s="1023"/>
      <c r="E127" s="1023"/>
    </row>
    <row r="128" spans="1:10" s="4" customFormat="1" x14ac:dyDescent="0.25">
      <c r="D128" s="1023"/>
      <c r="E128" s="1023"/>
    </row>
    <row r="129" spans="4:5" s="4" customFormat="1" x14ac:dyDescent="0.25">
      <c r="D129" s="1023"/>
      <c r="E129" s="1023"/>
    </row>
    <row r="130" spans="4:5" s="4" customFormat="1" x14ac:dyDescent="0.25">
      <c r="D130" s="1023"/>
      <c r="E130" s="1023"/>
    </row>
    <row r="131" spans="4:5" s="4" customFormat="1" x14ac:dyDescent="0.25">
      <c r="D131" s="1023"/>
      <c r="E131" s="1023"/>
    </row>
    <row r="132" spans="4:5" s="4" customFormat="1" x14ac:dyDescent="0.25">
      <c r="D132" s="1023"/>
      <c r="E132" s="1023"/>
    </row>
    <row r="133" spans="4:5" s="4" customFormat="1" x14ac:dyDescent="0.25">
      <c r="D133" s="1023"/>
      <c r="E133" s="1023"/>
    </row>
    <row r="134" spans="4:5" s="4" customFormat="1" x14ac:dyDescent="0.25">
      <c r="D134" s="1023"/>
      <c r="E134" s="1023"/>
    </row>
    <row r="135" spans="4:5" s="4" customFormat="1" x14ac:dyDescent="0.25">
      <c r="D135" s="1023"/>
      <c r="E135" s="1023"/>
    </row>
    <row r="136" spans="4:5" s="4" customFormat="1" x14ac:dyDescent="0.25">
      <c r="D136" s="1023"/>
      <c r="E136" s="1023"/>
    </row>
    <row r="137" spans="4:5" s="4" customFormat="1" x14ac:dyDescent="0.25">
      <c r="D137" s="1023"/>
      <c r="E137" s="1023"/>
    </row>
    <row r="138" spans="4:5" s="4" customFormat="1" x14ac:dyDescent="0.25">
      <c r="D138" s="1023"/>
      <c r="E138" s="1023"/>
    </row>
    <row r="139" spans="4:5" s="4" customFormat="1" x14ac:dyDescent="0.25">
      <c r="D139" s="1023"/>
      <c r="E139" s="1023"/>
    </row>
    <row r="140" spans="4:5" s="4" customFormat="1" x14ac:dyDescent="0.25">
      <c r="D140" s="1023"/>
      <c r="E140" s="1023"/>
    </row>
    <row r="141" spans="4:5" s="4" customFormat="1" x14ac:dyDescent="0.25">
      <c r="D141" s="1023"/>
      <c r="E141" s="1023"/>
    </row>
    <row r="142" spans="4:5" s="4" customFormat="1" x14ac:dyDescent="0.25">
      <c r="D142" s="1023"/>
      <c r="E142" s="1023"/>
    </row>
    <row r="143" spans="4:5" s="4" customFormat="1" x14ac:dyDescent="0.25">
      <c r="D143" s="1023"/>
      <c r="E143" s="1023"/>
    </row>
    <row r="144" spans="4:5" s="4" customFormat="1" x14ac:dyDescent="0.25">
      <c r="D144" s="1023"/>
      <c r="E144" s="1023"/>
    </row>
    <row r="145" spans="1:11" s="4" customFormat="1" x14ac:dyDescent="0.25">
      <c r="D145" s="1023"/>
      <c r="E145" s="1023"/>
    </row>
    <row r="146" spans="1:11" s="4" customFormat="1" x14ac:dyDescent="0.25">
      <c r="D146" s="1023"/>
      <c r="E146" s="1023"/>
    </row>
    <row r="147" spans="1:11" s="4" customFormat="1" x14ac:dyDescent="0.25">
      <c r="D147" s="1023"/>
      <c r="E147" s="1023"/>
    </row>
    <row r="148" spans="1:11" s="4" customFormat="1" x14ac:dyDescent="0.25">
      <c r="D148" s="1023"/>
      <c r="E148" s="1023"/>
    </row>
    <row r="149" spans="1:11" s="4" customFormat="1" x14ac:dyDescent="0.25">
      <c r="D149" s="1023"/>
      <c r="E149" s="1023"/>
    </row>
    <row r="150" spans="1:11" s="4" customFormat="1" x14ac:dyDescent="0.25">
      <c r="A150" s="1844" t="str">
        <f>+A100</f>
        <v>Solución Adicional</v>
      </c>
      <c r="B150" s="1845"/>
      <c r="C150" s="1845"/>
      <c r="D150" s="1845"/>
      <c r="E150" s="1845"/>
      <c r="F150" s="1845"/>
      <c r="G150" s="1845"/>
      <c r="H150" s="1845"/>
      <c r="I150" s="1845"/>
      <c r="J150" s="1845"/>
      <c r="K150" s="1846"/>
    </row>
    <row r="151" spans="1:11" s="4" customFormat="1" x14ac:dyDescent="0.25">
      <c r="A151" s="1847" t="s">
        <v>1403</v>
      </c>
      <c r="B151" s="1848"/>
      <c r="C151" s="1848"/>
      <c r="D151" s="1848"/>
      <c r="E151" s="1848"/>
      <c r="F151" s="1848"/>
      <c r="G151" s="1848"/>
      <c r="H151" s="1848"/>
      <c r="I151" s="1848"/>
      <c r="J151" s="1848"/>
      <c r="K151" s="1849"/>
    </row>
    <row r="152" spans="1:11" s="4" customFormat="1" x14ac:dyDescent="0.25">
      <c r="D152" s="1023"/>
      <c r="E152" s="1023"/>
    </row>
    <row r="153" spans="1:11" s="4" customFormat="1" x14ac:dyDescent="0.25">
      <c r="B153" s="1869" t="s">
        <v>1376</v>
      </c>
      <c r="C153" s="1863" t="s">
        <v>1375</v>
      </c>
      <c r="D153" s="1864"/>
      <c r="E153" s="1865"/>
      <c r="F153" s="1869" t="s">
        <v>431</v>
      </c>
      <c r="G153" s="1869" t="s">
        <v>432</v>
      </c>
      <c r="H153" s="1861" t="s">
        <v>396</v>
      </c>
      <c r="I153" s="1862"/>
    </row>
    <row r="154" spans="1:11" s="4" customFormat="1" ht="22.5" x14ac:dyDescent="0.25">
      <c r="B154" s="1870"/>
      <c r="C154" s="1866"/>
      <c r="D154" s="1867"/>
      <c r="E154" s="1868"/>
      <c r="F154" s="1870"/>
      <c r="G154" s="1870"/>
      <c r="H154" s="1045" t="s">
        <v>1374</v>
      </c>
      <c r="I154" s="1045" t="s">
        <v>1373</v>
      </c>
    </row>
    <row r="155" spans="1:11" s="4" customFormat="1" ht="15" customHeight="1" x14ac:dyDescent="0.25">
      <c r="B155" s="1034">
        <v>1</v>
      </c>
      <c r="C155" s="1851" t="s">
        <v>1402</v>
      </c>
      <c r="D155" s="1852"/>
      <c r="E155" s="1853"/>
      <c r="F155" s="1039" t="s">
        <v>461</v>
      </c>
      <c r="G155" s="1041"/>
      <c r="H155" s="1041"/>
      <c r="I155" s="1031"/>
      <c r="J155" s="1043"/>
    </row>
    <row r="156" spans="1:11" s="4" customFormat="1" ht="15" customHeight="1" x14ac:dyDescent="0.25">
      <c r="B156" s="1034">
        <v>2</v>
      </c>
      <c r="C156" s="1851" t="s">
        <v>1401</v>
      </c>
      <c r="D156" s="1852"/>
      <c r="E156" s="1853"/>
      <c r="F156" s="1039" t="s">
        <v>461</v>
      </c>
      <c r="G156" s="1041"/>
      <c r="H156" s="1041"/>
      <c r="I156" s="1031"/>
      <c r="J156" s="1043"/>
    </row>
    <row r="157" spans="1:11" s="4" customFormat="1" ht="15" customHeight="1" x14ac:dyDescent="0.25">
      <c r="B157" s="1034">
        <v>3</v>
      </c>
      <c r="C157" s="1851" t="s">
        <v>1400</v>
      </c>
      <c r="D157" s="1852"/>
      <c r="E157" s="1853"/>
      <c r="F157" s="1041"/>
      <c r="G157" s="1039" t="s">
        <v>461</v>
      </c>
      <c r="H157" s="1041"/>
      <c r="I157" s="1031"/>
      <c r="J157" s="1043"/>
    </row>
    <row r="158" spans="1:11" s="4" customFormat="1" ht="15" customHeight="1" x14ac:dyDescent="0.15">
      <c r="B158" s="1034">
        <v>4</v>
      </c>
      <c r="C158" s="1851" t="s">
        <v>1399</v>
      </c>
      <c r="D158" s="1852"/>
      <c r="E158" s="1853"/>
      <c r="F158" s="1039" t="s">
        <v>461</v>
      </c>
      <c r="G158" s="1044"/>
      <c r="H158" s="1041"/>
      <c r="I158" s="1031"/>
      <c r="J158" s="1043"/>
    </row>
    <row r="159" spans="1:11" s="4" customFormat="1" ht="15" customHeight="1" x14ac:dyDescent="0.25">
      <c r="B159" s="1034">
        <v>5</v>
      </c>
      <c r="C159" s="1851" t="s">
        <v>1398</v>
      </c>
      <c r="D159" s="1852"/>
      <c r="E159" s="1853"/>
      <c r="F159" s="1039" t="s">
        <v>461</v>
      </c>
      <c r="G159" s="1041"/>
      <c r="H159" s="1041"/>
      <c r="I159" s="1031"/>
      <c r="J159" s="1043"/>
    </row>
    <row r="160" spans="1:11" s="4" customFormat="1" ht="15" customHeight="1" x14ac:dyDescent="0.25">
      <c r="B160" s="1034">
        <v>6</v>
      </c>
      <c r="C160" s="1851" t="s">
        <v>1397</v>
      </c>
      <c r="D160" s="1852"/>
      <c r="E160" s="1853"/>
      <c r="F160" s="1041"/>
      <c r="G160" s="1039" t="s">
        <v>461</v>
      </c>
      <c r="H160" s="1041"/>
      <c r="I160" s="1031"/>
      <c r="J160" s="1043"/>
    </row>
    <row r="161" spans="2:10" s="4" customFormat="1" x14ac:dyDescent="0.25">
      <c r="B161" s="1034">
        <v>7</v>
      </c>
      <c r="C161" s="1851" t="s">
        <v>1396</v>
      </c>
      <c r="D161" s="1852"/>
      <c r="E161" s="1853"/>
      <c r="F161" s="1041"/>
      <c r="G161" s="1041"/>
      <c r="H161" s="1039" t="s">
        <v>461</v>
      </c>
      <c r="I161" s="1031"/>
      <c r="J161" s="1043"/>
    </row>
    <row r="162" spans="2:10" s="4" customFormat="1" ht="15" customHeight="1" x14ac:dyDescent="0.25">
      <c r="B162" s="1034">
        <v>8</v>
      </c>
      <c r="C162" s="1851" t="s">
        <v>1395</v>
      </c>
      <c r="D162" s="1852"/>
      <c r="E162" s="1853"/>
      <c r="F162" s="1039" t="s">
        <v>461</v>
      </c>
      <c r="G162" s="1041"/>
      <c r="H162" s="1041"/>
      <c r="I162" s="1031"/>
      <c r="J162" s="1043"/>
    </row>
    <row r="163" spans="2:10" s="4" customFormat="1" x14ac:dyDescent="0.25">
      <c r="B163" s="1034">
        <v>9</v>
      </c>
      <c r="C163" s="1851" t="s">
        <v>1394</v>
      </c>
      <c r="D163" s="1852"/>
      <c r="E163" s="1853"/>
      <c r="F163" s="1039" t="s">
        <v>461</v>
      </c>
      <c r="G163" s="1041"/>
      <c r="H163" s="1041"/>
      <c r="I163" s="1031"/>
      <c r="J163" s="1043"/>
    </row>
    <row r="164" spans="2:10" s="4" customFormat="1" ht="15" customHeight="1" x14ac:dyDescent="0.25">
      <c r="B164" s="1034">
        <v>10</v>
      </c>
      <c r="C164" s="1851" t="s">
        <v>1393</v>
      </c>
      <c r="D164" s="1852"/>
      <c r="E164" s="1853"/>
      <c r="F164" s="1039" t="s">
        <v>461</v>
      </c>
      <c r="G164" s="1041"/>
      <c r="H164" s="1041"/>
      <c r="I164" s="1031"/>
      <c r="J164" s="1043"/>
    </row>
    <row r="165" spans="2:10" s="4" customFormat="1" ht="15" customHeight="1" x14ac:dyDescent="0.25">
      <c r="B165" s="1034">
        <v>11</v>
      </c>
      <c r="C165" s="1851" t="s">
        <v>1392</v>
      </c>
      <c r="D165" s="1852"/>
      <c r="E165" s="1853"/>
      <c r="F165" s="1041"/>
      <c r="G165" s="1041"/>
      <c r="I165" s="1039" t="s">
        <v>461</v>
      </c>
      <c r="J165" s="1043"/>
    </row>
    <row r="166" spans="2:10" s="4" customFormat="1" ht="15" customHeight="1" x14ac:dyDescent="0.25">
      <c r="B166" s="1034">
        <v>12</v>
      </c>
      <c r="C166" s="1851" t="s">
        <v>1391</v>
      </c>
      <c r="D166" s="1852"/>
      <c r="E166" s="1853"/>
      <c r="F166" s="1039" t="s">
        <v>461</v>
      </c>
      <c r="G166" s="1041"/>
      <c r="H166" s="1041"/>
      <c r="I166" s="1031"/>
      <c r="J166" s="1043"/>
    </row>
    <row r="167" spans="2:10" s="4" customFormat="1" ht="15" customHeight="1" x14ac:dyDescent="0.25">
      <c r="B167" s="1034">
        <v>13</v>
      </c>
      <c r="C167" s="1851" t="s">
        <v>1390</v>
      </c>
      <c r="D167" s="1852"/>
      <c r="E167" s="1853"/>
      <c r="F167" s="1041"/>
      <c r="G167" s="1041"/>
      <c r="I167" s="1039" t="s">
        <v>461</v>
      </c>
      <c r="J167" s="1043"/>
    </row>
    <row r="168" spans="2:10" s="4" customFormat="1" x14ac:dyDescent="0.25">
      <c r="B168" s="1034">
        <v>14</v>
      </c>
      <c r="C168" s="1851" t="s">
        <v>1389</v>
      </c>
      <c r="D168" s="1852"/>
      <c r="E168" s="1853"/>
      <c r="F168" s="1039" t="s">
        <v>461</v>
      </c>
      <c r="G168" s="1041"/>
      <c r="H168" s="1041"/>
      <c r="I168" s="1031"/>
      <c r="J168" s="1043"/>
    </row>
    <row r="169" spans="2:10" s="4" customFormat="1" ht="15" customHeight="1" x14ac:dyDescent="0.25">
      <c r="B169" s="1034">
        <v>15</v>
      </c>
      <c r="C169" s="1851" t="s">
        <v>1388</v>
      </c>
      <c r="D169" s="1852"/>
      <c r="E169" s="1853"/>
      <c r="F169" s="1041"/>
      <c r="G169" s="1039" t="s">
        <v>461</v>
      </c>
      <c r="H169" s="1041"/>
      <c r="I169" s="1031"/>
      <c r="J169" s="1043"/>
    </row>
    <row r="170" spans="2:10" s="4" customFormat="1" ht="15" customHeight="1" x14ac:dyDescent="0.25">
      <c r="B170" s="1034">
        <v>16</v>
      </c>
      <c r="C170" s="1851" t="s">
        <v>1387</v>
      </c>
      <c r="D170" s="1852"/>
      <c r="E170" s="1853"/>
      <c r="F170" s="1039" t="s">
        <v>461</v>
      </c>
      <c r="G170" s="1041"/>
      <c r="H170" s="1041"/>
      <c r="I170" s="1031"/>
      <c r="J170" s="1043"/>
    </row>
    <row r="171" spans="2:10" s="4" customFormat="1" ht="15" customHeight="1" x14ac:dyDescent="0.25">
      <c r="B171" s="1034">
        <v>17</v>
      </c>
      <c r="C171" s="1851" t="s">
        <v>1386</v>
      </c>
      <c r="D171" s="1852"/>
      <c r="E171" s="1853"/>
      <c r="F171" s="1039" t="s">
        <v>461</v>
      </c>
      <c r="G171" s="1041"/>
      <c r="H171" s="1041"/>
      <c r="I171" s="1031"/>
      <c r="J171" s="1043"/>
    </row>
    <row r="172" spans="2:10" s="4" customFormat="1" x14ac:dyDescent="0.25">
      <c r="B172" s="1034">
        <v>18</v>
      </c>
      <c r="C172" s="1851" t="s">
        <v>1385</v>
      </c>
      <c r="D172" s="1852"/>
      <c r="E172" s="1853"/>
      <c r="F172" s="1041"/>
      <c r="G172" s="1041"/>
      <c r="H172" s="1039" t="s">
        <v>461</v>
      </c>
      <c r="I172" s="1031"/>
      <c r="J172" s="1043"/>
    </row>
    <row r="173" spans="2:10" s="4" customFormat="1" ht="15" customHeight="1" x14ac:dyDescent="0.25">
      <c r="B173" s="1034">
        <v>19</v>
      </c>
      <c r="C173" s="1851" t="s">
        <v>1384</v>
      </c>
      <c r="D173" s="1852"/>
      <c r="E173" s="1853"/>
      <c r="F173" s="1041"/>
      <c r="G173" s="1039" t="s">
        <v>461</v>
      </c>
      <c r="H173" s="1041"/>
      <c r="I173" s="1031"/>
      <c r="J173" s="1043"/>
    </row>
    <row r="174" spans="2:10" s="4" customFormat="1" ht="15" customHeight="1" x14ac:dyDescent="0.25">
      <c r="B174" s="1034">
        <v>20</v>
      </c>
      <c r="C174" s="1851" t="s">
        <v>1383</v>
      </c>
      <c r="D174" s="1852"/>
      <c r="E174" s="1853"/>
      <c r="F174" s="1041"/>
      <c r="G174" s="1041"/>
      <c r="I174" s="1039" t="s">
        <v>461</v>
      </c>
      <c r="J174" s="1043"/>
    </row>
    <row r="175" spans="2:10" s="4" customFormat="1" ht="15" customHeight="1" x14ac:dyDescent="0.25">
      <c r="B175" s="1034">
        <v>21</v>
      </c>
      <c r="C175" s="1884" t="s">
        <v>1382</v>
      </c>
      <c r="D175" s="1885"/>
      <c r="E175" s="1886"/>
      <c r="F175" s="1039" t="s">
        <v>461</v>
      </c>
      <c r="G175" s="1041"/>
      <c r="H175" s="1041"/>
      <c r="I175" s="1030"/>
      <c r="J175" s="1042"/>
    </row>
    <row r="176" spans="2:10" s="4" customFormat="1" ht="15" customHeight="1" x14ac:dyDescent="0.25">
      <c r="B176" s="1034">
        <v>22</v>
      </c>
      <c r="C176" s="1851" t="s">
        <v>1381</v>
      </c>
      <c r="D176" s="1852"/>
      <c r="E176" s="1853"/>
      <c r="F176" s="1039" t="s">
        <v>461</v>
      </c>
      <c r="G176" s="1041"/>
      <c r="H176" s="1041"/>
      <c r="I176" s="1030"/>
      <c r="J176" s="1042"/>
    </row>
    <row r="177" spans="2:9" s="4" customFormat="1" ht="15" customHeight="1" x14ac:dyDescent="0.25">
      <c r="B177" s="1034">
        <v>23</v>
      </c>
      <c r="C177" s="1851" t="s">
        <v>1380</v>
      </c>
      <c r="D177" s="1852"/>
      <c r="E177" s="1853"/>
      <c r="F177" s="1041"/>
      <c r="G177" s="1041"/>
      <c r="I177" s="1039" t="s">
        <v>461</v>
      </c>
    </row>
    <row r="178" spans="2:9" s="4" customFormat="1" ht="15" customHeight="1" x14ac:dyDescent="0.25">
      <c r="B178" s="1034">
        <v>24</v>
      </c>
      <c r="C178" s="1851" t="s">
        <v>1379</v>
      </c>
      <c r="D178" s="1852"/>
      <c r="E178" s="1853"/>
      <c r="F178" s="1039" t="s">
        <v>461</v>
      </c>
      <c r="G178" s="1041"/>
      <c r="H178" s="1041"/>
      <c r="I178" s="1040"/>
    </row>
    <row r="179" spans="2:9" s="4" customFormat="1" ht="15" customHeight="1" x14ac:dyDescent="0.25">
      <c r="B179" s="1034">
        <v>25</v>
      </c>
      <c r="C179" s="1851" t="s">
        <v>1378</v>
      </c>
      <c r="D179" s="1852"/>
      <c r="E179" s="1853"/>
      <c r="F179" s="1041"/>
      <c r="G179" s="1041"/>
      <c r="H179" s="1040"/>
      <c r="I179" s="1039" t="s">
        <v>461</v>
      </c>
    </row>
    <row r="180" spans="2:9" s="4" customFormat="1" x14ac:dyDescent="0.25">
      <c r="D180" s="1023"/>
      <c r="E180" s="1023"/>
      <c r="F180" s="1038"/>
      <c r="G180" s="1038"/>
      <c r="H180" s="1038"/>
    </row>
    <row r="181" spans="2:9" s="4" customFormat="1" x14ac:dyDescent="0.25">
      <c r="D181" s="1023"/>
      <c r="E181" s="1023"/>
      <c r="F181" s="1038"/>
      <c r="G181" s="1038"/>
      <c r="H181" s="1038"/>
    </row>
    <row r="182" spans="2:9" s="4" customFormat="1" x14ac:dyDescent="0.25">
      <c r="D182" s="1023"/>
      <c r="E182" s="1023"/>
      <c r="F182" s="1038"/>
      <c r="G182" s="1038"/>
      <c r="H182" s="1038"/>
    </row>
    <row r="183" spans="2:9" s="4" customFormat="1" x14ac:dyDescent="0.25">
      <c r="D183" s="1023"/>
      <c r="E183" s="1023"/>
      <c r="F183" s="1038"/>
      <c r="G183" s="1038"/>
      <c r="H183" s="1038"/>
    </row>
    <row r="184" spans="2:9" s="4" customFormat="1" x14ac:dyDescent="0.25">
      <c r="D184" s="1023"/>
      <c r="E184" s="1023"/>
      <c r="F184" s="1038"/>
      <c r="G184" s="1038"/>
      <c r="H184" s="1038"/>
    </row>
    <row r="185" spans="2:9" s="4" customFormat="1" x14ac:dyDescent="0.25">
      <c r="D185" s="1023"/>
      <c r="E185" s="1023"/>
      <c r="F185" s="1038"/>
      <c r="G185" s="1038"/>
      <c r="H185" s="1038"/>
    </row>
    <row r="186" spans="2:9" s="4" customFormat="1" x14ac:dyDescent="0.25">
      <c r="D186" s="1023"/>
      <c r="E186" s="1023"/>
    </row>
    <row r="187" spans="2:9" s="4" customFormat="1" x14ac:dyDescent="0.25">
      <c r="D187" s="1023"/>
      <c r="E187" s="1023"/>
    </row>
    <row r="188" spans="2:9" s="4" customFormat="1" x14ac:dyDescent="0.25">
      <c r="D188" s="1023"/>
      <c r="E188" s="1023"/>
    </row>
    <row r="189" spans="2:9" s="4" customFormat="1" x14ac:dyDescent="0.25">
      <c r="D189" s="1023"/>
      <c r="E189" s="1023"/>
    </row>
    <row r="190" spans="2:9" s="4" customFormat="1" x14ac:dyDescent="0.25">
      <c r="D190" s="1023"/>
      <c r="E190" s="1023"/>
    </row>
    <row r="191" spans="2:9" s="4" customFormat="1" x14ac:dyDescent="0.25">
      <c r="D191" s="1023"/>
      <c r="E191" s="1023"/>
    </row>
    <row r="192" spans="2:9" s="4" customFormat="1" x14ac:dyDescent="0.25">
      <c r="D192" s="1023"/>
      <c r="E192" s="1023"/>
    </row>
    <row r="193" spans="1:11" s="4" customFormat="1" x14ac:dyDescent="0.25">
      <c r="D193" s="1023"/>
      <c r="E193" s="1023"/>
    </row>
    <row r="194" spans="1:11" s="4" customFormat="1" x14ac:dyDescent="0.25">
      <c r="D194" s="1023"/>
      <c r="E194" s="1023"/>
    </row>
    <row r="195" spans="1:11" s="4" customFormat="1" x14ac:dyDescent="0.25">
      <c r="D195" s="1023"/>
      <c r="E195" s="1023"/>
    </row>
    <row r="196" spans="1:11" s="4" customFormat="1" x14ac:dyDescent="0.25">
      <c r="D196" s="1023"/>
      <c r="E196" s="1023"/>
    </row>
    <row r="197" spans="1:11" s="4" customFormat="1" x14ac:dyDescent="0.25">
      <c r="D197" s="1023"/>
      <c r="E197" s="1023"/>
    </row>
    <row r="198" spans="1:11" s="4" customFormat="1" x14ac:dyDescent="0.25">
      <c r="D198" s="1023"/>
      <c r="E198" s="1023"/>
    </row>
    <row r="199" spans="1:11" s="4" customFormat="1" x14ac:dyDescent="0.25">
      <c r="A199" s="3"/>
      <c r="B199" s="3"/>
      <c r="C199" s="3"/>
      <c r="D199" s="1037"/>
      <c r="E199" s="1037"/>
      <c r="F199" s="3"/>
      <c r="G199" s="3"/>
      <c r="H199" s="3"/>
      <c r="I199" s="3"/>
      <c r="J199" s="3"/>
      <c r="K199" s="3"/>
    </row>
    <row r="200" spans="1:11" x14ac:dyDescent="0.25">
      <c r="A200" s="1844" t="s">
        <v>20</v>
      </c>
      <c r="B200" s="1845"/>
      <c r="C200" s="1845"/>
      <c r="D200" s="1845"/>
      <c r="E200" s="1845"/>
      <c r="F200" s="1845"/>
      <c r="G200" s="1845"/>
      <c r="H200" s="1845"/>
      <c r="I200" s="1845"/>
      <c r="J200" s="1845"/>
      <c r="K200" s="1846"/>
    </row>
    <row r="201" spans="1:11" x14ac:dyDescent="0.25">
      <c r="A201" s="1847" t="s">
        <v>1377</v>
      </c>
      <c r="B201" s="1848"/>
      <c r="C201" s="1848"/>
      <c r="D201" s="1848"/>
      <c r="E201" s="1848"/>
      <c r="F201" s="1848"/>
      <c r="G201" s="1848"/>
      <c r="H201" s="1848"/>
      <c r="I201" s="1848"/>
      <c r="J201" s="1848"/>
      <c r="K201" s="1849"/>
    </row>
    <row r="202" spans="1:11" x14ac:dyDescent="0.25">
      <c r="D202" s="97"/>
      <c r="E202" s="97"/>
    </row>
    <row r="203" spans="1:11" x14ac:dyDescent="0.25">
      <c r="A203" s="4"/>
      <c r="B203" s="1869" t="s">
        <v>1376</v>
      </c>
      <c r="C203" s="1869" t="s">
        <v>1375</v>
      </c>
      <c r="D203" s="1881" t="s">
        <v>975</v>
      </c>
      <c r="E203" s="1869" t="s">
        <v>431</v>
      </c>
      <c r="F203" s="1869" t="s">
        <v>432</v>
      </c>
      <c r="G203" s="1861" t="s">
        <v>396</v>
      </c>
      <c r="H203" s="1871"/>
      <c r="I203" s="1871"/>
      <c r="J203" s="1862"/>
    </row>
    <row r="204" spans="1:11" x14ac:dyDescent="0.25">
      <c r="A204" s="4"/>
      <c r="B204" s="1880"/>
      <c r="C204" s="1880"/>
      <c r="D204" s="1882"/>
      <c r="E204" s="1880"/>
      <c r="F204" s="1880"/>
      <c r="G204" s="1878" t="s">
        <v>1374</v>
      </c>
      <c r="H204" s="1875" t="s">
        <v>1373</v>
      </c>
      <c r="I204" s="1876"/>
      <c r="J204" s="1877"/>
    </row>
    <row r="205" spans="1:11" ht="22.5" x14ac:dyDescent="0.25">
      <c r="A205" s="4"/>
      <c r="B205" s="1870"/>
      <c r="C205" s="1870"/>
      <c r="D205" s="1883"/>
      <c r="E205" s="1870"/>
      <c r="F205" s="1870"/>
      <c r="G205" s="1879"/>
      <c r="H205" s="1036" t="s">
        <v>1372</v>
      </c>
      <c r="I205" s="1036" t="s">
        <v>1371</v>
      </c>
      <c r="J205" s="1036" t="s">
        <v>1370</v>
      </c>
    </row>
    <row r="206" spans="1:11" x14ac:dyDescent="0.25">
      <c r="A206" s="4"/>
      <c r="B206" s="1034">
        <v>1</v>
      </c>
      <c r="C206" s="1033" t="s">
        <v>1369</v>
      </c>
      <c r="D206" s="1032">
        <v>5000</v>
      </c>
      <c r="E206" s="1031">
        <f>+D206</f>
        <v>5000</v>
      </c>
      <c r="F206" s="1031"/>
      <c r="G206" s="1031"/>
      <c r="H206" s="1029"/>
      <c r="I206" s="1029"/>
      <c r="J206" s="1029"/>
    </row>
    <row r="207" spans="1:11" x14ac:dyDescent="0.25">
      <c r="A207" s="4"/>
      <c r="B207" s="1034">
        <v>2</v>
      </c>
      <c r="C207" s="1033" t="s">
        <v>1368</v>
      </c>
      <c r="D207" s="1032">
        <v>7000</v>
      </c>
      <c r="E207" s="1031">
        <f>+D207</f>
        <v>7000</v>
      </c>
      <c r="F207" s="1031"/>
      <c r="G207" s="1031"/>
      <c r="H207" s="1029"/>
      <c r="I207" s="1029"/>
      <c r="J207" s="1029"/>
    </row>
    <row r="208" spans="1:11" x14ac:dyDescent="0.25">
      <c r="A208" s="4"/>
      <c r="B208" s="1034">
        <v>3</v>
      </c>
      <c r="C208" s="1033" t="s">
        <v>1367</v>
      </c>
      <c r="D208" s="1032">
        <v>9000</v>
      </c>
      <c r="E208" s="1031"/>
      <c r="F208" s="1031">
        <f>+D208</f>
        <v>9000</v>
      </c>
      <c r="G208" s="1031"/>
      <c r="H208" s="1029"/>
      <c r="I208" s="1029"/>
      <c r="J208" s="1029"/>
    </row>
    <row r="209" spans="1:10" x14ac:dyDescent="0.25">
      <c r="A209" s="4"/>
      <c r="B209" s="1034">
        <v>4</v>
      </c>
      <c r="C209" s="1033" t="s">
        <v>1366</v>
      </c>
      <c r="D209" s="1032">
        <v>2000</v>
      </c>
      <c r="E209" s="1031">
        <f>+D209</f>
        <v>2000</v>
      </c>
      <c r="F209" s="1031"/>
      <c r="G209" s="1031"/>
      <c r="H209" s="1029"/>
      <c r="I209" s="1029"/>
      <c r="J209" s="1029"/>
    </row>
    <row r="210" spans="1:10" x14ac:dyDescent="0.25">
      <c r="A210" s="4"/>
      <c r="B210" s="1034">
        <v>5</v>
      </c>
      <c r="C210" s="1033" t="s">
        <v>1365</v>
      </c>
      <c r="D210" s="1032">
        <v>3000</v>
      </c>
      <c r="E210" s="1031">
        <f>+D210</f>
        <v>3000</v>
      </c>
      <c r="F210" s="1031"/>
      <c r="G210" s="1031"/>
      <c r="H210" s="1029"/>
      <c r="I210" s="1029"/>
      <c r="J210" s="1029"/>
    </row>
    <row r="211" spans="1:10" x14ac:dyDescent="0.25">
      <c r="A211" s="4"/>
      <c r="B211" s="1034">
        <v>6</v>
      </c>
      <c r="C211" s="1033" t="s">
        <v>1364</v>
      </c>
      <c r="D211" s="1032">
        <v>3000</v>
      </c>
      <c r="E211" s="1031">
        <f>+D211</f>
        <v>3000</v>
      </c>
      <c r="F211" s="1031"/>
      <c r="G211" s="1031"/>
      <c r="H211" s="1029"/>
      <c r="I211" s="1029"/>
      <c r="J211" s="1029"/>
    </row>
    <row r="212" spans="1:10" x14ac:dyDescent="0.25">
      <c r="A212" s="4"/>
      <c r="B212" s="1034">
        <v>7</v>
      </c>
      <c r="C212" s="1033" t="s">
        <v>1363</v>
      </c>
      <c r="D212" s="1032">
        <v>1000</v>
      </c>
      <c r="E212" s="1031"/>
      <c r="F212" s="1031">
        <f>+D212</f>
        <v>1000</v>
      </c>
      <c r="G212" s="1031"/>
      <c r="H212" s="1029"/>
      <c r="I212" s="1029"/>
      <c r="J212" s="1029"/>
    </row>
    <row r="213" spans="1:10" x14ac:dyDescent="0.25">
      <c r="A213" s="4"/>
      <c r="B213" s="1034">
        <v>8</v>
      </c>
      <c r="C213" s="1033" t="s">
        <v>2110</v>
      </c>
      <c r="D213" s="1031">
        <v>26000</v>
      </c>
      <c r="E213" s="1031"/>
      <c r="F213" s="1031">
        <f>+D213</f>
        <v>26000</v>
      </c>
      <c r="G213" s="1031"/>
      <c r="H213" s="1029"/>
      <c r="I213" s="1029"/>
      <c r="J213" s="1029"/>
    </row>
    <row r="214" spans="1:10" x14ac:dyDescent="0.25">
      <c r="A214" s="4"/>
      <c r="B214" s="1034">
        <v>9</v>
      </c>
      <c r="C214" s="1033" t="s">
        <v>1362</v>
      </c>
      <c r="D214" s="1031">
        <v>9000</v>
      </c>
      <c r="E214" s="1031">
        <f>+D214</f>
        <v>9000</v>
      </c>
      <c r="F214" s="1031"/>
      <c r="G214" s="1031"/>
      <c r="H214" s="1029"/>
      <c r="I214" s="1029"/>
      <c r="J214" s="1029"/>
    </row>
    <row r="215" spans="1:10" x14ac:dyDescent="0.25">
      <c r="A215" s="4"/>
      <c r="B215" s="1034">
        <v>10</v>
      </c>
      <c r="C215" s="1033" t="s">
        <v>1361</v>
      </c>
      <c r="D215" s="1032">
        <v>1000</v>
      </c>
      <c r="E215" s="1031">
        <f>+D215</f>
        <v>1000</v>
      </c>
      <c r="F215" s="1031"/>
      <c r="G215" s="1031"/>
      <c r="H215" s="1029"/>
      <c r="I215" s="1029"/>
      <c r="J215" s="1029"/>
    </row>
    <row r="216" spans="1:10" ht="15" customHeight="1" x14ac:dyDescent="0.25">
      <c r="A216" s="4"/>
      <c r="B216" s="1034">
        <v>11</v>
      </c>
      <c r="C216" s="1033" t="s">
        <v>2109</v>
      </c>
      <c r="D216" s="1032">
        <v>5000</v>
      </c>
      <c r="E216" s="1031"/>
      <c r="F216" s="1031">
        <f>+D216</f>
        <v>5000</v>
      </c>
      <c r="G216" s="1031"/>
      <c r="H216" s="1029"/>
      <c r="I216" s="1029"/>
      <c r="J216" s="1029"/>
    </row>
    <row r="217" spans="1:10" x14ac:dyDescent="0.25">
      <c r="A217" s="4"/>
      <c r="B217" s="1034">
        <v>12</v>
      </c>
      <c r="C217" s="1033" t="s">
        <v>1360</v>
      </c>
      <c r="D217" s="1031">
        <v>11000</v>
      </c>
      <c r="E217" s="1031"/>
      <c r="F217" s="1031"/>
      <c r="H217" s="1029"/>
      <c r="I217" s="1031">
        <f>+D217</f>
        <v>11000</v>
      </c>
      <c r="J217" s="1029"/>
    </row>
    <row r="218" spans="1:10" x14ac:dyDescent="0.25">
      <c r="A218" s="4"/>
      <c r="B218" s="1034">
        <v>13</v>
      </c>
      <c r="C218" s="1033" t="s">
        <v>1359</v>
      </c>
      <c r="D218" s="1031">
        <v>9000</v>
      </c>
      <c r="E218" s="1031">
        <f>+D218</f>
        <v>9000</v>
      </c>
      <c r="F218" s="1031"/>
      <c r="G218" s="1031"/>
      <c r="H218" s="1029"/>
      <c r="I218" s="1029"/>
      <c r="J218" s="1029"/>
    </row>
    <row r="219" spans="1:10" x14ac:dyDescent="0.25">
      <c r="A219" s="4"/>
      <c r="B219" s="1034">
        <v>14</v>
      </c>
      <c r="C219" s="1033" t="s">
        <v>1358</v>
      </c>
      <c r="D219" s="1032">
        <v>1000</v>
      </c>
      <c r="E219" s="1031"/>
      <c r="F219" s="1031">
        <f>+D219</f>
        <v>1000</v>
      </c>
      <c r="G219" s="1031"/>
      <c r="H219" s="1029"/>
      <c r="I219" s="1029"/>
      <c r="J219" s="1029"/>
    </row>
    <row r="220" spans="1:10" x14ac:dyDescent="0.25">
      <c r="A220" s="4"/>
      <c r="B220" s="1034">
        <v>15</v>
      </c>
      <c r="C220" s="1033" t="s">
        <v>1357</v>
      </c>
      <c r="D220" s="1032">
        <v>2000</v>
      </c>
      <c r="E220" s="1031"/>
      <c r="F220" s="1031">
        <f>+D220</f>
        <v>2000</v>
      </c>
      <c r="G220" s="1031"/>
      <c r="H220" s="1029"/>
      <c r="I220" s="1029"/>
      <c r="J220" s="1029"/>
    </row>
    <row r="221" spans="1:10" x14ac:dyDescent="0.25">
      <c r="A221" s="4"/>
      <c r="B221" s="1034">
        <v>16</v>
      </c>
      <c r="C221" s="1033" t="s">
        <v>1356</v>
      </c>
      <c r="D221" s="1032">
        <v>8000</v>
      </c>
      <c r="E221" s="1031">
        <f>+D221</f>
        <v>8000</v>
      </c>
      <c r="F221" s="1031"/>
      <c r="G221" s="1031"/>
      <c r="H221" s="1029"/>
      <c r="I221" s="1029"/>
      <c r="J221" s="1029"/>
    </row>
    <row r="222" spans="1:10" x14ac:dyDescent="0.25">
      <c r="A222" s="4"/>
      <c r="B222" s="1034">
        <f t="shared" ref="B222:B231" si="0">+B221+1</f>
        <v>17</v>
      </c>
      <c r="C222" s="1033" t="s">
        <v>552</v>
      </c>
      <c r="D222" s="1032">
        <v>4000</v>
      </c>
      <c r="E222" s="1031"/>
      <c r="F222" s="1031"/>
      <c r="G222" s="1031"/>
      <c r="H222" s="1035">
        <f>+D222</f>
        <v>4000</v>
      </c>
      <c r="I222" s="1029"/>
      <c r="J222" s="1029"/>
    </row>
    <row r="223" spans="1:10" x14ac:dyDescent="0.25">
      <c r="A223" s="4"/>
      <c r="B223" s="1034">
        <f t="shared" si="0"/>
        <v>18</v>
      </c>
      <c r="C223" s="1033" t="s">
        <v>1355</v>
      </c>
      <c r="D223" s="1032">
        <v>1000</v>
      </c>
      <c r="E223" s="1031">
        <f>+D223</f>
        <v>1000</v>
      </c>
      <c r="F223" s="1031"/>
      <c r="G223" s="1031"/>
      <c r="H223" s="1029"/>
      <c r="I223" s="1029"/>
      <c r="J223" s="1029"/>
    </row>
    <row r="224" spans="1:10" x14ac:dyDescent="0.25">
      <c r="A224" s="4"/>
      <c r="B224" s="1034">
        <f t="shared" si="0"/>
        <v>19</v>
      </c>
      <c r="C224" s="1033" t="s">
        <v>1354</v>
      </c>
      <c r="D224" s="1032">
        <v>7000</v>
      </c>
      <c r="E224" s="1031">
        <f>+D224</f>
        <v>7000</v>
      </c>
      <c r="F224" s="1031"/>
      <c r="G224" s="1031"/>
      <c r="H224" s="1029"/>
      <c r="I224" s="1029"/>
      <c r="J224" s="1029"/>
    </row>
    <row r="225" spans="1:10" x14ac:dyDescent="0.25">
      <c r="A225" s="4"/>
      <c r="B225" s="1034">
        <f t="shared" si="0"/>
        <v>20</v>
      </c>
      <c r="C225" s="1033" t="s">
        <v>1353</v>
      </c>
      <c r="D225" s="1032">
        <v>14000</v>
      </c>
      <c r="E225" s="1031"/>
      <c r="F225" s="1031"/>
      <c r="G225" s="1031">
        <f>+D225</f>
        <v>14000</v>
      </c>
      <c r="H225" s="1029"/>
      <c r="I225" s="1029"/>
      <c r="J225" s="1029"/>
    </row>
    <row r="226" spans="1:10" x14ac:dyDescent="0.25">
      <c r="A226" s="4"/>
      <c r="B226" s="1034">
        <f t="shared" si="0"/>
        <v>21</v>
      </c>
      <c r="C226" s="1033" t="s">
        <v>1352</v>
      </c>
      <c r="D226" s="1032">
        <v>8000</v>
      </c>
      <c r="E226" s="1031">
        <f>+D226</f>
        <v>8000</v>
      </c>
      <c r="F226" s="1031"/>
      <c r="G226" s="1031"/>
      <c r="H226" s="1029"/>
      <c r="I226" s="1029"/>
      <c r="J226" s="1029"/>
    </row>
    <row r="227" spans="1:10" x14ac:dyDescent="0.25">
      <c r="A227" s="4"/>
      <c r="B227" s="1034">
        <f t="shared" si="0"/>
        <v>22</v>
      </c>
      <c r="C227" s="1033" t="s">
        <v>1351</v>
      </c>
      <c r="D227" s="1032">
        <v>2000</v>
      </c>
      <c r="E227" s="1031"/>
      <c r="F227" s="1031"/>
      <c r="H227" s="1029"/>
      <c r="I227" s="1029"/>
      <c r="J227" s="1030">
        <f>D227</f>
        <v>2000</v>
      </c>
    </row>
    <row r="228" spans="1:10" x14ac:dyDescent="0.25">
      <c r="A228" s="4"/>
      <c r="B228" s="1034">
        <f t="shared" si="0"/>
        <v>23</v>
      </c>
      <c r="C228" s="1033" t="s">
        <v>1350</v>
      </c>
      <c r="D228" s="1032">
        <v>3000</v>
      </c>
      <c r="E228" s="1031">
        <f>+D228</f>
        <v>3000</v>
      </c>
      <c r="F228" s="1031"/>
      <c r="G228" s="1030"/>
      <c r="H228" s="1029"/>
      <c r="I228" s="1029"/>
      <c r="J228" s="1029"/>
    </row>
    <row r="229" spans="1:10" x14ac:dyDescent="0.25">
      <c r="A229" s="4"/>
      <c r="B229" s="1034">
        <f t="shared" si="0"/>
        <v>24</v>
      </c>
      <c r="C229" s="1033" t="s">
        <v>1349</v>
      </c>
      <c r="D229" s="1032">
        <v>4000</v>
      </c>
      <c r="E229" s="1031"/>
      <c r="F229" s="1031">
        <f>+D229</f>
        <v>4000</v>
      </c>
      <c r="G229" s="1030"/>
      <c r="H229" s="1029"/>
      <c r="I229" s="1029"/>
      <c r="J229" s="1029"/>
    </row>
    <row r="230" spans="1:10" x14ac:dyDescent="0.25">
      <c r="A230" s="4"/>
      <c r="B230" s="1034">
        <f t="shared" si="0"/>
        <v>25</v>
      </c>
      <c r="C230" s="1033" t="s">
        <v>1348</v>
      </c>
      <c r="D230" s="1032">
        <v>3000</v>
      </c>
      <c r="E230" s="1031"/>
      <c r="F230" s="1031"/>
      <c r="H230" s="1029"/>
      <c r="I230" s="1029"/>
      <c r="J230" s="1030">
        <f>D230</f>
        <v>3000</v>
      </c>
    </row>
    <row r="231" spans="1:10" x14ac:dyDescent="0.25">
      <c r="A231" s="4"/>
      <c r="B231" s="1034">
        <f t="shared" si="0"/>
        <v>26</v>
      </c>
      <c r="C231" s="1033" t="s">
        <v>1347</v>
      </c>
      <c r="D231" s="1032">
        <v>6000</v>
      </c>
      <c r="E231" s="1031">
        <f>+D231</f>
        <v>6000</v>
      </c>
      <c r="F231" s="1031"/>
      <c r="G231" s="1030"/>
      <c r="H231" s="1029"/>
      <c r="I231" s="1029"/>
      <c r="J231" s="1029"/>
    </row>
    <row r="232" spans="1:10" x14ac:dyDescent="0.25">
      <c r="A232" s="4"/>
      <c r="B232" s="1872" t="s">
        <v>1346</v>
      </c>
      <c r="C232" s="1873"/>
      <c r="D232" s="1874"/>
      <c r="E232" s="1028">
        <f t="shared" ref="E232:J232" si="1">+SUM(E206:E231)</f>
        <v>72000</v>
      </c>
      <c r="F232" s="1028">
        <f t="shared" si="1"/>
        <v>48000</v>
      </c>
      <c r="G232" s="1028">
        <f t="shared" si="1"/>
        <v>14000</v>
      </c>
      <c r="H232" s="1028">
        <f t="shared" si="1"/>
        <v>4000</v>
      </c>
      <c r="I232" s="1028">
        <f t="shared" si="1"/>
        <v>11000</v>
      </c>
      <c r="J232" s="1028">
        <f t="shared" si="1"/>
        <v>5000</v>
      </c>
    </row>
    <row r="233" spans="1:10" x14ac:dyDescent="0.25">
      <c r="A233" s="4"/>
      <c r="B233" s="4"/>
      <c r="C233" s="4"/>
      <c r="D233" s="1023"/>
      <c r="E233" s="1023"/>
      <c r="F233" s="4"/>
      <c r="G233" s="4"/>
      <c r="H233" s="4"/>
      <c r="I233" s="4"/>
    </row>
    <row r="234" spans="1:10" x14ac:dyDescent="0.25">
      <c r="A234" s="4"/>
      <c r="B234" s="4"/>
      <c r="C234" s="4"/>
      <c r="D234" s="1023"/>
      <c r="E234" s="1023"/>
      <c r="F234" s="4"/>
      <c r="G234" s="4"/>
      <c r="H234" s="4"/>
      <c r="I234" s="4"/>
    </row>
    <row r="235" spans="1:10" x14ac:dyDescent="0.25">
      <c r="A235" s="4"/>
      <c r="B235" s="4"/>
      <c r="C235" s="439"/>
      <c r="D235" s="1023"/>
      <c r="E235" s="1023"/>
      <c r="F235" s="4"/>
      <c r="G235" s="4"/>
      <c r="H235" s="4"/>
      <c r="I235" s="4"/>
    </row>
    <row r="236" spans="1:10" x14ac:dyDescent="0.25">
      <c r="A236" s="4"/>
      <c r="B236" s="4"/>
      <c r="C236" s="156" t="s">
        <v>427</v>
      </c>
      <c r="D236" s="638">
        <f>+E232</f>
        <v>72000</v>
      </c>
      <c r="E236" s="1023"/>
      <c r="F236" s="4"/>
      <c r="G236" s="4"/>
      <c r="H236" s="4"/>
      <c r="I236" s="4"/>
    </row>
    <row r="237" spans="1:10" x14ac:dyDescent="0.25">
      <c r="A237" s="4"/>
      <c r="B237" s="4"/>
      <c r="C237" s="158" t="s">
        <v>428</v>
      </c>
      <c r="D237" s="1027">
        <f>+F232+G232+H232+I232-J232</f>
        <v>72000</v>
      </c>
      <c r="E237" s="1026" t="s">
        <v>1</v>
      </c>
      <c r="F237" s="4"/>
      <c r="G237" s="4"/>
      <c r="H237" s="4"/>
      <c r="I237" s="4"/>
    </row>
    <row r="238" spans="1:10" x14ac:dyDescent="0.25">
      <c r="A238" s="4"/>
      <c r="B238" s="4"/>
      <c r="C238" s="4"/>
      <c r="D238" s="1023"/>
      <c r="E238" s="1023"/>
      <c r="F238" s="4"/>
      <c r="G238" s="4"/>
      <c r="H238" s="4"/>
      <c r="I238" s="4"/>
    </row>
    <row r="239" spans="1:10" x14ac:dyDescent="0.25">
      <c r="A239" s="4"/>
      <c r="B239" s="4"/>
      <c r="C239" s="1025" t="s">
        <v>1345</v>
      </c>
      <c r="D239" s="1025"/>
      <c r="E239" s="1004"/>
      <c r="F239" s="4"/>
      <c r="G239" s="4"/>
      <c r="H239" s="4"/>
      <c r="I239" s="4"/>
    </row>
    <row r="240" spans="1:10" x14ac:dyDescent="0.25">
      <c r="A240" s="4"/>
      <c r="B240" s="4"/>
      <c r="C240" s="1025" t="s">
        <v>1344</v>
      </c>
      <c r="D240" s="1025"/>
      <c r="E240" s="1004"/>
      <c r="F240" s="4"/>
      <c r="G240" s="4"/>
      <c r="H240" s="4"/>
      <c r="I240" s="4"/>
    </row>
    <row r="241" spans="1:11" x14ac:dyDescent="0.25">
      <c r="A241" s="4"/>
      <c r="B241" s="4"/>
      <c r="C241" s="1025" t="s">
        <v>1343</v>
      </c>
      <c r="D241" s="1025"/>
      <c r="E241" s="1004"/>
      <c r="F241" s="4"/>
      <c r="G241" s="4"/>
      <c r="H241" s="4"/>
      <c r="I241" s="4"/>
    </row>
    <row r="242" spans="1:11" x14ac:dyDescent="0.25">
      <c r="A242" s="4"/>
      <c r="B242" s="4"/>
      <c r="C242" s="1025" t="s">
        <v>1342</v>
      </c>
      <c r="D242" s="317"/>
      <c r="E242" s="1004"/>
      <c r="F242" s="4"/>
      <c r="G242" s="4"/>
      <c r="H242" s="4"/>
      <c r="I242" s="4"/>
    </row>
    <row r="243" spans="1:11" x14ac:dyDescent="0.25">
      <c r="A243" s="4"/>
      <c r="B243" s="4"/>
      <c r="C243" s="1024" t="s">
        <v>1341</v>
      </c>
      <c r="D243" s="38"/>
      <c r="E243" s="1004"/>
      <c r="F243" s="4"/>
      <c r="G243" s="4"/>
      <c r="H243" s="4"/>
      <c r="I243" s="4"/>
    </row>
    <row r="244" spans="1:11" x14ac:dyDescent="0.25">
      <c r="A244" s="4"/>
      <c r="B244" s="4"/>
      <c r="C244" s="1004"/>
      <c r="D244" s="1004"/>
      <c r="E244" s="1004"/>
      <c r="F244" s="4"/>
      <c r="G244" s="4"/>
      <c r="H244" s="4"/>
      <c r="I244" s="4"/>
    </row>
    <row r="245" spans="1:11" x14ac:dyDescent="0.25">
      <c r="A245" s="4"/>
      <c r="B245" s="4"/>
      <c r="C245" s="1004"/>
      <c r="D245" s="1004"/>
      <c r="E245" s="1004"/>
      <c r="F245" s="4"/>
      <c r="G245" s="4"/>
      <c r="H245" s="4"/>
      <c r="I245" s="4"/>
    </row>
    <row r="246" spans="1:11" x14ac:dyDescent="0.25">
      <c r="A246" s="4"/>
      <c r="B246" s="4"/>
      <c r="C246" s="1004"/>
      <c r="D246" s="1004"/>
      <c r="E246" s="1004"/>
      <c r="F246" s="4"/>
      <c r="G246" s="4"/>
      <c r="H246" s="4"/>
      <c r="I246" s="4"/>
    </row>
    <row r="247" spans="1:11" x14ac:dyDescent="0.25">
      <c r="A247" s="4"/>
      <c r="B247" s="4"/>
      <c r="C247" s="4" t="s">
        <v>1340</v>
      </c>
      <c r="D247" s="1023"/>
      <c r="E247" s="1023"/>
      <c r="F247" s="4"/>
      <c r="G247" s="4"/>
      <c r="H247" s="4"/>
      <c r="I247" s="4"/>
      <c r="J247" s="4"/>
      <c r="K247" s="4"/>
    </row>
  </sheetData>
  <sheetProtection algorithmName="SHA-512" hashValue="TrV+Pu/cdpm4UcO9ai6v1jo8pVycGOa5nKNFMcWO4GwGDt441FmMzVr7dEaGhUc79Gia9DhT0/sZ1cqgsOSbqw==" saltValue="iAM2EuIHnZKC34IELZHepA==" spinCount="100000" sheet="1" objects="1" scenarios="1"/>
  <mergeCells count="247">
    <mergeCell ref="I12:J12"/>
    <mergeCell ref="I13:J13"/>
    <mergeCell ref="G8:H8"/>
    <mergeCell ref="G13:H13"/>
    <mergeCell ref="I16:J16"/>
    <mergeCell ref="I17:J17"/>
    <mergeCell ref="I18:J18"/>
    <mergeCell ref="G16:H16"/>
    <mergeCell ref="G15:H15"/>
    <mergeCell ref="G14:H14"/>
    <mergeCell ref="G18:H18"/>
    <mergeCell ref="G17:H17"/>
    <mergeCell ref="I15:J15"/>
    <mergeCell ref="C164:E164"/>
    <mergeCell ref="C157:E157"/>
    <mergeCell ref="C158:E158"/>
    <mergeCell ref="G5:H5"/>
    <mergeCell ref="I5:J5"/>
    <mergeCell ref="I6:J6"/>
    <mergeCell ref="I7:J7"/>
    <mergeCell ref="I8:J8"/>
    <mergeCell ref="I9:J9"/>
    <mergeCell ref="G7:H7"/>
    <mergeCell ref="G6:H6"/>
    <mergeCell ref="I82:J82"/>
    <mergeCell ref="I72:J72"/>
    <mergeCell ref="G73:H73"/>
    <mergeCell ref="G68:H68"/>
    <mergeCell ref="G66:H66"/>
    <mergeCell ref="I66:J66"/>
    <mergeCell ref="G67:H67"/>
    <mergeCell ref="I67:J67"/>
    <mergeCell ref="I19:J19"/>
    <mergeCell ref="I20:J20"/>
    <mergeCell ref="I21:J21"/>
    <mergeCell ref="I10:J10"/>
    <mergeCell ref="I11:J11"/>
    <mergeCell ref="B203:B205"/>
    <mergeCell ref="C203:C205"/>
    <mergeCell ref="D203:D205"/>
    <mergeCell ref="E203:E205"/>
    <mergeCell ref="F203:F205"/>
    <mergeCell ref="C165:E165"/>
    <mergeCell ref="C166:E166"/>
    <mergeCell ref="C179:E179"/>
    <mergeCell ref="C176:E176"/>
    <mergeCell ref="C167:E167"/>
    <mergeCell ref="C168:E168"/>
    <mergeCell ref="C169:E169"/>
    <mergeCell ref="C170:E170"/>
    <mergeCell ref="C171:E171"/>
    <mergeCell ref="C177:E177"/>
    <mergeCell ref="C178:E178"/>
    <mergeCell ref="C175:E175"/>
    <mergeCell ref="C172:E172"/>
    <mergeCell ref="C173:E173"/>
    <mergeCell ref="C174:E174"/>
    <mergeCell ref="I62:J62"/>
    <mergeCell ref="G54:H54"/>
    <mergeCell ref="C113:F113"/>
    <mergeCell ref="C114:F114"/>
    <mergeCell ref="G81:H81"/>
    <mergeCell ref="G82:H82"/>
    <mergeCell ref="I84:J84"/>
    <mergeCell ref="C111:F111"/>
    <mergeCell ref="C112:F112"/>
    <mergeCell ref="I75:J75"/>
    <mergeCell ref="G76:H76"/>
    <mergeCell ref="C72:F72"/>
    <mergeCell ref="C73:F73"/>
    <mergeCell ref="I81:J81"/>
    <mergeCell ref="G69:H69"/>
    <mergeCell ref="I68:J68"/>
    <mergeCell ref="G63:H63"/>
    <mergeCell ref="I63:J63"/>
    <mergeCell ref="G64:H64"/>
    <mergeCell ref="I64:J64"/>
    <mergeCell ref="C81:F81"/>
    <mergeCell ref="G83:H83"/>
    <mergeCell ref="I83:J83"/>
    <mergeCell ref="C83:F83"/>
    <mergeCell ref="I69:J69"/>
    <mergeCell ref="C67:F67"/>
    <mergeCell ref="A51:K51"/>
    <mergeCell ref="G77:H77"/>
    <mergeCell ref="I77:J77"/>
    <mergeCell ref="G58:H58"/>
    <mergeCell ref="I55:J55"/>
    <mergeCell ref="G78:H78"/>
    <mergeCell ref="I78:J78"/>
    <mergeCell ref="C68:F68"/>
    <mergeCell ref="C69:F69"/>
    <mergeCell ref="C62:F62"/>
    <mergeCell ref="C63:F63"/>
    <mergeCell ref="C64:F64"/>
    <mergeCell ref="C65:F65"/>
    <mergeCell ref="C66:F66"/>
    <mergeCell ref="G59:H59"/>
    <mergeCell ref="C57:F57"/>
    <mergeCell ref="G62:H62"/>
    <mergeCell ref="C77:F77"/>
    <mergeCell ref="I65:J65"/>
    <mergeCell ref="C74:F74"/>
    <mergeCell ref="C75:F75"/>
    <mergeCell ref="C54:F54"/>
    <mergeCell ref="B232:D232"/>
    <mergeCell ref="G72:H72"/>
    <mergeCell ref="G104:J104"/>
    <mergeCell ref="G105:J105"/>
    <mergeCell ref="G106:J106"/>
    <mergeCell ref="C82:F82"/>
    <mergeCell ref="G71:H71"/>
    <mergeCell ref="I71:J71"/>
    <mergeCell ref="G70:H70"/>
    <mergeCell ref="I70:J70"/>
    <mergeCell ref="C70:F70"/>
    <mergeCell ref="I73:J73"/>
    <mergeCell ref="G74:H74"/>
    <mergeCell ref="I74:J74"/>
    <mergeCell ref="I79:J79"/>
    <mergeCell ref="G80:H80"/>
    <mergeCell ref="I80:J80"/>
    <mergeCell ref="G75:H75"/>
    <mergeCell ref="G79:H79"/>
    <mergeCell ref="H204:J204"/>
    <mergeCell ref="G204:G205"/>
    <mergeCell ref="G203:J203"/>
    <mergeCell ref="C156:E156"/>
    <mergeCell ref="G153:G154"/>
    <mergeCell ref="I61:J61"/>
    <mergeCell ref="D5:F5"/>
    <mergeCell ref="D6:F6"/>
    <mergeCell ref="D7:F7"/>
    <mergeCell ref="D8:F8"/>
    <mergeCell ref="D9:F9"/>
    <mergeCell ref="D10:F10"/>
    <mergeCell ref="D11:F11"/>
    <mergeCell ref="D12:F12"/>
    <mergeCell ref="D13:F13"/>
    <mergeCell ref="G23:H23"/>
    <mergeCell ref="D23:F23"/>
    <mergeCell ref="D24:F24"/>
    <mergeCell ref="G22:H22"/>
    <mergeCell ref="G21:H21"/>
    <mergeCell ref="G20:H20"/>
    <mergeCell ref="G19:H19"/>
    <mergeCell ref="C55:F55"/>
    <mergeCell ref="C56:F56"/>
    <mergeCell ref="I14:J14"/>
    <mergeCell ref="G12:H12"/>
    <mergeCell ref="G11:H11"/>
    <mergeCell ref="G10:H10"/>
    <mergeCell ref="G9:H9"/>
    <mergeCell ref="A2:K2"/>
    <mergeCell ref="A3:K3"/>
    <mergeCell ref="A201:K201"/>
    <mergeCell ref="A200:K200"/>
    <mergeCell ref="H153:I153"/>
    <mergeCell ref="C153:E154"/>
    <mergeCell ref="B153:B154"/>
    <mergeCell ref="F153:F154"/>
    <mergeCell ref="I54:J54"/>
    <mergeCell ref="G55:H55"/>
    <mergeCell ref="G56:H56"/>
    <mergeCell ref="I56:J56"/>
    <mergeCell ref="G57:H57"/>
    <mergeCell ref="I57:J57"/>
    <mergeCell ref="C59:F59"/>
    <mergeCell ref="C60:F60"/>
    <mergeCell ref="C61:F61"/>
    <mergeCell ref="I58:J58"/>
    <mergeCell ref="G65:H65"/>
    <mergeCell ref="I59:J59"/>
    <mergeCell ref="G60:H60"/>
    <mergeCell ref="I60:J60"/>
    <mergeCell ref="G61:H61"/>
    <mergeCell ref="C118:F118"/>
    <mergeCell ref="D14:F14"/>
    <mergeCell ref="D15:F15"/>
    <mergeCell ref="D16:F16"/>
    <mergeCell ref="D17:F17"/>
    <mergeCell ref="D18:F18"/>
    <mergeCell ref="D19:F19"/>
    <mergeCell ref="C105:F105"/>
    <mergeCell ref="C58:F58"/>
    <mergeCell ref="C71:F71"/>
    <mergeCell ref="D21:F21"/>
    <mergeCell ref="D22:F22"/>
    <mergeCell ref="D25:F25"/>
    <mergeCell ref="D20:F20"/>
    <mergeCell ref="A52:K52"/>
    <mergeCell ref="C78:F78"/>
    <mergeCell ref="C79:F79"/>
    <mergeCell ref="I22:J22"/>
    <mergeCell ref="I23:J23"/>
    <mergeCell ref="I24:J24"/>
    <mergeCell ref="I25:J25"/>
    <mergeCell ref="G25:H25"/>
    <mergeCell ref="G24:H24"/>
    <mergeCell ref="C80:F80"/>
    <mergeCell ref="I76:J76"/>
    <mergeCell ref="C160:E160"/>
    <mergeCell ref="C161:E161"/>
    <mergeCell ref="C162:E162"/>
    <mergeCell ref="C108:F108"/>
    <mergeCell ref="C109:F109"/>
    <mergeCell ref="C110:F110"/>
    <mergeCell ref="C115:F115"/>
    <mergeCell ref="C119:F119"/>
    <mergeCell ref="C121:F121"/>
    <mergeCell ref="C122:F122"/>
    <mergeCell ref="A150:K150"/>
    <mergeCell ref="G111:J111"/>
    <mergeCell ref="G119:J119"/>
    <mergeCell ref="G112:J112"/>
    <mergeCell ref="G113:J113"/>
    <mergeCell ref="G114:J114"/>
    <mergeCell ref="G115:J115"/>
    <mergeCell ref="G116:J116"/>
    <mergeCell ref="C116:F116"/>
    <mergeCell ref="C117:F117"/>
    <mergeCell ref="G110:J110"/>
    <mergeCell ref="C120:F120"/>
    <mergeCell ref="C103:F103"/>
    <mergeCell ref="G103:J103"/>
    <mergeCell ref="A100:K100"/>
    <mergeCell ref="A101:K101"/>
    <mergeCell ref="C106:F106"/>
    <mergeCell ref="C107:F107"/>
    <mergeCell ref="C76:F76"/>
    <mergeCell ref="C163:E163"/>
    <mergeCell ref="C84:F84"/>
    <mergeCell ref="G120:J120"/>
    <mergeCell ref="G121:J121"/>
    <mergeCell ref="G122:J122"/>
    <mergeCell ref="C104:F104"/>
    <mergeCell ref="G117:J117"/>
    <mergeCell ref="G118:J118"/>
    <mergeCell ref="G84:H84"/>
    <mergeCell ref="G107:J107"/>
    <mergeCell ref="G108:J108"/>
    <mergeCell ref="G109:J109"/>
    <mergeCell ref="A151:K151"/>
    <mergeCell ref="C155:E155"/>
    <mergeCell ref="C123:F123"/>
    <mergeCell ref="G123:J123"/>
    <mergeCell ref="C159:E159"/>
  </mergeCells>
  <printOptions horizontalCentered="1"/>
  <pageMargins left="0.51181102362204722" right="0.51181102362204722" top="0.74803149606299213" bottom="0.74803149606299213" header="0.31496062992125984" footer="0.31496062992125984"/>
  <pageSetup paperSize="9" orientation="portrait" r:id="rId1"/>
  <headerFooter>
    <oddHeader xml:space="preserve">&amp;L&amp;"Garamond,Normal"Universidad de San Andrés
Fundamentos de Contabilidad&amp;C&amp;"Garamond,Normal"&amp;12
  &amp;"-,Regular"&amp;11
&amp;R&amp;"Garamond,Normal"Solución Adicionales
&amp;"Garamond,Cursiva"Unidad 2: La ecuación patrimonial y las variaciones patrimoniales </oddHeader>
    <oddFooter xml:space="preserve">&amp;R&amp;"Garamond,Normal"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04452-529C-4C7B-84F7-6A271BC0AA7C}">
  <sheetPr>
    <tabColor theme="8" tint="-0.249977111117893"/>
  </sheetPr>
  <dimension ref="A1:T57"/>
  <sheetViews>
    <sheetView zoomScale="55" zoomScaleNormal="55" workbookViewId="0">
      <selection activeCell="R10" sqref="R10:S10"/>
    </sheetView>
  </sheetViews>
  <sheetFormatPr baseColWidth="10" defaultColWidth="11.5703125" defaultRowHeight="15" x14ac:dyDescent="0.25"/>
  <cols>
    <col min="1" max="1" width="11.5703125" style="1808"/>
    <col min="2" max="2" width="38.42578125" style="1808" customWidth="1"/>
    <col min="3" max="3" width="22.7109375" style="1808" customWidth="1"/>
    <col min="4" max="4" width="18.7109375" style="1808" customWidth="1"/>
    <col min="5" max="5" width="18.85546875" style="1808" bestFit="1" customWidth="1"/>
    <col min="6" max="6" width="19.28515625" style="1808" bestFit="1" customWidth="1"/>
    <col min="7" max="7" width="16.42578125" style="1808" bestFit="1" customWidth="1"/>
    <col min="8" max="8" width="11.42578125" style="1808" bestFit="1" customWidth="1"/>
    <col min="9" max="9" width="10" style="1808" bestFit="1" customWidth="1"/>
    <col min="10" max="10" width="9.42578125" style="1808" bestFit="1" customWidth="1"/>
    <col min="11" max="11" width="20.5703125" style="1808" bestFit="1" customWidth="1"/>
    <col min="12" max="12" width="11.5703125" style="1808"/>
    <col min="13" max="13" width="28" style="1808" customWidth="1"/>
    <col min="14" max="16384" width="11.5703125" style="1808"/>
  </cols>
  <sheetData>
    <row r="1" spans="1:19" x14ac:dyDescent="0.25">
      <c r="A1" s="1869" t="s">
        <v>1376</v>
      </c>
      <c r="B1" s="1869" t="s">
        <v>1375</v>
      </c>
      <c r="C1" s="1809"/>
      <c r="D1" s="1881" t="s">
        <v>975</v>
      </c>
      <c r="E1" s="1869" t="s">
        <v>431</v>
      </c>
      <c r="F1" s="1869" t="s">
        <v>432</v>
      </c>
      <c r="G1" s="1861" t="s">
        <v>396</v>
      </c>
      <c r="H1" s="1871"/>
      <c r="I1" s="1871"/>
      <c r="J1" s="1862"/>
      <c r="K1" s="1401" t="s">
        <v>397</v>
      </c>
      <c r="L1" s="1887">
        <f>+E12</f>
        <v>5000</v>
      </c>
      <c r="M1" s="1888"/>
      <c r="N1" s="1402" t="s">
        <v>404</v>
      </c>
      <c r="O1" s="1"/>
      <c r="P1" s="1"/>
      <c r="Q1" s="1"/>
      <c r="R1" s="1887">
        <f>+SUM(E16:G18)</f>
        <v>14000</v>
      </c>
      <c r="S1" s="1888"/>
    </row>
    <row r="2" spans="1:19" x14ac:dyDescent="0.25">
      <c r="A2" s="1880"/>
      <c r="B2" s="1880"/>
      <c r="C2" s="1810"/>
      <c r="D2" s="1882"/>
      <c r="E2" s="1880"/>
      <c r="F2" s="1880"/>
      <c r="G2" s="1820" t="s">
        <v>1374</v>
      </c>
      <c r="H2" s="1822" t="s">
        <v>1373</v>
      </c>
      <c r="I2" s="1823"/>
      <c r="J2" s="1824"/>
      <c r="K2" s="1403" t="s">
        <v>403</v>
      </c>
      <c r="L2" s="1889">
        <f>+E12</f>
        <v>5000</v>
      </c>
      <c r="M2" s="1890"/>
      <c r="N2" s="1399" t="s">
        <v>1531</v>
      </c>
      <c r="O2" s="4"/>
      <c r="P2" s="4"/>
      <c r="Q2" s="4"/>
      <c r="R2" s="1897">
        <f>+F20+F21</f>
        <v>3000</v>
      </c>
      <c r="S2" s="1890"/>
    </row>
    <row r="3" spans="1:19" ht="22.5" x14ac:dyDescent="0.25">
      <c r="A3" s="1870"/>
      <c r="B3" s="1870"/>
      <c r="C3" s="1811"/>
      <c r="D3" s="1883"/>
      <c r="E3" s="1870"/>
      <c r="F3" s="1870"/>
      <c r="G3" s="1821"/>
      <c r="H3" s="1036" t="s">
        <v>1372</v>
      </c>
      <c r="I3" s="1036" t="s">
        <v>1371</v>
      </c>
      <c r="J3" s="1036" t="s">
        <v>1370</v>
      </c>
      <c r="K3" s="1403" t="s">
        <v>407</v>
      </c>
      <c r="L3" s="1889">
        <f>+SUM(E25:F26)</f>
        <v>4000</v>
      </c>
      <c r="M3" s="1890"/>
      <c r="N3" s="1404" t="s">
        <v>2252</v>
      </c>
      <c r="O3" s="4"/>
      <c r="P3" s="4"/>
      <c r="Q3" s="4"/>
      <c r="R3" s="1889"/>
      <c r="S3" s="1890"/>
    </row>
    <row r="4" spans="1:19" x14ac:dyDescent="0.25">
      <c r="A4" s="1034">
        <f>+A3+1</f>
        <v>1</v>
      </c>
      <c r="B4" s="1033" t="s">
        <v>1347</v>
      </c>
      <c r="C4" s="1812" t="s">
        <v>2251</v>
      </c>
      <c r="D4" s="1828" t="s">
        <v>2512</v>
      </c>
      <c r="E4" s="1032">
        <v>6000</v>
      </c>
      <c r="F4" s="1031"/>
      <c r="G4" s="1030"/>
      <c r="H4" s="1029"/>
      <c r="I4" s="1029"/>
      <c r="J4" s="1029"/>
      <c r="K4" s="1403" t="s">
        <v>19</v>
      </c>
      <c r="L4" s="1889">
        <f>+SUM(E5:E9)</f>
        <v>28000</v>
      </c>
      <c r="M4" s="1890"/>
      <c r="N4" s="1413" t="s">
        <v>2253</v>
      </c>
      <c r="O4" s="1411"/>
      <c r="P4" s="1411"/>
      <c r="Q4" s="1411"/>
      <c r="R4" s="1898">
        <f>SUM(R1:R3)</f>
        <v>17000</v>
      </c>
      <c r="S4" s="1899"/>
    </row>
    <row r="5" spans="1:19" x14ac:dyDescent="0.25">
      <c r="A5" s="1034">
        <v>2</v>
      </c>
      <c r="B5" s="1033" t="s">
        <v>1368</v>
      </c>
      <c r="C5" s="1812" t="s">
        <v>19</v>
      </c>
      <c r="D5" s="1403" t="s">
        <v>19</v>
      </c>
      <c r="E5" s="1032">
        <v>7000</v>
      </c>
      <c r="F5" s="1031"/>
      <c r="G5" s="1031"/>
      <c r="H5" s="1029"/>
      <c r="I5" s="1029"/>
      <c r="J5" s="1029"/>
      <c r="K5" s="1405" t="s">
        <v>2254</v>
      </c>
      <c r="L5" s="1898">
        <f>SUM(L1:L4)</f>
        <v>42000</v>
      </c>
      <c r="M5" s="1899"/>
      <c r="N5" s="1399" t="s">
        <v>1303</v>
      </c>
      <c r="O5" s="4"/>
      <c r="P5" s="4"/>
      <c r="Q5" s="4"/>
      <c r="R5" s="1900">
        <f>+F19</f>
        <v>26000</v>
      </c>
      <c r="S5" s="1901"/>
    </row>
    <row r="6" spans="1:19" x14ac:dyDescent="0.25">
      <c r="A6" s="1034">
        <v>9</v>
      </c>
      <c r="B6" s="1033" t="s">
        <v>1362</v>
      </c>
      <c r="C6" s="1812" t="s">
        <v>19</v>
      </c>
      <c r="D6" s="1401" t="s">
        <v>19</v>
      </c>
      <c r="E6" s="1031">
        <v>9000</v>
      </c>
      <c r="F6" s="1031"/>
      <c r="G6" s="1031"/>
      <c r="H6" s="1029"/>
      <c r="I6" s="1029"/>
      <c r="J6" s="1029"/>
      <c r="K6" s="1403" t="s">
        <v>53</v>
      </c>
      <c r="L6" s="1889">
        <f>+SUM(E10:E11)</f>
        <v>17000</v>
      </c>
      <c r="M6" s="1890"/>
      <c r="N6" s="1399" t="s">
        <v>1092</v>
      </c>
      <c r="O6" s="4"/>
      <c r="P6" s="4"/>
      <c r="Q6" s="4"/>
      <c r="R6" s="1902">
        <f>+F24</f>
        <v>5000</v>
      </c>
      <c r="S6" s="1903"/>
    </row>
    <row r="7" spans="1:19" x14ac:dyDescent="0.25">
      <c r="A7" s="1034">
        <v>10</v>
      </c>
      <c r="B7" s="1033" t="s">
        <v>1361</v>
      </c>
      <c r="C7" s="1812" t="s">
        <v>19</v>
      </c>
      <c r="D7" s="1403" t="s">
        <v>19</v>
      </c>
      <c r="E7" s="1032">
        <v>1000</v>
      </c>
      <c r="F7" s="1031"/>
      <c r="G7" s="1031"/>
      <c r="H7" s="1029"/>
      <c r="I7" s="1029"/>
      <c r="J7" s="1835"/>
      <c r="K7" s="1403" t="s">
        <v>2251</v>
      </c>
      <c r="L7" s="1889">
        <f>+SUM(E4)</f>
        <v>6000</v>
      </c>
      <c r="M7" s="1890"/>
      <c r="N7" s="1413" t="s">
        <v>2255</v>
      </c>
      <c r="O7" s="1411"/>
      <c r="P7" s="1411"/>
      <c r="Q7" s="1411"/>
      <c r="R7" s="1898">
        <f>SUM(R5:R6)</f>
        <v>31000</v>
      </c>
      <c r="S7" s="1899"/>
    </row>
    <row r="8" spans="1:19" x14ac:dyDescent="0.25">
      <c r="A8" s="1034">
        <v>16</v>
      </c>
      <c r="B8" s="1033" t="s">
        <v>1356</v>
      </c>
      <c r="C8" s="1812" t="s">
        <v>19</v>
      </c>
      <c r="D8" s="1834" t="s">
        <v>53</v>
      </c>
      <c r="E8" s="1032">
        <v>8000</v>
      </c>
      <c r="F8" s="1031"/>
      <c r="G8" s="1031"/>
      <c r="H8" s="1029"/>
      <c r="I8" s="1029"/>
      <c r="J8" s="371"/>
      <c r="K8" s="1403" t="s">
        <v>2250</v>
      </c>
      <c r="L8" s="1889">
        <f>+E23</f>
        <v>7000</v>
      </c>
      <c r="M8" s="1890"/>
      <c r="N8" s="1412" t="s">
        <v>2256</v>
      </c>
      <c r="O8" s="1111"/>
      <c r="P8" s="1111"/>
      <c r="Q8" s="1111"/>
      <c r="R8" s="1906">
        <f>+R4+R7</f>
        <v>48000</v>
      </c>
      <c r="S8" s="1907"/>
    </row>
    <row r="9" spans="1:19" x14ac:dyDescent="0.25">
      <c r="A9" s="1034">
        <f>+A8+1</f>
        <v>17</v>
      </c>
      <c r="B9" s="1033" t="s">
        <v>1350</v>
      </c>
      <c r="C9" s="1812" t="s">
        <v>19</v>
      </c>
      <c r="D9" s="1819" t="s">
        <v>53</v>
      </c>
      <c r="E9" s="1032">
        <v>3000</v>
      </c>
      <c r="F9" s="1031"/>
      <c r="G9" s="1030"/>
      <c r="H9" s="1029"/>
      <c r="I9" s="371"/>
      <c r="J9" s="1029"/>
      <c r="K9" s="1405" t="s">
        <v>2257</v>
      </c>
      <c r="L9" s="1898">
        <f>SUM(L6:L8)</f>
        <v>30000</v>
      </c>
      <c r="M9" s="1899"/>
      <c r="N9" s="1400" t="s">
        <v>2258</v>
      </c>
      <c r="O9" s="1096"/>
      <c r="P9" s="1096"/>
      <c r="Q9" s="1096"/>
      <c r="R9" s="1908">
        <f>+SUM(G27:J28)+L16</f>
        <v>24000</v>
      </c>
      <c r="S9" s="1909"/>
    </row>
    <row r="10" spans="1:19" x14ac:dyDescent="0.25">
      <c r="A10" s="1034">
        <v>13</v>
      </c>
      <c r="B10" s="1033" t="s">
        <v>1359</v>
      </c>
      <c r="C10" s="1812" t="s">
        <v>53</v>
      </c>
      <c r="D10" s="1403" t="s">
        <v>53</v>
      </c>
      <c r="E10" s="1031">
        <v>9000</v>
      </c>
      <c r="F10" s="1031"/>
      <c r="G10" s="1031"/>
      <c r="H10" s="1029"/>
      <c r="I10" s="1029"/>
      <c r="J10" s="1029"/>
      <c r="K10" s="1414" t="s">
        <v>2043</v>
      </c>
      <c r="L10" s="1895">
        <f>+L9+L5</f>
        <v>72000</v>
      </c>
      <c r="M10" s="1896"/>
      <c r="N10" s="1415" t="s">
        <v>2259</v>
      </c>
      <c r="O10" s="1416"/>
      <c r="P10" s="1416"/>
      <c r="Q10" s="1416"/>
      <c r="R10" s="1895">
        <f>+SUM(R9+R8)</f>
        <v>72000</v>
      </c>
      <c r="S10" s="1896"/>
    </row>
    <row r="11" spans="1:19" x14ac:dyDescent="0.25">
      <c r="A11" s="1034">
        <f>+A10+1</f>
        <v>14</v>
      </c>
      <c r="B11" s="1033" t="s">
        <v>1352</v>
      </c>
      <c r="C11" s="1812" t="s">
        <v>53</v>
      </c>
      <c r="D11" s="1403" t="s">
        <v>53</v>
      </c>
      <c r="E11" s="1836">
        <v>8000</v>
      </c>
      <c r="F11" s="1031"/>
      <c r="G11" s="1031"/>
      <c r="H11" s="1029"/>
      <c r="I11" s="1029"/>
      <c r="J11" s="1029"/>
      <c r="K11" s="4"/>
      <c r="L11" s="1889"/>
      <c r="M11" s="1889"/>
      <c r="N11" s="4"/>
      <c r="O11" s="4"/>
      <c r="P11" s="4"/>
      <c r="Q11" s="4"/>
      <c r="R11" s="4"/>
      <c r="S11" s="4"/>
    </row>
    <row r="12" spans="1:19" x14ac:dyDescent="0.25">
      <c r="A12" s="1034">
        <v>1</v>
      </c>
      <c r="B12" s="1033" t="s">
        <v>1369</v>
      </c>
      <c r="C12" s="1812" t="s">
        <v>397</v>
      </c>
      <c r="D12" s="1832" t="s">
        <v>397</v>
      </c>
      <c r="E12" s="1032">
        <v>5000</v>
      </c>
      <c r="F12" s="1031"/>
      <c r="G12" s="1031"/>
      <c r="H12" s="1029"/>
      <c r="I12" s="1029"/>
      <c r="J12" s="1029"/>
      <c r="K12" s="1236" t="s">
        <v>1055</v>
      </c>
      <c r="L12" s="1904">
        <f>+I29</f>
        <v>11000</v>
      </c>
      <c r="M12" s="1905"/>
      <c r="N12" s="4"/>
      <c r="O12" s="4"/>
      <c r="P12" s="4"/>
      <c r="Q12" s="4"/>
      <c r="R12" s="4"/>
      <c r="S12" s="4"/>
    </row>
    <row r="13" spans="1:19" x14ac:dyDescent="0.25">
      <c r="A13" s="1034">
        <f>+A12+1</f>
        <v>2</v>
      </c>
      <c r="B13" s="1033" t="s">
        <v>1348</v>
      </c>
      <c r="C13" s="1812" t="s">
        <v>400</v>
      </c>
      <c r="D13" s="1234" t="s">
        <v>400</v>
      </c>
      <c r="E13" s="1031"/>
      <c r="F13" s="1031"/>
      <c r="G13" s="1029"/>
      <c r="H13" s="1029"/>
      <c r="I13" s="1835"/>
      <c r="J13" s="1836">
        <v>3000</v>
      </c>
      <c r="K13" s="1234" t="s">
        <v>400</v>
      </c>
      <c r="L13" s="1893">
        <f>-J13</f>
        <v>-3000</v>
      </c>
      <c r="M13" s="1894"/>
      <c r="N13" s="4"/>
      <c r="O13" s="4"/>
      <c r="P13" s="4"/>
      <c r="Q13" s="4"/>
      <c r="R13" s="4"/>
      <c r="S13" s="4"/>
    </row>
    <row r="14" spans="1:19" x14ac:dyDescent="0.25">
      <c r="A14" s="1034">
        <v>4</v>
      </c>
      <c r="B14" s="1033" t="s">
        <v>1366</v>
      </c>
      <c r="C14" s="1812" t="s">
        <v>403</v>
      </c>
      <c r="D14" s="1403" t="s">
        <v>403</v>
      </c>
      <c r="E14" s="1032">
        <v>2000</v>
      </c>
      <c r="F14" s="1031"/>
      <c r="G14" s="1031"/>
      <c r="H14" s="1029"/>
      <c r="I14" s="1029"/>
      <c r="J14" s="1029"/>
      <c r="K14" s="1408" t="s">
        <v>414</v>
      </c>
      <c r="L14" s="1891">
        <f>+L12+L13</f>
        <v>8000</v>
      </c>
      <c r="M14" s="1892"/>
      <c r="N14" s="4"/>
      <c r="O14" s="4"/>
      <c r="P14" s="4"/>
      <c r="Q14" s="4"/>
      <c r="R14" s="4"/>
      <c r="S14" s="4"/>
    </row>
    <row r="15" spans="1:19" x14ac:dyDescent="0.25">
      <c r="A15" s="1034">
        <v>6</v>
      </c>
      <c r="B15" s="1033" t="s">
        <v>1364</v>
      </c>
      <c r="C15" s="1812" t="s">
        <v>403</v>
      </c>
      <c r="D15" s="1401" t="s">
        <v>403</v>
      </c>
      <c r="E15" s="1032">
        <v>3000</v>
      </c>
      <c r="F15" s="1031"/>
      <c r="G15" s="1043"/>
      <c r="H15" s="371"/>
      <c r="I15" s="1835"/>
      <c r="J15" s="371"/>
      <c r="K15" s="1234" t="s">
        <v>398</v>
      </c>
      <c r="L15" s="1893">
        <f>-J22</f>
        <v>-2000</v>
      </c>
      <c r="M15" s="1894"/>
      <c r="N15" s="4"/>
      <c r="O15" s="4"/>
      <c r="P15" s="4"/>
      <c r="Q15" s="4"/>
      <c r="R15" s="4"/>
      <c r="S15" s="4"/>
    </row>
    <row r="16" spans="1:19" x14ac:dyDescent="0.25">
      <c r="A16" s="1034">
        <v>3</v>
      </c>
      <c r="B16" s="1033" t="s">
        <v>1367</v>
      </c>
      <c r="C16" s="1812" t="s">
        <v>404</v>
      </c>
      <c r="D16" s="1399" t="s">
        <v>404</v>
      </c>
      <c r="E16" s="1031"/>
      <c r="F16" s="1032">
        <v>9000</v>
      </c>
      <c r="G16" s="1031"/>
      <c r="H16" s="1029"/>
      <c r="I16" s="1029"/>
      <c r="J16" s="1029"/>
      <c r="K16" s="1408" t="s">
        <v>421</v>
      </c>
      <c r="L16" s="1891">
        <f>+L14+L15</f>
        <v>6000</v>
      </c>
      <c r="M16" s="1892"/>
      <c r="N16" s="4"/>
      <c r="O16" s="4"/>
      <c r="P16" s="4"/>
      <c r="Q16" s="4"/>
      <c r="R16" s="4"/>
      <c r="S16" s="4"/>
    </row>
    <row r="17" spans="1:20" x14ac:dyDescent="0.25">
      <c r="A17" s="1034">
        <v>7</v>
      </c>
      <c r="B17" s="1033" t="s">
        <v>1363</v>
      </c>
      <c r="C17" s="1812" t="s">
        <v>404</v>
      </c>
      <c r="D17" s="1818" t="s">
        <v>1092</v>
      </c>
      <c r="E17" s="1031"/>
      <c r="F17" s="1032">
        <v>1000</v>
      </c>
      <c r="G17" s="1031"/>
      <c r="H17" s="1029"/>
      <c r="I17" s="1029"/>
      <c r="J17" s="1029"/>
    </row>
    <row r="18" spans="1:20" x14ac:dyDescent="0.25">
      <c r="A18" s="1034">
        <f>+A17+1</f>
        <v>8</v>
      </c>
      <c r="B18" s="1033" t="s">
        <v>1349</v>
      </c>
      <c r="C18" s="1812" t="s">
        <v>404</v>
      </c>
      <c r="D18" s="1818" t="s">
        <v>1531</v>
      </c>
      <c r="E18" s="1031"/>
      <c r="F18" s="1032">
        <v>4000</v>
      </c>
      <c r="G18" s="1030"/>
      <c r="H18" s="1029"/>
      <c r="I18" s="1029"/>
      <c r="J18" s="1029"/>
      <c r="L18" s="1034"/>
      <c r="M18" s="1033"/>
      <c r="N18" s="1032"/>
      <c r="O18" s="1031"/>
      <c r="P18" s="1031"/>
      <c r="Q18" s="1031"/>
      <c r="R18" s="1029"/>
      <c r="S18" s="1029"/>
      <c r="T18" s="1029"/>
    </row>
    <row r="19" spans="1:20" x14ac:dyDescent="0.25">
      <c r="A19" s="1034">
        <v>8</v>
      </c>
      <c r="B19" s="1033" t="s">
        <v>2110</v>
      </c>
      <c r="C19" s="1812" t="s">
        <v>1303</v>
      </c>
      <c r="D19" s="1399" t="s">
        <v>1303</v>
      </c>
      <c r="E19" s="1835"/>
      <c r="F19" s="1031">
        <v>26000</v>
      </c>
      <c r="G19" s="1031"/>
      <c r="H19" s="1029"/>
      <c r="I19" s="1029"/>
      <c r="J19" s="1029"/>
      <c r="L19" s="1034"/>
      <c r="M19" s="1033"/>
      <c r="N19" s="1032"/>
      <c r="O19" s="1031"/>
      <c r="P19" s="1031"/>
      <c r="Q19" s="1031"/>
      <c r="R19" s="1029"/>
      <c r="S19" s="1029"/>
      <c r="T19" s="1029"/>
    </row>
    <row r="20" spans="1:20" x14ac:dyDescent="0.25">
      <c r="A20" s="1034">
        <v>14</v>
      </c>
      <c r="B20" s="1033" t="s">
        <v>1358</v>
      </c>
      <c r="C20" s="1812" t="s">
        <v>1531</v>
      </c>
      <c r="D20" s="1831" t="s">
        <v>2252</v>
      </c>
      <c r="E20" s="1031"/>
      <c r="F20" s="1032">
        <v>1000</v>
      </c>
      <c r="G20" s="1031"/>
      <c r="H20" s="1029"/>
      <c r="I20" s="1029"/>
      <c r="J20" s="1029"/>
      <c r="L20" s="1034"/>
      <c r="M20" s="1033"/>
      <c r="N20" s="1032"/>
      <c r="O20" s="1031"/>
      <c r="P20" s="1031"/>
      <c r="Q20" s="1031"/>
      <c r="R20" s="1035"/>
      <c r="S20" s="1029"/>
      <c r="T20" s="1029"/>
    </row>
    <row r="21" spans="1:20" x14ac:dyDescent="0.25">
      <c r="A21" s="1034">
        <v>15</v>
      </c>
      <c r="B21" s="1033" t="s">
        <v>1357</v>
      </c>
      <c r="C21" s="1812" t="s">
        <v>1531</v>
      </c>
      <c r="D21" s="1399" t="s">
        <v>1531</v>
      </c>
      <c r="E21" s="1031"/>
      <c r="F21" s="1836">
        <v>2000</v>
      </c>
      <c r="G21" s="1031"/>
      <c r="H21" s="1029"/>
      <c r="I21" s="1029"/>
      <c r="J21" s="371"/>
      <c r="L21" s="1034"/>
      <c r="M21" s="1033"/>
      <c r="N21" s="1032"/>
      <c r="O21" s="1031"/>
      <c r="P21" s="1031"/>
      <c r="Q21" s="1031"/>
      <c r="R21" s="1029"/>
      <c r="S21" s="1029"/>
      <c r="T21" s="1029"/>
    </row>
    <row r="22" spans="1:20" x14ac:dyDescent="0.25">
      <c r="A22" s="1034">
        <f>+A21+1</f>
        <v>16</v>
      </c>
      <c r="B22" s="1033" t="s">
        <v>1351</v>
      </c>
      <c r="C22" s="1812" t="s">
        <v>398</v>
      </c>
      <c r="D22" s="1819" t="s">
        <v>400</v>
      </c>
      <c r="E22" s="1031"/>
      <c r="F22" s="1031"/>
      <c r="G22" s="1029"/>
      <c r="H22" s="1029"/>
      <c r="I22" s="1029"/>
      <c r="J22" s="1032">
        <v>2000</v>
      </c>
      <c r="L22" s="1034"/>
      <c r="M22" s="1033"/>
      <c r="N22" s="1032"/>
      <c r="O22" s="1031"/>
      <c r="P22" s="1031"/>
      <c r="Q22" s="1031"/>
      <c r="R22" s="1029"/>
      <c r="S22" s="1029"/>
      <c r="T22" s="1029"/>
    </row>
    <row r="23" spans="1:20" x14ac:dyDescent="0.25">
      <c r="A23" s="1034">
        <f>+A22+1</f>
        <v>17</v>
      </c>
      <c r="B23" s="1033" t="s">
        <v>1354</v>
      </c>
      <c r="C23" s="1812" t="s">
        <v>2250</v>
      </c>
      <c r="D23" s="1833" t="s">
        <v>2250</v>
      </c>
      <c r="E23" s="1032">
        <v>7000</v>
      </c>
      <c r="F23" s="1031"/>
      <c r="G23" s="1031"/>
      <c r="H23" s="1029"/>
      <c r="I23" s="1029"/>
      <c r="J23" s="1029"/>
      <c r="L23" s="1034"/>
      <c r="M23" s="1033"/>
      <c r="N23" s="1032"/>
      <c r="O23" s="1031"/>
      <c r="P23" s="1031"/>
      <c r="Q23" s="1031"/>
      <c r="R23" s="1029"/>
      <c r="S23" s="1029"/>
      <c r="T23" s="1029"/>
    </row>
    <row r="24" spans="1:20" x14ac:dyDescent="0.25">
      <c r="A24" s="1034">
        <v>11</v>
      </c>
      <c r="B24" s="1033" t="s">
        <v>2109</v>
      </c>
      <c r="C24" s="1812" t="s">
        <v>1092</v>
      </c>
      <c r="D24" s="1399" t="s">
        <v>1092</v>
      </c>
      <c r="E24" s="1031"/>
      <c r="F24" s="1032">
        <v>5000</v>
      </c>
      <c r="G24" s="1031"/>
      <c r="H24" s="1029"/>
      <c r="I24" s="1029"/>
      <c r="J24" s="1029"/>
      <c r="L24" s="1034"/>
      <c r="M24" s="1033"/>
      <c r="N24" s="1032"/>
      <c r="O24" s="1031"/>
      <c r="P24" s="1031"/>
      <c r="Q24" s="1031"/>
      <c r="R24" s="1029"/>
      <c r="S24" s="1029"/>
      <c r="T24" s="1029"/>
    </row>
    <row r="25" spans="1:20" x14ac:dyDescent="0.25">
      <c r="A25" s="1034">
        <v>5</v>
      </c>
      <c r="B25" s="1033" t="s">
        <v>1365</v>
      </c>
      <c r="C25" s="1812" t="s">
        <v>407</v>
      </c>
      <c r="D25" s="1818" t="s">
        <v>404</v>
      </c>
      <c r="E25" s="1032">
        <v>3000</v>
      </c>
      <c r="F25" s="1031"/>
      <c r="G25" s="1043"/>
      <c r="H25" s="1029"/>
      <c r="I25" s="1029"/>
      <c r="J25" s="1835"/>
      <c r="L25" s="1034"/>
      <c r="M25" s="1033"/>
      <c r="N25" s="1032"/>
      <c r="O25" s="1031"/>
      <c r="P25" s="1031"/>
      <c r="Q25" s="438"/>
      <c r="R25" s="1029"/>
      <c r="S25" s="1029"/>
      <c r="T25" s="1030"/>
    </row>
    <row r="26" spans="1:20" x14ac:dyDescent="0.25">
      <c r="A26" s="1034">
        <f>+A25+1</f>
        <v>6</v>
      </c>
      <c r="B26" s="1033" t="s">
        <v>1355</v>
      </c>
      <c r="C26" s="1812" t="s">
        <v>407</v>
      </c>
      <c r="D26" s="1403" t="s">
        <v>407</v>
      </c>
      <c r="E26" s="1032">
        <v>1000</v>
      </c>
      <c r="F26" s="1835"/>
      <c r="G26" s="1031"/>
      <c r="H26" s="1029"/>
      <c r="I26" s="1029"/>
      <c r="J26" s="1835"/>
      <c r="L26" s="1034"/>
      <c r="M26" s="1033"/>
      <c r="N26" s="1032"/>
      <c r="O26" s="1031"/>
      <c r="P26" s="1031"/>
      <c r="Q26" s="1030"/>
      <c r="R26" s="1029"/>
      <c r="S26" s="1029"/>
      <c r="T26" s="1029"/>
    </row>
    <row r="27" spans="1:20" x14ac:dyDescent="0.25">
      <c r="A27" s="1034">
        <f>+A26+1</f>
        <v>7</v>
      </c>
      <c r="B27" s="1033" t="s">
        <v>552</v>
      </c>
      <c r="C27" s="1812" t="s">
        <v>2249</v>
      </c>
      <c r="D27" s="1830" t="s">
        <v>2258</v>
      </c>
      <c r="E27" s="1031"/>
      <c r="F27" s="1031"/>
      <c r="G27" s="1031"/>
      <c r="H27" s="1032">
        <v>4000</v>
      </c>
      <c r="I27" s="1029"/>
      <c r="J27" s="1029"/>
      <c r="L27" s="1034"/>
      <c r="M27" s="1033"/>
      <c r="N27" s="1032"/>
      <c r="O27" s="1031"/>
      <c r="P27" s="1031"/>
      <c r="Q27" s="1030"/>
      <c r="R27" s="1029"/>
      <c r="S27" s="1029"/>
      <c r="T27" s="1029"/>
    </row>
    <row r="28" spans="1:20" x14ac:dyDescent="0.25">
      <c r="A28" s="1034">
        <f>+A27+1</f>
        <v>8</v>
      </c>
      <c r="B28" s="1033" t="s">
        <v>1353</v>
      </c>
      <c r="C28" s="1812" t="s">
        <v>2249</v>
      </c>
      <c r="D28" s="1830" t="s">
        <v>2258</v>
      </c>
      <c r="E28" s="1031"/>
      <c r="F28" s="1031"/>
      <c r="G28" s="1836">
        <v>14000</v>
      </c>
      <c r="H28" s="1029"/>
      <c r="I28" s="371"/>
      <c r="J28" s="1029"/>
      <c r="L28" s="1034"/>
      <c r="M28" s="1033"/>
      <c r="N28" s="1032"/>
      <c r="O28" s="1031"/>
      <c r="P28" s="1031"/>
      <c r="Q28" s="438"/>
      <c r="R28" s="1029"/>
      <c r="S28" s="1029"/>
      <c r="T28" s="1030"/>
    </row>
    <row r="29" spans="1:20" x14ac:dyDescent="0.25">
      <c r="A29" s="1034">
        <v>12</v>
      </c>
      <c r="B29" s="1033" t="s">
        <v>1360</v>
      </c>
      <c r="C29" s="1815" t="s">
        <v>1055</v>
      </c>
      <c r="D29" s="1829" t="s">
        <v>1055</v>
      </c>
      <c r="E29" s="1031"/>
      <c r="F29" s="1031"/>
      <c r="G29" s="1029"/>
      <c r="H29" s="1835"/>
      <c r="I29" s="1031">
        <v>11000</v>
      </c>
      <c r="J29" s="1835"/>
      <c r="L29" s="1034"/>
      <c r="M29" s="1033"/>
      <c r="N29" s="1032"/>
      <c r="O29" s="1031"/>
      <c r="P29" s="1031"/>
      <c r="Q29" s="1030"/>
      <c r="R29" s="1029"/>
      <c r="S29" s="1029"/>
      <c r="T29" s="1029"/>
    </row>
    <row r="30" spans="1:20" x14ac:dyDescent="0.25">
      <c r="A30" s="1825"/>
      <c r="B30" s="1826"/>
      <c r="C30" s="1826"/>
      <c r="D30" s="1827"/>
      <c r="E30" s="1028">
        <f t="shared" ref="E30:J30" si="0">+SUM(E1:E29)</f>
        <v>72000</v>
      </c>
      <c r="F30" s="1028">
        <f t="shared" si="0"/>
        <v>48000</v>
      </c>
      <c r="G30" s="1028">
        <f t="shared" si="0"/>
        <v>14000</v>
      </c>
      <c r="H30" s="1028">
        <f t="shared" si="0"/>
        <v>4000</v>
      </c>
      <c r="I30" s="1028">
        <f t="shared" si="0"/>
        <v>11000</v>
      </c>
      <c r="J30" s="1028">
        <f t="shared" si="0"/>
        <v>5000</v>
      </c>
      <c r="L30" s="1872"/>
      <c r="M30" s="1873"/>
      <c r="N30" s="1874"/>
      <c r="O30" s="1028"/>
      <c r="P30" s="1028"/>
      <c r="Q30" s="1028"/>
      <c r="R30" s="1028"/>
      <c r="S30" s="1028"/>
      <c r="T30" s="1028"/>
    </row>
    <row r="32" spans="1:20" x14ac:dyDescent="0.25">
      <c r="B32" s="1812" t="s">
        <v>397</v>
      </c>
      <c r="C32" s="1813"/>
      <c r="D32" s="1814"/>
    </row>
    <row r="33" spans="2:4" x14ac:dyDescent="0.25">
      <c r="B33" s="1812" t="s">
        <v>19</v>
      </c>
      <c r="C33" s="1813"/>
      <c r="D33" s="1814"/>
    </row>
    <row r="34" spans="2:4" x14ac:dyDescent="0.25">
      <c r="B34" s="1812" t="s">
        <v>404</v>
      </c>
      <c r="C34" s="1813"/>
      <c r="D34" s="1814"/>
    </row>
    <row r="35" spans="2:4" x14ac:dyDescent="0.25">
      <c r="B35" s="1812" t="s">
        <v>403</v>
      </c>
      <c r="C35" s="1813"/>
      <c r="D35" s="1814"/>
    </row>
    <row r="36" spans="2:4" x14ac:dyDescent="0.25">
      <c r="B36" s="1812" t="s">
        <v>407</v>
      </c>
      <c r="C36" s="1813"/>
      <c r="D36" s="1814"/>
    </row>
    <row r="37" spans="2:4" x14ac:dyDescent="0.25">
      <c r="B37" s="1812" t="s">
        <v>403</v>
      </c>
      <c r="C37" s="1813"/>
      <c r="D37" s="1814"/>
    </row>
    <row r="38" spans="2:4" x14ac:dyDescent="0.25">
      <c r="B38" s="1812" t="s">
        <v>404</v>
      </c>
      <c r="C38" s="1813"/>
      <c r="D38" s="1814"/>
    </row>
    <row r="39" spans="2:4" x14ac:dyDescent="0.25">
      <c r="B39" s="1812" t="s">
        <v>1303</v>
      </c>
      <c r="C39" s="1813"/>
      <c r="D39" s="1814"/>
    </row>
    <row r="40" spans="2:4" x14ac:dyDescent="0.25">
      <c r="B40" s="1812" t="s">
        <v>19</v>
      </c>
      <c r="C40" s="1813"/>
      <c r="D40" s="1814"/>
    </row>
    <row r="41" spans="2:4" x14ac:dyDescent="0.25">
      <c r="B41" s="1812" t="s">
        <v>19</v>
      </c>
      <c r="C41" s="1813"/>
      <c r="D41" s="1814"/>
    </row>
    <row r="42" spans="2:4" x14ac:dyDescent="0.25">
      <c r="B42" s="1812" t="s">
        <v>1092</v>
      </c>
      <c r="C42" s="1813"/>
      <c r="D42" s="1814"/>
    </row>
    <row r="43" spans="2:4" x14ac:dyDescent="0.25">
      <c r="B43" s="1812" t="s">
        <v>1055</v>
      </c>
      <c r="C43" s="1813"/>
      <c r="D43" s="1814"/>
    </row>
    <row r="44" spans="2:4" x14ac:dyDescent="0.25">
      <c r="B44" s="1812" t="s">
        <v>53</v>
      </c>
      <c r="C44" s="1813"/>
      <c r="D44" s="1814"/>
    </row>
    <row r="45" spans="2:4" x14ac:dyDescent="0.25">
      <c r="B45" s="1812" t="s">
        <v>1531</v>
      </c>
      <c r="C45" s="1813"/>
      <c r="D45" s="1814"/>
    </row>
    <row r="46" spans="2:4" x14ac:dyDescent="0.25">
      <c r="B46" s="1812" t="s">
        <v>1531</v>
      </c>
      <c r="C46" s="1813"/>
      <c r="D46" s="1814"/>
    </row>
    <row r="47" spans="2:4" x14ac:dyDescent="0.25">
      <c r="B47" s="1812" t="s">
        <v>19</v>
      </c>
      <c r="C47" s="1813"/>
      <c r="D47" s="1814"/>
    </row>
    <row r="48" spans="2:4" x14ac:dyDescent="0.25">
      <c r="B48" s="1812" t="s">
        <v>2249</v>
      </c>
      <c r="C48" s="1813"/>
      <c r="D48" s="1814"/>
    </row>
    <row r="49" spans="2:4" x14ac:dyDescent="0.25">
      <c r="B49" s="1812" t="s">
        <v>407</v>
      </c>
      <c r="C49" s="1813"/>
      <c r="D49" s="1814"/>
    </row>
    <row r="50" spans="2:4" x14ac:dyDescent="0.25">
      <c r="B50" s="1812" t="s">
        <v>2250</v>
      </c>
      <c r="C50" s="1813"/>
      <c r="D50" s="1814"/>
    </row>
    <row r="51" spans="2:4" x14ac:dyDescent="0.25">
      <c r="B51" s="1812" t="s">
        <v>2249</v>
      </c>
      <c r="C51" s="1813"/>
      <c r="D51" s="1814"/>
    </row>
    <row r="52" spans="2:4" x14ac:dyDescent="0.25">
      <c r="B52" s="1812" t="s">
        <v>53</v>
      </c>
      <c r="C52" s="1813"/>
      <c r="D52" s="1814"/>
    </row>
    <row r="53" spans="2:4" x14ac:dyDescent="0.25">
      <c r="B53" s="1812" t="s">
        <v>398</v>
      </c>
      <c r="C53" s="1813"/>
      <c r="D53" s="1814"/>
    </row>
    <row r="54" spans="2:4" x14ac:dyDescent="0.25">
      <c r="B54" s="1812" t="s">
        <v>19</v>
      </c>
      <c r="C54" s="1813"/>
      <c r="D54" s="1814"/>
    </row>
    <row r="55" spans="2:4" x14ac:dyDescent="0.25">
      <c r="B55" s="1812" t="s">
        <v>404</v>
      </c>
      <c r="C55" s="1813"/>
      <c r="D55" s="1814"/>
    </row>
    <row r="56" spans="2:4" x14ac:dyDescent="0.25">
      <c r="B56" s="1812" t="s">
        <v>400</v>
      </c>
      <c r="C56" s="1813"/>
      <c r="D56" s="1814"/>
    </row>
    <row r="57" spans="2:4" x14ac:dyDescent="0.25">
      <c r="B57" s="1815" t="s">
        <v>2251</v>
      </c>
      <c r="C57" s="1816"/>
      <c r="D57" s="1817"/>
    </row>
  </sheetData>
  <autoFilter ref="A1:J3" xr:uid="{C2E04452-529C-4C7B-84F7-6A271BC0AA7C}">
    <filterColumn colId="6" showButton="0"/>
    <filterColumn colId="7" showButton="0"/>
    <filterColumn colId="8" showButton="0"/>
    <sortState xmlns:xlrd2="http://schemas.microsoft.com/office/spreadsheetml/2017/richdata2" ref="A6:J30">
      <sortCondition ref="C1:C3"/>
    </sortState>
  </autoFilter>
  <mergeCells count="33">
    <mergeCell ref="R10:S10"/>
    <mergeCell ref="L11:M11"/>
    <mergeCell ref="L12:M12"/>
    <mergeCell ref="L13:M13"/>
    <mergeCell ref="R7:S7"/>
    <mergeCell ref="L8:M8"/>
    <mergeCell ref="R8:S8"/>
    <mergeCell ref="L9:M9"/>
    <mergeCell ref="R9:S9"/>
    <mergeCell ref="R4:S4"/>
    <mergeCell ref="L5:M5"/>
    <mergeCell ref="R5:S5"/>
    <mergeCell ref="L6:M6"/>
    <mergeCell ref="R6:S6"/>
    <mergeCell ref="R1:S1"/>
    <mergeCell ref="L2:M2"/>
    <mergeCell ref="R2:S2"/>
    <mergeCell ref="L3:M3"/>
    <mergeCell ref="R3:S3"/>
    <mergeCell ref="L30:N30"/>
    <mergeCell ref="A1:A3"/>
    <mergeCell ref="B1:B3"/>
    <mergeCell ref="D1:D3"/>
    <mergeCell ref="E1:E3"/>
    <mergeCell ref="F1:F3"/>
    <mergeCell ref="G1:J1"/>
    <mergeCell ref="L1:M1"/>
    <mergeCell ref="L4:M4"/>
    <mergeCell ref="L7:M7"/>
    <mergeCell ref="L14:M14"/>
    <mergeCell ref="L15:M15"/>
    <mergeCell ref="L16:M16"/>
    <mergeCell ref="L10:M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XFC251"/>
  <sheetViews>
    <sheetView showGridLines="0" tabSelected="1" view="pageLayout" topLeftCell="A206" zoomScale="110" zoomScaleNormal="100" zoomScalePageLayoutView="110" workbookViewId="0">
      <selection activeCell="J193" sqref="J193"/>
    </sheetView>
  </sheetViews>
  <sheetFormatPr baseColWidth="10" defaultColWidth="9.140625" defaultRowHeight="15" x14ac:dyDescent="0.25"/>
  <cols>
    <col min="1" max="1" width="2.7109375" style="2" customWidth="1"/>
    <col min="2" max="2" width="4.28515625" style="2" bestFit="1" customWidth="1"/>
    <col min="3" max="3" width="27.7109375" style="2" bestFit="1" customWidth="1"/>
    <col min="4" max="11" width="6.7109375" style="2" customWidth="1"/>
    <col min="12" max="12" width="1.7109375" style="2" customWidth="1"/>
    <col min="13" max="16384" width="9.140625" style="2"/>
  </cols>
  <sheetData>
    <row r="1" spans="1:16383"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x14ac:dyDescent="0.25">
      <c r="A2" s="1844" t="s">
        <v>20</v>
      </c>
      <c r="B2" s="1845"/>
      <c r="C2" s="1845"/>
      <c r="D2" s="1845"/>
      <c r="E2" s="1845"/>
      <c r="F2" s="1845"/>
      <c r="G2" s="1845"/>
      <c r="H2" s="1845"/>
      <c r="I2" s="1845"/>
      <c r="J2" s="1845"/>
      <c r="K2" s="1845"/>
      <c r="L2" s="1846"/>
    </row>
    <row r="3" spans="1:16383" x14ac:dyDescent="0.25">
      <c r="A3" s="1847" t="s">
        <v>1532</v>
      </c>
      <c r="B3" s="1848"/>
      <c r="C3" s="1848"/>
      <c r="D3" s="1848"/>
      <c r="E3" s="1848"/>
      <c r="F3" s="1848"/>
      <c r="G3" s="1848"/>
      <c r="H3" s="1848"/>
      <c r="I3" s="1848"/>
      <c r="J3" s="1848"/>
      <c r="K3" s="1848"/>
      <c r="L3" s="1849"/>
    </row>
    <row r="5" spans="1:16383" s="4" customFormat="1" x14ac:dyDescent="0.25">
      <c r="B5" s="1046" t="s">
        <v>1376</v>
      </c>
      <c r="C5" s="1843" t="s">
        <v>952</v>
      </c>
      <c r="D5" s="1843"/>
      <c r="E5" s="1843" t="s">
        <v>394</v>
      </c>
      <c r="F5" s="1843"/>
      <c r="G5" s="1843"/>
      <c r="H5" s="1843"/>
      <c r="I5" s="1843"/>
    </row>
    <row r="6" spans="1:16383" s="4" customFormat="1" ht="15" customHeight="1" x14ac:dyDescent="0.25">
      <c r="B6" s="1034">
        <v>1</v>
      </c>
      <c r="C6" s="1910" t="s">
        <v>4</v>
      </c>
      <c r="D6" s="1910"/>
      <c r="E6" s="1910" t="s">
        <v>401</v>
      </c>
      <c r="F6" s="1910"/>
      <c r="G6" s="1910"/>
      <c r="H6" s="1910"/>
      <c r="I6" s="1910"/>
    </row>
    <row r="7" spans="1:16383" s="4" customFormat="1" ht="15" customHeight="1" x14ac:dyDescent="0.25">
      <c r="B7" s="1034">
        <v>2</v>
      </c>
      <c r="C7" s="1910" t="s">
        <v>5</v>
      </c>
      <c r="D7" s="1910"/>
      <c r="E7" s="1910" t="s">
        <v>423</v>
      </c>
      <c r="F7" s="1910"/>
      <c r="G7" s="1910"/>
      <c r="H7" s="1910"/>
      <c r="I7" s="1910"/>
    </row>
    <row r="8" spans="1:16383" s="4" customFormat="1" ht="15" customHeight="1" x14ac:dyDescent="0.25">
      <c r="B8" s="1034">
        <v>3</v>
      </c>
      <c r="C8" s="1910" t="s">
        <v>1286</v>
      </c>
      <c r="D8" s="1910"/>
      <c r="E8" s="1910" t="s">
        <v>1303</v>
      </c>
      <c r="F8" s="1910"/>
      <c r="G8" s="1910"/>
      <c r="H8" s="1910"/>
      <c r="I8" s="1910"/>
    </row>
    <row r="9" spans="1:16383" s="4" customFormat="1" ht="15" customHeight="1" x14ac:dyDescent="0.25">
      <c r="B9" s="1034">
        <v>4</v>
      </c>
      <c r="C9" s="1910" t="s">
        <v>288</v>
      </c>
      <c r="D9" s="1910"/>
      <c r="E9" s="1910" t="s">
        <v>1531</v>
      </c>
      <c r="F9" s="1910"/>
      <c r="G9" s="1910"/>
      <c r="H9" s="1910"/>
      <c r="I9" s="1910"/>
    </row>
    <row r="10" spans="1:16383" s="4" customFormat="1" ht="15" customHeight="1" x14ac:dyDescent="0.25">
      <c r="B10" s="1034">
        <v>5</v>
      </c>
      <c r="C10" s="1910" t="s">
        <v>1530</v>
      </c>
      <c r="D10" s="1910"/>
      <c r="E10" s="1910" t="s">
        <v>397</v>
      </c>
      <c r="F10" s="1910"/>
      <c r="G10" s="1910"/>
      <c r="H10" s="1910"/>
      <c r="I10" s="1910"/>
    </row>
    <row r="11" spans="1:16383" s="4" customFormat="1" ht="15" customHeight="1" x14ac:dyDescent="0.25">
      <c r="B11" s="1034">
        <v>6</v>
      </c>
      <c r="C11" s="1910" t="s">
        <v>29</v>
      </c>
      <c r="D11" s="1910"/>
      <c r="E11" s="1910" t="s">
        <v>401</v>
      </c>
      <c r="F11" s="1910"/>
      <c r="G11" s="1910"/>
      <c r="H11" s="1910"/>
      <c r="I11" s="1910"/>
    </row>
    <row r="12" spans="1:16383" s="4" customFormat="1" ht="15" customHeight="1" x14ac:dyDescent="0.25">
      <c r="B12" s="1034">
        <v>7</v>
      </c>
      <c r="C12" s="1910" t="s">
        <v>2</v>
      </c>
      <c r="D12" s="1910"/>
      <c r="E12" s="1910" t="s">
        <v>404</v>
      </c>
      <c r="F12" s="1910"/>
      <c r="G12" s="1910"/>
      <c r="H12" s="1910"/>
      <c r="I12" s="1910"/>
    </row>
    <row r="13" spans="1:16383" s="4" customFormat="1" ht="15" customHeight="1" x14ac:dyDescent="0.25">
      <c r="B13" s="1034">
        <v>8</v>
      </c>
      <c r="C13" s="1910" t="s">
        <v>435</v>
      </c>
      <c r="D13" s="1910"/>
      <c r="E13" s="1910" t="s">
        <v>396</v>
      </c>
      <c r="F13" s="1910"/>
      <c r="G13" s="1910"/>
      <c r="H13" s="1910"/>
      <c r="I13" s="1910"/>
    </row>
    <row r="14" spans="1:16383" s="4" customFormat="1" ht="15" customHeight="1" x14ac:dyDescent="0.25">
      <c r="B14" s="1034">
        <v>9</v>
      </c>
      <c r="C14" s="1910" t="s">
        <v>1529</v>
      </c>
      <c r="D14" s="1910"/>
      <c r="E14" s="1910" t="s">
        <v>403</v>
      </c>
      <c r="F14" s="1910"/>
      <c r="G14" s="1910"/>
      <c r="H14" s="1910"/>
      <c r="I14" s="1910"/>
    </row>
    <row r="15" spans="1:16383" s="4" customFormat="1" ht="15" customHeight="1" x14ac:dyDescent="0.25">
      <c r="B15" s="1034">
        <v>10</v>
      </c>
      <c r="C15" s="1910" t="s">
        <v>66</v>
      </c>
      <c r="D15" s="1910"/>
      <c r="E15" s="1910" t="s">
        <v>397</v>
      </c>
      <c r="F15" s="1910"/>
      <c r="G15" s="1910"/>
      <c r="H15" s="1910"/>
      <c r="I15" s="1910"/>
    </row>
    <row r="16" spans="1:16383" s="4" customFormat="1" ht="15" customHeight="1" x14ac:dyDescent="0.25">
      <c r="B16" s="1034">
        <v>11</v>
      </c>
      <c r="C16" s="1910" t="s">
        <v>478</v>
      </c>
      <c r="D16" s="1910"/>
      <c r="E16" s="1910" t="s">
        <v>403</v>
      </c>
      <c r="F16" s="1910"/>
      <c r="G16" s="1910"/>
      <c r="H16" s="1910"/>
      <c r="I16" s="1910"/>
    </row>
    <row r="17" spans="2:9" s="4" customFormat="1" ht="15" customHeight="1" x14ac:dyDescent="0.25">
      <c r="B17" s="1034">
        <v>12</v>
      </c>
      <c r="C17" s="1910" t="s">
        <v>6</v>
      </c>
      <c r="D17" s="1910"/>
      <c r="E17" s="1910" t="s">
        <v>1528</v>
      </c>
      <c r="F17" s="1910"/>
      <c r="G17" s="1910"/>
      <c r="H17" s="1910"/>
      <c r="I17" s="1910"/>
    </row>
    <row r="18" spans="2:9" s="4" customFormat="1" ht="15" customHeight="1" x14ac:dyDescent="0.25">
      <c r="B18" s="1034">
        <v>13</v>
      </c>
      <c r="C18" s="1910" t="s">
        <v>7</v>
      </c>
      <c r="D18" s="1910"/>
      <c r="E18" s="1910" t="s">
        <v>396</v>
      </c>
      <c r="F18" s="1910"/>
      <c r="G18" s="1910"/>
      <c r="H18" s="1910"/>
      <c r="I18" s="1910"/>
    </row>
    <row r="19" spans="2:9" s="4" customFormat="1" ht="15" customHeight="1" x14ac:dyDescent="0.25">
      <c r="B19" s="1034">
        <v>14</v>
      </c>
      <c r="C19" s="1910" t="s">
        <v>26</v>
      </c>
      <c r="D19" s="1910"/>
      <c r="E19" s="1910" t="s">
        <v>401</v>
      </c>
      <c r="F19" s="1910"/>
      <c r="G19" s="1910"/>
      <c r="H19" s="1910"/>
      <c r="I19" s="1910"/>
    </row>
    <row r="20" spans="2:9" s="4" customFormat="1" ht="15" customHeight="1" x14ac:dyDescent="0.25">
      <c r="B20" s="1034">
        <v>15</v>
      </c>
      <c r="C20" s="1910" t="s">
        <v>1527</v>
      </c>
      <c r="D20" s="1910"/>
      <c r="E20" s="1910" t="s">
        <v>1526</v>
      </c>
      <c r="F20" s="1910"/>
      <c r="G20" s="1910"/>
      <c r="H20" s="1910"/>
      <c r="I20" s="1910"/>
    </row>
    <row r="21" spans="2:9" s="4" customFormat="1" ht="15" customHeight="1" x14ac:dyDescent="0.25">
      <c r="B21" s="1062"/>
      <c r="C21" s="1062"/>
      <c r="D21" s="1062"/>
      <c r="E21" s="1062"/>
      <c r="F21" s="1062"/>
      <c r="G21" s="1062"/>
      <c r="H21" s="1062"/>
      <c r="I21" s="1062"/>
    </row>
    <row r="22" spans="2:9" s="4" customFormat="1" ht="15" customHeight="1" x14ac:dyDescent="0.25">
      <c r="B22" s="1062"/>
      <c r="C22" s="1062"/>
      <c r="D22" s="1062"/>
    </row>
    <row r="23" spans="2:9" s="4" customFormat="1" ht="15" customHeight="1" x14ac:dyDescent="0.25">
      <c r="B23" s="1062"/>
      <c r="C23" s="1062"/>
      <c r="D23" s="1062"/>
    </row>
    <row r="24" spans="2:9" s="4" customFormat="1" x14ac:dyDescent="0.25">
      <c r="B24" s="1062"/>
      <c r="C24" s="1062"/>
      <c r="D24" s="1062"/>
    </row>
    <row r="25" spans="2:9" s="4" customFormat="1" ht="15" customHeight="1" x14ac:dyDescent="0.25">
      <c r="B25" s="1062"/>
      <c r="C25" s="1062"/>
      <c r="D25" s="1062"/>
    </row>
    <row r="26" spans="2:9" s="4" customFormat="1" x14ac:dyDescent="0.25"/>
    <row r="27" spans="2:9" s="4" customFormat="1" x14ac:dyDescent="0.25"/>
    <row r="28" spans="2:9" s="4" customFormat="1" x14ac:dyDescent="0.25"/>
    <row r="29" spans="2:9" s="4" customFormat="1" x14ac:dyDescent="0.25"/>
    <row r="30" spans="2:9" s="4" customFormat="1" x14ac:dyDescent="0.25"/>
    <row r="31" spans="2:9" s="4" customFormat="1" x14ac:dyDescent="0.25"/>
    <row r="32" spans="2:9" s="4" customFormat="1" x14ac:dyDescent="0.25"/>
    <row r="33" s="4" customFormat="1" x14ac:dyDescent="0.25"/>
    <row r="34" s="4" customFormat="1" x14ac:dyDescent="0.25"/>
    <row r="35" s="4" customFormat="1" x14ac:dyDescent="0.25"/>
    <row r="36" s="4" customFormat="1" x14ac:dyDescent="0.25"/>
    <row r="37" s="4" customFormat="1" x14ac:dyDescent="0.25"/>
    <row r="38" s="4" customFormat="1" x14ac:dyDescent="0.25"/>
    <row r="39" s="4" customFormat="1" x14ac:dyDescent="0.25"/>
    <row r="40" s="4" customFormat="1" x14ac:dyDescent="0.25"/>
    <row r="41" s="4" customFormat="1" x14ac:dyDescent="0.25"/>
    <row r="42" s="4" customFormat="1" x14ac:dyDescent="0.25"/>
    <row r="43" s="4" customFormat="1" x14ac:dyDescent="0.25"/>
    <row r="44" s="4" customFormat="1" x14ac:dyDescent="0.25"/>
    <row r="45" s="4" customFormat="1" x14ac:dyDescent="0.25"/>
    <row r="46" s="4" customFormat="1" x14ac:dyDescent="0.25"/>
    <row r="49" spans="1:12" x14ac:dyDescent="0.25">
      <c r="A49" s="4"/>
      <c r="B49" s="4"/>
      <c r="C49" s="4"/>
      <c r="D49" s="4"/>
      <c r="E49" s="4"/>
      <c r="F49" s="4"/>
      <c r="G49" s="4"/>
      <c r="H49" s="4"/>
    </row>
    <row r="50" spans="1:12" s="4" customFormat="1" x14ac:dyDescent="0.25">
      <c r="D50" s="1023"/>
      <c r="E50" s="1023"/>
    </row>
    <row r="51" spans="1:12" s="4" customFormat="1" x14ac:dyDescent="0.25">
      <c r="D51" s="1023"/>
      <c r="E51" s="1023"/>
      <c r="L51" s="3"/>
    </row>
    <row r="52" spans="1:12" s="4" customFormat="1" x14ac:dyDescent="0.25">
      <c r="A52" s="1844" t="str">
        <f>+A2</f>
        <v>Solución Adicional</v>
      </c>
      <c r="B52" s="1845"/>
      <c r="C52" s="1845"/>
      <c r="D52" s="1845"/>
      <c r="E52" s="1845"/>
      <c r="F52" s="1845"/>
      <c r="G52" s="1845"/>
      <c r="H52" s="1845"/>
      <c r="I52" s="1845"/>
      <c r="J52" s="1845"/>
      <c r="K52" s="1845"/>
      <c r="L52" s="1846"/>
    </row>
    <row r="53" spans="1:12" s="4" customFormat="1" x14ac:dyDescent="0.25">
      <c r="A53" s="1847" t="s">
        <v>1525</v>
      </c>
      <c r="B53" s="1848"/>
      <c r="C53" s="1848"/>
      <c r="D53" s="1848"/>
      <c r="E53" s="1848"/>
      <c r="F53" s="1848"/>
      <c r="G53" s="1848"/>
      <c r="H53" s="1848"/>
      <c r="I53" s="1848"/>
      <c r="J53" s="1848"/>
      <c r="K53" s="1848"/>
      <c r="L53" s="1849"/>
    </row>
    <row r="54" spans="1:12" s="4" customFormat="1" x14ac:dyDescent="0.25">
      <c r="D54" s="1023"/>
      <c r="E54" s="1023"/>
    </row>
    <row r="55" spans="1:12" s="4" customFormat="1" x14ac:dyDescent="0.25">
      <c r="B55" s="1046" t="s">
        <v>1376</v>
      </c>
      <c r="C55" s="1861" t="s">
        <v>1375</v>
      </c>
      <c r="D55" s="1871"/>
      <c r="E55" s="1871"/>
      <c r="F55" s="1871"/>
      <c r="G55" s="1862"/>
      <c r="H55" s="1843" t="s">
        <v>394</v>
      </c>
      <c r="I55" s="1843"/>
      <c r="J55" s="1843"/>
      <c r="K55" s="1843"/>
    </row>
    <row r="56" spans="1:12" s="4" customFormat="1" ht="15" customHeight="1" x14ac:dyDescent="0.25">
      <c r="B56" s="1034">
        <v>1</v>
      </c>
      <c r="C56" s="1851" t="s">
        <v>1402</v>
      </c>
      <c r="D56" s="1852"/>
      <c r="E56" s="1852"/>
      <c r="F56" s="1852"/>
      <c r="G56" s="1853"/>
      <c r="H56" s="1911" t="s">
        <v>19</v>
      </c>
      <c r="I56" s="1911"/>
      <c r="J56" s="1911"/>
      <c r="K56" s="1911"/>
    </row>
    <row r="57" spans="1:12" s="4" customFormat="1" ht="15" customHeight="1" x14ac:dyDescent="0.25">
      <c r="B57" s="1034">
        <v>2</v>
      </c>
      <c r="C57" s="1851" t="s">
        <v>1401</v>
      </c>
      <c r="D57" s="1852"/>
      <c r="E57" s="1852"/>
      <c r="F57" s="1852"/>
      <c r="G57" s="1853"/>
      <c r="H57" s="1911" t="s">
        <v>403</v>
      </c>
      <c r="I57" s="1911"/>
      <c r="J57" s="1911"/>
      <c r="K57" s="1911"/>
    </row>
    <row r="58" spans="1:12" s="4" customFormat="1" ht="15" customHeight="1" x14ac:dyDescent="0.25">
      <c r="B58" s="1034">
        <v>3</v>
      </c>
      <c r="C58" s="1851" t="s">
        <v>1400</v>
      </c>
      <c r="D58" s="1852"/>
      <c r="E58" s="1852"/>
      <c r="F58" s="1852"/>
      <c r="G58" s="1853"/>
      <c r="H58" s="1911" t="s">
        <v>404</v>
      </c>
      <c r="I58" s="1911"/>
      <c r="J58" s="1911"/>
      <c r="K58" s="1911"/>
    </row>
    <row r="59" spans="1:12" s="4" customFormat="1" ht="15" customHeight="1" x14ac:dyDescent="0.25">
      <c r="B59" s="1034">
        <v>4</v>
      </c>
      <c r="C59" s="1851" t="s">
        <v>1399</v>
      </c>
      <c r="D59" s="1852"/>
      <c r="E59" s="1852"/>
      <c r="F59" s="1852"/>
      <c r="G59" s="1853"/>
      <c r="H59" s="1911" t="s">
        <v>53</v>
      </c>
      <c r="I59" s="1911"/>
      <c r="J59" s="1911"/>
      <c r="K59" s="1911"/>
    </row>
    <row r="60" spans="1:12" s="4" customFormat="1" ht="15" customHeight="1" x14ac:dyDescent="0.25">
      <c r="B60" s="1034">
        <v>5</v>
      </c>
      <c r="C60" s="1851" t="s">
        <v>1398</v>
      </c>
      <c r="D60" s="1852"/>
      <c r="E60" s="1852"/>
      <c r="F60" s="1852"/>
      <c r="G60" s="1853"/>
      <c r="H60" s="1911" t="s">
        <v>19</v>
      </c>
      <c r="I60" s="1911"/>
      <c r="J60" s="1911"/>
      <c r="K60" s="1911"/>
    </row>
    <row r="61" spans="1:12" s="4" customFormat="1" ht="15" customHeight="1" x14ac:dyDescent="0.25">
      <c r="B61" s="1034">
        <v>6</v>
      </c>
      <c r="C61" s="1851" t="s">
        <v>1397</v>
      </c>
      <c r="D61" s="1852"/>
      <c r="E61" s="1852"/>
      <c r="F61" s="1852"/>
      <c r="G61" s="1853"/>
      <c r="H61" s="1911" t="s">
        <v>404</v>
      </c>
      <c r="I61" s="1911"/>
      <c r="J61" s="1911"/>
      <c r="K61" s="1911"/>
    </row>
    <row r="62" spans="1:12" s="4" customFormat="1" ht="15" customHeight="1" x14ac:dyDescent="0.25">
      <c r="B62" s="1034">
        <v>7</v>
      </c>
      <c r="C62" s="1851" t="s">
        <v>1396</v>
      </c>
      <c r="D62" s="1852"/>
      <c r="E62" s="1852"/>
      <c r="F62" s="1852"/>
      <c r="G62" s="1853"/>
      <c r="H62" s="1911" t="s">
        <v>396</v>
      </c>
      <c r="I62" s="1911"/>
      <c r="J62" s="1911"/>
      <c r="K62" s="1911"/>
    </row>
    <row r="63" spans="1:12" s="4" customFormat="1" ht="15" customHeight="1" x14ac:dyDescent="0.25">
      <c r="B63" s="1034">
        <v>8</v>
      </c>
      <c r="C63" s="1851" t="s">
        <v>1395</v>
      </c>
      <c r="D63" s="1852"/>
      <c r="E63" s="1852"/>
      <c r="F63" s="1852"/>
      <c r="G63" s="1853"/>
      <c r="H63" s="1911" t="s">
        <v>19</v>
      </c>
      <c r="I63" s="1911"/>
      <c r="J63" s="1911"/>
      <c r="K63" s="1911"/>
    </row>
    <row r="64" spans="1:12" s="4" customFormat="1" ht="15" customHeight="1" x14ac:dyDescent="0.25">
      <c r="B64" s="1034">
        <v>9</v>
      </c>
      <c r="C64" s="1851" t="s">
        <v>1394</v>
      </c>
      <c r="D64" s="1852"/>
      <c r="E64" s="1852"/>
      <c r="F64" s="1852"/>
      <c r="G64" s="1853"/>
      <c r="H64" s="1911" t="s">
        <v>397</v>
      </c>
      <c r="I64" s="1911"/>
      <c r="J64" s="1911"/>
      <c r="K64" s="1911"/>
    </row>
    <row r="65" spans="2:12" s="4" customFormat="1" ht="15" customHeight="1" x14ac:dyDescent="0.25">
      <c r="B65" s="1034">
        <v>10</v>
      </c>
      <c r="C65" s="1851" t="s">
        <v>1393</v>
      </c>
      <c r="D65" s="1852"/>
      <c r="E65" s="1852"/>
      <c r="F65" s="1852"/>
      <c r="G65" s="1853"/>
      <c r="H65" s="1911" t="s">
        <v>53</v>
      </c>
      <c r="I65" s="1911"/>
      <c r="J65" s="1911"/>
      <c r="K65" s="1911"/>
    </row>
    <row r="66" spans="2:12" s="4" customFormat="1" ht="15" customHeight="1" x14ac:dyDescent="0.25">
      <c r="B66" s="1034">
        <v>11</v>
      </c>
      <c r="C66" s="1851" t="s">
        <v>1392</v>
      </c>
      <c r="D66" s="1852"/>
      <c r="E66" s="1852"/>
      <c r="F66" s="1852"/>
      <c r="G66" s="1853"/>
      <c r="H66" s="1911" t="s">
        <v>415</v>
      </c>
      <c r="I66" s="1911"/>
      <c r="J66" s="1911"/>
      <c r="K66" s="1911"/>
    </row>
    <row r="67" spans="2:12" s="4" customFormat="1" ht="15" customHeight="1" x14ac:dyDescent="0.25">
      <c r="B67" s="1034">
        <v>12</v>
      </c>
      <c r="C67" s="1851" t="s">
        <v>1391</v>
      </c>
      <c r="D67" s="1852"/>
      <c r="E67" s="1852"/>
      <c r="F67" s="1852"/>
      <c r="G67" s="1853"/>
      <c r="H67" s="1911" t="s">
        <v>53</v>
      </c>
      <c r="I67" s="1911"/>
      <c r="J67" s="1911"/>
      <c r="K67" s="1911"/>
    </row>
    <row r="68" spans="2:12" s="4" customFormat="1" ht="15" customHeight="1" x14ac:dyDescent="0.25">
      <c r="B68" s="1034">
        <v>13</v>
      </c>
      <c r="C68" s="1851" t="s">
        <v>1390</v>
      </c>
      <c r="D68" s="1852"/>
      <c r="E68" s="1852"/>
      <c r="F68" s="1852"/>
      <c r="G68" s="1853"/>
      <c r="H68" s="1911" t="s">
        <v>3</v>
      </c>
      <c r="I68" s="1911"/>
      <c r="J68" s="1911"/>
      <c r="K68" s="1911"/>
    </row>
    <row r="69" spans="2:12" s="4" customFormat="1" ht="15" customHeight="1" x14ac:dyDescent="0.25">
      <c r="B69" s="1034">
        <v>14</v>
      </c>
      <c r="C69" s="1851" t="s">
        <v>1389</v>
      </c>
      <c r="D69" s="1852"/>
      <c r="E69" s="1852"/>
      <c r="F69" s="1852"/>
      <c r="G69" s="1853"/>
      <c r="H69" s="1911" t="s">
        <v>19</v>
      </c>
      <c r="I69" s="1911"/>
      <c r="J69" s="1911"/>
      <c r="K69" s="1911"/>
    </row>
    <row r="70" spans="2:12" s="4" customFormat="1" ht="15" customHeight="1" x14ac:dyDescent="0.25">
      <c r="B70" s="1034">
        <v>15</v>
      </c>
      <c r="C70" s="1851" t="s">
        <v>1388</v>
      </c>
      <c r="D70" s="1852"/>
      <c r="E70" s="1852"/>
      <c r="F70" s="1852"/>
      <c r="G70" s="1853"/>
      <c r="H70" s="1911" t="s">
        <v>404</v>
      </c>
      <c r="I70" s="1911"/>
      <c r="J70" s="1911"/>
      <c r="K70" s="1911"/>
    </row>
    <row r="71" spans="2:12" s="4" customFormat="1" ht="15" customHeight="1" x14ac:dyDescent="0.25">
      <c r="B71" s="1034">
        <v>16</v>
      </c>
      <c r="C71" s="1851" t="s">
        <v>1387</v>
      </c>
      <c r="D71" s="1852"/>
      <c r="E71" s="1852"/>
      <c r="F71" s="1852"/>
      <c r="G71" s="1853"/>
      <c r="H71" s="1911" t="s">
        <v>19</v>
      </c>
      <c r="I71" s="1911"/>
      <c r="J71" s="1911"/>
      <c r="K71" s="1911"/>
    </row>
    <row r="72" spans="2:12" s="4" customFormat="1" ht="15" customHeight="1" x14ac:dyDescent="0.25">
      <c r="B72" s="1034">
        <v>17</v>
      </c>
      <c r="C72" s="1851" t="s">
        <v>1386</v>
      </c>
      <c r="D72" s="1852"/>
      <c r="E72" s="1852"/>
      <c r="F72" s="1852"/>
      <c r="G72" s="1853"/>
      <c r="H72" s="1911" t="s">
        <v>397</v>
      </c>
      <c r="I72" s="1911"/>
      <c r="J72" s="1911"/>
      <c r="K72" s="1911"/>
    </row>
    <row r="73" spans="2:12" s="4" customFormat="1" ht="15" customHeight="1" x14ac:dyDescent="0.25">
      <c r="B73" s="1034">
        <v>18</v>
      </c>
      <c r="C73" s="1851" t="s">
        <v>1385</v>
      </c>
      <c r="D73" s="1852"/>
      <c r="E73" s="1852"/>
      <c r="F73" s="1852"/>
      <c r="G73" s="1853"/>
      <c r="H73" s="1911" t="s">
        <v>396</v>
      </c>
      <c r="I73" s="1911"/>
      <c r="J73" s="1911"/>
      <c r="K73" s="1911"/>
    </row>
    <row r="74" spans="2:12" s="4" customFormat="1" ht="15" customHeight="1" x14ac:dyDescent="0.25">
      <c r="B74" s="1034">
        <v>19</v>
      </c>
      <c r="C74" s="1851" t="s">
        <v>1524</v>
      </c>
      <c r="D74" s="1852"/>
      <c r="E74" s="1852"/>
      <c r="F74" s="1852"/>
      <c r="G74" s="1853"/>
      <c r="H74" s="1911" t="s">
        <v>404</v>
      </c>
      <c r="I74" s="1911"/>
      <c r="J74" s="1911"/>
      <c r="K74" s="1911"/>
    </row>
    <row r="75" spans="2:12" s="4" customFormat="1" ht="15" customHeight="1" x14ac:dyDescent="0.25">
      <c r="B75" s="1034">
        <v>20</v>
      </c>
      <c r="C75" s="1851" t="s">
        <v>1383</v>
      </c>
      <c r="D75" s="1852"/>
      <c r="E75" s="1852"/>
      <c r="F75" s="1852"/>
      <c r="G75" s="1853"/>
      <c r="H75" s="1911" t="s">
        <v>417</v>
      </c>
      <c r="I75" s="1911"/>
      <c r="J75" s="1911"/>
      <c r="K75" s="1911"/>
    </row>
    <row r="76" spans="2:12" s="4" customFormat="1" ht="15" customHeight="1" x14ac:dyDescent="0.25">
      <c r="B76" s="1034">
        <v>21</v>
      </c>
      <c r="C76" s="1884" t="s">
        <v>1523</v>
      </c>
      <c r="D76" s="1885"/>
      <c r="E76" s="1885"/>
      <c r="F76" s="1885"/>
      <c r="G76" s="1886"/>
      <c r="H76" s="1911" t="s">
        <v>794</v>
      </c>
      <c r="I76" s="1911"/>
      <c r="J76" s="1911"/>
      <c r="K76" s="1911"/>
    </row>
    <row r="77" spans="2:12" s="4" customFormat="1" x14ac:dyDescent="0.25">
      <c r="B77" s="1034">
        <v>22</v>
      </c>
      <c r="C77" s="1851" t="s">
        <v>1381</v>
      </c>
      <c r="D77" s="1852"/>
      <c r="E77" s="1852"/>
      <c r="F77" s="1852"/>
      <c r="G77" s="1853"/>
      <c r="H77" s="1969" t="s">
        <v>407</v>
      </c>
      <c r="I77" s="1969"/>
      <c r="J77" s="1969"/>
      <c r="K77" s="1969"/>
      <c r="L77" s="1061" t="s">
        <v>1521</v>
      </c>
    </row>
    <row r="78" spans="2:12" s="4" customFormat="1" ht="15" customHeight="1" x14ac:dyDescent="0.25">
      <c r="B78" s="1034">
        <v>23</v>
      </c>
      <c r="C78" s="1851" t="s">
        <v>1522</v>
      </c>
      <c r="D78" s="1852"/>
      <c r="E78" s="1852"/>
      <c r="F78" s="1852"/>
      <c r="G78" s="1853"/>
      <c r="H78" s="1911" t="s">
        <v>417</v>
      </c>
      <c r="I78" s="1911"/>
      <c r="J78" s="1911"/>
      <c r="K78" s="1911"/>
    </row>
    <row r="79" spans="2:12" s="4" customFormat="1" ht="15" customHeight="1" x14ac:dyDescent="0.25">
      <c r="B79" s="1034">
        <v>24</v>
      </c>
      <c r="C79" s="1851" t="s">
        <v>1379</v>
      </c>
      <c r="D79" s="1852"/>
      <c r="E79" s="1852"/>
      <c r="F79" s="1852"/>
      <c r="G79" s="1853"/>
      <c r="H79" s="1911" t="s">
        <v>53</v>
      </c>
      <c r="I79" s="1911"/>
      <c r="J79" s="1911"/>
      <c r="K79" s="1911"/>
    </row>
    <row r="80" spans="2:12" s="4" customFormat="1" ht="15" customHeight="1" x14ac:dyDescent="0.25">
      <c r="B80" s="1034">
        <v>25</v>
      </c>
      <c r="C80" s="1851" t="s">
        <v>1378</v>
      </c>
      <c r="D80" s="1852"/>
      <c r="E80" s="1852"/>
      <c r="F80" s="1852"/>
      <c r="G80" s="1853"/>
      <c r="H80" s="1911" t="s">
        <v>3</v>
      </c>
      <c r="I80" s="1911"/>
      <c r="J80" s="1911"/>
      <c r="K80" s="1911"/>
    </row>
    <row r="81" spans="2:11" s="4" customFormat="1" x14ac:dyDescent="0.25">
      <c r="D81" s="1023"/>
      <c r="E81" s="1023"/>
      <c r="F81" s="1038"/>
      <c r="G81" s="1038"/>
      <c r="H81" s="1038"/>
    </row>
    <row r="82" spans="2:11" s="4" customFormat="1" ht="15" customHeight="1" x14ac:dyDescent="0.25">
      <c r="B82" s="1060" t="s">
        <v>1521</v>
      </c>
      <c r="C82" s="1959" t="s">
        <v>1520</v>
      </c>
      <c r="D82" s="1959"/>
      <c r="E82" s="1959"/>
      <c r="F82" s="1959"/>
      <c r="G82" s="1959"/>
      <c r="H82" s="1959"/>
      <c r="I82" s="1959"/>
      <c r="J82" s="1959"/>
      <c r="K82" s="1959"/>
    </row>
    <row r="83" spans="2:11" s="4" customFormat="1" x14ac:dyDescent="0.25">
      <c r="C83" s="1959"/>
      <c r="D83" s="1959"/>
      <c r="E83" s="1959"/>
      <c r="F83" s="1959"/>
      <c r="G83" s="1959"/>
      <c r="H83" s="1959"/>
      <c r="I83" s="1959"/>
      <c r="J83" s="1959"/>
      <c r="K83" s="1959"/>
    </row>
    <row r="84" spans="2:11" s="4" customFormat="1" x14ac:dyDescent="0.25">
      <c r="C84" s="1959"/>
      <c r="D84" s="1959"/>
      <c r="E84" s="1959"/>
      <c r="F84" s="1959"/>
      <c r="G84" s="1959"/>
      <c r="H84" s="1959"/>
      <c r="I84" s="1959"/>
      <c r="J84" s="1959"/>
      <c r="K84" s="1959"/>
    </row>
    <row r="85" spans="2:11" s="4" customFormat="1" x14ac:dyDescent="0.25">
      <c r="D85" s="1023"/>
      <c r="E85" s="1023"/>
      <c r="F85" s="1038"/>
      <c r="G85" s="1038"/>
      <c r="H85" s="1038"/>
    </row>
    <row r="86" spans="2:11" s="4" customFormat="1" x14ac:dyDescent="0.25">
      <c r="D86" s="1023"/>
      <c r="E86" s="1023"/>
      <c r="F86" s="1038"/>
      <c r="G86" s="1038"/>
      <c r="H86" s="1038"/>
    </row>
    <row r="87" spans="2:11" s="4" customFormat="1" x14ac:dyDescent="0.25">
      <c r="D87" s="1023"/>
      <c r="E87" s="1023"/>
    </row>
    <row r="88" spans="2:11" s="4" customFormat="1" x14ac:dyDescent="0.25">
      <c r="D88" s="1023"/>
      <c r="E88" s="1023"/>
    </row>
    <row r="89" spans="2:11" s="4" customFormat="1" x14ac:dyDescent="0.25">
      <c r="D89" s="1023"/>
      <c r="E89" s="1023"/>
    </row>
    <row r="90" spans="2:11" s="4" customFormat="1" x14ac:dyDescent="0.25">
      <c r="D90" s="1023"/>
      <c r="E90" s="1023"/>
    </row>
    <row r="91" spans="2:11" s="4" customFormat="1" x14ac:dyDescent="0.25">
      <c r="D91" s="1023"/>
      <c r="E91" s="1023"/>
    </row>
    <row r="92" spans="2:11" s="4" customFormat="1" x14ac:dyDescent="0.25">
      <c r="D92" s="1023"/>
      <c r="E92" s="1023"/>
    </row>
    <row r="93" spans="2:11" s="4" customFormat="1" x14ac:dyDescent="0.25">
      <c r="D93" s="1023"/>
      <c r="E93" s="1023"/>
    </row>
    <row r="94" spans="2:11" s="4" customFormat="1" x14ac:dyDescent="0.25">
      <c r="D94" s="1023"/>
      <c r="E94" s="1023"/>
    </row>
    <row r="95" spans="2:11" s="4" customFormat="1" x14ac:dyDescent="0.25">
      <c r="D95" s="1023"/>
      <c r="E95" s="1023"/>
    </row>
    <row r="96" spans="2:11" s="4" customFormat="1" x14ac:dyDescent="0.25">
      <c r="D96" s="1023"/>
      <c r="E96" s="1023"/>
    </row>
    <row r="97" spans="1:12" s="4" customFormat="1" x14ac:dyDescent="0.25">
      <c r="D97" s="1023"/>
      <c r="E97" s="1023"/>
    </row>
    <row r="98" spans="1:12" s="4" customFormat="1" x14ac:dyDescent="0.25">
      <c r="D98" s="1023"/>
      <c r="E98" s="1023"/>
    </row>
    <row r="99" spans="1:12" s="4" customFormat="1" x14ac:dyDescent="0.25">
      <c r="D99" s="1023"/>
      <c r="E99" s="1023"/>
    </row>
    <row r="100" spans="1:12" s="4" customFormat="1" x14ac:dyDescent="0.25">
      <c r="D100" s="1023"/>
      <c r="E100" s="1023"/>
    </row>
    <row r="101" spans="1:12" s="4" customFormat="1" x14ac:dyDescent="0.25">
      <c r="D101" s="1023"/>
      <c r="E101" s="1023"/>
      <c r="L101" s="3"/>
    </row>
    <row r="102" spans="1:12" s="4" customFormat="1" x14ac:dyDescent="0.25">
      <c r="A102" s="1844" t="str">
        <f>+A52</f>
        <v>Solución Adicional</v>
      </c>
      <c r="B102" s="1845"/>
      <c r="C102" s="1845"/>
      <c r="D102" s="1845"/>
      <c r="E102" s="1845"/>
      <c r="F102" s="1845"/>
      <c r="G102" s="1845"/>
      <c r="H102" s="1845"/>
      <c r="I102" s="1845"/>
      <c r="J102" s="1845"/>
      <c r="K102" s="1845"/>
      <c r="L102" s="1846"/>
    </row>
    <row r="103" spans="1:12" s="4" customFormat="1" x14ac:dyDescent="0.25">
      <c r="A103" s="1847" t="s">
        <v>2260</v>
      </c>
      <c r="B103" s="1848"/>
      <c r="C103" s="1848"/>
      <c r="D103" s="1848"/>
      <c r="E103" s="1848"/>
      <c r="F103" s="1848"/>
      <c r="G103" s="1848"/>
      <c r="H103" s="1848"/>
      <c r="I103" s="1848"/>
      <c r="J103" s="1848"/>
      <c r="K103" s="1848"/>
      <c r="L103" s="1849"/>
    </row>
    <row r="104" spans="1:12" s="4" customFormat="1" x14ac:dyDescent="0.25">
      <c r="D104" s="1023"/>
      <c r="E104" s="1023"/>
    </row>
    <row r="105" spans="1:12" s="4" customFormat="1" x14ac:dyDescent="0.25">
      <c r="B105" s="1397" t="s">
        <v>1376</v>
      </c>
      <c r="C105" s="1989" t="s">
        <v>1375</v>
      </c>
      <c r="D105" s="1989"/>
      <c r="E105" s="1958" t="s">
        <v>975</v>
      </c>
      <c r="F105" s="1958"/>
      <c r="G105" s="1948" t="s">
        <v>394</v>
      </c>
      <c r="H105" s="1948"/>
      <c r="I105" s="1948"/>
    </row>
    <row r="106" spans="1:12" s="4" customFormat="1" x14ac:dyDescent="0.25">
      <c r="B106" s="1406">
        <v>1</v>
      </c>
      <c r="C106" s="1985" t="s">
        <v>1369</v>
      </c>
      <c r="D106" s="1986"/>
      <c r="E106" s="1946">
        <v>5000</v>
      </c>
      <c r="F106" s="1947"/>
      <c r="G106" s="1949" t="s">
        <v>397</v>
      </c>
      <c r="H106" s="1950"/>
      <c r="I106" s="1951"/>
    </row>
    <row r="107" spans="1:12" s="4" customFormat="1" ht="15" customHeight="1" x14ac:dyDescent="0.25">
      <c r="B107" s="1407">
        <v>2</v>
      </c>
      <c r="C107" s="1985" t="s">
        <v>1368</v>
      </c>
      <c r="D107" s="1986"/>
      <c r="E107" s="1946">
        <v>7000</v>
      </c>
      <c r="F107" s="1947"/>
      <c r="G107" s="1949" t="s">
        <v>19</v>
      </c>
      <c r="H107" s="1950"/>
      <c r="I107" s="1951"/>
    </row>
    <row r="108" spans="1:12" s="4" customFormat="1" ht="15" customHeight="1" x14ac:dyDescent="0.25">
      <c r="B108" s="1407">
        <v>3</v>
      </c>
      <c r="C108" s="1985" t="s">
        <v>1367</v>
      </c>
      <c r="D108" s="1986"/>
      <c r="E108" s="1946">
        <v>9000</v>
      </c>
      <c r="F108" s="1947"/>
      <c r="G108" s="1949" t="s">
        <v>404</v>
      </c>
      <c r="H108" s="1950"/>
      <c r="I108" s="1951"/>
    </row>
    <row r="109" spans="1:12" s="4" customFormat="1" ht="15" customHeight="1" x14ac:dyDescent="0.25">
      <c r="B109" s="1407">
        <v>4</v>
      </c>
      <c r="C109" s="1985" t="s">
        <v>1366</v>
      </c>
      <c r="D109" s="1986"/>
      <c r="E109" s="1946">
        <v>2000</v>
      </c>
      <c r="F109" s="1947"/>
      <c r="G109" s="1949" t="s">
        <v>403</v>
      </c>
      <c r="H109" s="1950"/>
      <c r="I109" s="1951"/>
    </row>
    <row r="110" spans="1:12" s="4" customFormat="1" ht="15" customHeight="1" x14ac:dyDescent="0.25">
      <c r="B110" s="1407">
        <v>5</v>
      </c>
      <c r="C110" s="1985" t="s">
        <v>1365</v>
      </c>
      <c r="D110" s="1986"/>
      <c r="E110" s="1946">
        <v>3000</v>
      </c>
      <c r="F110" s="1947"/>
      <c r="G110" s="1949" t="s">
        <v>407</v>
      </c>
      <c r="H110" s="1950"/>
      <c r="I110" s="1951"/>
    </row>
    <row r="111" spans="1:12" s="4" customFormat="1" ht="15" customHeight="1" x14ac:dyDescent="0.25">
      <c r="B111" s="1407">
        <v>6</v>
      </c>
      <c r="C111" s="1985" t="s">
        <v>1364</v>
      </c>
      <c r="D111" s="1986"/>
      <c r="E111" s="1946">
        <v>3000</v>
      </c>
      <c r="F111" s="1947"/>
      <c r="G111" s="1949" t="s">
        <v>403</v>
      </c>
      <c r="H111" s="1950"/>
      <c r="I111" s="1951"/>
    </row>
    <row r="112" spans="1:12" s="4" customFormat="1" ht="15" customHeight="1" x14ac:dyDescent="0.25">
      <c r="B112" s="1407">
        <v>7</v>
      </c>
      <c r="C112" s="1985" t="s">
        <v>1363</v>
      </c>
      <c r="D112" s="1986"/>
      <c r="E112" s="1946">
        <v>1000</v>
      </c>
      <c r="F112" s="1947"/>
      <c r="G112" s="1949" t="s">
        <v>404</v>
      </c>
      <c r="H112" s="1950"/>
      <c r="I112" s="1951"/>
    </row>
    <row r="113" spans="2:9" s="4" customFormat="1" ht="15" customHeight="1" x14ac:dyDescent="0.25">
      <c r="B113" s="1407">
        <v>8</v>
      </c>
      <c r="C113" s="1985" t="s">
        <v>2110</v>
      </c>
      <c r="D113" s="1986"/>
      <c r="E113" s="1946">
        <v>26000</v>
      </c>
      <c r="F113" s="1947"/>
      <c r="G113" s="1949" t="s">
        <v>1303</v>
      </c>
      <c r="H113" s="1950"/>
      <c r="I113" s="1951"/>
    </row>
    <row r="114" spans="2:9" s="4" customFormat="1" ht="15" customHeight="1" x14ac:dyDescent="0.25">
      <c r="B114" s="1407">
        <v>9</v>
      </c>
      <c r="C114" s="1985" t="s">
        <v>1362</v>
      </c>
      <c r="D114" s="1986"/>
      <c r="E114" s="1946">
        <v>9000</v>
      </c>
      <c r="F114" s="1947"/>
      <c r="G114" s="1949" t="s">
        <v>19</v>
      </c>
      <c r="H114" s="1950"/>
      <c r="I114" s="1951"/>
    </row>
    <row r="115" spans="2:9" s="4" customFormat="1" ht="15" customHeight="1" x14ac:dyDescent="0.25">
      <c r="B115" s="1407">
        <v>10</v>
      </c>
      <c r="C115" s="1985" t="s">
        <v>1361</v>
      </c>
      <c r="D115" s="1986"/>
      <c r="E115" s="1946">
        <v>1000</v>
      </c>
      <c r="F115" s="1947"/>
      <c r="G115" s="1949" t="s">
        <v>19</v>
      </c>
      <c r="H115" s="1950"/>
      <c r="I115" s="1951"/>
    </row>
    <row r="116" spans="2:9" s="4" customFormat="1" x14ac:dyDescent="0.25">
      <c r="B116" s="1407">
        <v>11</v>
      </c>
      <c r="C116" s="1985" t="s">
        <v>2109</v>
      </c>
      <c r="D116" s="1986"/>
      <c r="E116" s="1946">
        <v>5000</v>
      </c>
      <c r="F116" s="1947"/>
      <c r="G116" s="1949" t="s">
        <v>1092</v>
      </c>
      <c r="H116" s="1950"/>
      <c r="I116" s="1951"/>
    </row>
    <row r="117" spans="2:9" s="4" customFormat="1" ht="15" customHeight="1" x14ac:dyDescent="0.25">
      <c r="B117" s="1407">
        <v>12</v>
      </c>
      <c r="C117" s="1985" t="s">
        <v>1360</v>
      </c>
      <c r="D117" s="1986"/>
      <c r="E117" s="1946">
        <v>11000</v>
      </c>
      <c r="F117" s="1947"/>
      <c r="G117" s="1949" t="s">
        <v>1055</v>
      </c>
      <c r="H117" s="1950"/>
      <c r="I117" s="1951"/>
    </row>
    <row r="118" spans="2:9" s="4" customFormat="1" x14ac:dyDescent="0.25">
      <c r="B118" s="1407">
        <v>13</v>
      </c>
      <c r="C118" s="1985" t="s">
        <v>1359</v>
      </c>
      <c r="D118" s="1986"/>
      <c r="E118" s="1946">
        <v>9000</v>
      </c>
      <c r="F118" s="1947"/>
      <c r="G118" s="1949" t="s">
        <v>53</v>
      </c>
      <c r="H118" s="1950"/>
      <c r="I118" s="1951"/>
    </row>
    <row r="119" spans="2:9" s="4" customFormat="1" x14ac:dyDescent="0.25">
      <c r="B119" s="1407">
        <v>14</v>
      </c>
      <c r="C119" s="1985" t="s">
        <v>1358</v>
      </c>
      <c r="D119" s="1986"/>
      <c r="E119" s="1946">
        <v>1000</v>
      </c>
      <c r="F119" s="1947"/>
      <c r="G119" s="1949" t="s">
        <v>1531</v>
      </c>
      <c r="H119" s="1950"/>
      <c r="I119" s="1951"/>
    </row>
    <row r="120" spans="2:9" s="4" customFormat="1" x14ac:dyDescent="0.25">
      <c r="B120" s="1407">
        <v>15</v>
      </c>
      <c r="C120" s="1985" t="s">
        <v>1357</v>
      </c>
      <c r="D120" s="1986"/>
      <c r="E120" s="1946">
        <v>2000</v>
      </c>
      <c r="F120" s="1947"/>
      <c r="G120" s="1949" t="s">
        <v>1531</v>
      </c>
      <c r="H120" s="1950"/>
      <c r="I120" s="1951"/>
    </row>
    <row r="121" spans="2:9" s="4" customFormat="1" x14ac:dyDescent="0.25">
      <c r="B121" s="1407">
        <v>16</v>
      </c>
      <c r="C121" s="1985" t="s">
        <v>1356</v>
      </c>
      <c r="D121" s="1986"/>
      <c r="E121" s="1946">
        <v>8000</v>
      </c>
      <c r="F121" s="1947"/>
      <c r="G121" s="1949" t="s">
        <v>19</v>
      </c>
      <c r="H121" s="1950"/>
      <c r="I121" s="1951"/>
    </row>
    <row r="122" spans="2:9" s="4" customFormat="1" x14ac:dyDescent="0.25">
      <c r="B122" s="1407">
        <f t="shared" ref="B122:B131" si="0">+B121+1</f>
        <v>17</v>
      </c>
      <c r="C122" s="1985" t="s">
        <v>552</v>
      </c>
      <c r="D122" s="1986"/>
      <c r="E122" s="1946">
        <v>4000</v>
      </c>
      <c r="F122" s="1947"/>
      <c r="G122" s="1949" t="s">
        <v>2249</v>
      </c>
      <c r="H122" s="1950"/>
      <c r="I122" s="1951"/>
    </row>
    <row r="123" spans="2:9" s="4" customFormat="1" x14ac:dyDescent="0.25">
      <c r="B123" s="1407">
        <f t="shared" si="0"/>
        <v>18</v>
      </c>
      <c r="C123" s="1985" t="s">
        <v>1355</v>
      </c>
      <c r="D123" s="1986"/>
      <c r="E123" s="1946">
        <v>1000</v>
      </c>
      <c r="F123" s="1947"/>
      <c r="G123" s="1949" t="s">
        <v>407</v>
      </c>
      <c r="H123" s="1950"/>
      <c r="I123" s="1951"/>
    </row>
    <row r="124" spans="2:9" s="4" customFormat="1" x14ac:dyDescent="0.25">
      <c r="B124" s="1407">
        <f t="shared" si="0"/>
        <v>19</v>
      </c>
      <c r="C124" s="1985" t="s">
        <v>1354</v>
      </c>
      <c r="D124" s="1986"/>
      <c r="E124" s="1946">
        <v>7000</v>
      </c>
      <c r="F124" s="1947"/>
      <c r="G124" s="1949" t="s">
        <v>2250</v>
      </c>
      <c r="H124" s="1950"/>
      <c r="I124" s="1951"/>
    </row>
    <row r="125" spans="2:9" s="4" customFormat="1" x14ac:dyDescent="0.25">
      <c r="B125" s="1407">
        <f t="shared" si="0"/>
        <v>20</v>
      </c>
      <c r="C125" s="1985" t="s">
        <v>1353</v>
      </c>
      <c r="D125" s="1986"/>
      <c r="E125" s="1946">
        <v>14000</v>
      </c>
      <c r="F125" s="1947"/>
      <c r="G125" s="1949" t="s">
        <v>2249</v>
      </c>
      <c r="H125" s="1950"/>
      <c r="I125" s="1951"/>
    </row>
    <row r="126" spans="2:9" s="4" customFormat="1" x14ac:dyDescent="0.25">
      <c r="B126" s="1407">
        <f t="shared" si="0"/>
        <v>21</v>
      </c>
      <c r="C126" s="1985" t="s">
        <v>1352</v>
      </c>
      <c r="D126" s="1986"/>
      <c r="E126" s="1946">
        <v>8000</v>
      </c>
      <c r="F126" s="1947"/>
      <c r="G126" s="1949" t="s">
        <v>53</v>
      </c>
      <c r="H126" s="1950"/>
      <c r="I126" s="1951"/>
    </row>
    <row r="127" spans="2:9" s="4" customFormat="1" x14ac:dyDescent="0.25">
      <c r="B127" s="1407">
        <f t="shared" si="0"/>
        <v>22</v>
      </c>
      <c r="C127" s="1985" t="s">
        <v>1351</v>
      </c>
      <c r="D127" s="1986"/>
      <c r="E127" s="1946">
        <v>2000</v>
      </c>
      <c r="F127" s="1947"/>
      <c r="G127" s="1949" t="s">
        <v>398</v>
      </c>
      <c r="H127" s="1950"/>
      <c r="I127" s="1951"/>
    </row>
    <row r="128" spans="2:9" s="4" customFormat="1" x14ac:dyDescent="0.25">
      <c r="B128" s="1407">
        <f t="shared" si="0"/>
        <v>23</v>
      </c>
      <c r="C128" s="1985" t="s">
        <v>1350</v>
      </c>
      <c r="D128" s="1986"/>
      <c r="E128" s="1946">
        <v>3000</v>
      </c>
      <c r="F128" s="1947"/>
      <c r="G128" s="1949" t="s">
        <v>19</v>
      </c>
      <c r="H128" s="1950"/>
      <c r="I128" s="1951"/>
    </row>
    <row r="129" spans="2:11" s="4" customFormat="1" x14ac:dyDescent="0.25">
      <c r="B129" s="1407">
        <f t="shared" si="0"/>
        <v>24</v>
      </c>
      <c r="C129" s="1985" t="s">
        <v>1349</v>
      </c>
      <c r="D129" s="1986"/>
      <c r="E129" s="1946">
        <v>4000</v>
      </c>
      <c r="F129" s="1947"/>
      <c r="G129" s="1949" t="s">
        <v>404</v>
      </c>
      <c r="H129" s="1950"/>
      <c r="I129" s="1951"/>
    </row>
    <row r="130" spans="2:11" s="4" customFormat="1" x14ac:dyDescent="0.25">
      <c r="B130" s="1407">
        <f t="shared" si="0"/>
        <v>25</v>
      </c>
      <c r="C130" s="1985" t="s">
        <v>1348</v>
      </c>
      <c r="D130" s="1986"/>
      <c r="E130" s="1946">
        <v>3000</v>
      </c>
      <c r="F130" s="1947"/>
      <c r="G130" s="1949" t="s">
        <v>400</v>
      </c>
      <c r="H130" s="1950"/>
      <c r="I130" s="1951"/>
    </row>
    <row r="131" spans="2:11" s="4" customFormat="1" x14ac:dyDescent="0.25">
      <c r="B131" s="1398">
        <f t="shared" si="0"/>
        <v>26</v>
      </c>
      <c r="C131" s="1987" t="s">
        <v>1347</v>
      </c>
      <c r="D131" s="1988"/>
      <c r="E131" s="1990">
        <v>6000</v>
      </c>
      <c r="F131" s="1991"/>
      <c r="G131" s="1982" t="s">
        <v>2251</v>
      </c>
      <c r="H131" s="1983"/>
      <c r="I131" s="1984"/>
    </row>
    <row r="132" spans="2:11" s="4" customFormat="1" x14ac:dyDescent="0.25">
      <c r="D132" s="1023"/>
      <c r="E132" s="1023"/>
    </row>
    <row r="133" spans="2:11" s="4" customFormat="1" x14ac:dyDescent="0.25">
      <c r="C133" s="1401" t="s">
        <v>397</v>
      </c>
      <c r="D133" s="1887">
        <f ca="1">+SUMIF($G$106:$I$131,C133,$E$106:$F$131)</f>
        <v>5000</v>
      </c>
      <c r="E133" s="1888"/>
      <c r="F133" s="1402" t="s">
        <v>404</v>
      </c>
      <c r="G133" s="1"/>
      <c r="H133" s="1"/>
      <c r="I133" s="1"/>
      <c r="J133" s="1887">
        <f ca="1">+SUMIF($G$106:$I$131,F133,$E$106:$F$131)</f>
        <v>14000</v>
      </c>
      <c r="K133" s="1888"/>
    </row>
    <row r="134" spans="2:11" s="4" customFormat="1" x14ac:dyDescent="0.25">
      <c r="C134" s="1403" t="s">
        <v>403</v>
      </c>
      <c r="D134" s="1889">
        <f t="shared" ref="D134:D136" ca="1" si="1">+SUMIF($G$106:$I$131,C134,$E$106:$F$131)</f>
        <v>5000</v>
      </c>
      <c r="E134" s="1890"/>
      <c r="F134" s="1399" t="s">
        <v>1531</v>
      </c>
      <c r="J134" s="1897">
        <f t="shared" ref="J134:J135" ca="1" si="2">+SUMIF($G$106:$I$131,F134,$E$106:$F$131)</f>
        <v>3000</v>
      </c>
      <c r="K134" s="1890"/>
    </row>
    <row r="135" spans="2:11" s="4" customFormat="1" x14ac:dyDescent="0.25">
      <c r="C135" s="1403" t="s">
        <v>407</v>
      </c>
      <c r="D135" s="1889">
        <f t="shared" ca="1" si="1"/>
        <v>4000</v>
      </c>
      <c r="E135" s="1890"/>
      <c r="F135" s="1404" t="s">
        <v>2252</v>
      </c>
      <c r="J135" s="1889">
        <f t="shared" ca="1" si="2"/>
        <v>0</v>
      </c>
      <c r="K135" s="1890"/>
    </row>
    <row r="136" spans="2:11" s="4" customFormat="1" x14ac:dyDescent="0.25">
      <c r="C136" s="1403" t="s">
        <v>19</v>
      </c>
      <c r="D136" s="1889">
        <f t="shared" ca="1" si="1"/>
        <v>28000</v>
      </c>
      <c r="E136" s="1890"/>
      <c r="F136" s="1413" t="s">
        <v>2253</v>
      </c>
      <c r="G136" s="1411"/>
      <c r="H136" s="1411"/>
      <c r="I136" s="1411"/>
      <c r="J136" s="1898">
        <f ca="1">SUM(J133:J135)</f>
        <v>17000</v>
      </c>
      <c r="K136" s="1899"/>
    </row>
    <row r="137" spans="2:11" s="4" customFormat="1" x14ac:dyDescent="0.25">
      <c r="C137" s="1405" t="s">
        <v>2254</v>
      </c>
      <c r="D137" s="1898">
        <f ca="1">SUM(D133:D136)</f>
        <v>42000</v>
      </c>
      <c r="E137" s="1899"/>
      <c r="F137" s="1399" t="s">
        <v>1303</v>
      </c>
      <c r="J137" s="1900">
        <f t="shared" ref="J137:J138" ca="1" si="3">+SUMIF($G$106:$I$131,F137,$E$106:$F$131)</f>
        <v>26000</v>
      </c>
      <c r="K137" s="1901"/>
    </row>
    <row r="138" spans="2:11" s="4" customFormat="1" x14ac:dyDescent="0.25">
      <c r="C138" s="1403" t="s">
        <v>53</v>
      </c>
      <c r="D138" s="1889">
        <f t="shared" ref="D138:D140" ca="1" si="4">+SUMIF($G$106:$I$131,C138,$E$106:$F$131)</f>
        <v>17000</v>
      </c>
      <c r="E138" s="1890"/>
      <c r="F138" s="1399" t="s">
        <v>1092</v>
      </c>
      <c r="J138" s="1902">
        <f t="shared" ca="1" si="3"/>
        <v>5000</v>
      </c>
      <c r="K138" s="1903"/>
    </row>
    <row r="139" spans="2:11" s="4" customFormat="1" x14ac:dyDescent="0.25">
      <c r="C139" s="1403" t="s">
        <v>2251</v>
      </c>
      <c r="D139" s="1889">
        <f t="shared" ca="1" si="4"/>
        <v>6000</v>
      </c>
      <c r="E139" s="1890"/>
      <c r="F139" s="1413" t="s">
        <v>2255</v>
      </c>
      <c r="G139" s="1411"/>
      <c r="H139" s="1411"/>
      <c r="I139" s="1411"/>
      <c r="J139" s="1898">
        <f ca="1">SUM(J137:J138)</f>
        <v>31000</v>
      </c>
      <c r="K139" s="1899"/>
    </row>
    <row r="140" spans="2:11" s="4" customFormat="1" x14ac:dyDescent="0.25">
      <c r="C140" s="1403" t="s">
        <v>2250</v>
      </c>
      <c r="D140" s="1889">
        <f t="shared" ca="1" si="4"/>
        <v>7000</v>
      </c>
      <c r="E140" s="1890"/>
      <c r="F140" s="1412" t="s">
        <v>2256</v>
      </c>
      <c r="G140" s="1111"/>
      <c r="H140" s="1111"/>
      <c r="I140" s="1111"/>
      <c r="J140" s="1906">
        <f ca="1">+J136+J139</f>
        <v>48000</v>
      </c>
      <c r="K140" s="1907"/>
    </row>
    <row r="141" spans="2:11" s="4" customFormat="1" x14ac:dyDescent="0.25">
      <c r="C141" s="1405" t="s">
        <v>2257</v>
      </c>
      <c r="D141" s="1898">
        <f ca="1">SUM(D138:D140)</f>
        <v>30000</v>
      </c>
      <c r="E141" s="1899"/>
      <c r="F141" s="1400" t="s">
        <v>2258</v>
      </c>
      <c r="G141" s="1096"/>
      <c r="H141" s="1096"/>
      <c r="I141" s="1096"/>
      <c r="J141" s="1908">
        <f>+D148+E122+E125</f>
        <v>24000</v>
      </c>
      <c r="K141" s="1909"/>
    </row>
    <row r="142" spans="2:11" s="4" customFormat="1" x14ac:dyDescent="0.25">
      <c r="C142" s="1414" t="s">
        <v>2043</v>
      </c>
      <c r="D142" s="1895">
        <f ca="1">+D141+D137</f>
        <v>72000</v>
      </c>
      <c r="E142" s="1896"/>
      <c r="F142" s="1415" t="s">
        <v>2259</v>
      </c>
      <c r="G142" s="1416"/>
      <c r="H142" s="1416"/>
      <c r="I142" s="1416"/>
      <c r="J142" s="1895">
        <f ca="1">+J140+J141</f>
        <v>72000</v>
      </c>
      <c r="K142" s="1896"/>
    </row>
    <row r="143" spans="2:11" s="4" customFormat="1" x14ac:dyDescent="0.25">
      <c r="D143" s="1889"/>
      <c r="E143" s="1889"/>
    </row>
    <row r="144" spans="2:11" s="4" customFormat="1" x14ac:dyDescent="0.25">
      <c r="C144" s="1236" t="s">
        <v>1055</v>
      </c>
      <c r="D144" s="1904">
        <f>+E117</f>
        <v>11000</v>
      </c>
      <c r="E144" s="1905"/>
    </row>
    <row r="145" spans="1:12" s="4" customFormat="1" x14ac:dyDescent="0.25">
      <c r="C145" s="1234" t="s">
        <v>400</v>
      </c>
      <c r="D145" s="1893">
        <f>-E130</f>
        <v>-3000</v>
      </c>
      <c r="E145" s="1894"/>
    </row>
    <row r="146" spans="1:12" s="4" customFormat="1" x14ac:dyDescent="0.25">
      <c r="C146" s="1408" t="s">
        <v>414</v>
      </c>
      <c r="D146" s="1891">
        <f>+D144+D145</f>
        <v>8000</v>
      </c>
      <c r="E146" s="1892"/>
    </row>
    <row r="147" spans="1:12" s="4" customFormat="1" x14ac:dyDescent="0.25">
      <c r="C147" s="1234" t="s">
        <v>398</v>
      </c>
      <c r="D147" s="1893">
        <f>-E127</f>
        <v>-2000</v>
      </c>
      <c r="E147" s="1894"/>
    </row>
    <row r="148" spans="1:12" s="4" customFormat="1" x14ac:dyDescent="0.25">
      <c r="C148" s="1408" t="s">
        <v>421</v>
      </c>
      <c r="D148" s="1891">
        <f>+D146+D147</f>
        <v>6000</v>
      </c>
      <c r="E148" s="1892"/>
    </row>
    <row r="149" spans="1:12" s="4" customFormat="1" x14ac:dyDescent="0.25">
      <c r="C149" s="1409"/>
      <c r="D149" s="1410"/>
      <c r="E149" s="1410"/>
    </row>
    <row r="150" spans="1:12" s="4" customFormat="1" x14ac:dyDescent="0.25">
      <c r="C150" s="1409"/>
      <c r="D150" s="1410"/>
      <c r="E150" s="1410"/>
    </row>
    <row r="151" spans="1:12" s="4" customFormat="1" x14ac:dyDescent="0.25">
      <c r="D151" s="1023"/>
      <c r="E151" s="1023"/>
      <c r="L151" s="3"/>
    </row>
    <row r="152" spans="1:12" s="4" customFormat="1" x14ac:dyDescent="0.25">
      <c r="A152" s="1844" t="str">
        <f>+A52</f>
        <v>Solución Adicional</v>
      </c>
      <c r="B152" s="1845"/>
      <c r="C152" s="1845"/>
      <c r="D152" s="1845"/>
      <c r="E152" s="1845"/>
      <c r="F152" s="1845"/>
      <c r="G152" s="1845"/>
      <c r="H152" s="1845"/>
      <c r="I152" s="1845"/>
      <c r="J152" s="1845"/>
      <c r="K152" s="1845"/>
      <c r="L152" s="1846"/>
    </row>
    <row r="153" spans="1:12" s="4" customFormat="1" x14ac:dyDescent="0.25">
      <c r="A153" s="1847" t="s">
        <v>2246</v>
      </c>
      <c r="B153" s="1848"/>
      <c r="C153" s="1848"/>
      <c r="D153" s="1848"/>
      <c r="E153" s="1848"/>
      <c r="F153" s="1848"/>
      <c r="G153" s="1848"/>
      <c r="H153" s="1848"/>
      <c r="I153" s="1848"/>
      <c r="J153" s="1848"/>
      <c r="K153" s="1848"/>
      <c r="L153" s="1849"/>
    </row>
    <row r="154" spans="1:12" s="4" customFormat="1" x14ac:dyDescent="0.25">
      <c r="D154" s="1023"/>
      <c r="E154" s="1023"/>
    </row>
    <row r="155" spans="1:12" s="4" customFormat="1" x14ac:dyDescent="0.25">
      <c r="B155" s="439" t="s">
        <v>307</v>
      </c>
      <c r="C155" s="21" t="s">
        <v>2244</v>
      </c>
      <c r="D155" s="1023"/>
      <c r="E155" s="1023"/>
    </row>
    <row r="156" spans="1:12" s="4" customFormat="1" x14ac:dyDescent="0.25">
      <c r="D156" s="1023"/>
      <c r="E156" s="1023"/>
    </row>
    <row r="157" spans="1:12" s="4" customFormat="1" x14ac:dyDescent="0.25">
      <c r="C157" s="1388"/>
      <c r="D157" s="1952" t="s">
        <v>1544</v>
      </c>
      <c r="E157" s="1952"/>
      <c r="F157" s="1952" t="s">
        <v>10</v>
      </c>
      <c r="G157" s="1952"/>
      <c r="H157" s="337"/>
      <c r="I157" s="337"/>
      <c r="J157" s="337"/>
    </row>
    <row r="158" spans="1:12" s="4" customFormat="1" x14ac:dyDescent="0.25">
      <c r="C158" s="1387" t="s">
        <v>2228</v>
      </c>
      <c r="D158" s="1953"/>
      <c r="E158" s="1954"/>
      <c r="F158" s="1953"/>
      <c r="G158" s="1954"/>
    </row>
    <row r="159" spans="1:12" s="4" customFormat="1" x14ac:dyDescent="0.25">
      <c r="C159" s="1385" t="s">
        <v>2229</v>
      </c>
      <c r="D159" s="1953">
        <v>400000</v>
      </c>
      <c r="E159" s="1954"/>
      <c r="F159" s="1953">
        <v>100000</v>
      </c>
      <c r="G159" s="1954"/>
    </row>
    <row r="160" spans="1:12" s="4" customFormat="1" x14ac:dyDescent="0.25">
      <c r="C160" s="1385" t="s">
        <v>2247</v>
      </c>
      <c r="D160" s="1953">
        <f>+D173</f>
        <v>525000</v>
      </c>
      <c r="E160" s="1954"/>
      <c r="F160" s="1953"/>
      <c r="G160" s="1954"/>
    </row>
    <row r="161" spans="2:10" s="4" customFormat="1" x14ac:dyDescent="0.25">
      <c r="C161" s="1383" t="s">
        <v>2232</v>
      </c>
      <c r="D161" s="1963"/>
      <c r="E161" s="1964"/>
      <c r="F161" s="1963"/>
      <c r="G161" s="1964"/>
      <c r="H161" s="351"/>
      <c r="I161" s="1382"/>
      <c r="J161" s="337"/>
    </row>
    <row r="162" spans="2:10" s="4" customFormat="1" x14ac:dyDescent="0.25">
      <c r="C162" s="1385" t="s">
        <v>2233</v>
      </c>
      <c r="D162" s="1953">
        <v>140000</v>
      </c>
      <c r="E162" s="1954"/>
      <c r="F162" s="1953"/>
      <c r="G162" s="1954"/>
      <c r="H162" s="351"/>
      <c r="I162" s="1382"/>
      <c r="J162" s="337"/>
    </row>
    <row r="163" spans="2:10" s="4" customFormat="1" x14ac:dyDescent="0.25">
      <c r="C163" s="1386" t="s">
        <v>2234</v>
      </c>
      <c r="D163" s="1956"/>
      <c r="E163" s="1957"/>
      <c r="F163" s="1956">
        <f>+D173*0.1</f>
        <v>52500</v>
      </c>
      <c r="G163" s="1957"/>
      <c r="H163" s="337"/>
      <c r="I163" s="1381"/>
      <c r="J163" s="337"/>
    </row>
    <row r="164" spans="2:10" s="4" customFormat="1" x14ac:dyDescent="0.25">
      <c r="C164" s="1390" t="s">
        <v>2235</v>
      </c>
      <c r="D164" s="1960">
        <f>+D159+D160-D162-D163</f>
        <v>785000</v>
      </c>
      <c r="E164" s="1961"/>
      <c r="F164" s="1960">
        <f>+F159+F160-F162-F163</f>
        <v>47500</v>
      </c>
      <c r="G164" s="1961"/>
      <c r="H164" s="337"/>
      <c r="I164" s="1381"/>
      <c r="J164" s="337"/>
    </row>
    <row r="165" spans="2:10" s="4" customFormat="1" x14ac:dyDescent="0.25">
      <c r="C165" s="1389"/>
      <c r="D165" s="1331"/>
      <c r="E165" s="1331"/>
      <c r="F165" s="1331"/>
      <c r="G165" s="1331"/>
      <c r="H165" s="337"/>
      <c r="I165" s="1381"/>
      <c r="J165" s="337"/>
    </row>
    <row r="166" spans="2:10" s="4" customFormat="1" x14ac:dyDescent="0.25">
      <c r="C166" s="1389"/>
      <c r="D166" s="1420"/>
      <c r="E166" s="1420"/>
      <c r="F166" s="1420"/>
      <c r="G166" s="1420"/>
      <c r="H166" s="337"/>
      <c r="I166" s="1381"/>
      <c r="J166" s="337"/>
    </row>
    <row r="167" spans="2:10" s="4" customFormat="1" x14ac:dyDescent="0.25">
      <c r="C167" s="1389"/>
      <c r="D167" s="1420"/>
      <c r="E167" s="1420"/>
      <c r="F167" s="1420"/>
      <c r="G167" s="1420"/>
      <c r="H167" s="337"/>
      <c r="I167" s="1381"/>
      <c r="J167" s="337"/>
    </row>
    <row r="168" spans="2:10" s="4" customFormat="1" x14ac:dyDescent="0.25">
      <c r="C168" s="1389"/>
      <c r="D168" s="1420"/>
      <c r="E168" s="1420"/>
      <c r="F168" s="1420"/>
      <c r="G168" s="1420"/>
      <c r="H168" s="337"/>
      <c r="I168" s="1381"/>
      <c r="J168" s="337"/>
    </row>
    <row r="169" spans="2:10" s="4" customFormat="1" x14ac:dyDescent="0.25">
      <c r="C169" s="1389"/>
      <c r="D169" s="1420"/>
      <c r="E169" s="1420"/>
      <c r="F169" s="1420"/>
      <c r="G169" s="1420"/>
      <c r="H169" s="337"/>
      <c r="I169" s="1381"/>
      <c r="J169" s="337"/>
    </row>
    <row r="170" spans="2:10" s="4" customFormat="1" x14ac:dyDescent="0.25">
      <c r="C170" s="1389"/>
      <c r="D170" s="1420"/>
      <c r="E170" s="1420"/>
      <c r="F170" s="1420"/>
      <c r="G170" s="1420"/>
      <c r="H170" s="337"/>
      <c r="I170" s="1381"/>
      <c r="J170" s="337"/>
    </row>
    <row r="171" spans="2:10" s="4" customFormat="1" x14ac:dyDescent="0.25">
      <c r="B171" s="1391" t="s">
        <v>795</v>
      </c>
      <c r="C171" s="337" t="s">
        <v>2152</v>
      </c>
      <c r="D171" s="1967">
        <f>6000/(1-0.6)</f>
        <v>15000</v>
      </c>
      <c r="E171" s="1967"/>
      <c r="F171" s="1384"/>
      <c r="G171" s="1331"/>
      <c r="H171" s="337"/>
      <c r="I171" s="1381"/>
      <c r="J171" s="337"/>
    </row>
    <row r="172" spans="2:10" s="4" customFormat="1" x14ac:dyDescent="0.25">
      <c r="C172" s="337" t="s">
        <v>2230</v>
      </c>
      <c r="D172" s="1968">
        <f>50*0.7</f>
        <v>35</v>
      </c>
      <c r="E172" s="1968"/>
      <c r="F172" s="1384" t="s">
        <v>2231</v>
      </c>
      <c r="G172" s="1331"/>
      <c r="H172" s="337"/>
      <c r="I172" s="1381"/>
      <c r="J172" s="337"/>
    </row>
    <row r="173" spans="2:10" s="4" customFormat="1" x14ac:dyDescent="0.25">
      <c r="C173" s="337" t="s">
        <v>2239</v>
      </c>
      <c r="D173" s="1981">
        <f>+D171*D172</f>
        <v>525000</v>
      </c>
      <c r="E173" s="1981"/>
      <c r="F173" s="337"/>
      <c r="G173" s="1331"/>
      <c r="H173" s="337"/>
      <c r="I173" s="1381"/>
      <c r="J173" s="337"/>
    </row>
    <row r="174" spans="2:10" s="4" customFormat="1" x14ac:dyDescent="0.25">
      <c r="F174" s="1331"/>
      <c r="G174" s="1331"/>
      <c r="H174" s="337"/>
      <c r="I174" s="1381"/>
      <c r="J174" s="337"/>
    </row>
    <row r="175" spans="2:10" s="4" customFormat="1" x14ac:dyDescent="0.25">
      <c r="C175" s="1392" t="s">
        <v>2242</v>
      </c>
      <c r="D175" s="1965">
        <f>+D164+F164</f>
        <v>832500</v>
      </c>
      <c r="E175" s="1966"/>
      <c r="F175" s="1962"/>
      <c r="G175" s="1962"/>
      <c r="H175" s="337"/>
      <c r="I175" s="1381"/>
      <c r="J175" s="337"/>
    </row>
    <row r="176" spans="2:10" s="4" customFormat="1" x14ac:dyDescent="0.25">
      <c r="C176" s="1393"/>
      <c r="D176" s="1394"/>
      <c r="E176" s="1394"/>
      <c r="F176" s="1331"/>
      <c r="G176" s="1331"/>
      <c r="H176" s="337"/>
      <c r="I176" s="1381"/>
      <c r="J176" s="337"/>
    </row>
    <row r="177" spans="1:10" s="4" customFormat="1" x14ac:dyDescent="0.25">
      <c r="C177" s="337" t="s">
        <v>2240</v>
      </c>
      <c r="D177" s="1967">
        <f>50*6000</f>
        <v>300000</v>
      </c>
      <c r="E177" s="1967"/>
      <c r="F177" s="1384" t="s">
        <v>2236</v>
      </c>
      <c r="G177" s="1331"/>
      <c r="H177" s="337"/>
      <c r="I177" s="1381"/>
      <c r="J177" s="337"/>
    </row>
    <row r="178" spans="1:10" s="4" customFormat="1" x14ac:dyDescent="0.25">
      <c r="C178" s="337" t="s">
        <v>2241</v>
      </c>
      <c r="D178" s="1968">
        <f>+D172*6000</f>
        <v>210000</v>
      </c>
      <c r="E178" s="1968"/>
      <c r="F178" s="1384" t="s">
        <v>2237</v>
      </c>
      <c r="G178" s="1331"/>
      <c r="H178" s="337"/>
      <c r="I178" s="1381"/>
      <c r="J178" s="337"/>
    </row>
    <row r="179" spans="1:10" s="4" customFormat="1" x14ac:dyDescent="0.25">
      <c r="C179" s="337"/>
      <c r="D179" s="337"/>
      <c r="F179" s="337"/>
      <c r="G179" s="337"/>
    </row>
    <row r="180" spans="1:10" s="4" customFormat="1" x14ac:dyDescent="0.25">
      <c r="C180" s="1392" t="s">
        <v>2243</v>
      </c>
      <c r="D180" s="1965">
        <f>+D177-D178</f>
        <v>90000</v>
      </c>
      <c r="E180" s="1966"/>
      <c r="F180" s="337"/>
      <c r="G180" s="337"/>
    </row>
    <row r="181" spans="1:10" s="4" customFormat="1" x14ac:dyDescent="0.25">
      <c r="C181" s="337"/>
      <c r="D181" s="337"/>
      <c r="F181" s="337"/>
      <c r="G181" s="337"/>
      <c r="H181" s="337"/>
      <c r="I181" s="337"/>
      <c r="J181" s="337"/>
    </row>
    <row r="182" spans="1:10" s="4" customFormat="1" x14ac:dyDescent="0.25">
      <c r="A182" s="641"/>
      <c r="B182" s="439" t="s">
        <v>389</v>
      </c>
      <c r="C182" s="21" t="s">
        <v>2245</v>
      </c>
      <c r="D182" s="337"/>
      <c r="F182" s="337"/>
      <c r="G182" s="337"/>
      <c r="H182" s="337"/>
      <c r="I182" s="337"/>
      <c r="J182" s="337"/>
    </row>
    <row r="183" spans="1:10" s="4" customFormat="1" x14ac:dyDescent="0.25">
      <c r="B183" s="439"/>
      <c r="C183" s="21"/>
      <c r="D183" s="337"/>
      <c r="F183" s="337"/>
      <c r="G183" s="337"/>
      <c r="H183" s="337"/>
      <c r="I183" s="337"/>
      <c r="J183" s="337"/>
    </row>
    <row r="184" spans="1:10" s="4" customFormat="1" x14ac:dyDescent="0.25">
      <c r="C184" s="592" t="s">
        <v>3</v>
      </c>
      <c r="D184" s="1973">
        <f>+D173</f>
        <v>525000</v>
      </c>
      <c r="E184" s="1973"/>
      <c r="F184" s="337"/>
      <c r="G184" s="337"/>
      <c r="H184" s="337"/>
      <c r="I184" s="337"/>
      <c r="J184" s="337"/>
    </row>
    <row r="185" spans="1:10" s="4" customFormat="1" x14ac:dyDescent="0.25">
      <c r="C185" s="592" t="s">
        <v>400</v>
      </c>
      <c r="D185" s="1974">
        <f>-D178</f>
        <v>-210000</v>
      </c>
      <c r="E185" s="1974"/>
      <c r="F185" s="337"/>
      <c r="G185" s="337"/>
      <c r="H185" s="337"/>
      <c r="I185" s="337"/>
      <c r="J185" s="337"/>
    </row>
    <row r="186" spans="1:10" s="4" customFormat="1" x14ac:dyDescent="0.25">
      <c r="C186" s="591" t="s">
        <v>414</v>
      </c>
      <c r="D186" s="1975">
        <f>+D184+D185</f>
        <v>315000</v>
      </c>
      <c r="E186" s="1975"/>
      <c r="F186" s="337"/>
      <c r="G186" s="337"/>
      <c r="H186" s="337"/>
      <c r="I186" s="337"/>
    </row>
    <row r="187" spans="1:10" s="4" customFormat="1" x14ac:dyDescent="0.25">
      <c r="C187" s="592" t="s">
        <v>417</v>
      </c>
      <c r="D187" s="1974">
        <f>-(12000+(0.1*D173))</f>
        <v>-64500</v>
      </c>
      <c r="E187" s="1974"/>
      <c r="F187" s="1384" t="s">
        <v>2248</v>
      </c>
      <c r="G187" s="337"/>
      <c r="H187" s="337"/>
      <c r="I187" s="337"/>
    </row>
    <row r="188" spans="1:10" s="4" customFormat="1" x14ac:dyDescent="0.25">
      <c r="C188" s="1344" t="s">
        <v>418</v>
      </c>
      <c r="D188" s="1976">
        <f>+D186+D187</f>
        <v>250500</v>
      </c>
      <c r="E188" s="1977"/>
      <c r="F188" s="337"/>
      <c r="G188" s="337"/>
      <c r="H188" s="337"/>
      <c r="I188" s="337"/>
    </row>
    <row r="189" spans="1:10" s="4" customFormat="1" x14ac:dyDescent="0.25">
      <c r="C189" s="592"/>
      <c r="D189" s="1360"/>
      <c r="E189" s="1395"/>
      <c r="F189" s="337"/>
      <c r="G189" s="1380"/>
      <c r="H189" s="1380"/>
      <c r="I189" s="1380"/>
    </row>
    <row r="190" spans="1:10" s="4" customFormat="1" x14ac:dyDescent="0.25">
      <c r="C190" s="592" t="s">
        <v>83</v>
      </c>
      <c r="D190" s="1978">
        <v>500000</v>
      </c>
      <c r="E190" s="1978"/>
      <c r="F190" s="337"/>
      <c r="G190" s="1380"/>
      <c r="H190" s="1380"/>
      <c r="I190" s="1380"/>
    </row>
    <row r="191" spans="1:10" s="4" customFormat="1" x14ac:dyDescent="0.25">
      <c r="C191" s="1344" t="s">
        <v>2238</v>
      </c>
      <c r="D191" s="1979">
        <f>+D190+D188</f>
        <v>750500</v>
      </c>
      <c r="E191" s="1980"/>
      <c r="F191" s="337"/>
      <c r="G191" s="1380"/>
      <c r="H191" s="1380"/>
      <c r="I191" s="1380"/>
    </row>
    <row r="192" spans="1:10" s="4" customFormat="1" x14ac:dyDescent="0.25">
      <c r="D192" s="1396"/>
      <c r="E192" s="1396"/>
    </row>
    <row r="193" spans="1:12" s="4" customFormat="1" x14ac:dyDescent="0.25">
      <c r="D193" s="1023"/>
      <c r="E193" s="1023"/>
    </row>
    <row r="194" spans="1:12" s="4" customFormat="1" x14ac:dyDescent="0.25">
      <c r="D194" s="1023"/>
      <c r="E194" s="1023"/>
    </row>
    <row r="195" spans="1:12" s="4" customFormat="1" x14ac:dyDescent="0.25">
      <c r="D195" s="1023"/>
      <c r="E195" s="1023"/>
    </row>
    <row r="196" spans="1:12" s="4" customFormat="1" x14ac:dyDescent="0.25">
      <c r="D196" s="1023"/>
      <c r="E196" s="1023"/>
    </row>
    <row r="197" spans="1:12" s="4" customFormat="1" x14ac:dyDescent="0.25">
      <c r="D197" s="1023"/>
      <c r="E197" s="1023"/>
    </row>
    <row r="198" spans="1:12" s="4" customFormat="1" x14ac:dyDescent="0.25">
      <c r="D198" s="1023"/>
      <c r="E198" s="1023"/>
    </row>
    <row r="199" spans="1:12" s="4" customFormat="1" x14ac:dyDescent="0.25">
      <c r="D199" s="1023"/>
      <c r="E199" s="1023"/>
    </row>
    <row r="200" spans="1:12" s="4" customFormat="1" x14ac:dyDescent="0.25">
      <c r="D200" s="1023"/>
      <c r="E200" s="1023"/>
    </row>
    <row r="201" spans="1:12" s="4" customFormat="1" x14ac:dyDescent="0.25">
      <c r="D201" s="1023"/>
      <c r="E201" s="1023"/>
    </row>
    <row r="202" spans="1:12" x14ac:dyDescent="0.25">
      <c r="A202" s="1844" t="s">
        <v>20</v>
      </c>
      <c r="B202" s="1845"/>
      <c r="C202" s="1845"/>
      <c r="D202" s="1845"/>
      <c r="E202" s="1845"/>
      <c r="F202" s="1845"/>
      <c r="G202" s="1845"/>
      <c r="H202" s="1845"/>
      <c r="I202" s="1845"/>
      <c r="J202" s="1845"/>
      <c r="K202" s="1845"/>
      <c r="L202" s="1846"/>
    </row>
    <row r="203" spans="1:12" x14ac:dyDescent="0.25">
      <c r="A203" s="1847" t="s">
        <v>1519</v>
      </c>
      <c r="B203" s="1848"/>
      <c r="C203" s="1848"/>
      <c r="D203" s="1848"/>
      <c r="E203" s="1848"/>
      <c r="F203" s="1848"/>
      <c r="G203" s="1848"/>
      <c r="H203" s="1848"/>
      <c r="I203" s="1848"/>
      <c r="J203" s="1848"/>
      <c r="K203" s="1848"/>
      <c r="L203" s="1849"/>
    </row>
    <row r="204" spans="1:12" x14ac:dyDescent="0.25">
      <c r="D204" s="97"/>
      <c r="E204" s="97"/>
    </row>
    <row r="205" spans="1:12" x14ac:dyDescent="0.25">
      <c r="B205" s="6" t="s">
        <v>307</v>
      </c>
      <c r="C205" s="1051" t="s">
        <v>1518</v>
      </c>
      <c r="D205" s="97"/>
      <c r="E205" s="97"/>
    </row>
    <row r="206" spans="1:12" ht="15.75" thickBot="1" x14ac:dyDescent="0.3">
      <c r="D206" s="97"/>
      <c r="E206" s="97"/>
    </row>
    <row r="207" spans="1:12" ht="15.75" thickBot="1" x14ac:dyDescent="0.3">
      <c r="A207" s="4"/>
      <c r="B207" s="4"/>
      <c r="C207" s="1059"/>
      <c r="D207" s="1942" t="s">
        <v>74</v>
      </c>
      <c r="E207" s="1943"/>
      <c r="F207" s="1942" t="s">
        <v>1517</v>
      </c>
      <c r="G207" s="1943"/>
      <c r="H207" s="1942" t="s">
        <v>1516</v>
      </c>
      <c r="I207" s="1943"/>
      <c r="J207" s="1942" t="s">
        <v>1160</v>
      </c>
      <c r="K207" s="1943"/>
    </row>
    <row r="208" spans="1:12" ht="15.75" thickBot="1" x14ac:dyDescent="0.3">
      <c r="A208" s="4"/>
      <c r="B208" s="4"/>
      <c r="C208" s="1058" t="s">
        <v>1515</v>
      </c>
      <c r="D208" s="1944">
        <f>+SUM(D209:E211)</f>
        <v>60000</v>
      </c>
      <c r="E208" s="1945"/>
      <c r="F208" s="1944">
        <f>+SUM(F209:G211)</f>
        <v>100000</v>
      </c>
      <c r="G208" s="1945"/>
      <c r="H208" s="1944">
        <f>+SUM(H209:I211)</f>
        <v>99110</v>
      </c>
      <c r="I208" s="1945"/>
      <c r="J208" s="1945"/>
      <c r="K208" s="1955"/>
    </row>
    <row r="209" spans="1:11" x14ac:dyDescent="0.25">
      <c r="A209" s="4"/>
      <c r="B209" s="4"/>
      <c r="C209" s="1055" t="s">
        <v>1514</v>
      </c>
      <c r="D209" s="1925">
        <v>60000</v>
      </c>
      <c r="E209" s="1926"/>
      <c r="F209" s="1925">
        <f>200*400</f>
        <v>80000</v>
      </c>
      <c r="G209" s="1926"/>
      <c r="H209" s="1925">
        <f>200*400*1.1</f>
        <v>88000</v>
      </c>
      <c r="I209" s="1926"/>
      <c r="J209" s="1925">
        <f>+SUM(D209:I209)</f>
        <v>228000</v>
      </c>
      <c r="K209" s="1929"/>
    </row>
    <row r="210" spans="1:11" x14ac:dyDescent="0.25">
      <c r="A210" s="4"/>
      <c r="B210" s="4"/>
      <c r="C210" s="1055" t="s">
        <v>1281</v>
      </c>
      <c r="D210" s="1925">
        <v>0</v>
      </c>
      <c r="E210" s="1926"/>
      <c r="F210" s="1925">
        <v>20000</v>
      </c>
      <c r="G210" s="1926"/>
      <c r="H210" s="1925">
        <v>0</v>
      </c>
      <c r="I210" s="1926"/>
      <c r="J210" s="1925">
        <f>+SUM(D210:I210)</f>
        <v>20000</v>
      </c>
      <c r="K210" s="1929"/>
    </row>
    <row r="211" spans="1:11" ht="15.75" thickBot="1" x14ac:dyDescent="0.3">
      <c r="A211" s="4"/>
      <c r="B211" s="4"/>
      <c r="C211" s="1053" t="s">
        <v>1513</v>
      </c>
      <c r="D211" s="1918">
        <v>0</v>
      </c>
      <c r="E211" s="1934"/>
      <c r="F211" s="1918">
        <v>0</v>
      </c>
      <c r="G211" s="1934"/>
      <c r="H211" s="1918">
        <f>+F222*(0.12/12)+F222</f>
        <v>11110</v>
      </c>
      <c r="I211" s="1934"/>
      <c r="J211" s="1925">
        <f>+SUM(D211:I211)</f>
        <v>11110</v>
      </c>
      <c r="K211" s="1929"/>
    </row>
    <row r="212" spans="1:11" ht="15.75" thickBot="1" x14ac:dyDescent="0.3">
      <c r="C212" s="1057" t="s">
        <v>1512</v>
      </c>
      <c r="D212" s="1935">
        <f>+SUM(D213:E218)</f>
        <v>53360</v>
      </c>
      <c r="E212" s="1936"/>
      <c r="F212" s="1935">
        <f>+SUM(F213:G218)</f>
        <v>87660</v>
      </c>
      <c r="G212" s="1936"/>
      <c r="H212" s="1935">
        <f>+SUM(H213:I218)</f>
        <v>94160</v>
      </c>
      <c r="I212" s="1936"/>
      <c r="J212" s="1936"/>
      <c r="K212" s="1941"/>
    </row>
    <row r="213" spans="1:11" x14ac:dyDescent="0.25">
      <c r="C213" s="1055" t="s">
        <v>1511</v>
      </c>
      <c r="D213" s="1937">
        <f>300*100</f>
        <v>30000</v>
      </c>
      <c r="E213" s="1938"/>
      <c r="F213" s="1937">
        <f>400*100</f>
        <v>40000</v>
      </c>
      <c r="G213" s="1938"/>
      <c r="H213" s="1937">
        <f>500*100</f>
        <v>50000</v>
      </c>
      <c r="I213" s="1938"/>
      <c r="J213" s="1937">
        <f t="shared" ref="J213:J218" si="5">+SUM(D213:I213)</f>
        <v>120000</v>
      </c>
      <c r="K213" s="1972"/>
    </row>
    <row r="214" spans="1:11" x14ac:dyDescent="0.25">
      <c r="C214" s="1055" t="s">
        <v>1510</v>
      </c>
      <c r="D214" s="1925">
        <v>20000</v>
      </c>
      <c r="E214" s="1926"/>
      <c r="F214" s="1925">
        <f>+D214</f>
        <v>20000</v>
      </c>
      <c r="G214" s="1926"/>
      <c r="H214" s="1925">
        <f>+F214</f>
        <v>20000</v>
      </c>
      <c r="I214" s="1926"/>
      <c r="J214" s="1925">
        <f t="shared" si="5"/>
        <v>60000</v>
      </c>
      <c r="K214" s="1929"/>
    </row>
    <row r="215" spans="1:11" x14ac:dyDescent="0.25">
      <c r="C215" s="1055" t="s">
        <v>1509</v>
      </c>
      <c r="D215" s="1925">
        <f>2000</f>
        <v>2000</v>
      </c>
      <c r="E215" s="1926"/>
      <c r="F215" s="1925">
        <f>+D215*1.15</f>
        <v>2300</v>
      </c>
      <c r="G215" s="1926"/>
      <c r="H215" s="1925">
        <f>+F215+20000</f>
        <v>22300</v>
      </c>
      <c r="I215" s="1926"/>
      <c r="J215" s="1925">
        <f t="shared" si="5"/>
        <v>26600</v>
      </c>
      <c r="K215" s="1929"/>
    </row>
    <row r="216" spans="1:11" x14ac:dyDescent="0.25">
      <c r="C216" s="1055" t="s">
        <v>1508</v>
      </c>
      <c r="D216" s="1925">
        <f>+(36000*0.01)</f>
        <v>360</v>
      </c>
      <c r="E216" s="1926"/>
      <c r="F216" s="1925">
        <f>+D216</f>
        <v>360</v>
      </c>
      <c r="G216" s="1926"/>
      <c r="H216" s="1925">
        <f>+F216</f>
        <v>360</v>
      </c>
      <c r="I216" s="1926"/>
      <c r="J216" s="1925">
        <f t="shared" si="5"/>
        <v>1080</v>
      </c>
      <c r="K216" s="1929"/>
    </row>
    <row r="217" spans="1:11" x14ac:dyDescent="0.25">
      <c r="C217" s="1055" t="s">
        <v>1507</v>
      </c>
      <c r="D217" s="1925">
        <v>0</v>
      </c>
      <c r="E217" s="1926"/>
      <c r="F217" s="1925">
        <v>25000</v>
      </c>
      <c r="G217" s="1926"/>
      <c r="H217" s="1925">
        <v>0</v>
      </c>
      <c r="I217" s="1926"/>
      <c r="J217" s="1925">
        <f t="shared" si="5"/>
        <v>25000</v>
      </c>
      <c r="K217" s="1929"/>
    </row>
    <row r="218" spans="1:11" ht="15.75" thickBot="1" x14ac:dyDescent="0.3">
      <c r="C218" s="1055" t="s">
        <v>1506</v>
      </c>
      <c r="D218" s="1925">
        <v>1000</v>
      </c>
      <c r="E218" s="1926"/>
      <c r="F218" s="1925">
        <v>0</v>
      </c>
      <c r="G218" s="1926"/>
      <c r="H218" s="1925">
        <v>1500</v>
      </c>
      <c r="I218" s="1926"/>
      <c r="J218" s="1925">
        <f t="shared" si="5"/>
        <v>2500</v>
      </c>
      <c r="K218" s="1929"/>
    </row>
    <row r="219" spans="1:11" ht="15.75" thickBot="1" x14ac:dyDescent="0.3">
      <c r="C219" s="1056" t="s">
        <v>1505</v>
      </c>
      <c r="D219" s="1927">
        <f>+D208-D212</f>
        <v>6640</v>
      </c>
      <c r="E219" s="1928"/>
      <c r="F219" s="1927">
        <f>+F208-F212</f>
        <v>12340</v>
      </c>
      <c r="G219" s="1928"/>
      <c r="H219" s="1927">
        <f>+H208-H212</f>
        <v>4950</v>
      </c>
      <c r="I219" s="1928"/>
      <c r="J219" s="1970"/>
      <c r="K219" s="1971"/>
    </row>
    <row r="220" spans="1:11" x14ac:dyDescent="0.25">
      <c r="C220" s="1055" t="s">
        <v>1504</v>
      </c>
      <c r="D220" s="1925">
        <v>2020</v>
      </c>
      <c r="E220" s="1926"/>
      <c r="F220" s="1925">
        <f>+D221</f>
        <v>8660</v>
      </c>
      <c r="G220" s="1926"/>
      <c r="H220" s="1925">
        <f>+F221-F222</f>
        <v>10000</v>
      </c>
      <c r="I220" s="1940"/>
      <c r="J220" s="1939"/>
      <c r="K220" s="1940"/>
    </row>
    <row r="221" spans="1:11" x14ac:dyDescent="0.25">
      <c r="C221" s="1055" t="s">
        <v>1503</v>
      </c>
      <c r="D221" s="1925">
        <f>+D219+D220</f>
        <v>8660</v>
      </c>
      <c r="E221" s="1926"/>
      <c r="F221" s="1925">
        <f>+F219+F220</f>
        <v>21000</v>
      </c>
      <c r="G221" s="1926"/>
      <c r="H221" s="1925">
        <f>+H219+H220</f>
        <v>14950</v>
      </c>
      <c r="I221" s="1926"/>
      <c r="J221" s="1054"/>
      <c r="K221" s="986"/>
    </row>
    <row r="222" spans="1:11" ht="15.75" thickBot="1" x14ac:dyDescent="0.3">
      <c r="C222" s="1053" t="s">
        <v>1502</v>
      </c>
      <c r="D222" s="1918">
        <v>0</v>
      </c>
      <c r="E222" s="1934"/>
      <c r="F222" s="1918">
        <f>+F221-10000</f>
        <v>11000</v>
      </c>
      <c r="G222" s="1934"/>
      <c r="H222" s="1918">
        <f>+H221-10000</f>
        <v>4950</v>
      </c>
      <c r="I222" s="1919"/>
      <c r="J222" s="1939"/>
      <c r="K222" s="1940"/>
    </row>
    <row r="224" spans="1:11" x14ac:dyDescent="0.25">
      <c r="F224" s="1052"/>
    </row>
    <row r="225" spans="2:11" x14ac:dyDescent="0.25">
      <c r="B225" s="6" t="s">
        <v>389</v>
      </c>
      <c r="C225" s="1051" t="s">
        <v>1501</v>
      </c>
    </row>
    <row r="227" spans="2:11" x14ac:dyDescent="0.25">
      <c r="C227" s="1921" t="s">
        <v>3</v>
      </c>
      <c r="D227" s="1922"/>
      <c r="E227" s="1922"/>
      <c r="F227" s="1923">
        <f>200*(400+(400*1.1)+(400*1.1*1.1))</f>
        <v>264800</v>
      </c>
      <c r="G227" s="1924"/>
      <c r="H227" s="1916"/>
      <c r="I227" s="1917"/>
      <c r="J227" s="1917"/>
      <c r="K227" s="1917"/>
    </row>
    <row r="228" spans="2:11" x14ac:dyDescent="0.25">
      <c r="C228" s="1930" t="s">
        <v>400</v>
      </c>
      <c r="D228" s="1931"/>
      <c r="E228" s="1931"/>
      <c r="F228" s="1932">
        <f>-100*(400+(400*1.1)+(400*1.1*1.1))</f>
        <v>-132400</v>
      </c>
      <c r="G228" s="1933"/>
    </row>
    <row r="229" spans="2:11" x14ac:dyDescent="0.25">
      <c r="C229" s="1912" t="s">
        <v>414</v>
      </c>
      <c r="D229" s="1913"/>
      <c r="E229" s="1913"/>
      <c r="F229" s="1914">
        <f>+F227+F228</f>
        <v>132400</v>
      </c>
      <c r="G229" s="1915"/>
    </row>
    <row r="230" spans="2:11" x14ac:dyDescent="0.25">
      <c r="C230" s="1930" t="s">
        <v>1090</v>
      </c>
      <c r="D230" s="1931"/>
      <c r="E230" s="1931"/>
      <c r="F230" s="1932">
        <f>-20000*3</f>
        <v>-60000</v>
      </c>
      <c r="G230" s="1933"/>
    </row>
    <row r="231" spans="2:11" x14ac:dyDescent="0.25">
      <c r="C231" s="1930" t="s">
        <v>1500</v>
      </c>
      <c r="D231" s="1931"/>
      <c r="E231" s="1931"/>
      <c r="F231" s="1932">
        <f>-(+(2000*1.15*3)+20000+(2000*3))</f>
        <v>-32900</v>
      </c>
      <c r="G231" s="1933"/>
    </row>
    <row r="232" spans="2:11" x14ac:dyDescent="0.25">
      <c r="C232" s="1912" t="s">
        <v>418</v>
      </c>
      <c r="D232" s="1913"/>
      <c r="E232" s="1913"/>
      <c r="F232" s="1914">
        <f>+SUM(F229:G231)</f>
        <v>39500</v>
      </c>
      <c r="G232" s="1915"/>
      <c r="I232" s="1920"/>
      <c r="J232" s="1920"/>
    </row>
    <row r="233" spans="2:11" x14ac:dyDescent="0.25">
      <c r="C233" s="1050" t="s">
        <v>1499</v>
      </c>
      <c r="D233" s="1049"/>
      <c r="E233" s="1049"/>
      <c r="F233" s="1048"/>
      <c r="G233" s="1047">
        <f>11000*0.01</f>
        <v>110</v>
      </c>
      <c r="I233" s="996"/>
      <c r="J233" s="996"/>
    </row>
    <row r="234" spans="2:11" x14ac:dyDescent="0.25">
      <c r="C234" s="1930" t="s">
        <v>1095</v>
      </c>
      <c r="D234" s="1931"/>
      <c r="E234" s="1931"/>
      <c r="F234" s="1932">
        <f>-36000*0.01*3</f>
        <v>-1080</v>
      </c>
      <c r="G234" s="1933"/>
    </row>
    <row r="235" spans="2:11" x14ac:dyDescent="0.25">
      <c r="C235" s="1912" t="s">
        <v>421</v>
      </c>
      <c r="D235" s="1913"/>
      <c r="E235" s="1913"/>
      <c r="F235" s="1914">
        <f>+SUM(F232:G234)</f>
        <v>38530</v>
      </c>
      <c r="G235" s="1915"/>
    </row>
    <row r="251" s="4" customFormat="1" x14ac:dyDescent="0.25"/>
  </sheetData>
  <sheetProtection algorithmName="SHA-512" hashValue="R2vu4t9S1/JxNB5u7LjbF9dkwUAu00JMnMPRC/+l+7vqN89WzeYVvCGpA3Fy1l8prOurLinCzei7gLMjceY8Tw==" saltValue="vYg01jI6NaAkFEfJXZ3hKQ==" spinCount="100000" sheet="1" objects="1" scenarios="1"/>
  <mergeCells count="314">
    <mergeCell ref="D142:E142"/>
    <mergeCell ref="D143:E143"/>
    <mergeCell ref="D144:E144"/>
    <mergeCell ref="D145:E145"/>
    <mergeCell ref="D146:E146"/>
    <mergeCell ref="D147:E147"/>
    <mergeCell ref="D148:E148"/>
    <mergeCell ref="A102:L102"/>
    <mergeCell ref="A103:L103"/>
    <mergeCell ref="J142:K142"/>
    <mergeCell ref="D133:E133"/>
    <mergeCell ref="D134:E134"/>
    <mergeCell ref="D135:E135"/>
    <mergeCell ref="D136:E136"/>
    <mergeCell ref="D137:E137"/>
    <mergeCell ref="D138:E138"/>
    <mergeCell ref="D139:E139"/>
    <mergeCell ref="D140:E140"/>
    <mergeCell ref="D141:E141"/>
    <mergeCell ref="J133:K133"/>
    <mergeCell ref="J134:K134"/>
    <mergeCell ref="J135:K135"/>
    <mergeCell ref="J136:K136"/>
    <mergeCell ref="J137:K137"/>
    <mergeCell ref="J138:K138"/>
    <mergeCell ref="J139:K139"/>
    <mergeCell ref="J140:K140"/>
    <mergeCell ref="J141:K141"/>
    <mergeCell ref="C131:D131"/>
    <mergeCell ref="C105:D105"/>
    <mergeCell ref="E118:F118"/>
    <mergeCell ref="E119:F119"/>
    <mergeCell ref="E120:F120"/>
    <mergeCell ref="E121:F121"/>
    <mergeCell ref="E122:F122"/>
    <mergeCell ref="E123:F123"/>
    <mergeCell ref="E124:F124"/>
    <mergeCell ref="E125:F125"/>
    <mergeCell ref="E126:F126"/>
    <mergeCell ref="E127:F127"/>
    <mergeCell ref="E128:F128"/>
    <mergeCell ref="E129:F129"/>
    <mergeCell ref="E130:F130"/>
    <mergeCell ref="E131:F131"/>
    <mergeCell ref="C122:D122"/>
    <mergeCell ref="C123:D123"/>
    <mergeCell ref="C124:D124"/>
    <mergeCell ref="C125:D125"/>
    <mergeCell ref="G119:I119"/>
    <mergeCell ref="G120:I120"/>
    <mergeCell ref="G121:I121"/>
    <mergeCell ref="C126:D126"/>
    <mergeCell ref="C127:D127"/>
    <mergeCell ref="C128:D128"/>
    <mergeCell ref="C129:D129"/>
    <mergeCell ref="C130:D130"/>
    <mergeCell ref="G124:I124"/>
    <mergeCell ref="G125:I125"/>
    <mergeCell ref="G126:I126"/>
    <mergeCell ref="G127:I127"/>
    <mergeCell ref="G128:I128"/>
    <mergeCell ref="G129:I129"/>
    <mergeCell ref="G130:I130"/>
    <mergeCell ref="G111:I111"/>
    <mergeCell ref="G112:I112"/>
    <mergeCell ref="G113:I113"/>
    <mergeCell ref="G131:I131"/>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G115:I115"/>
    <mergeCell ref="G116:I116"/>
    <mergeCell ref="G117:I117"/>
    <mergeCell ref="G118:I118"/>
    <mergeCell ref="H221:I221"/>
    <mergeCell ref="D209:E209"/>
    <mergeCell ref="A203:L203"/>
    <mergeCell ref="J219:K219"/>
    <mergeCell ref="J213:K213"/>
    <mergeCell ref="H208:I208"/>
    <mergeCell ref="H213:I213"/>
    <mergeCell ref="J211:K211"/>
    <mergeCell ref="G114:I114"/>
    <mergeCell ref="D184:E184"/>
    <mergeCell ref="D185:E185"/>
    <mergeCell ref="D186:E186"/>
    <mergeCell ref="D187:E187"/>
    <mergeCell ref="D188:E188"/>
    <mergeCell ref="D190:E190"/>
    <mergeCell ref="D191:E191"/>
    <mergeCell ref="A152:L152"/>
    <mergeCell ref="A153:L153"/>
    <mergeCell ref="F158:G158"/>
    <mergeCell ref="F157:G157"/>
    <mergeCell ref="D171:E171"/>
    <mergeCell ref="D172:E172"/>
    <mergeCell ref="D173:E173"/>
    <mergeCell ref="D175:E175"/>
    <mergeCell ref="A2:L2"/>
    <mergeCell ref="A3:L3"/>
    <mergeCell ref="A52:L52"/>
    <mergeCell ref="A53:L53"/>
    <mergeCell ref="A202:L202"/>
    <mergeCell ref="C79:G79"/>
    <mergeCell ref="H78:K78"/>
    <mergeCell ref="H79:K79"/>
    <mergeCell ref="H80:K80"/>
    <mergeCell ref="H77:K77"/>
    <mergeCell ref="H76:K76"/>
    <mergeCell ref="C62:G62"/>
    <mergeCell ref="C63:G63"/>
    <mergeCell ref="C66:G66"/>
    <mergeCell ref="C67:G67"/>
    <mergeCell ref="C74:G74"/>
    <mergeCell ref="C69:G69"/>
    <mergeCell ref="C70:G70"/>
    <mergeCell ref="C71:G71"/>
    <mergeCell ref="C72:G72"/>
    <mergeCell ref="C73:G73"/>
    <mergeCell ref="H61:K61"/>
    <mergeCell ref="H62:K62"/>
    <mergeCell ref="H63:K63"/>
    <mergeCell ref="J209:K209"/>
    <mergeCell ref="J210:K210"/>
    <mergeCell ref="H209:I209"/>
    <mergeCell ref="H210:I210"/>
    <mergeCell ref="H207:I207"/>
    <mergeCell ref="C82:K84"/>
    <mergeCell ref="D210:E210"/>
    <mergeCell ref="C80:G80"/>
    <mergeCell ref="F208:G208"/>
    <mergeCell ref="J207:K207"/>
    <mergeCell ref="D164:E164"/>
    <mergeCell ref="F175:G175"/>
    <mergeCell ref="F164:G164"/>
    <mergeCell ref="F163:G163"/>
    <mergeCell ref="F162:G162"/>
    <mergeCell ref="F161:G161"/>
    <mergeCell ref="F160:G160"/>
    <mergeCell ref="F159:G159"/>
    <mergeCell ref="D180:E180"/>
    <mergeCell ref="D177:E177"/>
    <mergeCell ref="D178:E178"/>
    <mergeCell ref="D159:E159"/>
    <mergeCell ref="D160:E160"/>
    <mergeCell ref="D161:E161"/>
    <mergeCell ref="H75:K75"/>
    <mergeCell ref="D157:E157"/>
    <mergeCell ref="D158:E158"/>
    <mergeCell ref="H70:K70"/>
    <mergeCell ref="H71:K71"/>
    <mergeCell ref="H72:K72"/>
    <mergeCell ref="H73:K73"/>
    <mergeCell ref="H74:K74"/>
    <mergeCell ref="J208:K208"/>
    <mergeCell ref="C75:G75"/>
    <mergeCell ref="C76:G76"/>
    <mergeCell ref="D162:E162"/>
    <mergeCell ref="D163:E163"/>
    <mergeCell ref="G122:I122"/>
    <mergeCell ref="G123:I123"/>
    <mergeCell ref="E105:F105"/>
    <mergeCell ref="E106:F106"/>
    <mergeCell ref="E107:F107"/>
    <mergeCell ref="E108:F108"/>
    <mergeCell ref="E109:F109"/>
    <mergeCell ref="E110:F110"/>
    <mergeCell ref="E111:F111"/>
    <mergeCell ref="E112:F112"/>
    <mergeCell ref="E113:F113"/>
    <mergeCell ref="C61:G61"/>
    <mergeCell ref="D218:E218"/>
    <mergeCell ref="F218:G218"/>
    <mergeCell ref="C60:G60"/>
    <mergeCell ref="C64:G64"/>
    <mergeCell ref="C65:G65"/>
    <mergeCell ref="C68:G68"/>
    <mergeCell ref="F209:G209"/>
    <mergeCell ref="F210:G210"/>
    <mergeCell ref="F207:G207"/>
    <mergeCell ref="D207:E207"/>
    <mergeCell ref="D208:E208"/>
    <mergeCell ref="C77:G77"/>
    <mergeCell ref="C78:G78"/>
    <mergeCell ref="E114:F114"/>
    <mergeCell ref="E115:F115"/>
    <mergeCell ref="E116:F116"/>
    <mergeCell ref="E117:F117"/>
    <mergeCell ref="G105:I105"/>
    <mergeCell ref="G106:I106"/>
    <mergeCell ref="G107:I107"/>
    <mergeCell ref="G108:I108"/>
    <mergeCell ref="G109:I109"/>
    <mergeCell ref="G110:I110"/>
    <mergeCell ref="J222:K222"/>
    <mergeCell ref="J220:K220"/>
    <mergeCell ref="H220:I220"/>
    <mergeCell ref="D220:E220"/>
    <mergeCell ref="F220:G220"/>
    <mergeCell ref="C228:E228"/>
    <mergeCell ref="F228:G228"/>
    <mergeCell ref="C229:E229"/>
    <mergeCell ref="C55:G55"/>
    <mergeCell ref="C56:G56"/>
    <mergeCell ref="C57:G57"/>
    <mergeCell ref="C58:G58"/>
    <mergeCell ref="C59:G59"/>
    <mergeCell ref="D217:E217"/>
    <mergeCell ref="H217:I217"/>
    <mergeCell ref="J217:K217"/>
    <mergeCell ref="D212:E212"/>
    <mergeCell ref="D213:E213"/>
    <mergeCell ref="D214:E214"/>
    <mergeCell ref="D215:E215"/>
    <mergeCell ref="D216:E216"/>
    <mergeCell ref="J212:K212"/>
    <mergeCell ref="H211:I211"/>
    <mergeCell ref="H212:I212"/>
    <mergeCell ref="C234:E234"/>
    <mergeCell ref="F234:G234"/>
    <mergeCell ref="F229:G229"/>
    <mergeCell ref="C230:E230"/>
    <mergeCell ref="F230:G230"/>
    <mergeCell ref="D211:E211"/>
    <mergeCell ref="F211:G211"/>
    <mergeCell ref="F212:G212"/>
    <mergeCell ref="F213:G213"/>
    <mergeCell ref="C231:E231"/>
    <mergeCell ref="F231:G231"/>
    <mergeCell ref="D222:E222"/>
    <mergeCell ref="F222:G222"/>
    <mergeCell ref="D221:E221"/>
    <mergeCell ref="F221:G221"/>
    <mergeCell ref="C235:E235"/>
    <mergeCell ref="F235:G235"/>
    <mergeCell ref="H227:K227"/>
    <mergeCell ref="H222:I222"/>
    <mergeCell ref="I232:J232"/>
    <mergeCell ref="C227:E227"/>
    <mergeCell ref="F227:G227"/>
    <mergeCell ref="H214:I214"/>
    <mergeCell ref="F215:G215"/>
    <mergeCell ref="H218:I218"/>
    <mergeCell ref="F214:G214"/>
    <mergeCell ref="H215:I215"/>
    <mergeCell ref="F217:G217"/>
    <mergeCell ref="D219:E219"/>
    <mergeCell ref="J214:K214"/>
    <mergeCell ref="J215:K215"/>
    <mergeCell ref="J218:K218"/>
    <mergeCell ref="F216:G216"/>
    <mergeCell ref="H216:I216"/>
    <mergeCell ref="J216:K216"/>
    <mergeCell ref="F219:G219"/>
    <mergeCell ref="H219:I219"/>
    <mergeCell ref="C232:E232"/>
    <mergeCell ref="F232:G232"/>
    <mergeCell ref="E14:I14"/>
    <mergeCell ref="E8:I8"/>
    <mergeCell ref="E9:I9"/>
    <mergeCell ref="E10:I10"/>
    <mergeCell ref="E11:I11"/>
    <mergeCell ref="E12:I12"/>
    <mergeCell ref="E13:I13"/>
    <mergeCell ref="E5:I5"/>
    <mergeCell ref="C5:D5"/>
    <mergeCell ref="C6:D6"/>
    <mergeCell ref="C7:D7"/>
    <mergeCell ref="C8:D8"/>
    <mergeCell ref="C9:D9"/>
    <mergeCell ref="E6:I6"/>
    <mergeCell ref="E7:I7"/>
    <mergeCell ref="C10:D10"/>
    <mergeCell ref="C11:D11"/>
    <mergeCell ref="C12:D12"/>
    <mergeCell ref="C13:D13"/>
    <mergeCell ref="C14:D14"/>
    <mergeCell ref="C15:D15"/>
    <mergeCell ref="E15:I15"/>
    <mergeCell ref="E16:I16"/>
    <mergeCell ref="H64:K64"/>
    <mergeCell ref="H65:K65"/>
    <mergeCell ref="H66:K66"/>
    <mergeCell ref="H67:K67"/>
    <mergeCell ref="H68:K68"/>
    <mergeCell ref="H69:K69"/>
    <mergeCell ref="E18:I18"/>
    <mergeCell ref="E19:I19"/>
    <mergeCell ref="E20:I20"/>
    <mergeCell ref="C16:D16"/>
    <mergeCell ref="C17:D17"/>
    <mergeCell ref="C18:D18"/>
    <mergeCell ref="C19:D19"/>
    <mergeCell ref="C20:D20"/>
    <mergeCell ref="E17:I17"/>
    <mergeCell ref="H55:K55"/>
    <mergeCell ref="H56:K56"/>
    <mergeCell ref="H57:K57"/>
    <mergeCell ref="H58:K58"/>
    <mergeCell ref="H59:K59"/>
    <mergeCell ref="H60:K60"/>
  </mergeCells>
  <printOptions horizontalCentered="1"/>
  <pageMargins left="0.51181102362204722" right="0.51181102362204722" top="0.74803149606299213" bottom="0.74803149606299213" header="0.31496062992125984" footer="0.31496062992125984"/>
  <pageSetup paperSize="9" orientation="portrait" r:id="rId1"/>
  <headerFooter>
    <oddHeader>&amp;L&amp;"Garamond,Normal"Universidad de San Andrés
Fundamentos de Contabilidad&amp;C&amp;"Garamond,Normal"&amp;12
  &amp;"-,Normal"&amp;11
&amp;R&amp;"Garamond,Negrita"Solución Adicionales&amp;"Garamond,Normal"
&amp;"Garamond,Cursiva"Unidad 3: Introducción a los Estados Contables básicos</oddHeader>
  </headerFooter>
  <rowBreaks count="3" manualBreakCount="3">
    <brk id="50" max="16383" man="1"/>
    <brk id="200" max="16383" man="1"/>
    <brk id="251" max="16383" man="1"/>
  </rowBreaks>
  <colBreaks count="1" manualBreakCount="1">
    <brk id="12"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2:Q649"/>
  <sheetViews>
    <sheetView showGridLines="0" view="pageLayout" topLeftCell="A124" zoomScaleNormal="100" zoomScaleSheetLayoutView="50" workbookViewId="0">
      <selection activeCell="N72" sqref="M68:N72"/>
    </sheetView>
  </sheetViews>
  <sheetFormatPr baseColWidth="10" defaultColWidth="9.140625" defaultRowHeight="15" x14ac:dyDescent="0.25"/>
  <cols>
    <col min="1" max="1" width="0.7109375" style="2" customWidth="1"/>
    <col min="2" max="2" width="5.28515625" style="1009" customWidth="1"/>
    <col min="3" max="6" width="5.28515625" style="12" customWidth="1"/>
    <col min="7" max="8" width="5.28515625" style="27" customWidth="1"/>
    <col min="9" max="12" width="5.28515625" style="2" customWidth="1"/>
    <col min="13" max="16" width="5.28515625" style="10" customWidth="1"/>
    <col min="17" max="17" width="0.42578125" style="2" customWidth="1"/>
    <col min="18" max="16384" width="9.140625" style="2"/>
  </cols>
  <sheetData>
    <row r="2" spans="1:17" s="4" customFormat="1" x14ac:dyDescent="0.25">
      <c r="A2" s="1844" t="s">
        <v>20</v>
      </c>
      <c r="B2" s="1845"/>
      <c r="C2" s="1845"/>
      <c r="D2" s="1845"/>
      <c r="E2" s="1845"/>
      <c r="F2" s="1845"/>
      <c r="G2" s="1845"/>
      <c r="H2" s="1845"/>
      <c r="I2" s="1845"/>
      <c r="J2" s="1845"/>
      <c r="K2" s="1845"/>
      <c r="L2" s="1845"/>
      <c r="M2" s="1845"/>
      <c r="N2" s="1845"/>
      <c r="O2" s="1845"/>
      <c r="P2" s="1845"/>
      <c r="Q2" s="1846"/>
    </row>
    <row r="3" spans="1:17" s="4" customFormat="1" x14ac:dyDescent="0.25">
      <c r="A3" s="1847" t="s">
        <v>1726</v>
      </c>
      <c r="B3" s="1848"/>
      <c r="C3" s="1848"/>
      <c r="D3" s="1848"/>
      <c r="E3" s="1848"/>
      <c r="F3" s="1848"/>
      <c r="G3" s="1848"/>
      <c r="H3" s="1848"/>
      <c r="I3" s="1848"/>
      <c r="J3" s="1848"/>
      <c r="K3" s="1848"/>
      <c r="L3" s="1848"/>
      <c r="M3" s="1848"/>
      <c r="N3" s="1848"/>
      <c r="O3" s="1848"/>
      <c r="P3" s="1848"/>
      <c r="Q3" s="1849"/>
    </row>
    <row r="4" spans="1:17" s="4" customFormat="1" x14ac:dyDescent="0.25">
      <c r="B4" s="1004"/>
      <c r="C4" s="12"/>
      <c r="D4" s="12"/>
      <c r="E4" s="12"/>
      <c r="F4" s="12"/>
      <c r="G4" s="51"/>
      <c r="H4" s="51"/>
      <c r="M4" s="18"/>
      <c r="N4" s="18"/>
      <c r="O4" s="18"/>
      <c r="P4" s="18"/>
    </row>
    <row r="5" spans="1:17" s="4" customFormat="1" x14ac:dyDescent="0.25"/>
    <row r="6" spans="1:17" s="4" customFormat="1" x14ac:dyDescent="0.25"/>
    <row r="7" spans="1:17" s="4" customFormat="1" x14ac:dyDescent="0.25"/>
    <row r="8" spans="1:17" s="4" customFormat="1" x14ac:dyDescent="0.25">
      <c r="B8" s="1004"/>
      <c r="C8" s="12"/>
      <c r="D8" s="12"/>
      <c r="E8" s="12"/>
      <c r="F8" s="12"/>
      <c r="G8" s="51"/>
      <c r="H8" s="51"/>
      <c r="M8" s="18"/>
      <c r="N8" s="18"/>
      <c r="O8" s="18"/>
      <c r="P8" s="18"/>
    </row>
    <row r="9" spans="1:17" s="4" customFormat="1" x14ac:dyDescent="0.25">
      <c r="B9" s="1004"/>
      <c r="C9" s="12"/>
      <c r="D9" s="12"/>
      <c r="E9" s="12"/>
      <c r="F9" s="12"/>
      <c r="G9" s="51"/>
      <c r="H9" s="51"/>
      <c r="M9" s="18"/>
      <c r="N9" s="18"/>
      <c r="O9" s="18"/>
      <c r="P9" s="18"/>
    </row>
    <row r="10" spans="1:17" s="4" customFormat="1" x14ac:dyDescent="0.25">
      <c r="B10" s="1004"/>
      <c r="C10" s="12"/>
      <c r="D10" s="12"/>
      <c r="E10" s="12"/>
      <c r="F10" s="12"/>
      <c r="G10" s="51"/>
      <c r="H10" s="51"/>
      <c r="M10" s="18"/>
      <c r="N10" s="18"/>
      <c r="O10" s="18"/>
      <c r="P10" s="18"/>
    </row>
    <row r="11" spans="1:17" s="4" customFormat="1" x14ac:dyDescent="0.25">
      <c r="B11" s="1004"/>
      <c r="C11" s="12"/>
      <c r="D11" s="12"/>
      <c r="E11" s="12"/>
      <c r="F11" s="12"/>
      <c r="G11" s="51"/>
      <c r="H11" s="51"/>
      <c r="M11" s="18"/>
      <c r="N11" s="18"/>
      <c r="O11" s="18"/>
      <c r="P11" s="18"/>
    </row>
    <row r="12" spans="1:17" s="4" customFormat="1" x14ac:dyDescent="0.25">
      <c r="B12" s="1004"/>
      <c r="C12" s="12"/>
      <c r="D12" s="12"/>
      <c r="E12" s="12"/>
      <c r="F12" s="12"/>
      <c r="G12" s="51"/>
      <c r="H12" s="51"/>
      <c r="M12" s="18"/>
      <c r="N12" s="18"/>
      <c r="O12" s="18"/>
      <c r="P12" s="18"/>
    </row>
    <row r="13" spans="1:17" s="4" customFormat="1" x14ac:dyDescent="0.25">
      <c r="B13" s="1004"/>
      <c r="C13" s="12"/>
      <c r="D13" s="12"/>
      <c r="E13" s="12"/>
      <c r="F13" s="12"/>
      <c r="G13" s="51"/>
      <c r="H13" s="51"/>
      <c r="M13" s="18"/>
      <c r="N13" s="18"/>
      <c r="O13" s="18"/>
      <c r="P13" s="18"/>
    </row>
    <row r="14" spans="1:17" s="4" customFormat="1" x14ac:dyDescent="0.25">
      <c r="B14" s="1004"/>
      <c r="C14" s="12"/>
      <c r="D14" s="12"/>
      <c r="E14" s="12"/>
      <c r="F14" s="12"/>
      <c r="G14" s="51"/>
      <c r="H14" s="51"/>
      <c r="M14" s="18"/>
      <c r="N14" s="18"/>
      <c r="O14" s="18"/>
      <c r="P14" s="18"/>
    </row>
    <row r="15" spans="1:17" s="4" customFormat="1" x14ac:dyDescent="0.25">
      <c r="B15" s="1004"/>
      <c r="C15" s="12"/>
      <c r="D15" s="12"/>
      <c r="E15" s="12"/>
      <c r="F15" s="12"/>
      <c r="G15" s="51"/>
      <c r="H15" s="51"/>
      <c r="M15" s="18"/>
      <c r="N15" s="18"/>
      <c r="O15" s="18"/>
      <c r="P15" s="18"/>
    </row>
    <row r="16" spans="1:17" s="4" customFormat="1" x14ac:dyDescent="0.25">
      <c r="B16" s="1004"/>
      <c r="C16" s="12"/>
      <c r="D16" s="12"/>
      <c r="E16" s="12"/>
      <c r="F16" s="12"/>
      <c r="G16" s="51"/>
      <c r="H16" s="51"/>
      <c r="M16" s="18"/>
      <c r="N16" s="18"/>
      <c r="O16" s="18"/>
      <c r="P16" s="18"/>
    </row>
    <row r="17" spans="2:16" s="4" customFormat="1" x14ac:dyDescent="0.25">
      <c r="B17" s="1004"/>
      <c r="C17" s="12"/>
      <c r="D17" s="12"/>
      <c r="E17" s="12"/>
      <c r="F17" s="12"/>
      <c r="G17" s="51"/>
      <c r="H17" s="51"/>
      <c r="M17" s="18"/>
      <c r="N17" s="18"/>
      <c r="O17" s="18"/>
      <c r="P17" s="18"/>
    </row>
    <row r="18" spans="2:16" s="4" customFormat="1" x14ac:dyDescent="0.25">
      <c r="B18" s="1004"/>
      <c r="C18" s="12"/>
      <c r="D18" s="12"/>
      <c r="E18" s="12"/>
      <c r="F18" s="12"/>
      <c r="G18" s="51"/>
      <c r="H18" s="51"/>
      <c r="M18" s="18"/>
      <c r="N18" s="18"/>
      <c r="O18" s="18"/>
      <c r="P18" s="18"/>
    </row>
    <row r="19" spans="2:16" s="4" customFormat="1" x14ac:dyDescent="0.25">
      <c r="B19" s="1004"/>
      <c r="C19" s="12"/>
      <c r="D19" s="12"/>
      <c r="E19" s="12"/>
      <c r="F19" s="12"/>
      <c r="G19" s="51"/>
      <c r="H19" s="51"/>
      <c r="M19" s="18"/>
      <c r="N19" s="18"/>
      <c r="O19" s="18"/>
      <c r="P19" s="18"/>
    </row>
    <row r="20" spans="2:16" s="4" customFormat="1" x14ac:dyDescent="0.25">
      <c r="B20" s="1004"/>
      <c r="C20" s="12"/>
      <c r="D20" s="12"/>
      <c r="E20" s="12"/>
      <c r="F20" s="12"/>
      <c r="G20" s="51"/>
      <c r="H20" s="51"/>
      <c r="M20" s="18"/>
      <c r="N20" s="18"/>
      <c r="O20" s="18"/>
      <c r="P20" s="18"/>
    </row>
    <row r="21" spans="2:16" s="4" customFormat="1" x14ac:dyDescent="0.25">
      <c r="B21" s="1004"/>
      <c r="C21" s="12"/>
      <c r="D21" s="12"/>
      <c r="E21" s="12"/>
      <c r="F21" s="12"/>
      <c r="G21" s="51"/>
      <c r="H21" s="51"/>
      <c r="M21" s="18"/>
      <c r="N21" s="18"/>
      <c r="O21" s="18"/>
      <c r="P21" s="18"/>
    </row>
    <row r="22" spans="2:16" s="4" customFormat="1" x14ac:dyDescent="0.25">
      <c r="B22" s="1004"/>
      <c r="C22" s="12"/>
      <c r="D22" s="12"/>
      <c r="E22" s="12"/>
      <c r="F22" s="12"/>
      <c r="G22" s="51"/>
      <c r="H22" s="51"/>
      <c r="M22" s="18"/>
      <c r="N22" s="18"/>
      <c r="O22" s="18"/>
      <c r="P22" s="18"/>
    </row>
    <row r="23" spans="2:16" s="4" customFormat="1" x14ac:dyDescent="0.25">
      <c r="B23" s="1004"/>
      <c r="C23" s="12"/>
      <c r="D23" s="12"/>
      <c r="E23" s="12"/>
      <c r="F23" s="12"/>
      <c r="G23" s="51"/>
      <c r="H23" s="51"/>
      <c r="M23" s="18"/>
      <c r="N23" s="18"/>
      <c r="O23" s="18"/>
      <c r="P23" s="18"/>
    </row>
    <row r="24" spans="2:16" s="4" customFormat="1" x14ac:dyDescent="0.25">
      <c r="B24" s="1004"/>
      <c r="C24" s="12"/>
      <c r="D24" s="12"/>
      <c r="E24" s="12"/>
      <c r="F24" s="12"/>
      <c r="G24" s="51"/>
      <c r="H24" s="51"/>
      <c r="M24" s="18"/>
      <c r="N24" s="18"/>
      <c r="O24" s="18"/>
      <c r="P24" s="18"/>
    </row>
    <row r="25" spans="2:16" s="4" customFormat="1" x14ac:dyDescent="0.25">
      <c r="B25" s="1004"/>
      <c r="C25" s="12"/>
      <c r="D25" s="12"/>
      <c r="E25" s="12"/>
      <c r="F25" s="12"/>
      <c r="G25" s="51"/>
      <c r="H25" s="51"/>
      <c r="M25" s="18"/>
      <c r="N25" s="18"/>
      <c r="O25" s="18"/>
      <c r="P25" s="18"/>
    </row>
    <row r="26" spans="2:16" s="4" customFormat="1" x14ac:dyDescent="0.25">
      <c r="B26" s="1004"/>
      <c r="C26" s="12"/>
      <c r="D26" s="12"/>
      <c r="E26" s="12"/>
      <c r="F26" s="12"/>
      <c r="G26" s="51"/>
      <c r="H26" s="51"/>
      <c r="M26" s="18"/>
      <c r="N26" s="18"/>
      <c r="O26" s="18"/>
      <c r="P26" s="18"/>
    </row>
    <row r="27" spans="2:16" s="4" customFormat="1" x14ac:dyDescent="0.25">
      <c r="B27" s="1004"/>
      <c r="C27" s="12"/>
      <c r="D27" s="12"/>
      <c r="E27" s="12"/>
      <c r="F27" s="12"/>
      <c r="G27" s="51"/>
      <c r="H27" s="51"/>
      <c r="M27" s="18"/>
      <c r="N27" s="18"/>
      <c r="O27" s="18"/>
      <c r="P27" s="18"/>
    </row>
    <row r="28" spans="2:16" s="4" customFormat="1" x14ac:dyDescent="0.25">
      <c r="B28" s="1004"/>
      <c r="C28" s="12"/>
      <c r="D28" s="12"/>
      <c r="E28" s="12"/>
      <c r="F28" s="12"/>
      <c r="G28" s="51"/>
      <c r="H28" s="51"/>
      <c r="M28" s="18"/>
      <c r="N28" s="18"/>
      <c r="O28" s="18"/>
      <c r="P28" s="18"/>
    </row>
    <row r="29" spans="2:16" s="4" customFormat="1" x14ac:dyDescent="0.25">
      <c r="B29" s="1004"/>
      <c r="C29" s="12"/>
      <c r="D29" s="12"/>
      <c r="E29" s="12"/>
      <c r="F29" s="12"/>
      <c r="G29" s="51"/>
      <c r="H29" s="51"/>
      <c r="M29" s="18"/>
      <c r="N29" s="18"/>
      <c r="O29" s="18"/>
      <c r="P29" s="18"/>
    </row>
    <row r="30" spans="2:16" s="4" customFormat="1" x14ac:dyDescent="0.25">
      <c r="B30" s="1004"/>
      <c r="C30" s="12"/>
      <c r="D30" s="12"/>
      <c r="E30" s="12"/>
      <c r="F30" s="12"/>
      <c r="G30" s="51"/>
      <c r="H30" s="51"/>
      <c r="M30" s="18"/>
      <c r="N30" s="18"/>
      <c r="O30" s="18"/>
      <c r="P30" s="18"/>
    </row>
    <row r="31" spans="2:16" s="4" customFormat="1" x14ac:dyDescent="0.25">
      <c r="B31" s="1004"/>
      <c r="C31" s="12"/>
      <c r="D31" s="12"/>
      <c r="E31" s="12"/>
      <c r="F31" s="12"/>
      <c r="G31" s="51"/>
      <c r="H31" s="51"/>
      <c r="M31" s="18"/>
      <c r="N31" s="18"/>
      <c r="O31" s="18"/>
      <c r="P31" s="18"/>
    </row>
    <row r="32" spans="2:16" s="4" customFormat="1" x14ac:dyDescent="0.25">
      <c r="B32" s="1004"/>
      <c r="C32" s="12"/>
      <c r="D32" s="12"/>
      <c r="E32" s="12"/>
      <c r="F32" s="12"/>
      <c r="G32" s="51"/>
      <c r="H32" s="51"/>
      <c r="M32" s="18"/>
      <c r="N32" s="18"/>
      <c r="O32" s="18"/>
      <c r="P32" s="18"/>
    </row>
    <row r="33" spans="1:17" s="4" customFormat="1" x14ac:dyDescent="0.25">
      <c r="B33" s="1004"/>
      <c r="C33" s="12"/>
      <c r="D33" s="12"/>
      <c r="E33" s="12"/>
      <c r="F33" s="12"/>
      <c r="G33" s="51"/>
      <c r="H33" s="51"/>
      <c r="M33" s="18"/>
      <c r="N33" s="18"/>
      <c r="O33" s="18"/>
      <c r="P33" s="18"/>
    </row>
    <row r="34" spans="1:17" s="4" customFormat="1" x14ac:dyDescent="0.25">
      <c r="B34" s="1004"/>
      <c r="C34" s="12"/>
      <c r="D34" s="12"/>
      <c r="E34" s="12"/>
      <c r="F34" s="12"/>
      <c r="G34" s="51"/>
      <c r="H34" s="51"/>
      <c r="M34" s="18"/>
      <c r="N34" s="18"/>
      <c r="O34" s="18"/>
      <c r="P34" s="18"/>
    </row>
    <row r="35" spans="1:17" s="4" customFormat="1" x14ac:dyDescent="0.25">
      <c r="B35" s="1004"/>
      <c r="C35" s="12"/>
      <c r="D35" s="12"/>
      <c r="E35" s="12"/>
      <c r="F35" s="12"/>
      <c r="G35" s="51"/>
      <c r="H35" s="51"/>
      <c r="M35" s="18"/>
      <c r="N35" s="18"/>
      <c r="O35" s="18"/>
      <c r="P35" s="18"/>
    </row>
    <row r="36" spans="1:17" s="4" customFormat="1" x14ac:dyDescent="0.25">
      <c r="A36" s="1844" t="s">
        <v>20</v>
      </c>
      <c r="B36" s="1845"/>
      <c r="C36" s="1845"/>
      <c r="D36" s="1845"/>
      <c r="E36" s="1845"/>
      <c r="F36" s="1845"/>
      <c r="G36" s="1845"/>
      <c r="H36" s="1845"/>
      <c r="I36" s="1845"/>
      <c r="J36" s="1845"/>
      <c r="K36" s="1845"/>
      <c r="L36" s="1845"/>
      <c r="M36" s="1845"/>
      <c r="N36" s="1845"/>
      <c r="O36" s="1845"/>
      <c r="P36" s="1845"/>
      <c r="Q36" s="1846"/>
    </row>
    <row r="37" spans="1:17" s="4" customFormat="1" x14ac:dyDescent="0.25">
      <c r="A37" s="1847" t="s">
        <v>1725</v>
      </c>
      <c r="B37" s="1848"/>
      <c r="C37" s="1848"/>
      <c r="D37" s="1848"/>
      <c r="E37" s="1848"/>
      <c r="F37" s="1848"/>
      <c r="G37" s="1848"/>
      <c r="H37" s="1848"/>
      <c r="I37" s="1848"/>
      <c r="J37" s="1848"/>
      <c r="K37" s="1848"/>
      <c r="L37" s="1848"/>
      <c r="M37" s="1848"/>
      <c r="N37" s="1848"/>
      <c r="O37" s="1848"/>
      <c r="P37" s="1848"/>
      <c r="Q37" s="1849"/>
    </row>
    <row r="38" spans="1:17" s="4" customFormat="1" ht="9" customHeight="1" x14ac:dyDescent="0.25">
      <c r="B38" s="1004"/>
      <c r="C38" s="12"/>
      <c r="D38" s="12"/>
      <c r="E38" s="12"/>
      <c r="F38" s="12"/>
      <c r="G38" s="51"/>
      <c r="H38" s="51"/>
      <c r="M38" s="18"/>
      <c r="N38" s="18"/>
      <c r="O38" s="18"/>
      <c r="P38" s="18"/>
    </row>
    <row r="39" spans="1:17" x14ac:dyDescent="0.25">
      <c r="B39" s="6" t="s">
        <v>1672</v>
      </c>
      <c r="C39" s="21" t="s">
        <v>482</v>
      </c>
      <c r="D39" s="21"/>
      <c r="L39" s="2101"/>
      <c r="M39" s="2101"/>
    </row>
    <row r="40" spans="1:17" x14ac:dyDescent="0.25">
      <c r="B40" s="6"/>
      <c r="C40" s="21"/>
      <c r="D40" s="21"/>
      <c r="L40" s="47"/>
      <c r="M40" s="2153" t="s">
        <v>9</v>
      </c>
      <c r="N40" s="2153"/>
      <c r="O40" s="2153" t="s">
        <v>8</v>
      </c>
      <c r="P40" s="2153"/>
    </row>
    <row r="41" spans="1:17" ht="7.5" customHeight="1" x14ac:dyDescent="0.25">
      <c r="A41" s="2" t="s">
        <v>1724</v>
      </c>
      <c r="B41" s="1133">
        <v>1</v>
      </c>
      <c r="C41" s="17"/>
      <c r="D41" s="991"/>
      <c r="E41" s="1013"/>
      <c r="F41" s="1013"/>
      <c r="G41" s="2094"/>
      <c r="H41" s="2094"/>
      <c r="I41" s="29"/>
      <c r="J41" s="29"/>
      <c r="K41" s="29"/>
      <c r="L41" s="1013"/>
      <c r="M41" s="2154"/>
      <c r="N41" s="2154"/>
      <c r="O41" s="2154"/>
      <c r="P41" s="2154"/>
    </row>
    <row r="42" spans="1:17" x14ac:dyDescent="0.25">
      <c r="B42" s="30" t="s">
        <v>11</v>
      </c>
      <c r="C42" s="1015" t="s">
        <v>10</v>
      </c>
      <c r="D42" s="31"/>
      <c r="E42" s="1016"/>
      <c r="F42" s="991"/>
      <c r="G42" s="51"/>
      <c r="H42" s="51"/>
      <c r="I42" s="4"/>
      <c r="J42" s="4"/>
      <c r="K42" s="4"/>
      <c r="L42" s="991"/>
      <c r="M42" s="2008">
        <v>10000</v>
      </c>
      <c r="N42" s="2009"/>
      <c r="O42" s="2012"/>
      <c r="P42" s="2009"/>
    </row>
    <row r="43" spans="1:17" x14ac:dyDescent="0.25">
      <c r="B43" s="1009" t="s">
        <v>11</v>
      </c>
      <c r="C43" s="1015" t="s">
        <v>5</v>
      </c>
      <c r="D43" s="1016"/>
      <c r="E43" s="1016"/>
      <c r="F43" s="1016"/>
      <c r="G43" s="51"/>
      <c r="H43" s="51"/>
      <c r="I43" s="4"/>
      <c r="J43" s="4"/>
      <c r="K43" s="4"/>
      <c r="L43" s="4"/>
      <c r="M43" s="2008">
        <v>10000</v>
      </c>
      <c r="N43" s="2009"/>
      <c r="O43" s="2008"/>
      <c r="P43" s="2009"/>
    </row>
    <row r="44" spans="1:17" x14ac:dyDescent="0.25">
      <c r="B44" s="1009" t="s">
        <v>458</v>
      </c>
      <c r="C44" s="1015"/>
      <c r="D44" s="1016"/>
      <c r="E44" s="1016"/>
      <c r="F44" s="20" t="s">
        <v>1</v>
      </c>
      <c r="G44" s="1020" t="s">
        <v>435</v>
      </c>
      <c r="H44" s="1020"/>
      <c r="I44" s="4"/>
      <c r="J44" s="4"/>
      <c r="K44" s="4"/>
      <c r="L44" s="4"/>
      <c r="M44" s="2008"/>
      <c r="N44" s="2012"/>
      <c r="O44" s="2008">
        <f>+M42+M43</f>
        <v>20000</v>
      </c>
      <c r="P44" s="2009"/>
    </row>
    <row r="45" spans="1:17" x14ac:dyDescent="0.25">
      <c r="C45" s="987" t="s">
        <v>1723</v>
      </c>
      <c r="D45" s="1016"/>
      <c r="E45" s="1016"/>
      <c r="F45" s="20"/>
      <c r="G45" s="1020"/>
      <c r="H45" s="1020"/>
      <c r="I45" s="4"/>
      <c r="J45" s="4"/>
      <c r="K45" s="4"/>
      <c r="L45" s="4"/>
      <c r="M45" s="2008"/>
      <c r="N45" s="2012"/>
      <c r="O45" s="2008"/>
      <c r="P45" s="2009"/>
    </row>
    <row r="46" spans="1:17" ht="11.25" customHeight="1" x14ac:dyDescent="0.25">
      <c r="B46" s="33"/>
      <c r="C46" s="2090" t="s">
        <v>21</v>
      </c>
      <c r="D46" s="2090"/>
      <c r="E46" s="2090"/>
      <c r="F46" s="2090"/>
      <c r="G46" s="2096"/>
      <c r="H46" s="2096"/>
      <c r="I46" s="2090" t="s">
        <v>21</v>
      </c>
      <c r="J46" s="2090"/>
      <c r="K46" s="2090"/>
      <c r="L46" s="2092"/>
      <c r="M46" s="2008"/>
      <c r="N46" s="2012"/>
      <c r="O46" s="2008"/>
      <c r="P46" s="2009"/>
    </row>
    <row r="47" spans="1:17" x14ac:dyDescent="0.25">
      <c r="B47" s="1009" t="s">
        <v>11</v>
      </c>
      <c r="C47" s="1015" t="s">
        <v>22</v>
      </c>
      <c r="D47" s="1016"/>
      <c r="E47" s="1016"/>
      <c r="F47" s="1016"/>
      <c r="G47" s="51"/>
      <c r="H47" s="51"/>
      <c r="I47" s="4"/>
      <c r="J47" s="4"/>
      <c r="K47" s="4"/>
      <c r="L47" s="991"/>
      <c r="M47" s="2008">
        <f>+M42*0.5</f>
        <v>5000</v>
      </c>
      <c r="N47" s="2012"/>
      <c r="O47" s="2008"/>
      <c r="P47" s="2009"/>
    </row>
    <row r="48" spans="1:17" s="4" customFormat="1" x14ac:dyDescent="0.25">
      <c r="B48" s="1009" t="s">
        <v>14</v>
      </c>
      <c r="C48" s="1015"/>
      <c r="D48" s="1016"/>
      <c r="E48" s="1016"/>
      <c r="F48" s="20" t="s">
        <v>1</v>
      </c>
      <c r="G48" s="1020" t="s">
        <v>10</v>
      </c>
      <c r="H48" s="51"/>
      <c r="M48" s="2008"/>
      <c r="N48" s="2012"/>
      <c r="O48" s="2008">
        <f>+M47</f>
        <v>5000</v>
      </c>
      <c r="P48" s="2009"/>
    </row>
    <row r="49" spans="2:17" s="4" customFormat="1" x14ac:dyDescent="0.25">
      <c r="B49" s="1009"/>
      <c r="C49" s="987" t="s">
        <v>1722</v>
      </c>
      <c r="D49" s="1016"/>
      <c r="E49" s="1016"/>
      <c r="F49" s="20"/>
      <c r="G49" s="1020"/>
      <c r="H49" s="51"/>
      <c r="M49" s="2008"/>
      <c r="N49" s="2012"/>
      <c r="O49" s="2008"/>
      <c r="P49" s="2009"/>
    </row>
    <row r="50" spans="2:17" ht="7.5" customHeight="1" x14ac:dyDescent="0.25">
      <c r="B50" s="1133">
        <v>2</v>
      </c>
      <c r="C50" s="2110" t="s">
        <v>21</v>
      </c>
      <c r="D50" s="2090"/>
      <c r="E50" s="2090"/>
      <c r="F50" s="2090"/>
      <c r="G50" s="2096"/>
      <c r="H50" s="2096"/>
      <c r="I50" s="2090" t="s">
        <v>21</v>
      </c>
      <c r="J50" s="2090"/>
      <c r="K50" s="2090"/>
      <c r="L50" s="2090"/>
      <c r="M50" s="2008"/>
      <c r="N50" s="2012"/>
      <c r="O50" s="2008"/>
      <c r="P50" s="2012"/>
      <c r="Q50" s="8"/>
    </row>
    <row r="51" spans="2:17" x14ac:dyDescent="0.25">
      <c r="B51" s="1009" t="s">
        <v>11</v>
      </c>
      <c r="C51" s="1015" t="s">
        <v>1702</v>
      </c>
      <c r="D51" s="1016"/>
      <c r="E51" s="1016"/>
      <c r="F51" s="1016"/>
      <c r="G51" s="51"/>
      <c r="H51" s="51"/>
      <c r="I51" s="4"/>
      <c r="J51" s="4"/>
      <c r="K51" s="4"/>
      <c r="L51" s="991"/>
      <c r="M51" s="2008">
        <f>+SUM($O$53:$P$54)*0.5</f>
        <v>2420</v>
      </c>
      <c r="N51" s="2012"/>
      <c r="O51" s="2008"/>
      <c r="P51" s="2012"/>
      <c r="Q51" s="8"/>
    </row>
    <row r="52" spans="2:17" x14ac:dyDescent="0.25">
      <c r="B52" s="1009" t="s">
        <v>11</v>
      </c>
      <c r="C52" s="1015" t="s">
        <v>478</v>
      </c>
      <c r="D52" s="1016"/>
      <c r="E52" s="1016"/>
      <c r="F52" s="1016"/>
      <c r="G52" s="51"/>
      <c r="H52" s="51"/>
      <c r="I52" s="4"/>
      <c r="J52" s="4"/>
      <c r="K52" s="4"/>
      <c r="L52" s="991"/>
      <c r="M52" s="2008">
        <f>+SUM($O$53:$P$54)*0.5</f>
        <v>2420</v>
      </c>
      <c r="N52" s="2012"/>
      <c r="O52" s="2008"/>
      <c r="P52" s="2012"/>
      <c r="Q52" s="8"/>
    </row>
    <row r="53" spans="2:17" s="4" customFormat="1" x14ac:dyDescent="0.25">
      <c r="B53" s="1009" t="s">
        <v>16</v>
      </c>
      <c r="C53" s="1015"/>
      <c r="D53" s="1016"/>
      <c r="E53" s="1016"/>
      <c r="F53" s="20" t="s">
        <v>1</v>
      </c>
      <c r="G53" s="1020" t="s">
        <v>3</v>
      </c>
      <c r="H53" s="51"/>
      <c r="M53" s="2008"/>
      <c r="N53" s="2012"/>
      <c r="O53" s="2008">
        <v>4000</v>
      </c>
      <c r="P53" s="2009"/>
    </row>
    <row r="54" spans="2:17" s="4" customFormat="1" x14ac:dyDescent="0.25">
      <c r="B54" s="1009" t="s">
        <v>17</v>
      </c>
      <c r="C54" s="1015"/>
      <c r="D54" s="1016"/>
      <c r="E54" s="1016"/>
      <c r="F54" s="20" t="s">
        <v>1</v>
      </c>
      <c r="G54" s="1020" t="s">
        <v>12</v>
      </c>
      <c r="H54" s="51"/>
      <c r="M54" s="2008"/>
      <c r="N54" s="2012"/>
      <c r="O54" s="2008">
        <f>+O53*0.21</f>
        <v>840</v>
      </c>
      <c r="P54" s="2009"/>
    </row>
    <row r="55" spans="2:17" s="4" customFormat="1" x14ac:dyDescent="0.25">
      <c r="B55" s="1009"/>
      <c r="C55" s="987" t="s">
        <v>1721</v>
      </c>
      <c r="D55" s="1016"/>
      <c r="E55" s="1016"/>
      <c r="F55" s="20"/>
      <c r="G55" s="1020"/>
      <c r="H55" s="51"/>
      <c r="M55" s="2008"/>
      <c r="N55" s="2012"/>
      <c r="O55" s="2008"/>
      <c r="P55" s="2009"/>
    </row>
    <row r="56" spans="2:17" s="4" customFormat="1" x14ac:dyDescent="0.25">
      <c r="B56" s="1009"/>
      <c r="C56" s="2110" t="s">
        <v>21</v>
      </c>
      <c r="D56" s="2090"/>
      <c r="E56" s="2090"/>
      <c r="F56" s="2090"/>
      <c r="G56" s="2096"/>
      <c r="H56" s="2096"/>
      <c r="I56" s="2090" t="s">
        <v>21</v>
      </c>
      <c r="J56" s="2090"/>
      <c r="K56" s="2090"/>
      <c r="L56" s="2090"/>
      <c r="M56" s="2008"/>
      <c r="N56" s="2012"/>
      <c r="O56" s="2008"/>
      <c r="P56" s="2009"/>
    </row>
    <row r="57" spans="2:17" s="4" customFormat="1" x14ac:dyDescent="0.25">
      <c r="B57" s="1009" t="s">
        <v>15</v>
      </c>
      <c r="C57" s="1015" t="s">
        <v>1057</v>
      </c>
      <c r="D57" s="1016"/>
      <c r="E57" s="1016"/>
      <c r="F57" s="20"/>
      <c r="G57" s="1020"/>
      <c r="H57" s="51"/>
      <c r="M57" s="2008">
        <f>0.25*M43</f>
        <v>2500</v>
      </c>
      <c r="N57" s="2012"/>
      <c r="O57" s="2008"/>
      <c r="P57" s="2009"/>
    </row>
    <row r="58" spans="2:17" s="4" customFormat="1" x14ac:dyDescent="0.25">
      <c r="B58" s="1009" t="s">
        <v>14</v>
      </c>
      <c r="C58" s="1015"/>
      <c r="D58" s="1016"/>
      <c r="E58" s="1016"/>
      <c r="F58" s="20" t="s">
        <v>1</v>
      </c>
      <c r="G58" s="1020" t="s">
        <v>5</v>
      </c>
      <c r="H58" s="51"/>
      <c r="M58" s="2008"/>
      <c r="N58" s="2012"/>
      <c r="O58" s="2008">
        <f>+M57</f>
        <v>2500</v>
      </c>
      <c r="P58" s="2009"/>
    </row>
    <row r="59" spans="2:17" s="4" customFormat="1" x14ac:dyDescent="0.25">
      <c r="B59" s="1009"/>
      <c r="C59" s="987" t="s">
        <v>1720</v>
      </c>
      <c r="D59" s="1016"/>
      <c r="E59" s="1016"/>
      <c r="F59" s="20"/>
      <c r="G59" s="1020"/>
      <c r="H59" s="51"/>
      <c r="M59" s="2008"/>
      <c r="N59" s="2012"/>
      <c r="O59" s="2008"/>
      <c r="P59" s="2009"/>
    </row>
    <row r="60" spans="2:17" ht="7.5" customHeight="1" x14ac:dyDescent="0.25">
      <c r="B60" s="1133">
        <v>3</v>
      </c>
      <c r="C60" s="2110" t="s">
        <v>21</v>
      </c>
      <c r="D60" s="2090"/>
      <c r="E60" s="2090"/>
      <c r="F60" s="2090"/>
      <c r="G60" s="2096"/>
      <c r="H60" s="2096"/>
      <c r="I60" s="2090" t="s">
        <v>21</v>
      </c>
      <c r="J60" s="2090"/>
      <c r="K60" s="2090"/>
      <c r="L60" s="2090"/>
      <c r="M60" s="2008"/>
      <c r="N60" s="2012"/>
      <c r="O60" s="2008"/>
      <c r="P60" s="2009"/>
      <c r="Q60" s="4"/>
    </row>
    <row r="61" spans="2:17" x14ac:dyDescent="0.25">
      <c r="B61" s="1009" t="s">
        <v>15</v>
      </c>
      <c r="C61" s="1015" t="s">
        <v>1081</v>
      </c>
      <c r="D61" s="1016"/>
      <c r="E61" s="1016"/>
      <c r="F61" s="1016"/>
      <c r="G61" s="51"/>
      <c r="H61" s="51"/>
      <c r="I61" s="4"/>
      <c r="J61" s="4"/>
      <c r="K61" s="4"/>
      <c r="L61" s="991"/>
      <c r="M61" s="2008">
        <v>3000</v>
      </c>
      <c r="N61" s="2012"/>
      <c r="O61" s="2008"/>
      <c r="P61" s="2009"/>
      <c r="Q61" s="4"/>
    </row>
    <row r="62" spans="2:17" x14ac:dyDescent="0.25">
      <c r="B62" s="1009" t="s">
        <v>11</v>
      </c>
      <c r="C62" s="1015" t="s">
        <v>13</v>
      </c>
      <c r="D62" s="1016"/>
      <c r="E62" s="1016"/>
      <c r="F62" s="1016"/>
      <c r="G62" s="51"/>
      <c r="H62" s="51"/>
      <c r="I62" s="4"/>
      <c r="J62" s="4"/>
      <c r="K62" s="4"/>
      <c r="L62" s="991"/>
      <c r="M62" s="2008">
        <f>+M61*0.21</f>
        <v>630</v>
      </c>
      <c r="N62" s="2012"/>
      <c r="O62" s="993"/>
      <c r="P62" s="995"/>
      <c r="Q62" s="4"/>
    </row>
    <row r="63" spans="2:17" s="4" customFormat="1" x14ac:dyDescent="0.25">
      <c r="B63" s="1009" t="s">
        <v>14</v>
      </c>
      <c r="C63" s="1015"/>
      <c r="D63" s="1016"/>
      <c r="E63" s="1016"/>
      <c r="F63" s="20" t="s">
        <v>1</v>
      </c>
      <c r="G63" s="1020" t="s">
        <v>22</v>
      </c>
      <c r="H63" s="51"/>
      <c r="M63" s="2008"/>
      <c r="N63" s="2012"/>
      <c r="O63" s="2008">
        <f>+M61+M62</f>
        <v>3630</v>
      </c>
      <c r="P63" s="2009"/>
    </row>
    <row r="64" spans="2:17" s="4" customFormat="1" x14ac:dyDescent="0.25">
      <c r="B64" s="1009"/>
      <c r="C64" s="987" t="s">
        <v>1719</v>
      </c>
      <c r="D64" s="1016"/>
      <c r="E64" s="1016"/>
      <c r="F64" s="20"/>
      <c r="G64" s="1020"/>
      <c r="H64" s="51"/>
      <c r="M64" s="2008"/>
      <c r="N64" s="2012"/>
      <c r="O64" s="2008"/>
      <c r="P64" s="2009"/>
    </row>
    <row r="65" spans="2:17" ht="7.5" customHeight="1" x14ac:dyDescent="0.25">
      <c r="B65" s="1133">
        <v>4</v>
      </c>
      <c r="C65" s="2110" t="s">
        <v>21</v>
      </c>
      <c r="D65" s="2090"/>
      <c r="E65" s="2090"/>
      <c r="F65" s="2090"/>
      <c r="G65" s="2096"/>
      <c r="H65" s="2096"/>
      <c r="I65" s="2090" t="s">
        <v>21</v>
      </c>
      <c r="J65" s="2090"/>
      <c r="K65" s="2090"/>
      <c r="L65" s="2090"/>
      <c r="M65" s="2008"/>
      <c r="N65" s="2012"/>
      <c r="O65" s="2008"/>
      <c r="P65" s="2009"/>
      <c r="Q65" s="4"/>
    </row>
    <row r="66" spans="2:17" x14ac:dyDescent="0.25">
      <c r="B66" s="1009" t="s">
        <v>15</v>
      </c>
      <c r="C66" s="1015" t="s">
        <v>1700</v>
      </c>
      <c r="D66" s="1016"/>
      <c r="E66" s="1016"/>
      <c r="F66" s="1016"/>
      <c r="G66" s="51"/>
      <c r="H66" s="51"/>
      <c r="I66" s="4"/>
      <c r="J66" s="4"/>
      <c r="K66" s="4"/>
      <c r="L66" s="991"/>
      <c r="M66" s="2008">
        <f>0.5*(M42-O58)</f>
        <v>3750</v>
      </c>
      <c r="N66" s="2012"/>
      <c r="O66" s="2008"/>
      <c r="P66" s="2009"/>
      <c r="Q66" s="4"/>
    </row>
    <row r="67" spans="2:17" s="4" customFormat="1" x14ac:dyDescent="0.25">
      <c r="B67" s="1009" t="s">
        <v>14</v>
      </c>
      <c r="C67" s="1015"/>
      <c r="D67" s="1016"/>
      <c r="E67" s="1016"/>
      <c r="F67" s="20" t="s">
        <v>1</v>
      </c>
      <c r="G67" s="1020" t="s">
        <v>5</v>
      </c>
      <c r="H67" s="51"/>
      <c r="M67" s="2008"/>
      <c r="N67" s="2012"/>
      <c r="O67" s="2008">
        <f>+M66</f>
        <v>3750</v>
      </c>
      <c r="P67" s="2009"/>
    </row>
    <row r="68" spans="2:17" s="4" customFormat="1" x14ac:dyDescent="0.25">
      <c r="B68" s="1009"/>
      <c r="C68" s="1134" t="s">
        <v>1718</v>
      </c>
      <c r="D68" s="1016"/>
      <c r="E68" s="1016"/>
      <c r="F68" s="20"/>
      <c r="G68" s="1020"/>
      <c r="H68" s="51"/>
      <c r="M68" s="2008"/>
      <c r="N68" s="2012"/>
      <c r="O68" s="2008"/>
      <c r="P68" s="2009"/>
    </row>
    <row r="69" spans="2:17" ht="7.5" customHeight="1" x14ac:dyDescent="0.25">
      <c r="B69" s="1133">
        <v>5</v>
      </c>
      <c r="C69" s="2110" t="s">
        <v>21</v>
      </c>
      <c r="D69" s="2090"/>
      <c r="E69" s="2090"/>
      <c r="F69" s="2090"/>
      <c r="G69" s="2096"/>
      <c r="H69" s="2096"/>
      <c r="I69" s="2090" t="s">
        <v>21</v>
      </c>
      <c r="J69" s="2090"/>
      <c r="K69" s="2090"/>
      <c r="L69" s="2090"/>
      <c r="M69" s="2008"/>
      <c r="N69" s="2012"/>
      <c r="O69" s="2008"/>
      <c r="P69" s="2009"/>
      <c r="Q69" s="4"/>
    </row>
    <row r="70" spans="2:17" x14ac:dyDescent="0.25">
      <c r="B70" s="1009" t="s">
        <v>11</v>
      </c>
      <c r="C70" s="1015" t="s">
        <v>5</v>
      </c>
      <c r="D70" s="1016"/>
      <c r="E70" s="1016"/>
      <c r="F70" s="1016"/>
      <c r="G70" s="51"/>
      <c r="H70" s="51"/>
      <c r="I70" s="4"/>
      <c r="J70" s="4"/>
      <c r="K70" s="4"/>
      <c r="L70" s="991"/>
      <c r="M70" s="2008">
        <f>3500+100</f>
        <v>3600</v>
      </c>
      <c r="N70" s="2012"/>
      <c r="O70" s="2008"/>
      <c r="P70" s="2009"/>
      <c r="Q70" s="4"/>
    </row>
    <row r="71" spans="2:17" x14ac:dyDescent="0.25">
      <c r="B71" s="1009" t="s">
        <v>11</v>
      </c>
      <c r="C71" s="1015" t="s">
        <v>13</v>
      </c>
      <c r="D71" s="1016"/>
      <c r="E71" s="1016"/>
      <c r="F71" s="1016"/>
      <c r="G71" s="51"/>
      <c r="H71" s="51"/>
      <c r="I71" s="4"/>
      <c r="J71" s="4"/>
      <c r="K71" s="4"/>
      <c r="L71" s="991"/>
      <c r="M71" s="2008">
        <f>+M70*0.21</f>
        <v>756</v>
      </c>
      <c r="N71" s="2012"/>
      <c r="O71" s="993"/>
      <c r="P71" s="995"/>
      <c r="Q71" s="4"/>
    </row>
    <row r="72" spans="2:17" x14ac:dyDescent="0.25">
      <c r="B72" s="1009" t="s">
        <v>14</v>
      </c>
      <c r="C72" s="1015"/>
      <c r="D72" s="1016"/>
      <c r="E72" s="1016"/>
      <c r="F72" s="20" t="s">
        <v>1</v>
      </c>
      <c r="G72" s="1020" t="s">
        <v>10</v>
      </c>
      <c r="H72" s="51"/>
      <c r="I72" s="4"/>
      <c r="J72" s="4"/>
      <c r="K72" s="4"/>
      <c r="L72" s="991"/>
      <c r="M72" s="993"/>
      <c r="N72" s="994"/>
      <c r="O72" s="2008">
        <f>100*1.21</f>
        <v>121</v>
      </c>
      <c r="P72" s="2009"/>
      <c r="Q72" s="4"/>
    </row>
    <row r="73" spans="2:17" s="4" customFormat="1" x14ac:dyDescent="0.25">
      <c r="B73" s="1009" t="s">
        <v>17</v>
      </c>
      <c r="C73" s="1015"/>
      <c r="D73" s="1016"/>
      <c r="E73" s="1016"/>
      <c r="F73" s="20" t="s">
        <v>1</v>
      </c>
      <c r="G73" s="1020" t="s">
        <v>6</v>
      </c>
      <c r="H73" s="51"/>
      <c r="M73" s="2008"/>
      <c r="N73" s="2012"/>
      <c r="O73" s="2008">
        <f>+M70+M71-O72</f>
        <v>4235</v>
      </c>
      <c r="P73" s="2009"/>
    </row>
    <row r="74" spans="2:17" s="4" customFormat="1" x14ac:dyDescent="0.25">
      <c r="B74" s="1009"/>
      <c r="C74" s="987" t="s">
        <v>1717</v>
      </c>
      <c r="D74" s="1016"/>
      <c r="E74" s="1016"/>
      <c r="F74" s="20"/>
      <c r="G74" s="1020"/>
      <c r="H74" s="51"/>
      <c r="M74" s="2008"/>
      <c r="N74" s="2012"/>
      <c r="O74" s="2008"/>
      <c r="P74" s="2009"/>
    </row>
    <row r="75" spans="2:17" ht="7.5" customHeight="1" x14ac:dyDescent="0.25">
      <c r="B75" s="1133">
        <v>6</v>
      </c>
      <c r="C75" s="2110" t="s">
        <v>21</v>
      </c>
      <c r="D75" s="2090"/>
      <c r="E75" s="2090"/>
      <c r="F75" s="2090"/>
      <c r="G75" s="2096"/>
      <c r="H75" s="2096"/>
      <c r="I75" s="2090" t="s">
        <v>21</v>
      </c>
      <c r="J75" s="2090"/>
      <c r="K75" s="2090"/>
      <c r="L75" s="2090"/>
      <c r="M75" s="2008"/>
      <c r="N75" s="2012"/>
      <c r="O75" s="2008"/>
      <c r="P75" s="2009"/>
      <c r="Q75" s="4"/>
    </row>
    <row r="76" spans="2:17" x14ac:dyDescent="0.25">
      <c r="B76" s="1009" t="s">
        <v>207</v>
      </c>
      <c r="C76" s="1015" t="s">
        <v>6</v>
      </c>
      <c r="D76" s="1016"/>
      <c r="E76" s="1016"/>
      <c r="F76" s="1016"/>
      <c r="G76" s="51"/>
      <c r="H76" s="51"/>
      <c r="I76" s="4"/>
      <c r="J76" s="4"/>
      <c r="K76" s="4"/>
      <c r="L76" s="991"/>
      <c r="M76" s="2008">
        <f>+O73</f>
        <v>4235</v>
      </c>
      <c r="N76" s="2012"/>
      <c r="O76" s="2008"/>
      <c r="P76" s="2009"/>
      <c r="Q76" s="4"/>
    </row>
    <row r="77" spans="2:17" s="4" customFormat="1" x14ac:dyDescent="0.25">
      <c r="B77" s="1009" t="s">
        <v>17</v>
      </c>
      <c r="C77" s="1015"/>
      <c r="D77" s="1016"/>
      <c r="E77" s="1016"/>
      <c r="F77" s="20" t="s">
        <v>1</v>
      </c>
      <c r="G77" s="1020" t="s">
        <v>1701</v>
      </c>
      <c r="H77" s="51"/>
      <c r="M77" s="2008"/>
      <c r="N77" s="2012"/>
      <c r="O77" s="2008">
        <f>+M76</f>
        <v>4235</v>
      </c>
      <c r="P77" s="2009"/>
    </row>
    <row r="78" spans="2:17" s="4" customFormat="1" x14ac:dyDescent="0.25">
      <c r="B78" s="1009"/>
      <c r="C78" s="987" t="s">
        <v>1716</v>
      </c>
      <c r="D78" s="1016"/>
      <c r="E78" s="1016"/>
      <c r="F78" s="20"/>
      <c r="G78" s="1020"/>
      <c r="H78" s="51"/>
      <c r="M78" s="2008"/>
      <c r="N78" s="2012"/>
      <c r="O78" s="2008"/>
      <c r="P78" s="2009"/>
    </row>
    <row r="79" spans="2:17" ht="7.5" customHeight="1" x14ac:dyDescent="0.25">
      <c r="B79" s="1133">
        <v>7</v>
      </c>
      <c r="C79" s="2110" t="s">
        <v>21</v>
      </c>
      <c r="D79" s="2090"/>
      <c r="E79" s="2090"/>
      <c r="F79" s="2090"/>
      <c r="G79" s="2096"/>
      <c r="H79" s="2096"/>
      <c r="I79" s="2090" t="s">
        <v>21</v>
      </c>
      <c r="J79" s="2090"/>
      <c r="K79" s="2090"/>
      <c r="L79" s="2090"/>
      <c r="M79" s="2008"/>
      <c r="N79" s="2012"/>
      <c r="O79" s="2008"/>
      <c r="P79" s="2009"/>
      <c r="Q79" s="4"/>
    </row>
    <row r="80" spans="2:17" x14ac:dyDescent="0.25">
      <c r="B80" s="1009" t="s">
        <v>15</v>
      </c>
      <c r="C80" s="1015" t="s">
        <v>874</v>
      </c>
      <c r="D80" s="1016"/>
      <c r="E80" s="1016"/>
      <c r="F80" s="1016"/>
      <c r="G80" s="51"/>
      <c r="H80" s="51"/>
      <c r="I80" s="4"/>
      <c r="J80" s="4"/>
      <c r="K80" s="4"/>
      <c r="L80" s="991"/>
      <c r="M80" s="2008">
        <f>363/1.21</f>
        <v>300</v>
      </c>
      <c r="N80" s="2012"/>
      <c r="O80" s="2008"/>
      <c r="P80" s="2009"/>
      <c r="Q80" s="4"/>
    </row>
    <row r="81" spans="2:17" x14ac:dyDescent="0.25">
      <c r="B81" s="1009" t="s">
        <v>11</v>
      </c>
      <c r="C81" s="1015" t="s">
        <v>13</v>
      </c>
      <c r="D81" s="1016"/>
      <c r="E81" s="1016"/>
      <c r="F81" s="1016"/>
      <c r="G81" s="51"/>
      <c r="H81" s="51"/>
      <c r="I81" s="4"/>
      <c r="J81" s="4"/>
      <c r="K81" s="4"/>
      <c r="L81" s="991"/>
      <c r="M81" s="2008">
        <f>+M80*0.21</f>
        <v>63</v>
      </c>
      <c r="N81" s="2012"/>
      <c r="O81" s="993"/>
      <c r="P81" s="995"/>
      <c r="Q81" s="4"/>
    </row>
    <row r="82" spans="2:17" s="4" customFormat="1" x14ac:dyDescent="0.25">
      <c r="B82" s="1009" t="s">
        <v>14</v>
      </c>
      <c r="C82" s="1015"/>
      <c r="D82" s="1016"/>
      <c r="E82" s="1016"/>
      <c r="F82" s="20" t="s">
        <v>1</v>
      </c>
      <c r="G82" s="1020" t="s">
        <v>22</v>
      </c>
      <c r="H82" s="51"/>
      <c r="M82" s="2008"/>
      <c r="N82" s="2012"/>
      <c r="O82" s="2008">
        <f>+M80+M81</f>
        <v>363</v>
      </c>
      <c r="P82" s="2009"/>
    </row>
    <row r="83" spans="2:17" s="4" customFormat="1" x14ac:dyDescent="0.25">
      <c r="B83" s="1009"/>
      <c r="C83" s="987" t="s">
        <v>1715</v>
      </c>
      <c r="D83" s="1016"/>
      <c r="E83" s="1016"/>
      <c r="F83" s="20"/>
      <c r="G83" s="1020"/>
      <c r="H83" s="51"/>
      <c r="M83" s="2008"/>
      <c r="N83" s="2012"/>
      <c r="O83" s="2008"/>
      <c r="P83" s="2009"/>
    </row>
    <row r="84" spans="2:17" ht="7.5" customHeight="1" x14ac:dyDescent="0.25">
      <c r="B84" s="1133">
        <v>8</v>
      </c>
      <c r="C84" s="2110" t="s">
        <v>21</v>
      </c>
      <c r="D84" s="2090"/>
      <c r="E84" s="2090"/>
      <c r="F84" s="2090"/>
      <c r="G84" s="2096"/>
      <c r="H84" s="2096"/>
      <c r="I84" s="2090" t="s">
        <v>21</v>
      </c>
      <c r="J84" s="2090"/>
      <c r="K84" s="2090"/>
      <c r="L84" s="2090"/>
      <c r="M84" s="2008"/>
      <c r="N84" s="2012"/>
      <c r="O84" s="2008"/>
      <c r="P84" s="2009"/>
      <c r="Q84" s="4"/>
    </row>
    <row r="85" spans="2:17" x14ac:dyDescent="0.25">
      <c r="B85" s="1009" t="s">
        <v>207</v>
      </c>
      <c r="C85" s="1015" t="str">
        <f>+G77</f>
        <v>Préstamo de Gustavo Garrido</v>
      </c>
      <c r="D85" s="1016"/>
      <c r="E85" s="1016"/>
      <c r="F85" s="1016"/>
      <c r="G85" s="51"/>
      <c r="H85" s="51"/>
      <c r="I85" s="4"/>
      <c r="J85" s="4"/>
      <c r="K85" s="4"/>
      <c r="L85" s="991"/>
      <c r="M85" s="2008">
        <f>0.4*O77</f>
        <v>1694</v>
      </c>
      <c r="N85" s="2012"/>
      <c r="O85" s="2008"/>
      <c r="P85" s="2009"/>
      <c r="Q85" s="4"/>
    </row>
    <row r="86" spans="2:17" s="4" customFormat="1" x14ac:dyDescent="0.25">
      <c r="B86" s="1009" t="s">
        <v>14</v>
      </c>
      <c r="C86" s="1015"/>
      <c r="D86" s="1016"/>
      <c r="E86" s="1016"/>
      <c r="F86" s="20" t="s">
        <v>1</v>
      </c>
      <c r="G86" s="1020" t="s">
        <v>10</v>
      </c>
      <c r="H86" s="51"/>
      <c r="M86" s="2008"/>
      <c r="N86" s="2012"/>
      <c r="O86" s="2008">
        <f>+M85</f>
        <v>1694</v>
      </c>
      <c r="P86" s="2009"/>
    </row>
    <row r="87" spans="2:17" s="4" customFormat="1" x14ac:dyDescent="0.25">
      <c r="B87" s="1009"/>
      <c r="C87" s="1132" t="s">
        <v>1715</v>
      </c>
      <c r="D87" s="1131"/>
      <c r="E87" s="1131"/>
      <c r="F87" s="1130"/>
      <c r="G87" s="1129"/>
      <c r="H87" s="1128"/>
      <c r="I87" s="1127"/>
      <c r="J87" s="1127"/>
      <c r="K87" s="1127"/>
      <c r="L87" s="1127"/>
      <c r="M87" s="2006"/>
      <c r="N87" s="2100"/>
      <c r="O87" s="2006"/>
      <c r="P87" s="2100"/>
      <c r="Q87" s="8"/>
    </row>
    <row r="88" spans="2:17" s="4" customFormat="1" ht="9" customHeight="1" x14ac:dyDescent="0.25">
      <c r="B88" s="1004"/>
      <c r="C88" s="988"/>
      <c r="D88" s="1016"/>
      <c r="E88" s="1016"/>
      <c r="F88" s="20"/>
      <c r="G88" s="1020"/>
      <c r="H88" s="51"/>
      <c r="M88" s="994"/>
      <c r="N88" s="994"/>
      <c r="O88" s="994"/>
      <c r="P88" s="994"/>
    </row>
    <row r="89" spans="2:17" s="4" customFormat="1" x14ac:dyDescent="0.25">
      <c r="B89" s="1004"/>
      <c r="C89" s="12"/>
      <c r="D89" s="12"/>
      <c r="E89" s="12"/>
      <c r="F89" s="12"/>
      <c r="G89" s="51"/>
      <c r="H89" s="51"/>
      <c r="M89" s="18"/>
      <c r="N89" s="18"/>
      <c r="O89" s="18"/>
      <c r="P89" s="18"/>
    </row>
    <row r="90" spans="2:17" s="4" customFormat="1" x14ac:dyDescent="0.25">
      <c r="B90" s="1004"/>
      <c r="C90" s="12"/>
      <c r="D90" s="12"/>
      <c r="E90" s="12"/>
      <c r="F90" s="12"/>
      <c r="G90" s="51"/>
      <c r="H90" s="51"/>
      <c r="M90" s="18"/>
      <c r="N90" s="18"/>
      <c r="O90" s="18"/>
      <c r="P90" s="18"/>
    </row>
    <row r="91" spans="2:17" s="4" customFormat="1" x14ac:dyDescent="0.25">
      <c r="B91" s="6" t="s">
        <v>389</v>
      </c>
      <c r="C91" s="21" t="s">
        <v>1714</v>
      </c>
      <c r="D91" s="12"/>
      <c r="E91" s="12"/>
      <c r="F91" s="12"/>
      <c r="G91" s="51"/>
      <c r="H91" s="51"/>
      <c r="M91" s="18"/>
      <c r="N91" s="18"/>
      <c r="O91" s="18"/>
      <c r="P91" s="18"/>
    </row>
    <row r="92" spans="2:17" s="4" customFormat="1" ht="7.5" customHeight="1" x14ac:dyDescent="0.25">
      <c r="B92" s="1004"/>
      <c r="C92" s="12"/>
      <c r="D92" s="12"/>
      <c r="E92" s="12"/>
      <c r="F92" s="12"/>
      <c r="G92" s="51"/>
      <c r="H92" s="51"/>
      <c r="M92" s="18"/>
      <c r="N92" s="18"/>
      <c r="O92" s="18"/>
      <c r="P92" s="18"/>
    </row>
    <row r="93" spans="2:17" s="4" customFormat="1" x14ac:dyDescent="0.25">
      <c r="B93" s="1004"/>
      <c r="C93" s="1122" t="s">
        <v>1699</v>
      </c>
      <c r="E93" s="12"/>
      <c r="F93" s="12"/>
      <c r="G93" s="51"/>
      <c r="H93" s="51"/>
      <c r="M93" s="18"/>
      <c r="N93" s="18"/>
      <c r="O93" s="18"/>
      <c r="P93" s="18"/>
    </row>
    <row r="94" spans="2:17" s="4" customFormat="1" ht="7.5" customHeight="1" x14ac:dyDescent="0.25">
      <c r="B94" s="1004"/>
      <c r="C94" s="12"/>
      <c r="D94" s="12"/>
      <c r="E94" s="12"/>
      <c r="F94" s="12"/>
      <c r="G94" s="51"/>
      <c r="H94" s="51"/>
      <c r="M94" s="18"/>
      <c r="N94" s="18"/>
      <c r="O94" s="18"/>
      <c r="P94" s="18"/>
    </row>
    <row r="95" spans="2:17" s="4" customFormat="1" x14ac:dyDescent="0.25">
      <c r="B95" s="1004"/>
      <c r="D95" s="2016" t="str">
        <f>+C146</f>
        <v>Caja</v>
      </c>
      <c r="E95" s="2017"/>
      <c r="F95" s="2017"/>
      <c r="G95" s="2017"/>
      <c r="H95" s="2017"/>
      <c r="I95" s="2018"/>
      <c r="K95" s="2016" t="str">
        <f>+C147</f>
        <v>Caja Moneda Extranjera</v>
      </c>
      <c r="L95" s="2017"/>
      <c r="M95" s="2017"/>
      <c r="N95" s="2017"/>
      <c r="O95" s="2017"/>
      <c r="P95" s="2018"/>
    </row>
    <row r="96" spans="2:17" s="4" customFormat="1" ht="15.75" thickBot="1" x14ac:dyDescent="0.3">
      <c r="B96" s="1004"/>
      <c r="D96" s="1115" t="s">
        <v>795</v>
      </c>
      <c r="E96" s="2019">
        <f>+M42</f>
        <v>10000</v>
      </c>
      <c r="F96" s="2147"/>
      <c r="G96" s="1114" t="s">
        <v>790</v>
      </c>
      <c r="H96" s="2019">
        <f>+O48</f>
        <v>5000</v>
      </c>
      <c r="I96" s="2147"/>
      <c r="K96" s="1115" t="s">
        <v>790</v>
      </c>
      <c r="L96" s="2019">
        <f>+M51</f>
        <v>2420</v>
      </c>
      <c r="M96" s="2020"/>
      <c r="N96" s="18"/>
      <c r="O96" s="2012"/>
      <c r="P96" s="2009"/>
    </row>
    <row r="97" spans="2:16" s="4" customFormat="1" ht="15.75" thickTop="1" x14ac:dyDescent="0.25">
      <c r="B97" s="1004"/>
      <c r="D97" s="1120"/>
      <c r="E97" s="1121"/>
      <c r="F97" s="500"/>
      <c r="G97" s="1126" t="s">
        <v>793</v>
      </c>
      <c r="H97" s="2140">
        <f>+O72</f>
        <v>121</v>
      </c>
      <c r="I97" s="2141"/>
      <c r="K97" s="1116" t="s">
        <v>1705</v>
      </c>
      <c r="L97" s="2014">
        <f>+M52</f>
        <v>2420</v>
      </c>
      <c r="M97" s="2015"/>
      <c r="N97" s="22"/>
      <c r="O97" s="985"/>
      <c r="P97" s="984"/>
    </row>
    <row r="98" spans="2:16" s="4" customFormat="1" ht="15.75" thickBot="1" x14ac:dyDescent="0.3">
      <c r="B98" s="1004"/>
      <c r="D98" s="1093"/>
      <c r="E98" s="1121"/>
      <c r="F98" s="500"/>
      <c r="G98" s="1126" t="s">
        <v>1712</v>
      </c>
      <c r="H98" s="2129">
        <f>+O86</f>
        <v>1694</v>
      </c>
      <c r="I98" s="2146"/>
      <c r="M98" s="18"/>
      <c r="N98" s="18"/>
      <c r="O98" s="18"/>
      <c r="P98" s="18"/>
    </row>
    <row r="99" spans="2:16" s="4" customFormat="1" ht="15.75" thickTop="1" x14ac:dyDescent="0.25">
      <c r="B99" s="1004"/>
      <c r="D99" s="1110" t="s">
        <v>1705</v>
      </c>
      <c r="E99" s="2014">
        <f>+E96-H96-H97-H98</f>
        <v>3185</v>
      </c>
      <c r="F99" s="2023"/>
      <c r="G99" s="24"/>
      <c r="H99" s="24"/>
      <c r="I99" s="354"/>
      <c r="K99" s="2016" t="str">
        <f>+C148</f>
        <v>Banco Santander Río Cta Cte</v>
      </c>
      <c r="L99" s="2017"/>
      <c r="M99" s="2017"/>
      <c r="N99" s="2017"/>
      <c r="O99" s="2017"/>
      <c r="P99" s="2018"/>
    </row>
    <row r="100" spans="2:16" s="4" customFormat="1" x14ac:dyDescent="0.25">
      <c r="B100" s="1004"/>
      <c r="D100" s="12"/>
      <c r="E100" s="12"/>
      <c r="F100" s="12"/>
      <c r="G100" s="51"/>
      <c r="H100" s="51"/>
      <c r="K100" s="1115" t="s">
        <v>795</v>
      </c>
      <c r="L100" s="2019">
        <f>+M47</f>
        <v>5000</v>
      </c>
      <c r="M100" s="2020"/>
      <c r="N100" s="1126" t="s">
        <v>799</v>
      </c>
      <c r="O100" s="2012">
        <f>+O63</f>
        <v>3630</v>
      </c>
      <c r="P100" s="2009"/>
    </row>
    <row r="101" spans="2:16" s="4" customFormat="1" ht="15.75" thickBot="1" x14ac:dyDescent="0.3">
      <c r="B101" s="1004"/>
      <c r="D101" s="2016" t="str">
        <f>+C149</f>
        <v>Documentos a cobrar</v>
      </c>
      <c r="E101" s="2017"/>
      <c r="F101" s="2017"/>
      <c r="G101" s="2017"/>
      <c r="H101" s="2017"/>
      <c r="I101" s="2018"/>
      <c r="K101" s="8"/>
      <c r="M101" s="500"/>
      <c r="N101" s="1126" t="s">
        <v>1708</v>
      </c>
      <c r="O101" s="2012">
        <f>+O82</f>
        <v>363</v>
      </c>
      <c r="P101" s="2009"/>
    </row>
    <row r="102" spans="2:16" s="4" customFormat="1" ht="16.5" thickTop="1" thickBot="1" x14ac:dyDescent="0.3">
      <c r="B102" s="1004"/>
      <c r="D102" s="1115" t="s">
        <v>790</v>
      </c>
      <c r="E102" s="2021">
        <f>+M52</f>
        <v>2420</v>
      </c>
      <c r="F102" s="2022"/>
      <c r="G102" s="1114"/>
      <c r="H102" s="1113"/>
      <c r="I102" s="157"/>
      <c r="K102" s="1116" t="s">
        <v>1705</v>
      </c>
      <c r="L102" s="2014">
        <f>+L100-O100-O101</f>
        <v>1007</v>
      </c>
      <c r="M102" s="2015"/>
      <c r="N102" s="22"/>
      <c r="O102" s="22"/>
      <c r="P102" s="511"/>
    </row>
    <row r="103" spans="2:16" s="4" customFormat="1" ht="15.75" thickTop="1" x14ac:dyDescent="0.25">
      <c r="B103" s="1004"/>
      <c r="D103" s="1110" t="s">
        <v>1705</v>
      </c>
      <c r="E103" s="2014">
        <f>+E102</f>
        <v>2420</v>
      </c>
      <c r="F103" s="2023"/>
      <c r="G103" s="24"/>
      <c r="H103" s="24"/>
      <c r="I103" s="354"/>
      <c r="M103" s="18"/>
      <c r="N103" s="18"/>
      <c r="O103" s="18"/>
      <c r="P103" s="18"/>
    </row>
    <row r="104" spans="2:16" s="4" customFormat="1" x14ac:dyDescent="0.25">
      <c r="B104" s="1004"/>
      <c r="D104" s="12"/>
      <c r="E104" s="12"/>
      <c r="F104" s="12"/>
      <c r="G104" s="51"/>
      <c r="H104" s="51"/>
      <c r="K104" s="2144" t="str">
        <f>+C151</f>
        <v>Mercaderías</v>
      </c>
      <c r="L104" s="2145"/>
      <c r="M104" s="2145"/>
      <c r="N104" s="2017"/>
      <c r="O104" s="2017"/>
      <c r="P104" s="2018"/>
    </row>
    <row r="105" spans="2:16" s="4" customFormat="1" x14ac:dyDescent="0.25">
      <c r="B105" s="1004"/>
      <c r="D105" s="2016" t="str">
        <f>+C150</f>
        <v>IVA CF</v>
      </c>
      <c r="E105" s="2017"/>
      <c r="F105" s="2017"/>
      <c r="G105" s="2017"/>
      <c r="H105" s="2017"/>
      <c r="I105" s="2018"/>
      <c r="K105" s="1115" t="s">
        <v>795</v>
      </c>
      <c r="L105" s="2019">
        <f>+M43</f>
        <v>10000</v>
      </c>
      <c r="M105" s="2020"/>
      <c r="N105" s="1126" t="s">
        <v>790</v>
      </c>
      <c r="O105" s="2012">
        <f>+O58</f>
        <v>2500</v>
      </c>
      <c r="P105" s="2009"/>
    </row>
    <row r="106" spans="2:16" s="4" customFormat="1" ht="15.75" thickBot="1" x14ac:dyDescent="0.3">
      <c r="B106" s="1004"/>
      <c r="D106" s="1115" t="s">
        <v>790</v>
      </c>
      <c r="E106" s="2019">
        <f>+M62</f>
        <v>630</v>
      </c>
      <c r="F106" s="2147"/>
      <c r="G106" s="1114"/>
      <c r="H106" s="1113"/>
      <c r="I106" s="157"/>
      <c r="K106" s="1120" t="s">
        <v>793</v>
      </c>
      <c r="L106" s="2129">
        <f>+M70</f>
        <v>3600</v>
      </c>
      <c r="M106" s="1997"/>
      <c r="N106" s="1126" t="s">
        <v>791</v>
      </c>
      <c r="O106" s="2012">
        <f>+O67</f>
        <v>3750</v>
      </c>
      <c r="P106" s="2009"/>
    </row>
    <row r="107" spans="2:16" s="4" customFormat="1" ht="15.75" thickTop="1" x14ac:dyDescent="0.25">
      <c r="B107" s="1004"/>
      <c r="D107" s="1120" t="s">
        <v>793</v>
      </c>
      <c r="E107" s="2129">
        <f>+M71</f>
        <v>756</v>
      </c>
      <c r="F107" s="2146"/>
      <c r="G107" s="1126"/>
      <c r="H107" s="1121"/>
      <c r="I107" s="500"/>
      <c r="K107" s="1116" t="s">
        <v>1705</v>
      </c>
      <c r="L107" s="2014">
        <f>+L105+L106-O105-O106</f>
        <v>7350</v>
      </c>
      <c r="M107" s="2015"/>
      <c r="N107" s="22"/>
      <c r="O107" s="22"/>
      <c r="P107" s="511"/>
    </row>
    <row r="108" spans="2:16" s="4" customFormat="1" ht="15.75" thickBot="1" x14ac:dyDescent="0.3">
      <c r="B108" s="1004"/>
      <c r="D108" s="1120" t="s">
        <v>1708</v>
      </c>
      <c r="E108" s="2148">
        <f>+M81</f>
        <v>63</v>
      </c>
      <c r="F108" s="2149"/>
      <c r="G108" s="1126"/>
      <c r="H108" s="1121"/>
      <c r="I108" s="500"/>
      <c r="M108" s="18"/>
      <c r="N108" s="18"/>
      <c r="O108" s="18"/>
      <c r="P108" s="18"/>
    </row>
    <row r="109" spans="2:16" s="4" customFormat="1" ht="15.75" thickTop="1" x14ac:dyDescent="0.25">
      <c r="B109" s="1004"/>
      <c r="D109" s="1110" t="s">
        <v>1705</v>
      </c>
      <c r="E109" s="2014">
        <f>SUM(E106:F108)</f>
        <v>1449</v>
      </c>
      <c r="F109" s="2023"/>
      <c r="G109" s="24"/>
      <c r="H109" s="24"/>
      <c r="I109" s="354"/>
    </row>
    <row r="110" spans="2:16" s="4" customFormat="1" ht="7.5" customHeight="1" x14ac:dyDescent="0.25">
      <c r="B110" s="1004"/>
      <c r="D110" s="12"/>
      <c r="E110" s="12"/>
      <c r="F110" s="12"/>
      <c r="G110" s="51"/>
      <c r="H110" s="51"/>
    </row>
    <row r="111" spans="2:16" s="4" customFormat="1" x14ac:dyDescent="0.25">
      <c r="B111" s="1004"/>
      <c r="C111" s="1122" t="s">
        <v>1698</v>
      </c>
      <c r="D111" s="12"/>
      <c r="F111" s="12"/>
      <c r="G111" s="51"/>
      <c r="H111" s="51"/>
    </row>
    <row r="112" spans="2:16" s="4" customFormat="1" ht="7.5" customHeight="1" x14ac:dyDescent="0.25">
      <c r="B112" s="1004"/>
      <c r="D112" s="12"/>
      <c r="E112" s="12"/>
      <c r="F112" s="12"/>
      <c r="G112" s="51"/>
      <c r="H112" s="51"/>
    </row>
    <row r="113" spans="2:16" s="4" customFormat="1" x14ac:dyDescent="0.25">
      <c r="B113" s="1004"/>
      <c r="D113" s="2016" t="str">
        <f>+C152</f>
        <v>Documentos a pagar</v>
      </c>
      <c r="E113" s="2017"/>
      <c r="F113" s="2017"/>
      <c r="G113" s="2017"/>
      <c r="H113" s="2017"/>
      <c r="I113" s="2018"/>
      <c r="K113" s="2016" t="str">
        <f>+C153</f>
        <v>IVA DF</v>
      </c>
      <c r="L113" s="2017"/>
      <c r="M113" s="2017"/>
      <c r="N113" s="2017"/>
      <c r="O113" s="2017"/>
      <c r="P113" s="2018"/>
    </row>
    <row r="114" spans="2:16" s="4" customFormat="1" ht="15.75" thickBot="1" x14ac:dyDescent="0.3">
      <c r="B114" s="1004"/>
      <c r="D114" s="1115" t="s">
        <v>796</v>
      </c>
      <c r="E114" s="2021">
        <f>+M76</f>
        <v>4235</v>
      </c>
      <c r="F114" s="2022"/>
      <c r="G114" s="1114" t="s">
        <v>793</v>
      </c>
      <c r="H114" s="2021">
        <f>+O73</f>
        <v>4235</v>
      </c>
      <c r="I114" s="2022"/>
      <c r="K114" s="1120"/>
      <c r="L114" s="2129"/>
      <c r="M114" s="1993"/>
      <c r="N114" s="1115" t="s">
        <v>790</v>
      </c>
      <c r="O114" s="2108">
        <f>+O54</f>
        <v>840</v>
      </c>
      <c r="P114" s="2107"/>
    </row>
    <row r="115" spans="2:16" s="4" customFormat="1" ht="15.75" thickTop="1" x14ac:dyDescent="0.25">
      <c r="B115" s="1004"/>
      <c r="D115" s="2150" t="s">
        <v>1713</v>
      </c>
      <c r="E115" s="2151"/>
      <c r="F115" s="2151"/>
      <c r="G115" s="2151"/>
      <c r="H115" s="2151"/>
      <c r="I115" s="2152"/>
      <c r="K115" s="158"/>
      <c r="L115" s="3"/>
      <c r="M115" s="3"/>
      <c r="N115" s="1116" t="s">
        <v>1709</v>
      </c>
      <c r="O115" s="2014">
        <f>+O114</f>
        <v>840</v>
      </c>
      <c r="P115" s="2023"/>
    </row>
    <row r="116" spans="2:16" s="4" customFormat="1" x14ac:dyDescent="0.25">
      <c r="B116" s="1004"/>
      <c r="D116" s="12"/>
      <c r="E116" s="12"/>
      <c r="F116" s="12"/>
      <c r="G116" s="51"/>
      <c r="H116" s="51"/>
    </row>
    <row r="117" spans="2:16" s="4" customFormat="1" x14ac:dyDescent="0.25">
      <c r="B117" s="1004"/>
      <c r="D117" s="2016" t="str">
        <f>+C154</f>
        <v>Préstamo de Gustavo Garrido</v>
      </c>
      <c r="E117" s="2017"/>
      <c r="F117" s="2017"/>
      <c r="G117" s="2017"/>
      <c r="H117" s="2017"/>
      <c r="I117" s="2018"/>
    </row>
    <row r="118" spans="2:16" s="4" customFormat="1" ht="15.75" thickBot="1" x14ac:dyDescent="0.3">
      <c r="B118" s="1004"/>
      <c r="D118" s="1115" t="s">
        <v>1712</v>
      </c>
      <c r="E118" s="2019">
        <f>+M85</f>
        <v>1694</v>
      </c>
      <c r="F118" s="2147"/>
      <c r="G118" s="1114" t="s">
        <v>796</v>
      </c>
      <c r="H118" s="2021">
        <f>+O77</f>
        <v>4235</v>
      </c>
      <c r="I118" s="2022"/>
    </row>
    <row r="119" spans="2:16" s="4" customFormat="1" ht="15.75" thickTop="1" x14ac:dyDescent="0.25">
      <c r="B119" s="1004"/>
      <c r="D119" s="1119"/>
      <c r="E119" s="1118"/>
      <c r="F119" s="1125"/>
      <c r="G119" s="1124" t="s">
        <v>1709</v>
      </c>
      <c r="H119" s="2132">
        <f>+H118-E118</f>
        <v>2541</v>
      </c>
      <c r="I119" s="2133"/>
    </row>
    <row r="120" spans="2:16" s="4" customFormat="1" ht="7.5" customHeight="1" x14ac:dyDescent="0.25">
      <c r="B120" s="1004"/>
      <c r="D120" s="12"/>
      <c r="E120" s="12"/>
      <c r="F120" s="12"/>
      <c r="G120" s="51"/>
      <c r="H120" s="51"/>
    </row>
    <row r="121" spans="2:16" s="4" customFormat="1" x14ac:dyDescent="0.25">
      <c r="B121" s="1004"/>
      <c r="C121" s="1122" t="s">
        <v>1711</v>
      </c>
      <c r="D121" s="12"/>
      <c r="F121" s="12"/>
      <c r="G121" s="51"/>
      <c r="H121" s="51"/>
      <c r="M121" s="18"/>
      <c r="N121" s="18"/>
      <c r="O121" s="18"/>
      <c r="P121" s="18"/>
    </row>
    <row r="122" spans="2:16" s="4" customFormat="1" ht="7.5" customHeight="1" x14ac:dyDescent="0.25">
      <c r="B122" s="1004"/>
      <c r="D122" s="12"/>
      <c r="E122" s="12"/>
      <c r="F122" s="12"/>
      <c r="G122" s="51"/>
      <c r="H122" s="51"/>
      <c r="M122" s="18"/>
      <c r="N122" s="18"/>
      <c r="O122" s="18"/>
      <c r="P122" s="18"/>
    </row>
    <row r="123" spans="2:16" s="4" customFormat="1" x14ac:dyDescent="0.25">
      <c r="B123" s="1004"/>
      <c r="D123" s="2016" t="str">
        <f>+C155</f>
        <v>Capital Social</v>
      </c>
      <c r="E123" s="2017"/>
      <c r="F123" s="2017"/>
      <c r="G123" s="2017"/>
      <c r="H123" s="2017"/>
      <c r="I123" s="2018"/>
      <c r="M123" s="18"/>
      <c r="N123" s="18"/>
      <c r="O123" s="18"/>
      <c r="P123" s="18"/>
    </row>
    <row r="124" spans="2:16" s="4" customFormat="1" ht="15.75" thickBot="1" x14ac:dyDescent="0.3">
      <c r="B124" s="1004"/>
      <c r="D124" s="1120"/>
      <c r="E124" s="1113"/>
      <c r="F124" s="1123"/>
      <c r="G124" s="1120" t="s">
        <v>795</v>
      </c>
      <c r="H124" s="2021">
        <f>+O44</f>
        <v>20000</v>
      </c>
      <c r="I124" s="2022"/>
      <c r="M124" s="18"/>
      <c r="N124" s="18"/>
      <c r="O124" s="18"/>
      <c r="P124" s="18"/>
    </row>
    <row r="125" spans="2:16" s="4" customFormat="1" ht="15.75" thickTop="1" x14ac:dyDescent="0.25">
      <c r="B125" s="1004"/>
      <c r="D125" s="1119"/>
      <c r="E125" s="1118"/>
      <c r="F125" s="1118"/>
      <c r="G125" s="1117" t="s">
        <v>1709</v>
      </c>
      <c r="H125" s="2132">
        <f>+H124</f>
        <v>20000</v>
      </c>
      <c r="I125" s="2133"/>
      <c r="M125" s="18"/>
      <c r="N125" s="18"/>
      <c r="O125" s="18"/>
      <c r="P125" s="18"/>
    </row>
    <row r="126" spans="2:16" s="4" customFormat="1" ht="7.5" customHeight="1" x14ac:dyDescent="0.25">
      <c r="B126" s="1004"/>
      <c r="D126" s="12"/>
      <c r="E126" s="12"/>
      <c r="F126" s="12"/>
      <c r="G126" s="51"/>
      <c r="H126" s="51"/>
      <c r="M126" s="18"/>
      <c r="N126" s="18"/>
      <c r="O126" s="18"/>
      <c r="P126" s="18"/>
    </row>
    <row r="127" spans="2:16" s="4" customFormat="1" x14ac:dyDescent="0.25">
      <c r="B127" s="1004"/>
      <c r="C127" s="1122" t="s">
        <v>1710</v>
      </c>
      <c r="D127" s="12"/>
      <c r="F127" s="12"/>
      <c r="G127" s="51"/>
      <c r="H127" s="51"/>
      <c r="M127" s="18"/>
      <c r="N127" s="18"/>
      <c r="O127" s="18"/>
      <c r="P127" s="18"/>
    </row>
    <row r="128" spans="2:16" s="4" customFormat="1" ht="7.5" customHeight="1" x14ac:dyDescent="0.25">
      <c r="B128" s="1004"/>
      <c r="D128" s="12"/>
      <c r="E128" s="12"/>
      <c r="F128" s="12"/>
      <c r="G128" s="51"/>
      <c r="H128" s="51"/>
      <c r="M128" s="18"/>
      <c r="N128" s="18"/>
      <c r="O128" s="18"/>
      <c r="P128" s="18"/>
    </row>
    <row r="129" spans="2:16" s="4" customFormat="1" x14ac:dyDescent="0.25">
      <c r="B129" s="1004"/>
      <c r="D129" s="2016" t="str">
        <f>+C156</f>
        <v>Ventas</v>
      </c>
      <c r="E129" s="2017"/>
      <c r="F129" s="2017"/>
      <c r="G129" s="2017"/>
      <c r="H129" s="2017"/>
      <c r="I129" s="2018"/>
      <c r="K129" s="2016" t="str">
        <f>+C157</f>
        <v>Costo de mercaderías vendidas</v>
      </c>
      <c r="L129" s="2017"/>
      <c r="M129" s="2017"/>
      <c r="N129" s="2017"/>
      <c r="O129" s="2017"/>
      <c r="P129" s="2018"/>
    </row>
    <row r="130" spans="2:16" s="4" customFormat="1" ht="15.75" thickBot="1" x14ac:dyDescent="0.3">
      <c r="B130" s="1004"/>
      <c r="D130" s="1120"/>
      <c r="E130" s="1121"/>
      <c r="G130" s="1120" t="s">
        <v>790</v>
      </c>
      <c r="H130" s="2021">
        <f>+O53</f>
        <v>4000</v>
      </c>
      <c r="I130" s="2022"/>
      <c r="K130" s="1115" t="s">
        <v>790</v>
      </c>
      <c r="L130" s="2019">
        <f>+M57</f>
        <v>2500</v>
      </c>
      <c r="M130" s="2020"/>
      <c r="N130" s="18"/>
      <c r="O130" s="2012"/>
      <c r="P130" s="2009"/>
    </row>
    <row r="131" spans="2:16" s="4" customFormat="1" ht="15.75" thickTop="1" x14ac:dyDescent="0.25">
      <c r="B131" s="1004"/>
      <c r="D131" s="1119"/>
      <c r="E131" s="1118"/>
      <c r="F131" s="1118"/>
      <c r="G131" s="1117" t="s">
        <v>1709</v>
      </c>
      <c r="H131" s="2132">
        <f>+H130</f>
        <v>4000</v>
      </c>
      <c r="I131" s="2133"/>
      <c r="K131" s="1116" t="s">
        <v>1705</v>
      </c>
      <c r="L131" s="2014">
        <f>+L130</f>
        <v>2500</v>
      </c>
      <c r="M131" s="2015"/>
      <c r="N131" s="22"/>
      <c r="O131" s="985"/>
      <c r="P131" s="984"/>
    </row>
    <row r="132" spans="2:16" s="4" customFormat="1" x14ac:dyDescent="0.25">
      <c r="B132" s="1004"/>
      <c r="D132" s="12"/>
      <c r="E132" s="12"/>
      <c r="F132" s="12"/>
      <c r="G132" s="51"/>
      <c r="H132" s="51"/>
      <c r="M132" s="18"/>
      <c r="N132" s="18"/>
      <c r="O132" s="18"/>
      <c r="P132" s="18"/>
    </row>
    <row r="133" spans="2:16" s="4" customFormat="1" x14ac:dyDescent="0.25">
      <c r="B133" s="1004"/>
      <c r="D133" s="2016" t="str">
        <f>+C158</f>
        <v>Gastos bancarios</v>
      </c>
      <c r="E133" s="2017"/>
      <c r="F133" s="2017"/>
      <c r="G133" s="2017"/>
      <c r="H133" s="2017"/>
      <c r="I133" s="2018"/>
      <c r="K133" s="2016" t="str">
        <f>+C159</f>
        <v>Gastos por alquileres</v>
      </c>
      <c r="L133" s="2017"/>
      <c r="M133" s="2017"/>
      <c r="N133" s="2017"/>
      <c r="O133" s="2017"/>
      <c r="P133" s="2018"/>
    </row>
    <row r="134" spans="2:16" s="4" customFormat="1" ht="15.75" thickBot="1" x14ac:dyDescent="0.3">
      <c r="B134" s="1004"/>
      <c r="D134" s="1115" t="s">
        <v>1708</v>
      </c>
      <c r="E134" s="2021">
        <f>+M80</f>
        <v>300</v>
      </c>
      <c r="F134" s="2022"/>
      <c r="G134" s="1114"/>
      <c r="H134" s="1113"/>
      <c r="I134" s="157"/>
      <c r="K134" s="1115" t="s">
        <v>799</v>
      </c>
      <c r="L134" s="2019">
        <f>+M61</f>
        <v>3000</v>
      </c>
      <c r="M134" s="2020"/>
      <c r="N134" s="18"/>
      <c r="O134" s="2012"/>
      <c r="P134" s="2009"/>
    </row>
    <row r="135" spans="2:16" s="4" customFormat="1" ht="15.75" thickTop="1" x14ac:dyDescent="0.25">
      <c r="B135" s="1004"/>
      <c r="D135" s="1110" t="s">
        <v>1705</v>
      </c>
      <c r="E135" s="2014">
        <f>+E134</f>
        <v>300</v>
      </c>
      <c r="F135" s="2023"/>
      <c r="G135" s="24"/>
      <c r="H135" s="24"/>
      <c r="I135" s="354"/>
      <c r="K135" s="1116" t="s">
        <v>1705</v>
      </c>
      <c r="L135" s="2014">
        <f>+L134</f>
        <v>3000</v>
      </c>
      <c r="M135" s="2015"/>
      <c r="N135" s="22"/>
      <c r="O135" s="985"/>
      <c r="P135" s="984"/>
    </row>
    <row r="136" spans="2:16" s="4" customFormat="1" x14ac:dyDescent="0.25">
      <c r="B136" s="1004"/>
      <c r="D136" s="12"/>
      <c r="E136" s="12"/>
      <c r="F136" s="12"/>
      <c r="G136" s="51"/>
      <c r="H136" s="51"/>
      <c r="M136" s="18"/>
      <c r="N136" s="18"/>
      <c r="O136" s="18"/>
      <c r="P136" s="18"/>
    </row>
    <row r="137" spans="2:16" s="4" customFormat="1" x14ac:dyDescent="0.25">
      <c r="B137" s="1004"/>
      <c r="D137" s="2016" t="str">
        <f>+C160</f>
        <v>Mercaderías falladas</v>
      </c>
      <c r="E137" s="2017"/>
      <c r="F137" s="2017"/>
      <c r="G137" s="2017"/>
      <c r="H137" s="2017"/>
      <c r="I137" s="2018"/>
      <c r="K137" s="2136" t="s">
        <v>1707</v>
      </c>
      <c r="L137" s="2137"/>
      <c r="M137" s="2137"/>
      <c r="N137" s="2137"/>
      <c r="O137" s="2138"/>
      <c r="P137" s="18"/>
    </row>
    <row r="138" spans="2:16" s="4" customFormat="1" ht="15.75" thickBot="1" x14ac:dyDescent="0.3">
      <c r="B138" s="1004"/>
      <c r="D138" s="1115" t="s">
        <v>791</v>
      </c>
      <c r="E138" s="2021">
        <f>+M66</f>
        <v>3750</v>
      </c>
      <c r="F138" s="2022"/>
      <c r="G138" s="1114"/>
      <c r="H138" s="1113"/>
      <c r="I138" s="157"/>
      <c r="K138" s="1112" t="s">
        <v>1706</v>
      </c>
      <c r="L138" s="1111"/>
      <c r="M138" s="1111"/>
      <c r="N138" s="2052">
        <f>+E99+L97+E103+L102+E109+L107+L131+L135+E135+E139</f>
        <v>27381</v>
      </c>
      <c r="O138" s="2053"/>
      <c r="P138" s="18"/>
    </row>
    <row r="139" spans="2:16" s="4" customFormat="1" ht="15.75" thickTop="1" x14ac:dyDescent="0.25">
      <c r="B139" s="1004"/>
      <c r="D139" s="1110" t="s">
        <v>1705</v>
      </c>
      <c r="E139" s="2014">
        <f>+E138</f>
        <v>3750</v>
      </c>
      <c r="F139" s="2023"/>
      <c r="G139" s="24"/>
      <c r="H139" s="24"/>
      <c r="I139" s="354"/>
      <c r="K139" s="1109" t="s">
        <v>1704</v>
      </c>
      <c r="L139" s="1098"/>
      <c r="M139" s="1098"/>
      <c r="N139" s="2134">
        <f>+O115+H119+H125+H131</f>
        <v>27381</v>
      </c>
      <c r="O139" s="2135"/>
      <c r="P139" s="18"/>
    </row>
    <row r="140" spans="2:16" s="4" customFormat="1" x14ac:dyDescent="0.25">
      <c r="B140" s="1004"/>
      <c r="C140" s="12"/>
      <c r="D140" s="12"/>
      <c r="E140" s="12"/>
      <c r="F140" s="12"/>
      <c r="G140" s="51"/>
      <c r="H140" s="51"/>
      <c r="M140" s="18"/>
      <c r="N140" s="18"/>
      <c r="O140" s="18"/>
      <c r="P140" s="18"/>
    </row>
    <row r="141" spans="2:16" s="4" customFormat="1" x14ac:dyDescent="0.25">
      <c r="B141" s="1004"/>
      <c r="C141" s="12"/>
      <c r="D141" s="12"/>
      <c r="E141" s="12"/>
      <c r="F141" s="12"/>
      <c r="G141" s="51"/>
      <c r="H141" s="51"/>
      <c r="M141" s="18"/>
      <c r="N141" s="18"/>
      <c r="O141" s="18"/>
      <c r="P141" s="18"/>
    </row>
    <row r="142" spans="2:16" s="4" customFormat="1" x14ac:dyDescent="0.25">
      <c r="B142" s="1004"/>
      <c r="C142" s="12"/>
      <c r="D142" s="12"/>
      <c r="E142" s="12"/>
      <c r="F142" s="12"/>
      <c r="G142" s="51"/>
      <c r="H142" s="1108"/>
      <c r="K142" s="1091"/>
      <c r="L142" s="50"/>
      <c r="M142" s="18"/>
      <c r="N142" s="18"/>
      <c r="O142" s="18"/>
      <c r="P142" s="18"/>
    </row>
    <row r="143" spans="2:16" s="4" customFormat="1" x14ac:dyDescent="0.25">
      <c r="B143" s="6" t="s">
        <v>411</v>
      </c>
      <c r="C143" s="21" t="s">
        <v>1703</v>
      </c>
      <c r="D143" s="12"/>
      <c r="E143" s="12"/>
      <c r="F143" s="12"/>
      <c r="G143" s="51"/>
      <c r="H143" s="1108"/>
      <c r="K143" s="1091"/>
      <c r="L143" s="50"/>
      <c r="M143" s="18"/>
      <c r="N143" s="18"/>
      <c r="O143" s="18"/>
      <c r="P143" s="18"/>
    </row>
    <row r="144" spans="2:16" s="4" customFormat="1" x14ac:dyDescent="0.25">
      <c r="B144" s="1004"/>
      <c r="C144" s="12"/>
      <c r="D144" s="12"/>
      <c r="E144" s="12"/>
      <c r="F144" s="12"/>
      <c r="G144" s="51"/>
      <c r="H144" s="1108"/>
      <c r="K144" s="1091"/>
      <c r="L144" s="50"/>
      <c r="M144" s="18"/>
      <c r="N144" s="18"/>
      <c r="O144" s="18"/>
      <c r="P144" s="18"/>
    </row>
    <row r="145" spans="2:16" s="4" customFormat="1" x14ac:dyDescent="0.25">
      <c r="B145" s="1004"/>
      <c r="C145" s="2028" t="s">
        <v>952</v>
      </c>
      <c r="D145" s="2029"/>
      <c r="E145" s="2029"/>
      <c r="F145" s="2029"/>
      <c r="G145" s="2029"/>
      <c r="H145" s="2139"/>
      <c r="I145" s="2032" t="s">
        <v>1164</v>
      </c>
      <c r="J145" s="2031"/>
      <c r="K145" s="2142" t="s">
        <v>1165</v>
      </c>
      <c r="L145" s="2143"/>
      <c r="M145" s="2142" t="s">
        <v>394</v>
      </c>
      <c r="N145" s="2143"/>
      <c r="O145" s="2143"/>
      <c r="P145" s="2104"/>
    </row>
    <row r="146" spans="2:16" s="4" customFormat="1" x14ac:dyDescent="0.25">
      <c r="B146" s="1004"/>
      <c r="C146" s="2049" t="s">
        <v>10</v>
      </c>
      <c r="D146" s="2050"/>
      <c r="E146" s="2050"/>
      <c r="F146" s="2050"/>
      <c r="G146" s="2050"/>
      <c r="H146" s="2051"/>
      <c r="I146" s="2008">
        <f t="shared" ref="I146:I160" si="0">+IF(+SUMIF($C$42:$C$87,C146,$M$42:$M$87)&gt;+SUMIF($G$42:$G$87,C146,$O$42:$O$87),+SUMIF($C$42:$C$87,C146,$M$42:$M$87)-+SUMIF($G$42:$G$87,C146,$O$42:$O$87),0)</f>
        <v>3185</v>
      </c>
      <c r="J146" s="2009"/>
      <c r="K146" s="2008">
        <f t="shared" ref="K146:K160" si="1">+IF(+SUMIF($G$42:$G$87,C146,$O$42:$O$87)&gt;+SUMIF($C$42:$C$87,C146,$M$42:$M$87),+SUMIF($G$42:$G$87,C146,$O$42:$O$87)-+SUMIF($C$42:$C$87,C146,$M$42:$M$87),0)</f>
        <v>0</v>
      </c>
      <c r="L146" s="2012"/>
      <c r="M146" s="2033" t="str">
        <f>+C167</f>
        <v>Caja y Bancos</v>
      </c>
      <c r="N146" s="2034"/>
      <c r="O146" s="2034"/>
      <c r="P146" s="2048"/>
    </row>
    <row r="147" spans="2:16" s="4" customFormat="1" x14ac:dyDescent="0.25">
      <c r="B147" s="1004"/>
      <c r="C147" s="2049" t="s">
        <v>1702</v>
      </c>
      <c r="D147" s="2050"/>
      <c r="E147" s="2050"/>
      <c r="F147" s="2050"/>
      <c r="G147" s="2050"/>
      <c r="H147" s="2051"/>
      <c r="I147" s="2008">
        <f t="shared" si="0"/>
        <v>2420</v>
      </c>
      <c r="J147" s="2009"/>
      <c r="K147" s="2008">
        <f t="shared" si="1"/>
        <v>0</v>
      </c>
      <c r="L147" s="2012"/>
      <c r="M147" s="2033" t="str">
        <f>+C167</f>
        <v>Caja y Bancos</v>
      </c>
      <c r="N147" s="2034"/>
      <c r="O147" s="2034"/>
      <c r="P147" s="2048"/>
    </row>
    <row r="148" spans="2:16" s="4" customFormat="1" x14ac:dyDescent="0.25">
      <c r="B148" s="1004"/>
      <c r="C148" s="2049" t="s">
        <v>22</v>
      </c>
      <c r="D148" s="2050"/>
      <c r="E148" s="2050"/>
      <c r="F148" s="2050"/>
      <c r="G148" s="2050"/>
      <c r="H148" s="2051"/>
      <c r="I148" s="2008">
        <f t="shared" si="0"/>
        <v>1007</v>
      </c>
      <c r="J148" s="2009"/>
      <c r="K148" s="2008">
        <f t="shared" si="1"/>
        <v>0</v>
      </c>
      <c r="L148" s="2012"/>
      <c r="M148" s="2033" t="str">
        <f>+C167</f>
        <v>Caja y Bancos</v>
      </c>
      <c r="N148" s="2034"/>
      <c r="O148" s="2034"/>
      <c r="P148" s="2048"/>
    </row>
    <row r="149" spans="2:16" s="4" customFormat="1" x14ac:dyDescent="0.25">
      <c r="B149" s="1004"/>
      <c r="C149" s="2049" t="s">
        <v>478</v>
      </c>
      <c r="D149" s="2050"/>
      <c r="E149" s="2050"/>
      <c r="F149" s="2050"/>
      <c r="G149" s="2050"/>
      <c r="H149" s="2051"/>
      <c r="I149" s="2008">
        <f t="shared" si="0"/>
        <v>2420</v>
      </c>
      <c r="J149" s="2009"/>
      <c r="K149" s="2008">
        <f t="shared" si="1"/>
        <v>0</v>
      </c>
      <c r="L149" s="2012"/>
      <c r="M149" s="2033" t="str">
        <f>+C168</f>
        <v>Créditos por ventas</v>
      </c>
      <c r="N149" s="2034"/>
      <c r="O149" s="2034"/>
      <c r="P149" s="2048"/>
    </row>
    <row r="150" spans="2:16" s="4" customFormat="1" x14ac:dyDescent="0.25">
      <c r="B150" s="1004"/>
      <c r="C150" s="2049" t="s">
        <v>13</v>
      </c>
      <c r="D150" s="2050"/>
      <c r="E150" s="2050"/>
      <c r="F150" s="2050"/>
      <c r="G150" s="2050"/>
      <c r="H150" s="2051"/>
      <c r="I150" s="2008">
        <f t="shared" si="0"/>
        <v>1449</v>
      </c>
      <c r="J150" s="2009"/>
      <c r="K150" s="2008">
        <f t="shared" si="1"/>
        <v>0</v>
      </c>
      <c r="L150" s="2012"/>
      <c r="M150" s="2033" t="str">
        <f>+C169</f>
        <v>Otros créditos</v>
      </c>
      <c r="N150" s="2034"/>
      <c r="O150" s="2034"/>
      <c r="P150" s="2048"/>
    </row>
    <row r="151" spans="2:16" s="4" customFormat="1" x14ac:dyDescent="0.25">
      <c r="B151" s="1004"/>
      <c r="C151" s="2049" t="s">
        <v>5</v>
      </c>
      <c r="D151" s="2050"/>
      <c r="E151" s="2050"/>
      <c r="F151" s="2050"/>
      <c r="G151" s="2050"/>
      <c r="H151" s="2051"/>
      <c r="I151" s="2008">
        <f t="shared" si="0"/>
        <v>7350</v>
      </c>
      <c r="J151" s="2009"/>
      <c r="K151" s="2008">
        <f t="shared" si="1"/>
        <v>0</v>
      </c>
      <c r="L151" s="2012"/>
      <c r="M151" s="2033" t="str">
        <f>+C170</f>
        <v>Bienes de cambio</v>
      </c>
      <c r="N151" s="2034"/>
      <c r="O151" s="2034"/>
      <c r="P151" s="2048"/>
    </row>
    <row r="152" spans="2:16" s="4" customFormat="1" x14ac:dyDescent="0.25">
      <c r="B152" s="1004"/>
      <c r="C152" s="2049" t="s">
        <v>6</v>
      </c>
      <c r="D152" s="2050"/>
      <c r="E152" s="2050"/>
      <c r="F152" s="2050"/>
      <c r="G152" s="2050"/>
      <c r="H152" s="2051"/>
      <c r="I152" s="2008">
        <f t="shared" si="0"/>
        <v>0</v>
      </c>
      <c r="J152" s="2009"/>
      <c r="K152" s="2008">
        <f t="shared" si="1"/>
        <v>0</v>
      </c>
      <c r="L152" s="2012"/>
      <c r="M152" s="2033" t="s">
        <v>404</v>
      </c>
      <c r="N152" s="2034"/>
      <c r="O152" s="2034"/>
      <c r="P152" s="2048"/>
    </row>
    <row r="153" spans="2:16" s="4" customFormat="1" x14ac:dyDescent="0.25">
      <c r="B153" s="1004"/>
      <c r="C153" s="2049" t="s">
        <v>12</v>
      </c>
      <c r="D153" s="2050"/>
      <c r="E153" s="2050"/>
      <c r="F153" s="2050"/>
      <c r="G153" s="2050"/>
      <c r="H153" s="2051"/>
      <c r="I153" s="2008">
        <f t="shared" si="0"/>
        <v>0</v>
      </c>
      <c r="J153" s="2009"/>
      <c r="K153" s="2008">
        <f t="shared" si="1"/>
        <v>840</v>
      </c>
      <c r="L153" s="2012"/>
      <c r="M153" s="2033" t="str">
        <f>+J167</f>
        <v>Deudas sociales y fiscales</v>
      </c>
      <c r="N153" s="2034"/>
      <c r="O153" s="2034"/>
      <c r="P153" s="2048"/>
    </row>
    <row r="154" spans="2:16" s="4" customFormat="1" x14ac:dyDescent="0.25">
      <c r="B154" s="1004"/>
      <c r="C154" s="2049" t="s">
        <v>1701</v>
      </c>
      <c r="D154" s="2050"/>
      <c r="E154" s="2050"/>
      <c r="F154" s="2050"/>
      <c r="G154" s="2050"/>
      <c r="H154" s="2051"/>
      <c r="I154" s="2008">
        <f t="shared" si="0"/>
        <v>0</v>
      </c>
      <c r="J154" s="2009"/>
      <c r="K154" s="2008">
        <f t="shared" si="1"/>
        <v>2541</v>
      </c>
      <c r="L154" s="2012"/>
      <c r="M154" s="2033" t="str">
        <f>+J168</f>
        <v>Otras deudas</v>
      </c>
      <c r="N154" s="2034"/>
      <c r="O154" s="2034"/>
      <c r="P154" s="2048"/>
    </row>
    <row r="155" spans="2:16" s="4" customFormat="1" x14ac:dyDescent="0.25">
      <c r="B155" s="1004"/>
      <c r="C155" s="2049" t="s">
        <v>435</v>
      </c>
      <c r="D155" s="2050"/>
      <c r="E155" s="2050"/>
      <c r="F155" s="2050"/>
      <c r="G155" s="2050"/>
      <c r="H155" s="2051"/>
      <c r="I155" s="2008">
        <f t="shared" si="0"/>
        <v>0</v>
      </c>
      <c r="J155" s="2009"/>
      <c r="K155" s="2008">
        <f t="shared" si="1"/>
        <v>20000</v>
      </c>
      <c r="L155" s="2012"/>
      <c r="M155" s="2033" t="str">
        <f t="shared" ref="M155:M160" si="2">+$J$171</f>
        <v>Patrimonio Neto</v>
      </c>
      <c r="N155" s="2034"/>
      <c r="O155" s="2034"/>
      <c r="P155" s="2048"/>
    </row>
    <row r="156" spans="2:16" s="4" customFormat="1" x14ac:dyDescent="0.25">
      <c r="B156" s="1004"/>
      <c r="C156" s="2049" t="s">
        <v>3</v>
      </c>
      <c r="D156" s="2050"/>
      <c r="E156" s="2050"/>
      <c r="F156" s="2050"/>
      <c r="G156" s="2050"/>
      <c r="H156" s="2051"/>
      <c r="I156" s="2008">
        <f t="shared" si="0"/>
        <v>0</v>
      </c>
      <c r="J156" s="2009"/>
      <c r="K156" s="2008">
        <f t="shared" si="1"/>
        <v>4000</v>
      </c>
      <c r="L156" s="2012"/>
      <c r="M156" s="2033" t="str">
        <f t="shared" si="2"/>
        <v>Patrimonio Neto</v>
      </c>
      <c r="N156" s="2034"/>
      <c r="O156" s="2034"/>
      <c r="P156" s="2048"/>
    </row>
    <row r="157" spans="2:16" s="4" customFormat="1" x14ac:dyDescent="0.25">
      <c r="B157" s="1004"/>
      <c r="C157" s="2049" t="s">
        <v>1057</v>
      </c>
      <c r="D157" s="2050"/>
      <c r="E157" s="2050"/>
      <c r="F157" s="2050"/>
      <c r="G157" s="2050"/>
      <c r="H157" s="2051"/>
      <c r="I157" s="2008">
        <f t="shared" si="0"/>
        <v>2500</v>
      </c>
      <c r="J157" s="2009"/>
      <c r="K157" s="2008">
        <f t="shared" si="1"/>
        <v>0</v>
      </c>
      <c r="L157" s="2012"/>
      <c r="M157" s="2033" t="str">
        <f t="shared" si="2"/>
        <v>Patrimonio Neto</v>
      </c>
      <c r="N157" s="2034"/>
      <c r="O157" s="2034"/>
      <c r="P157" s="2048"/>
    </row>
    <row r="158" spans="2:16" s="4" customFormat="1" x14ac:dyDescent="0.25">
      <c r="B158" s="1004"/>
      <c r="C158" s="2049" t="s">
        <v>874</v>
      </c>
      <c r="D158" s="2050"/>
      <c r="E158" s="2050"/>
      <c r="F158" s="2050"/>
      <c r="G158" s="2050"/>
      <c r="H158" s="2051"/>
      <c r="I158" s="2008">
        <f t="shared" si="0"/>
        <v>300</v>
      </c>
      <c r="J158" s="2009"/>
      <c r="K158" s="2008">
        <f t="shared" si="1"/>
        <v>0</v>
      </c>
      <c r="L158" s="2012"/>
      <c r="M158" s="2033" t="str">
        <f t="shared" si="2"/>
        <v>Patrimonio Neto</v>
      </c>
      <c r="N158" s="2034"/>
      <c r="O158" s="2034"/>
      <c r="P158" s="2048"/>
    </row>
    <row r="159" spans="2:16" s="4" customFormat="1" x14ac:dyDescent="0.25">
      <c r="B159" s="1004"/>
      <c r="C159" s="2049" t="s">
        <v>1081</v>
      </c>
      <c r="D159" s="2050"/>
      <c r="E159" s="2050"/>
      <c r="F159" s="2050"/>
      <c r="G159" s="2050"/>
      <c r="H159" s="2051"/>
      <c r="I159" s="2008">
        <f t="shared" si="0"/>
        <v>3000</v>
      </c>
      <c r="J159" s="2009"/>
      <c r="K159" s="2008">
        <f t="shared" si="1"/>
        <v>0</v>
      </c>
      <c r="L159" s="2012"/>
      <c r="M159" s="2033" t="str">
        <f t="shared" si="2"/>
        <v>Patrimonio Neto</v>
      </c>
      <c r="N159" s="2034"/>
      <c r="O159" s="2034"/>
      <c r="P159" s="2048"/>
    </row>
    <row r="160" spans="2:16" s="4" customFormat="1" x14ac:dyDescent="0.25">
      <c r="B160" s="1004"/>
      <c r="C160" s="2118" t="s">
        <v>1700</v>
      </c>
      <c r="D160" s="2119"/>
      <c r="E160" s="2119"/>
      <c r="F160" s="2119"/>
      <c r="G160" s="2119"/>
      <c r="H160" s="2120"/>
      <c r="I160" s="2006">
        <f t="shared" si="0"/>
        <v>3750</v>
      </c>
      <c r="J160" s="2007"/>
      <c r="K160" s="2006">
        <f t="shared" si="1"/>
        <v>0</v>
      </c>
      <c r="L160" s="2100"/>
      <c r="M160" s="2124" t="str">
        <f t="shared" si="2"/>
        <v>Patrimonio Neto</v>
      </c>
      <c r="N160" s="2125"/>
      <c r="O160" s="2125"/>
      <c r="P160" s="2126"/>
    </row>
    <row r="161" spans="2:16" s="4" customFormat="1" ht="15.75" thickBot="1" x14ac:dyDescent="0.3">
      <c r="B161" s="1004"/>
      <c r="C161" s="2121" t="s">
        <v>410</v>
      </c>
      <c r="D161" s="2122"/>
      <c r="E161" s="2122"/>
      <c r="F161" s="2122"/>
      <c r="G161" s="2122"/>
      <c r="H161" s="2123"/>
      <c r="I161" s="2130">
        <f>+SUM(I146:J160)</f>
        <v>27381</v>
      </c>
      <c r="J161" s="2131"/>
      <c r="K161" s="2130">
        <f>+SUM(K146:L160)</f>
        <v>27381</v>
      </c>
      <c r="L161" s="2131"/>
    </row>
    <row r="162" spans="2:16" s="4" customFormat="1" ht="15.75" thickTop="1" x14ac:dyDescent="0.25">
      <c r="B162" s="1004"/>
      <c r="C162" s="12"/>
      <c r="D162" s="12"/>
      <c r="E162" s="12"/>
      <c r="F162" s="12"/>
      <c r="G162" s="51"/>
      <c r="H162" s="51"/>
      <c r="J162" s="2129"/>
      <c r="K162" s="2129"/>
      <c r="M162" s="18"/>
      <c r="N162" s="18"/>
      <c r="O162" s="18"/>
      <c r="P162" s="18"/>
    </row>
    <row r="163" spans="2:16" s="4" customFormat="1" x14ac:dyDescent="0.25">
      <c r="B163" s="1004"/>
      <c r="C163" s="12"/>
      <c r="D163" s="12"/>
      <c r="E163" s="12"/>
      <c r="F163" s="12"/>
      <c r="G163" s="51"/>
      <c r="H163" s="51"/>
      <c r="J163" s="1081"/>
      <c r="K163" s="1081"/>
      <c r="M163" s="18"/>
      <c r="N163" s="18"/>
      <c r="O163" s="18"/>
      <c r="P163" s="18"/>
    </row>
    <row r="164" spans="2:16" s="4" customFormat="1" x14ac:dyDescent="0.25">
      <c r="B164" s="1004"/>
      <c r="C164" s="21" t="s">
        <v>422</v>
      </c>
      <c r="D164" s="12"/>
      <c r="E164" s="12"/>
      <c r="F164" s="12"/>
      <c r="G164" s="51"/>
      <c r="H164" s="51"/>
      <c r="M164" s="18"/>
      <c r="N164" s="18"/>
      <c r="O164" s="18"/>
      <c r="P164" s="18"/>
    </row>
    <row r="165" spans="2:16" s="4" customFormat="1" x14ac:dyDescent="0.25">
      <c r="B165" s="1004"/>
      <c r="G165" s="261"/>
      <c r="H165" s="261"/>
      <c r="M165" s="18"/>
      <c r="N165" s="18"/>
      <c r="O165" s="18"/>
      <c r="P165" s="18"/>
    </row>
    <row r="166" spans="2:16" s="4" customFormat="1" x14ac:dyDescent="0.25">
      <c r="B166" s="1004"/>
      <c r="C166" s="1107" t="s">
        <v>1699</v>
      </c>
      <c r="D166" s="1"/>
      <c r="E166" s="1"/>
      <c r="F166" s="1"/>
      <c r="G166" s="260"/>
      <c r="H166" s="2113"/>
      <c r="I166" s="2113"/>
      <c r="J166" s="1107" t="s">
        <v>1698</v>
      </c>
      <c r="K166" s="1"/>
      <c r="L166" s="140"/>
      <c r="M166" s="140"/>
      <c r="N166" s="1"/>
      <c r="O166" s="140"/>
      <c r="P166" s="277"/>
    </row>
    <row r="167" spans="2:16" s="4" customFormat="1" x14ac:dyDescent="0.25">
      <c r="B167" s="1004"/>
      <c r="C167" s="8" t="s">
        <v>397</v>
      </c>
      <c r="H167" s="2012">
        <f>+I148+I146+I147</f>
        <v>6612</v>
      </c>
      <c r="I167" s="2012"/>
      <c r="J167" s="8" t="s">
        <v>399</v>
      </c>
      <c r="O167" s="2012">
        <f>+K153</f>
        <v>840</v>
      </c>
      <c r="P167" s="2009"/>
    </row>
    <row r="168" spans="2:16" s="4" customFormat="1" x14ac:dyDescent="0.25">
      <c r="B168" s="1004"/>
      <c r="C168" s="8" t="s">
        <v>403</v>
      </c>
      <c r="H168" s="2012">
        <f>+I149</f>
        <v>2420</v>
      </c>
      <c r="I168" s="2012"/>
      <c r="J168" s="8" t="s">
        <v>1092</v>
      </c>
      <c r="O168" s="2012">
        <f>+K154</f>
        <v>2541</v>
      </c>
      <c r="P168" s="2009"/>
    </row>
    <row r="169" spans="2:16" s="4" customFormat="1" x14ac:dyDescent="0.25">
      <c r="B169" s="1004"/>
      <c r="C169" s="8" t="s">
        <v>407</v>
      </c>
      <c r="H169" s="2012">
        <f>+I150</f>
        <v>1449</v>
      </c>
      <c r="I169" s="2012"/>
      <c r="J169" s="1106" t="s">
        <v>450</v>
      </c>
      <c r="K169" s="439"/>
      <c r="L169" s="439"/>
      <c r="M169" s="439"/>
      <c r="O169" s="2114">
        <f>+O168+O167</f>
        <v>3381</v>
      </c>
      <c r="P169" s="2115"/>
    </row>
    <row r="170" spans="2:16" s="4" customFormat="1" x14ac:dyDescent="0.25">
      <c r="B170" s="1004"/>
      <c r="C170" s="8" t="s">
        <v>19</v>
      </c>
      <c r="H170" s="2012">
        <f>+I151</f>
        <v>7350</v>
      </c>
      <c r="I170" s="2012"/>
      <c r="J170" s="1106"/>
      <c r="K170" s="439"/>
      <c r="L170" s="439"/>
      <c r="M170" s="439"/>
      <c r="O170" s="1102"/>
      <c r="P170" s="1101"/>
    </row>
    <row r="171" spans="2:16" s="4" customFormat="1" x14ac:dyDescent="0.25">
      <c r="B171" s="1004"/>
      <c r="C171" s="8"/>
      <c r="J171" s="1105" t="s">
        <v>396</v>
      </c>
      <c r="K171" s="258"/>
      <c r="L171" s="258"/>
      <c r="M171" s="258"/>
      <c r="O171" s="2114">
        <f>+K155+K156-I160-I159-I158-I157</f>
        <v>14450</v>
      </c>
      <c r="P171" s="2115"/>
    </row>
    <row r="172" spans="2:16" s="4" customFormat="1" x14ac:dyDescent="0.25">
      <c r="B172" s="1004"/>
      <c r="C172" s="158"/>
      <c r="D172" s="3"/>
      <c r="E172" s="3"/>
      <c r="F172" s="3"/>
      <c r="G172" s="3"/>
      <c r="H172" s="1104"/>
      <c r="I172" s="1104"/>
      <c r="J172" s="1103"/>
      <c r="K172" s="468"/>
      <c r="L172" s="468"/>
      <c r="M172" s="468"/>
      <c r="O172" s="1102"/>
      <c r="P172" s="1101"/>
    </row>
    <row r="173" spans="2:16" s="4" customFormat="1" x14ac:dyDescent="0.25">
      <c r="B173" s="1004"/>
      <c r="C173" s="1100" t="s">
        <v>427</v>
      </c>
      <c r="D173" s="1099"/>
      <c r="E173" s="1099"/>
      <c r="F173" s="1098"/>
      <c r="G173" s="1098"/>
      <c r="H173" s="2127">
        <f>+SUM(H167:I170)</f>
        <v>17831</v>
      </c>
      <c r="I173" s="2128"/>
      <c r="J173" s="1097" t="s">
        <v>1533</v>
      </c>
      <c r="K173" s="1096"/>
      <c r="L173" s="1096"/>
      <c r="M173" s="1096"/>
      <c r="N173" s="1096"/>
      <c r="O173" s="2116">
        <f>+O171+O169</f>
        <v>17831</v>
      </c>
      <c r="P173" s="2117"/>
    </row>
    <row r="174" spans="2:16" s="4" customFormat="1" x14ac:dyDescent="0.25">
      <c r="B174" s="1004"/>
      <c r="G174" s="261"/>
      <c r="H174" s="261"/>
      <c r="M174" s="18"/>
      <c r="N174" s="18"/>
      <c r="O174" s="18"/>
      <c r="P174" s="18"/>
    </row>
    <row r="175" spans="2:16" s="4" customFormat="1" x14ac:dyDescent="0.25">
      <c r="B175" s="1004"/>
      <c r="G175" s="261"/>
      <c r="H175" s="261"/>
      <c r="M175" s="18"/>
      <c r="N175" s="18"/>
      <c r="O175" s="18"/>
      <c r="P175" s="18"/>
    </row>
    <row r="176" spans="2:16" s="4" customFormat="1" x14ac:dyDescent="0.25">
      <c r="B176" s="50" t="s">
        <v>1633</v>
      </c>
      <c r="C176" s="21" t="s">
        <v>775</v>
      </c>
      <c r="G176" s="261"/>
      <c r="H176" s="261"/>
      <c r="M176" s="18"/>
      <c r="N176" s="18"/>
      <c r="O176" s="18"/>
      <c r="P176" s="18"/>
    </row>
    <row r="177" spans="1:17" s="4" customFormat="1" x14ac:dyDescent="0.25">
      <c r="B177" s="1004"/>
      <c r="G177" s="261"/>
      <c r="N177" s="18"/>
      <c r="O177" s="18"/>
      <c r="P177" s="18"/>
    </row>
    <row r="178" spans="1:17" s="4" customFormat="1" ht="15" customHeight="1" x14ac:dyDescent="0.25">
      <c r="B178" s="1993" t="s">
        <v>1676</v>
      </c>
      <c r="C178" s="1993"/>
      <c r="D178" s="1993"/>
      <c r="E178" s="1994" t="s">
        <v>414</v>
      </c>
      <c r="F178" s="1994"/>
      <c r="G178" s="1994"/>
      <c r="H178" s="1993" t="s">
        <v>18</v>
      </c>
      <c r="I178" s="2111" t="s">
        <v>1697</v>
      </c>
      <c r="J178" s="2111"/>
      <c r="K178" s="1993" t="s">
        <v>18</v>
      </c>
      <c r="L178" s="1996">
        <v>1500</v>
      </c>
      <c r="M178" s="1996"/>
      <c r="N178" s="1997" t="s">
        <v>18</v>
      </c>
      <c r="O178" s="2024">
        <f>+L178/L179</f>
        <v>0.375</v>
      </c>
      <c r="P178" s="2025"/>
    </row>
    <row r="179" spans="1:17" s="4" customFormat="1" x14ac:dyDescent="0.25">
      <c r="B179" s="1993"/>
      <c r="C179" s="1993"/>
      <c r="D179" s="1993"/>
      <c r="E179" s="1993" t="s">
        <v>3</v>
      </c>
      <c r="F179" s="1993"/>
      <c r="G179" s="1993"/>
      <c r="H179" s="1993"/>
      <c r="I179" s="2112">
        <v>4000</v>
      </c>
      <c r="J179" s="2113"/>
      <c r="K179" s="1993"/>
      <c r="L179" s="2004">
        <v>4000</v>
      </c>
      <c r="M179" s="2004"/>
      <c r="N179" s="1997"/>
      <c r="O179" s="2026"/>
      <c r="P179" s="2027"/>
    </row>
    <row r="180" spans="1:17" s="4" customFormat="1" x14ac:dyDescent="0.25">
      <c r="B180" s="1004"/>
      <c r="G180" s="261"/>
      <c r="N180" s="18"/>
      <c r="O180" s="18"/>
      <c r="P180" s="18"/>
    </row>
    <row r="181" spans="1:17" s="4" customFormat="1" x14ac:dyDescent="0.25">
      <c r="B181" s="1004"/>
      <c r="G181" s="261"/>
      <c r="N181" s="18"/>
      <c r="O181" s="18"/>
      <c r="P181" s="18"/>
    </row>
    <row r="182" spans="1:17" s="4" customFormat="1" x14ac:dyDescent="0.25">
      <c r="B182" s="1004"/>
      <c r="C182" s="12"/>
      <c r="D182" s="12"/>
      <c r="E182" s="12"/>
      <c r="F182" s="12"/>
      <c r="G182" s="51"/>
      <c r="H182" s="51"/>
      <c r="M182" s="18"/>
      <c r="N182" s="18"/>
      <c r="O182" s="18"/>
      <c r="P182" s="18"/>
    </row>
    <row r="183" spans="1:17" s="4" customFormat="1" x14ac:dyDescent="0.25">
      <c r="B183" s="1004"/>
      <c r="C183" s="12"/>
      <c r="D183" s="12"/>
      <c r="E183" s="12"/>
      <c r="F183" s="12"/>
      <c r="G183" s="51"/>
      <c r="H183" s="51"/>
      <c r="M183" s="18"/>
      <c r="N183" s="18"/>
      <c r="O183" s="18"/>
      <c r="P183" s="18"/>
    </row>
    <row r="184" spans="1:17" s="4" customFormat="1" x14ac:dyDescent="0.25">
      <c r="B184" s="1004"/>
      <c r="C184" s="12"/>
      <c r="D184" s="12"/>
      <c r="E184" s="12"/>
      <c r="F184" s="12"/>
      <c r="G184" s="51"/>
      <c r="H184" s="51"/>
      <c r="M184" s="18"/>
      <c r="N184" s="18"/>
      <c r="O184" s="18"/>
      <c r="P184" s="18"/>
    </row>
    <row r="185" spans="1:17" s="4" customFormat="1" x14ac:dyDescent="0.25">
      <c r="B185" s="1004"/>
      <c r="C185" s="12"/>
      <c r="D185" s="12"/>
      <c r="E185" s="12"/>
      <c r="F185" s="12"/>
      <c r="G185" s="51"/>
      <c r="H185" s="51"/>
      <c r="M185" s="18"/>
      <c r="N185" s="18"/>
      <c r="O185" s="18"/>
      <c r="P185" s="18"/>
    </row>
    <row r="186" spans="1:17" s="4" customFormat="1" x14ac:dyDescent="0.25">
      <c r="B186" s="1004"/>
      <c r="C186" s="12"/>
      <c r="D186" s="12"/>
      <c r="E186" s="12"/>
      <c r="F186" s="12"/>
      <c r="G186" s="51"/>
      <c r="H186" s="51"/>
      <c r="M186" s="18"/>
      <c r="N186" s="18"/>
      <c r="O186" s="18"/>
      <c r="P186" s="18"/>
    </row>
    <row r="187" spans="1:17" s="4" customFormat="1" x14ac:dyDescent="0.25">
      <c r="B187" s="1004"/>
      <c r="C187" s="12"/>
      <c r="D187" s="12"/>
      <c r="E187" s="12"/>
      <c r="F187" s="12"/>
      <c r="G187" s="51"/>
      <c r="H187" s="51"/>
      <c r="M187" s="18"/>
      <c r="N187" s="18"/>
      <c r="O187" s="18"/>
      <c r="P187" s="18"/>
    </row>
    <row r="188" spans="1:17" s="4" customFormat="1" x14ac:dyDescent="0.25">
      <c r="B188" s="1004"/>
      <c r="C188" s="12"/>
      <c r="D188" s="12"/>
      <c r="E188" s="12"/>
      <c r="F188" s="12"/>
      <c r="G188" s="51"/>
      <c r="H188" s="51"/>
      <c r="M188" s="18"/>
      <c r="N188" s="18"/>
      <c r="O188" s="18"/>
      <c r="P188" s="18"/>
    </row>
    <row r="189" spans="1:17" s="4" customFormat="1" x14ac:dyDescent="0.25">
      <c r="B189" s="1004"/>
      <c r="C189" s="12"/>
      <c r="D189" s="12"/>
      <c r="E189" s="12"/>
      <c r="F189" s="12"/>
      <c r="G189" s="51"/>
      <c r="H189" s="51"/>
      <c r="M189" s="18"/>
      <c r="N189" s="18"/>
      <c r="O189" s="18"/>
      <c r="P189" s="18"/>
    </row>
    <row r="190" spans="1:17" s="4" customFormat="1" x14ac:dyDescent="0.25">
      <c r="B190" s="1004"/>
      <c r="C190" s="12"/>
      <c r="D190" s="12"/>
      <c r="E190" s="12"/>
      <c r="F190" s="12"/>
      <c r="G190" s="51"/>
      <c r="H190" s="51"/>
      <c r="M190" s="18"/>
      <c r="N190" s="18"/>
      <c r="O190" s="18"/>
      <c r="P190" s="18"/>
    </row>
    <row r="191" spans="1:17" s="4" customFormat="1" x14ac:dyDescent="0.25">
      <c r="B191" s="1004"/>
      <c r="C191" s="12"/>
      <c r="D191" s="12"/>
      <c r="E191" s="12"/>
      <c r="F191" s="12"/>
      <c r="G191" s="51"/>
      <c r="H191" s="51"/>
      <c r="M191" s="18"/>
      <c r="N191" s="18"/>
      <c r="O191" s="18"/>
      <c r="P191" s="18"/>
    </row>
    <row r="192" spans="1:17" s="4" customFormat="1" x14ac:dyDescent="0.25">
      <c r="A192" s="3"/>
      <c r="B192" s="1007"/>
      <c r="C192" s="11"/>
      <c r="D192" s="11"/>
      <c r="E192" s="11"/>
      <c r="F192" s="11"/>
      <c r="G192" s="24"/>
      <c r="H192" s="24"/>
      <c r="I192" s="3"/>
      <c r="J192" s="3"/>
      <c r="K192" s="3"/>
      <c r="L192" s="3"/>
      <c r="M192" s="22"/>
      <c r="N192" s="22"/>
      <c r="O192" s="22"/>
      <c r="P192" s="22"/>
      <c r="Q192" s="3"/>
    </row>
    <row r="193" spans="1:17" s="4" customFormat="1" x14ac:dyDescent="0.25">
      <c r="A193" s="1844" t="s">
        <v>20</v>
      </c>
      <c r="B193" s="1845"/>
      <c r="C193" s="1845"/>
      <c r="D193" s="1845"/>
      <c r="E193" s="1845"/>
      <c r="F193" s="1845"/>
      <c r="G193" s="1845"/>
      <c r="H193" s="1845"/>
      <c r="I193" s="1845"/>
      <c r="J193" s="1845"/>
      <c r="K193" s="1845"/>
      <c r="L193" s="1845"/>
      <c r="M193" s="1845"/>
      <c r="N193" s="1845"/>
      <c r="O193" s="1845"/>
      <c r="P193" s="1845"/>
      <c r="Q193" s="1846"/>
    </row>
    <row r="194" spans="1:17" s="4" customFormat="1" x14ac:dyDescent="0.25">
      <c r="A194" s="1847" t="s">
        <v>1696</v>
      </c>
      <c r="B194" s="1848"/>
      <c r="C194" s="1848"/>
      <c r="D194" s="1848"/>
      <c r="E194" s="1848"/>
      <c r="F194" s="1848"/>
      <c r="G194" s="1848"/>
      <c r="H194" s="1848"/>
      <c r="I194" s="1848"/>
      <c r="J194" s="1848"/>
      <c r="K194" s="1848"/>
      <c r="L194" s="1848"/>
      <c r="M194" s="1848"/>
      <c r="N194" s="1848"/>
      <c r="O194" s="1848"/>
      <c r="P194" s="1848"/>
      <c r="Q194" s="1849"/>
    </row>
    <row r="195" spans="1:17" s="4" customFormat="1" ht="9" customHeight="1" x14ac:dyDescent="0.25">
      <c r="B195" s="1004"/>
      <c r="C195" s="12"/>
      <c r="D195" s="12"/>
      <c r="E195" s="12"/>
      <c r="F195" s="12"/>
      <c r="G195" s="51"/>
      <c r="H195" s="51"/>
      <c r="M195" s="18"/>
      <c r="N195" s="18"/>
      <c r="O195" s="18"/>
      <c r="P195" s="18"/>
    </row>
    <row r="196" spans="1:17" x14ac:dyDescent="0.25">
      <c r="B196" s="1095" t="s">
        <v>1672</v>
      </c>
      <c r="C196" s="1094" t="s">
        <v>482</v>
      </c>
      <c r="D196" s="1094"/>
      <c r="E196" s="173"/>
      <c r="F196" s="173"/>
      <c r="G196" s="174"/>
      <c r="H196" s="174"/>
      <c r="I196" s="175"/>
      <c r="J196" s="175"/>
      <c r="K196" s="175"/>
      <c r="L196" s="2101"/>
      <c r="M196" s="2101"/>
    </row>
    <row r="197" spans="1:17" ht="8.25" customHeight="1" x14ac:dyDescent="0.25">
      <c r="B197" s="6"/>
      <c r="C197" s="21"/>
      <c r="D197" s="21"/>
      <c r="L197" s="47"/>
      <c r="M197" s="47"/>
    </row>
    <row r="198" spans="1:17" ht="11.25" customHeight="1" x14ac:dyDescent="0.25">
      <c r="B198" s="1092">
        <v>1</v>
      </c>
      <c r="C198" s="17"/>
      <c r="D198" s="991"/>
      <c r="E198" s="1013"/>
      <c r="F198" s="1013"/>
      <c r="G198" s="1993" t="s">
        <v>1695</v>
      </c>
      <c r="H198" s="1993"/>
      <c r="I198" s="29"/>
      <c r="J198" s="29"/>
      <c r="K198" s="29"/>
      <c r="L198" s="1013"/>
      <c r="M198" s="2103" t="s">
        <v>9</v>
      </c>
      <c r="N198" s="2103"/>
      <c r="O198" s="2103" t="s">
        <v>8</v>
      </c>
      <c r="P198" s="2103"/>
    </row>
    <row r="199" spans="1:17" x14ac:dyDescent="0.25">
      <c r="B199" s="30" t="s">
        <v>11</v>
      </c>
      <c r="C199" s="1015" t="s">
        <v>10</v>
      </c>
      <c r="D199" s="31"/>
      <c r="E199" s="1016"/>
      <c r="F199" s="991"/>
      <c r="G199" s="51"/>
      <c r="H199" s="51"/>
      <c r="I199" s="4"/>
      <c r="J199" s="4"/>
      <c r="K199" s="4"/>
      <c r="L199" s="991"/>
      <c r="M199" s="2008">
        <v>500000</v>
      </c>
      <c r="N199" s="2009"/>
      <c r="O199" s="2012"/>
      <c r="P199" s="2009"/>
    </row>
    <row r="200" spans="1:17" x14ac:dyDescent="0.25">
      <c r="B200" s="1009" t="s">
        <v>458</v>
      </c>
      <c r="C200" s="1015"/>
      <c r="D200" s="1016"/>
      <c r="E200" s="1016"/>
      <c r="F200" s="20" t="s">
        <v>1</v>
      </c>
      <c r="G200" s="1020" t="s">
        <v>435</v>
      </c>
      <c r="H200" s="1020"/>
      <c r="I200" s="4"/>
      <c r="J200" s="4"/>
      <c r="K200" s="4"/>
      <c r="L200" s="4"/>
      <c r="M200" s="2008"/>
      <c r="N200" s="2012"/>
      <c r="O200" s="2008">
        <f>+M199</f>
        <v>500000</v>
      </c>
      <c r="P200" s="2009"/>
    </row>
    <row r="201" spans="1:17" ht="11.25" customHeight="1" x14ac:dyDescent="0.25">
      <c r="B201" s="1092">
        <v>2</v>
      </c>
      <c r="C201" s="2090" t="s">
        <v>21</v>
      </c>
      <c r="D201" s="2090"/>
      <c r="E201" s="2090"/>
      <c r="F201" s="2090"/>
      <c r="G201" s="1993" t="s">
        <v>1695</v>
      </c>
      <c r="H201" s="1993"/>
      <c r="I201" s="2090" t="s">
        <v>1685</v>
      </c>
      <c r="J201" s="2090"/>
      <c r="K201" s="2090"/>
      <c r="L201" s="2092"/>
      <c r="M201" s="2008"/>
      <c r="N201" s="2012"/>
      <c r="O201" s="2008"/>
      <c r="P201" s="2009"/>
    </row>
    <row r="202" spans="1:17" x14ac:dyDescent="0.25">
      <c r="B202" s="30"/>
      <c r="C202" s="2093" t="s">
        <v>1657</v>
      </c>
      <c r="D202" s="2094"/>
      <c r="E202" s="2094"/>
      <c r="F202" s="2094"/>
      <c r="G202" s="2094"/>
      <c r="H202" s="2094"/>
      <c r="I202" s="2094"/>
      <c r="J202" s="2094"/>
      <c r="K202" s="2094"/>
      <c r="L202" s="2095"/>
      <c r="M202" s="2008"/>
      <c r="N202" s="2009"/>
      <c r="O202" s="2012"/>
      <c r="P202" s="2009"/>
    </row>
    <row r="203" spans="1:17" ht="11.25" customHeight="1" x14ac:dyDescent="0.25">
      <c r="B203" s="1092">
        <v>3</v>
      </c>
      <c r="C203" s="2090" t="s">
        <v>21</v>
      </c>
      <c r="D203" s="2090"/>
      <c r="E203" s="2090"/>
      <c r="F203" s="2090"/>
      <c r="G203" s="1993" t="s">
        <v>1694</v>
      </c>
      <c r="H203" s="1993"/>
      <c r="I203" s="2090" t="s">
        <v>1685</v>
      </c>
      <c r="J203" s="2090"/>
      <c r="K203" s="2090"/>
      <c r="L203" s="2092"/>
      <c r="M203" s="2008"/>
      <c r="N203" s="2012"/>
      <c r="O203" s="2008"/>
      <c r="P203" s="2009"/>
    </row>
    <row r="204" spans="1:17" x14ac:dyDescent="0.25">
      <c r="B204" s="30" t="s">
        <v>11</v>
      </c>
      <c r="C204" s="1015" t="s">
        <v>23</v>
      </c>
      <c r="D204" s="1016"/>
      <c r="E204" s="1016"/>
      <c r="F204" s="991"/>
      <c r="G204" s="51"/>
      <c r="H204" s="51"/>
      <c r="I204" s="4"/>
      <c r="J204" s="4"/>
      <c r="K204" s="4"/>
      <c r="L204" s="991"/>
      <c r="M204" s="2008">
        <v>8000</v>
      </c>
      <c r="N204" s="2009"/>
      <c r="O204" s="2012"/>
      <c r="P204" s="2009"/>
    </row>
    <row r="205" spans="1:17" x14ac:dyDescent="0.25">
      <c r="B205" s="1009" t="s">
        <v>14</v>
      </c>
      <c r="C205" s="1015"/>
      <c r="D205" s="1016"/>
      <c r="E205" s="1016"/>
      <c r="F205" s="20" t="s">
        <v>1</v>
      </c>
      <c r="G205" s="1020" t="s">
        <v>10</v>
      </c>
      <c r="H205" s="1020"/>
      <c r="I205" s="4"/>
      <c r="J205" s="4"/>
      <c r="K205" s="4"/>
      <c r="L205" s="4"/>
      <c r="M205" s="2008"/>
      <c r="N205" s="2012"/>
      <c r="O205" s="2008">
        <f>+M204</f>
        <v>8000</v>
      </c>
      <c r="P205" s="2009"/>
    </row>
    <row r="206" spans="1:17" ht="11.25" customHeight="1" x14ac:dyDescent="0.25">
      <c r="B206" s="1092">
        <v>4</v>
      </c>
      <c r="C206" s="2090" t="s">
        <v>21</v>
      </c>
      <c r="D206" s="2090"/>
      <c r="E206" s="2090"/>
      <c r="F206" s="2090"/>
      <c r="G206" s="2109" t="s">
        <v>1693</v>
      </c>
      <c r="H206" s="2109"/>
      <c r="I206" s="2090" t="s">
        <v>1685</v>
      </c>
      <c r="J206" s="2090"/>
      <c r="K206" s="2090"/>
      <c r="L206" s="2092"/>
      <c r="M206" s="2008"/>
      <c r="N206" s="2012"/>
      <c r="O206" s="2008"/>
      <c r="P206" s="2009"/>
    </row>
    <row r="207" spans="1:17" x14ac:dyDescent="0.25">
      <c r="B207" s="30" t="s">
        <v>15</v>
      </c>
      <c r="C207" s="1015" t="s">
        <v>1081</v>
      </c>
      <c r="D207" s="1016"/>
      <c r="E207" s="1016"/>
      <c r="F207" s="991"/>
      <c r="G207" s="51"/>
      <c r="H207" s="51"/>
      <c r="I207" s="4"/>
      <c r="J207" s="4"/>
      <c r="K207" s="4"/>
      <c r="L207" s="991"/>
      <c r="M207" s="2008">
        <v>10000</v>
      </c>
      <c r="N207" s="2009"/>
      <c r="O207" s="2012"/>
      <c r="P207" s="2009"/>
    </row>
    <row r="208" spans="1:17" x14ac:dyDescent="0.25">
      <c r="B208" s="1009" t="s">
        <v>17</v>
      </c>
      <c r="C208" s="1015"/>
      <c r="D208" s="1016"/>
      <c r="E208" s="1016"/>
      <c r="F208" s="20" t="s">
        <v>1</v>
      </c>
      <c r="G208" s="1020" t="s">
        <v>1677</v>
      </c>
      <c r="H208" s="1020"/>
      <c r="I208" s="4"/>
      <c r="J208" s="4"/>
      <c r="K208" s="4"/>
      <c r="L208" s="4"/>
      <c r="M208" s="2008"/>
      <c r="N208" s="2012"/>
      <c r="O208" s="2008">
        <f>+M207</f>
        <v>10000</v>
      </c>
      <c r="P208" s="2009"/>
    </row>
    <row r="209" spans="2:16" ht="11.25" customHeight="1" x14ac:dyDescent="0.25">
      <c r="B209" s="1092">
        <v>5</v>
      </c>
      <c r="C209" s="2090" t="s">
        <v>21</v>
      </c>
      <c r="D209" s="2090"/>
      <c r="E209" s="2090"/>
      <c r="F209" s="2090"/>
      <c r="G209" s="2109" t="s">
        <v>1692</v>
      </c>
      <c r="H209" s="2109"/>
      <c r="I209" s="2090" t="s">
        <v>1685</v>
      </c>
      <c r="J209" s="2090"/>
      <c r="K209" s="2090"/>
      <c r="L209" s="2092"/>
      <c r="M209" s="2008"/>
      <c r="N209" s="2012"/>
      <c r="O209" s="2008"/>
      <c r="P209" s="2009"/>
    </row>
    <row r="210" spans="2:16" x14ac:dyDescent="0.25">
      <c r="B210" s="30" t="s">
        <v>207</v>
      </c>
      <c r="C210" s="1015" t="s">
        <v>1677</v>
      </c>
      <c r="D210" s="1016"/>
      <c r="E210" s="1016"/>
      <c r="F210" s="991"/>
      <c r="G210" s="51"/>
      <c r="H210" s="51"/>
      <c r="I210" s="4"/>
      <c r="J210" s="4"/>
      <c r="K210" s="4"/>
      <c r="L210" s="991"/>
      <c r="M210" s="2008">
        <v>10000</v>
      </c>
      <c r="N210" s="2009"/>
      <c r="O210" s="2012"/>
      <c r="P210" s="2009"/>
    </row>
    <row r="211" spans="2:16" x14ac:dyDescent="0.25">
      <c r="B211" s="1009" t="s">
        <v>15</v>
      </c>
      <c r="C211" s="1015" t="s">
        <v>1081</v>
      </c>
      <c r="D211" s="1016"/>
      <c r="E211" s="1016"/>
      <c r="F211" s="20"/>
      <c r="G211" s="1020"/>
      <c r="H211" s="1020"/>
      <c r="I211" s="4"/>
      <c r="J211" s="4"/>
      <c r="K211" s="4"/>
      <c r="L211" s="4"/>
      <c r="M211" s="2008">
        <v>10000</v>
      </c>
      <c r="N211" s="2012"/>
      <c r="O211" s="2008"/>
      <c r="P211" s="2009"/>
    </row>
    <row r="212" spans="2:16" x14ac:dyDescent="0.25">
      <c r="B212" s="38" t="s">
        <v>11</v>
      </c>
      <c r="C212" s="1015" t="s">
        <v>1678</v>
      </c>
      <c r="D212" s="1016"/>
      <c r="E212" s="1016"/>
      <c r="F212" s="991"/>
      <c r="G212" s="51"/>
      <c r="H212" s="51"/>
      <c r="I212" s="4"/>
      <c r="J212" s="4"/>
      <c r="K212" s="4"/>
      <c r="L212" s="991"/>
      <c r="M212" s="2008">
        <v>10000</v>
      </c>
      <c r="N212" s="2009"/>
      <c r="O212" s="2012"/>
      <c r="P212" s="2009"/>
    </row>
    <row r="213" spans="2:16" x14ac:dyDescent="0.25">
      <c r="B213" s="1009" t="s">
        <v>14</v>
      </c>
      <c r="C213" s="1015"/>
      <c r="D213" s="1016"/>
      <c r="E213" s="1016"/>
      <c r="F213" s="20" t="s">
        <v>1</v>
      </c>
      <c r="G213" s="1020" t="s">
        <v>10</v>
      </c>
      <c r="H213" s="1020"/>
      <c r="I213" s="4"/>
      <c r="J213" s="4"/>
      <c r="K213" s="4"/>
      <c r="L213" s="4"/>
      <c r="M213" s="2008"/>
      <c r="N213" s="2012"/>
      <c r="O213" s="2008">
        <f>+SUM(M210:N212)</f>
        <v>30000</v>
      </c>
      <c r="P213" s="2009"/>
    </row>
    <row r="214" spans="2:16" ht="11.25" customHeight="1" x14ac:dyDescent="0.25">
      <c r="B214" s="1092">
        <v>6</v>
      </c>
      <c r="C214" s="2090" t="s">
        <v>21</v>
      </c>
      <c r="D214" s="2090"/>
      <c r="E214" s="2090"/>
      <c r="F214" s="2090"/>
      <c r="G214" s="2109" t="s">
        <v>1691</v>
      </c>
      <c r="H214" s="2109"/>
      <c r="I214" s="2090" t="s">
        <v>1685</v>
      </c>
      <c r="J214" s="2090"/>
      <c r="K214" s="2090"/>
      <c r="L214" s="2092"/>
      <c r="M214" s="2008"/>
      <c r="N214" s="2012"/>
      <c r="O214" s="2008"/>
      <c r="P214" s="2009"/>
    </row>
    <row r="215" spans="2:16" x14ac:dyDescent="0.25">
      <c r="B215" s="30" t="s">
        <v>15</v>
      </c>
      <c r="C215" s="1015" t="s">
        <v>1081</v>
      </c>
      <c r="D215" s="1016"/>
      <c r="E215" s="1016"/>
      <c r="F215" s="991"/>
      <c r="G215" s="51"/>
      <c r="H215" s="51"/>
      <c r="I215" s="4"/>
      <c r="J215" s="4"/>
      <c r="K215" s="4"/>
      <c r="L215" s="991"/>
      <c r="M215" s="2008">
        <v>10000</v>
      </c>
      <c r="N215" s="2009"/>
      <c r="O215" s="2012"/>
      <c r="P215" s="2009"/>
    </row>
    <row r="216" spans="2:16" x14ac:dyDescent="0.25">
      <c r="B216" s="1009" t="s">
        <v>14</v>
      </c>
      <c r="C216" s="1015"/>
      <c r="D216" s="1016"/>
      <c r="E216" s="1016"/>
      <c r="F216" s="20" t="s">
        <v>1</v>
      </c>
      <c r="G216" s="1020" t="str">
        <f>+C212</f>
        <v>Alquileres a devengar</v>
      </c>
      <c r="H216" s="1020"/>
      <c r="I216" s="4"/>
      <c r="J216" s="4"/>
      <c r="K216" s="4"/>
      <c r="L216" s="4"/>
      <c r="M216" s="2008"/>
      <c r="N216" s="2012"/>
      <c r="O216" s="2008">
        <f>+M215</f>
        <v>10000</v>
      </c>
      <c r="P216" s="2009"/>
    </row>
    <row r="217" spans="2:16" ht="11.25" customHeight="1" x14ac:dyDescent="0.25">
      <c r="B217" s="1092">
        <v>7</v>
      </c>
      <c r="C217" s="2090" t="s">
        <v>21</v>
      </c>
      <c r="D217" s="2090"/>
      <c r="E217" s="2090"/>
      <c r="F217" s="2090"/>
      <c r="G217" s="2109" t="s">
        <v>33</v>
      </c>
      <c r="H217" s="2109"/>
      <c r="I217" s="2090" t="s">
        <v>1685</v>
      </c>
      <c r="J217" s="2090"/>
      <c r="K217" s="2090"/>
      <c r="L217" s="2092"/>
      <c r="M217" s="2008"/>
      <c r="N217" s="2012"/>
      <c r="O217" s="2008"/>
      <c r="P217" s="2009"/>
    </row>
    <row r="218" spans="2:16" x14ac:dyDescent="0.25">
      <c r="B218" s="30" t="s">
        <v>11</v>
      </c>
      <c r="C218" s="1015" t="s">
        <v>1089</v>
      </c>
      <c r="D218" s="1016"/>
      <c r="E218" s="1016"/>
      <c r="F218" s="991"/>
      <c r="G218" s="51"/>
      <c r="H218" s="51"/>
      <c r="I218" s="4"/>
      <c r="J218" s="4"/>
      <c r="K218" s="4"/>
      <c r="L218" s="991"/>
      <c r="M218" s="2008">
        <v>4000</v>
      </c>
      <c r="N218" s="2009"/>
      <c r="O218" s="2012"/>
      <c r="P218" s="2009"/>
    </row>
    <row r="219" spans="2:16" x14ac:dyDescent="0.25">
      <c r="B219" s="38" t="s">
        <v>11</v>
      </c>
      <c r="C219" s="1015" t="s">
        <v>13</v>
      </c>
      <c r="D219" s="1016"/>
      <c r="E219" s="1016"/>
      <c r="F219" s="991"/>
      <c r="G219" s="51"/>
      <c r="H219" s="51"/>
      <c r="I219" s="4"/>
      <c r="J219" s="4"/>
      <c r="K219" s="4"/>
      <c r="L219" s="991"/>
      <c r="M219" s="2008">
        <f>+M218*0.105</f>
        <v>420</v>
      </c>
      <c r="N219" s="2009"/>
      <c r="O219" s="994"/>
      <c r="P219" s="995"/>
    </row>
    <row r="220" spans="2:16" x14ac:dyDescent="0.25">
      <c r="B220" s="1009" t="s">
        <v>17</v>
      </c>
      <c r="C220" s="1015"/>
      <c r="D220" s="1016"/>
      <c r="E220" s="1016"/>
      <c r="F220" s="20" t="s">
        <v>1</v>
      </c>
      <c r="G220" s="1020" t="s">
        <v>1644</v>
      </c>
      <c r="H220" s="1020"/>
      <c r="I220" s="4"/>
      <c r="J220" s="4"/>
      <c r="K220" s="4"/>
      <c r="L220" s="4"/>
      <c r="M220" s="2008"/>
      <c r="N220" s="2012"/>
      <c r="O220" s="2008">
        <f>+M219+M218</f>
        <v>4420</v>
      </c>
      <c r="P220" s="2009"/>
    </row>
    <row r="221" spans="2:16" ht="11.25" customHeight="1" x14ac:dyDescent="0.25">
      <c r="B221" s="1092">
        <v>8</v>
      </c>
      <c r="C221" s="2090" t="s">
        <v>21</v>
      </c>
      <c r="D221" s="2090"/>
      <c r="E221" s="2090"/>
      <c r="F221" s="2090"/>
      <c r="G221" s="2109" t="s">
        <v>1690</v>
      </c>
      <c r="H221" s="2109"/>
      <c r="I221" s="2090" t="s">
        <v>1685</v>
      </c>
      <c r="J221" s="2090"/>
      <c r="K221" s="2090"/>
      <c r="L221" s="2092"/>
      <c r="M221" s="2008"/>
      <c r="N221" s="2012"/>
      <c r="O221" s="2008"/>
      <c r="P221" s="2009"/>
    </row>
    <row r="222" spans="2:16" x14ac:dyDescent="0.25">
      <c r="B222" s="30" t="s">
        <v>207</v>
      </c>
      <c r="C222" s="1015" t="str">
        <f>+G220</f>
        <v>Proveedores de bienes de uso</v>
      </c>
      <c r="D222" s="1016"/>
      <c r="E222" s="1016"/>
      <c r="F222" s="991"/>
      <c r="G222" s="51"/>
      <c r="H222" s="51"/>
      <c r="I222" s="4"/>
      <c r="J222" s="4"/>
      <c r="K222" s="4"/>
      <c r="L222" s="991"/>
      <c r="M222" s="2008">
        <f>+O220</f>
        <v>4420</v>
      </c>
      <c r="N222" s="2009"/>
      <c r="O222" s="2012"/>
      <c r="P222" s="2009"/>
    </row>
    <row r="223" spans="2:16" x14ac:dyDescent="0.25">
      <c r="B223" s="1009" t="s">
        <v>14</v>
      </c>
      <c r="C223" s="1015"/>
      <c r="D223" s="1016"/>
      <c r="E223" s="1016"/>
      <c r="F223" s="20" t="s">
        <v>1</v>
      </c>
      <c r="G223" s="1020" t="s">
        <v>23</v>
      </c>
      <c r="H223" s="1020"/>
      <c r="I223" s="4"/>
      <c r="J223" s="4"/>
      <c r="K223" s="4"/>
      <c r="L223" s="4"/>
      <c r="M223" s="2008"/>
      <c r="N223" s="2012"/>
      <c r="O223" s="2008">
        <f>+M222</f>
        <v>4420</v>
      </c>
      <c r="P223" s="2009"/>
    </row>
    <row r="224" spans="2:16" ht="11.25" customHeight="1" x14ac:dyDescent="0.25">
      <c r="B224" s="1092">
        <v>9</v>
      </c>
      <c r="C224" s="2090" t="s">
        <v>21</v>
      </c>
      <c r="D224" s="2090"/>
      <c r="E224" s="2090"/>
      <c r="F224" s="2090"/>
      <c r="G224" s="2109" t="s">
        <v>1689</v>
      </c>
      <c r="H224" s="2109"/>
      <c r="I224" s="2090" t="s">
        <v>1685</v>
      </c>
      <c r="J224" s="2090"/>
      <c r="K224" s="2090"/>
      <c r="L224" s="2092"/>
      <c r="M224" s="2008"/>
      <c r="N224" s="2012"/>
      <c r="O224" s="2008"/>
      <c r="P224" s="2009"/>
    </row>
    <row r="225" spans="2:16" x14ac:dyDescent="0.25">
      <c r="B225" s="30" t="s">
        <v>11</v>
      </c>
      <c r="C225" s="1015" t="s">
        <v>24</v>
      </c>
      <c r="D225" s="1016"/>
      <c r="E225" s="1016"/>
      <c r="F225" s="991"/>
      <c r="G225" s="51"/>
      <c r="H225" s="51"/>
      <c r="I225" s="4"/>
      <c r="J225" s="4"/>
      <c r="K225" s="4"/>
      <c r="L225" s="991"/>
      <c r="M225" s="2008">
        <v>200</v>
      </c>
      <c r="N225" s="2009"/>
      <c r="O225" s="2012"/>
      <c r="P225" s="2009"/>
    </row>
    <row r="226" spans="2:16" x14ac:dyDescent="0.25">
      <c r="B226" s="1009" t="s">
        <v>14</v>
      </c>
      <c r="C226" s="1015"/>
      <c r="D226" s="1016"/>
      <c r="E226" s="1016"/>
      <c r="F226" s="20" t="s">
        <v>1</v>
      </c>
      <c r="G226" s="1020" t="s">
        <v>23</v>
      </c>
      <c r="H226" s="1020"/>
      <c r="I226" s="4"/>
      <c r="J226" s="4"/>
      <c r="K226" s="4"/>
      <c r="L226" s="4"/>
      <c r="M226" s="2008"/>
      <c r="N226" s="2012"/>
      <c r="O226" s="2008">
        <f>+M225</f>
        <v>200</v>
      </c>
      <c r="P226" s="2009"/>
    </row>
    <row r="227" spans="2:16" ht="11.25" customHeight="1" x14ac:dyDescent="0.25">
      <c r="B227" s="1092">
        <v>10</v>
      </c>
      <c r="C227" s="2090" t="s">
        <v>21</v>
      </c>
      <c r="D227" s="2090"/>
      <c r="E227" s="2090"/>
      <c r="F227" s="2090"/>
      <c r="G227" s="2109" t="s">
        <v>1688</v>
      </c>
      <c r="H227" s="2109"/>
      <c r="I227" s="2090" t="s">
        <v>1685</v>
      </c>
      <c r="J227" s="2090"/>
      <c r="K227" s="2090"/>
      <c r="L227" s="2092"/>
      <c r="M227" s="2008"/>
      <c r="N227" s="2012"/>
      <c r="O227" s="2008"/>
      <c r="P227" s="2009"/>
    </row>
    <row r="228" spans="2:16" x14ac:dyDescent="0.25">
      <c r="B228" s="30" t="s">
        <v>11</v>
      </c>
      <c r="C228" s="1015" t="s">
        <v>5</v>
      </c>
      <c r="D228" s="1016"/>
      <c r="E228" s="1016"/>
      <c r="F228" s="991"/>
      <c r="G228" s="51"/>
      <c r="H228" s="51"/>
      <c r="I228" s="4"/>
      <c r="J228" s="4"/>
      <c r="K228" s="4"/>
      <c r="L228" s="991"/>
      <c r="M228" s="2008">
        <v>40000</v>
      </c>
      <c r="N228" s="2009"/>
      <c r="O228" s="2012"/>
      <c r="P228" s="2009"/>
    </row>
    <row r="229" spans="2:16" x14ac:dyDescent="0.25">
      <c r="B229" s="38" t="s">
        <v>11</v>
      </c>
      <c r="C229" s="1015" t="s">
        <v>13</v>
      </c>
      <c r="D229" s="1016"/>
      <c r="E229" s="1016"/>
      <c r="F229" s="991"/>
      <c r="G229" s="51"/>
      <c r="H229" s="51"/>
      <c r="I229" s="4"/>
      <c r="J229" s="4"/>
      <c r="K229" s="4"/>
      <c r="L229" s="991"/>
      <c r="M229" s="2008">
        <f>+M228*0.21</f>
        <v>8400</v>
      </c>
      <c r="N229" s="2009"/>
      <c r="O229" s="994"/>
      <c r="P229" s="995"/>
    </row>
    <row r="230" spans="2:16" x14ac:dyDescent="0.25">
      <c r="B230" s="38" t="s">
        <v>14</v>
      </c>
      <c r="C230" s="1015"/>
      <c r="D230" s="1016"/>
      <c r="E230" s="1016"/>
      <c r="F230" s="20" t="s">
        <v>1</v>
      </c>
      <c r="G230" s="1020" t="s">
        <v>24</v>
      </c>
      <c r="H230" s="51"/>
      <c r="I230" s="4"/>
      <c r="J230" s="4"/>
      <c r="K230" s="4"/>
      <c r="L230" s="991"/>
      <c r="M230" s="2008"/>
      <c r="N230" s="2009"/>
      <c r="O230" s="2008">
        <f>+M225</f>
        <v>200</v>
      </c>
      <c r="P230" s="2009"/>
    </row>
    <row r="231" spans="2:16" x14ac:dyDescent="0.25">
      <c r="B231" s="38" t="s">
        <v>14</v>
      </c>
      <c r="C231" s="1015"/>
      <c r="D231" s="1016"/>
      <c r="E231" s="1016"/>
      <c r="F231" s="20" t="s">
        <v>1</v>
      </c>
      <c r="G231" s="1020" t="s">
        <v>10</v>
      </c>
      <c r="H231" s="51"/>
      <c r="I231" s="4"/>
      <c r="J231" s="4"/>
      <c r="K231" s="4"/>
      <c r="L231" s="991"/>
      <c r="M231" s="2008"/>
      <c r="N231" s="2009"/>
      <c r="O231" s="2008">
        <f>+(M228+M229-O230)/2</f>
        <v>24100</v>
      </c>
      <c r="P231" s="2009"/>
    </row>
    <row r="232" spans="2:16" x14ac:dyDescent="0.25">
      <c r="B232" s="1009" t="s">
        <v>17</v>
      </c>
      <c r="C232" s="1015"/>
      <c r="D232" s="1016"/>
      <c r="E232" s="1016"/>
      <c r="F232" s="20" t="s">
        <v>1</v>
      </c>
      <c r="G232" s="1020" t="s">
        <v>6</v>
      </c>
      <c r="H232" s="1020"/>
      <c r="I232" s="4"/>
      <c r="J232" s="4"/>
      <c r="K232" s="4"/>
      <c r="L232" s="4"/>
      <c r="M232" s="2008"/>
      <c r="N232" s="2012"/>
      <c r="O232" s="2008">
        <f>+O231</f>
        <v>24100</v>
      </c>
      <c r="P232" s="2009"/>
    </row>
    <row r="233" spans="2:16" ht="11.25" customHeight="1" x14ac:dyDescent="0.25">
      <c r="B233" s="1092">
        <v>11</v>
      </c>
      <c r="C233" s="2090" t="s">
        <v>21</v>
      </c>
      <c r="D233" s="2090"/>
      <c r="E233" s="2090"/>
      <c r="F233" s="2090"/>
      <c r="G233" s="2109" t="s">
        <v>1687</v>
      </c>
      <c r="H233" s="2109"/>
      <c r="I233" s="2090" t="s">
        <v>1685</v>
      </c>
      <c r="J233" s="2090"/>
      <c r="K233" s="2090"/>
      <c r="L233" s="2092"/>
      <c r="M233" s="2008"/>
      <c r="N233" s="2012"/>
      <c r="O233" s="2008"/>
      <c r="P233" s="2009"/>
    </row>
    <row r="234" spans="2:16" x14ac:dyDescent="0.25">
      <c r="B234" s="30" t="s">
        <v>11</v>
      </c>
      <c r="C234" s="1015" t="s">
        <v>10</v>
      </c>
      <c r="D234" s="1016"/>
      <c r="E234" s="1016"/>
      <c r="F234" s="991"/>
      <c r="G234" s="51"/>
      <c r="H234" s="51"/>
      <c r="I234" s="4"/>
      <c r="J234" s="4"/>
      <c r="K234" s="4"/>
      <c r="L234" s="991"/>
      <c r="M234" s="2008">
        <v>815</v>
      </c>
      <c r="N234" s="2009"/>
      <c r="O234" s="2012"/>
      <c r="P234" s="2009"/>
    </row>
    <row r="235" spans="2:16" x14ac:dyDescent="0.25">
      <c r="B235" s="1009" t="s">
        <v>17</v>
      </c>
      <c r="C235" s="1015"/>
      <c r="D235" s="1016"/>
      <c r="E235" s="1016"/>
      <c r="F235" s="20" t="s">
        <v>1</v>
      </c>
      <c r="G235" s="1020" t="s">
        <v>233</v>
      </c>
      <c r="H235" s="1020"/>
      <c r="I235" s="4"/>
      <c r="J235" s="4"/>
      <c r="K235" s="4"/>
      <c r="L235" s="4"/>
      <c r="M235" s="2008"/>
      <c r="N235" s="2012"/>
      <c r="O235" s="2008">
        <f>+M234</f>
        <v>815</v>
      </c>
      <c r="P235" s="2009"/>
    </row>
    <row r="236" spans="2:16" ht="11.25" customHeight="1" x14ac:dyDescent="0.25">
      <c r="B236" s="1092">
        <v>12</v>
      </c>
      <c r="C236" s="2090" t="s">
        <v>21</v>
      </c>
      <c r="D236" s="2090"/>
      <c r="E236" s="2090"/>
      <c r="F236" s="2090"/>
      <c r="G236" s="2109" t="s">
        <v>1686</v>
      </c>
      <c r="H236" s="2109"/>
      <c r="I236" s="2090" t="s">
        <v>1685</v>
      </c>
      <c r="J236" s="2090"/>
      <c r="K236" s="2090"/>
      <c r="L236" s="2092"/>
      <c r="M236" s="2008"/>
      <c r="N236" s="2012"/>
      <c r="O236" s="2008"/>
      <c r="P236" s="2009"/>
    </row>
    <row r="237" spans="2:16" x14ac:dyDescent="0.25">
      <c r="B237" s="30" t="s">
        <v>207</v>
      </c>
      <c r="C237" s="1015" t="s">
        <v>233</v>
      </c>
      <c r="D237" s="1016"/>
      <c r="E237" s="1016"/>
      <c r="F237" s="991"/>
      <c r="G237" s="51"/>
      <c r="H237" s="51"/>
      <c r="I237" s="4"/>
      <c r="J237" s="4"/>
      <c r="K237" s="4"/>
      <c r="L237" s="991"/>
      <c r="M237" s="2008">
        <f>+O235</f>
        <v>815</v>
      </c>
      <c r="N237" s="2009"/>
      <c r="O237" s="2012"/>
      <c r="P237" s="2009"/>
    </row>
    <row r="238" spans="2:16" x14ac:dyDescent="0.25">
      <c r="B238" s="38" t="s">
        <v>11</v>
      </c>
      <c r="C238" s="1015" t="s">
        <v>10</v>
      </c>
      <c r="D238" s="1016"/>
      <c r="E238" s="1016"/>
      <c r="F238" s="991"/>
      <c r="G238" s="51"/>
      <c r="H238" s="51"/>
      <c r="I238" s="4"/>
      <c r="J238" s="4"/>
      <c r="K238" s="4"/>
      <c r="L238" s="991"/>
      <c r="M238" s="2008">
        <f>+($O$241+$O$242-$M$237)*0.3</f>
        <v>21717</v>
      </c>
      <c r="N238" s="2009"/>
      <c r="O238" s="994"/>
      <c r="P238" s="995"/>
    </row>
    <row r="239" spans="2:16" x14ac:dyDescent="0.25">
      <c r="B239" s="38" t="s">
        <v>11</v>
      </c>
      <c r="C239" s="1015" t="s">
        <v>1679</v>
      </c>
      <c r="D239" s="1016"/>
      <c r="E239" s="1016"/>
      <c r="F239" s="20"/>
      <c r="G239" s="1020"/>
      <c r="H239" s="51"/>
      <c r="I239" s="4"/>
      <c r="J239" s="4"/>
      <c r="K239" s="4"/>
      <c r="L239" s="991"/>
      <c r="M239" s="2008">
        <f>+($O$241+$O$242-$M$237)*0.4</f>
        <v>28956</v>
      </c>
      <c r="N239" s="2009"/>
      <c r="O239" s="2008"/>
      <c r="P239" s="2009"/>
    </row>
    <row r="240" spans="2:16" x14ac:dyDescent="0.25">
      <c r="B240" s="38" t="s">
        <v>11</v>
      </c>
      <c r="C240" s="1015" t="s">
        <v>478</v>
      </c>
      <c r="D240" s="1016"/>
      <c r="E240" s="1016"/>
      <c r="F240" s="2"/>
      <c r="G240" s="2"/>
      <c r="H240" s="51"/>
      <c r="I240" s="4"/>
      <c r="J240" s="4"/>
      <c r="K240" s="4"/>
      <c r="L240" s="991"/>
      <c r="M240" s="2008">
        <f>+($O$241+$O$242-$M$237-M238-M239)</f>
        <v>21717</v>
      </c>
      <c r="N240" s="2009"/>
      <c r="O240" s="2008"/>
      <c r="P240" s="2009"/>
    </row>
    <row r="241" spans="2:17" x14ac:dyDescent="0.25">
      <c r="B241" s="1009" t="s">
        <v>16</v>
      </c>
      <c r="C241" s="1015"/>
      <c r="D241" s="1016"/>
      <c r="E241" s="1016"/>
      <c r="F241" s="20" t="s">
        <v>1</v>
      </c>
      <c r="G241" s="1020" t="s">
        <v>3</v>
      </c>
      <c r="H241" s="1020"/>
      <c r="I241" s="4"/>
      <c r="J241" s="4"/>
      <c r="K241" s="4"/>
      <c r="L241" s="4"/>
      <c r="M241" s="2008"/>
      <c r="N241" s="2012"/>
      <c r="O241" s="2008">
        <v>60500</v>
      </c>
      <c r="P241" s="2009"/>
    </row>
    <row r="242" spans="2:17" s="4" customFormat="1" x14ac:dyDescent="0.25">
      <c r="B242" s="1004" t="s">
        <v>17</v>
      </c>
      <c r="C242" s="1093"/>
      <c r="D242" s="12"/>
      <c r="E242" s="12"/>
      <c r="F242" s="20" t="s">
        <v>1</v>
      </c>
      <c r="G242" s="1020" t="s">
        <v>12</v>
      </c>
      <c r="H242" s="51"/>
      <c r="M242" s="2008"/>
      <c r="N242" s="2012"/>
      <c r="O242" s="2008">
        <f>+O241*0.21</f>
        <v>12705</v>
      </c>
      <c r="P242" s="2012"/>
      <c r="Q242" s="8"/>
    </row>
    <row r="243" spans="2:17" s="4" customFormat="1" x14ac:dyDescent="0.25">
      <c r="B243" s="1004"/>
      <c r="C243" s="2110" t="s">
        <v>21</v>
      </c>
      <c r="D243" s="2090"/>
      <c r="E243" s="2090"/>
      <c r="F243" s="2090"/>
      <c r="G243" s="2096" t="s">
        <v>222</v>
      </c>
      <c r="H243" s="2096"/>
      <c r="I243" s="2090" t="s">
        <v>1685</v>
      </c>
      <c r="J243" s="2090"/>
      <c r="K243" s="2090"/>
      <c r="L243" s="2092"/>
      <c r="M243" s="2008"/>
      <c r="N243" s="2009"/>
      <c r="O243" s="2008"/>
      <c r="P243" s="2009"/>
    </row>
    <row r="244" spans="2:17" s="4" customFormat="1" x14ac:dyDescent="0.25">
      <c r="B244" s="1004"/>
      <c r="C244" s="991"/>
      <c r="D244" s="991"/>
      <c r="E244" s="991"/>
      <c r="F244" s="991"/>
      <c r="G244" s="992"/>
      <c r="H244" s="992"/>
      <c r="I244" s="991"/>
      <c r="J244" s="991"/>
      <c r="K244" s="991"/>
      <c r="L244" s="991"/>
      <c r="M244" s="994"/>
      <c r="N244" s="994"/>
      <c r="O244" s="994"/>
      <c r="P244" s="994"/>
    </row>
    <row r="245" spans="2:17" s="4" customFormat="1" x14ac:dyDescent="0.25">
      <c r="B245" s="1004"/>
      <c r="C245" s="991"/>
      <c r="D245" s="991"/>
      <c r="E245" s="991"/>
      <c r="F245" s="991"/>
      <c r="G245" s="992"/>
      <c r="H245" s="992"/>
      <c r="I245" s="991"/>
      <c r="J245" s="991"/>
      <c r="K245" s="991"/>
      <c r="L245" s="991"/>
      <c r="M245" s="994"/>
      <c r="N245" s="994"/>
      <c r="O245" s="994"/>
      <c r="P245" s="994"/>
    </row>
    <row r="246" spans="2:17" s="4" customFormat="1" x14ac:dyDescent="0.25">
      <c r="B246" s="1004"/>
      <c r="C246" s="12"/>
      <c r="D246" s="12"/>
      <c r="E246" s="12"/>
      <c r="F246" s="12"/>
      <c r="G246" s="51"/>
      <c r="H246" s="51"/>
      <c r="M246" s="18"/>
      <c r="N246" s="18"/>
      <c r="O246" s="18"/>
      <c r="P246" s="18"/>
    </row>
    <row r="247" spans="2:17" ht="11.25" customHeight="1" x14ac:dyDescent="0.25">
      <c r="B247" s="1092">
        <v>12</v>
      </c>
      <c r="C247" s="2090" t="s">
        <v>21</v>
      </c>
      <c r="D247" s="2090"/>
      <c r="E247" s="2090"/>
      <c r="F247" s="2090"/>
      <c r="G247" s="2096"/>
      <c r="H247" s="2096"/>
      <c r="I247" s="2090" t="s">
        <v>21</v>
      </c>
      <c r="J247" s="2090"/>
      <c r="K247" s="2090"/>
      <c r="L247" s="2092"/>
      <c r="M247" s="2008"/>
      <c r="N247" s="2012"/>
      <c r="O247" s="2008"/>
      <c r="P247" s="2009"/>
    </row>
    <row r="248" spans="2:17" x14ac:dyDescent="0.25">
      <c r="B248" s="30" t="s">
        <v>15</v>
      </c>
      <c r="C248" s="1015" t="s">
        <v>1057</v>
      </c>
      <c r="D248" s="1016"/>
      <c r="E248" s="1016"/>
      <c r="F248" s="991"/>
      <c r="G248" s="51"/>
      <c r="H248" s="51"/>
      <c r="I248" s="4"/>
      <c r="J248" s="4"/>
      <c r="K248" s="4"/>
      <c r="L248" s="991"/>
      <c r="M248" s="2008">
        <f>0.5*M228</f>
        <v>20000</v>
      </c>
      <c r="N248" s="2009"/>
      <c r="O248" s="2012"/>
      <c r="P248" s="2009"/>
    </row>
    <row r="249" spans="2:17" x14ac:dyDescent="0.25">
      <c r="B249" s="1009" t="s">
        <v>14</v>
      </c>
      <c r="C249" s="1015"/>
      <c r="D249" s="1016"/>
      <c r="E249" s="1016"/>
      <c r="F249" s="20" t="s">
        <v>1</v>
      </c>
      <c r="G249" s="1020" t="s">
        <v>5</v>
      </c>
      <c r="H249" s="1020"/>
      <c r="I249" s="4"/>
      <c r="J249" s="4"/>
      <c r="K249" s="4"/>
      <c r="L249" s="4"/>
      <c r="M249" s="2008"/>
      <c r="N249" s="2012"/>
      <c r="O249" s="2008">
        <f>+M248</f>
        <v>20000</v>
      </c>
      <c r="P249" s="2009"/>
    </row>
    <row r="250" spans="2:17" ht="11.25" customHeight="1" x14ac:dyDescent="0.25">
      <c r="B250" s="1092">
        <v>13</v>
      </c>
      <c r="C250" s="2090" t="s">
        <v>21</v>
      </c>
      <c r="D250" s="2090"/>
      <c r="E250" s="2090"/>
      <c r="F250" s="2090"/>
      <c r="G250" s="2109" t="s">
        <v>1684</v>
      </c>
      <c r="H250" s="2109"/>
      <c r="I250" s="2090" t="s">
        <v>21</v>
      </c>
      <c r="J250" s="2090"/>
      <c r="K250" s="2090"/>
      <c r="L250" s="2092"/>
      <c r="M250" s="2008"/>
      <c r="N250" s="2012"/>
      <c r="O250" s="2008"/>
      <c r="P250" s="2009"/>
    </row>
    <row r="251" spans="2:17" x14ac:dyDescent="0.25">
      <c r="B251" s="30" t="s">
        <v>207</v>
      </c>
      <c r="C251" s="1015" t="s">
        <v>6</v>
      </c>
      <c r="D251" s="1016"/>
      <c r="E251" s="1016"/>
      <c r="F251" s="991"/>
      <c r="G251" s="51"/>
      <c r="H251" s="51"/>
      <c r="I251" s="4"/>
      <c r="J251" s="4"/>
      <c r="K251" s="4"/>
      <c r="L251" s="991"/>
      <c r="M251" s="2008">
        <f>+O232</f>
        <v>24100</v>
      </c>
      <c r="N251" s="2009"/>
      <c r="O251" s="2012"/>
      <c r="P251" s="2009"/>
    </row>
    <row r="252" spans="2:17" x14ac:dyDescent="0.25">
      <c r="B252" s="1009" t="s">
        <v>14</v>
      </c>
      <c r="C252" s="1015"/>
      <c r="D252" s="1016"/>
      <c r="E252" s="1016"/>
      <c r="F252" s="20" t="s">
        <v>1</v>
      </c>
      <c r="G252" s="1020" t="s">
        <v>10</v>
      </c>
      <c r="H252" s="1020"/>
      <c r="I252" s="4"/>
      <c r="J252" s="4"/>
      <c r="K252" s="4"/>
      <c r="L252" s="4"/>
      <c r="M252" s="2008"/>
      <c r="N252" s="2012"/>
      <c r="O252" s="2008">
        <f>+M251</f>
        <v>24100</v>
      </c>
      <c r="P252" s="2009"/>
    </row>
    <row r="253" spans="2:17" ht="11.25" customHeight="1" x14ac:dyDescent="0.25">
      <c r="B253" s="1092">
        <v>14</v>
      </c>
      <c r="C253" s="2090" t="s">
        <v>21</v>
      </c>
      <c r="D253" s="2090"/>
      <c r="E253" s="2090"/>
      <c r="F253" s="2090"/>
      <c r="G253" s="2109" t="s">
        <v>1683</v>
      </c>
      <c r="H253" s="2109"/>
      <c r="I253" s="2090" t="s">
        <v>21</v>
      </c>
      <c r="J253" s="2090"/>
      <c r="K253" s="2090"/>
      <c r="L253" s="2092"/>
      <c r="M253" s="2008"/>
      <c r="N253" s="2012"/>
      <c r="O253" s="2008"/>
      <c r="P253" s="2009"/>
    </row>
    <row r="254" spans="2:17" x14ac:dyDescent="0.25">
      <c r="B254" s="30" t="s">
        <v>11</v>
      </c>
      <c r="C254" s="1015" t="s">
        <v>227</v>
      </c>
      <c r="D254" s="1016"/>
      <c r="E254" s="1016"/>
      <c r="F254" s="991"/>
      <c r="G254" s="51"/>
      <c r="H254" s="51"/>
      <c r="I254" s="4"/>
      <c r="J254" s="4"/>
      <c r="K254" s="4"/>
      <c r="L254" s="991"/>
      <c r="M254" s="2008">
        <f>+M239</f>
        <v>28956</v>
      </c>
      <c r="N254" s="2009"/>
      <c r="O254" s="2012"/>
      <c r="P254" s="2009"/>
    </row>
    <row r="255" spans="2:17" x14ac:dyDescent="0.25">
      <c r="B255" s="1009" t="s">
        <v>14</v>
      </c>
      <c r="C255" s="1015"/>
      <c r="D255" s="1016"/>
      <c r="E255" s="1016"/>
      <c r="F255" s="20" t="s">
        <v>1</v>
      </c>
      <c r="G255" s="1020" t="s">
        <v>1679</v>
      </c>
      <c r="H255" s="1020"/>
      <c r="I255" s="4"/>
      <c r="J255" s="4"/>
      <c r="K255" s="4"/>
      <c r="L255" s="4"/>
      <c r="M255" s="2008"/>
      <c r="N255" s="2012"/>
      <c r="O255" s="2008">
        <f>+M254</f>
        <v>28956</v>
      </c>
      <c r="P255" s="2009"/>
    </row>
    <row r="256" spans="2:17" ht="11.25" customHeight="1" x14ac:dyDescent="0.25">
      <c r="B256" s="1092">
        <v>15</v>
      </c>
      <c r="C256" s="2090" t="s">
        <v>21</v>
      </c>
      <c r="D256" s="2090"/>
      <c r="E256" s="2090"/>
      <c r="F256" s="2090"/>
      <c r="G256" s="2109" t="s">
        <v>1682</v>
      </c>
      <c r="H256" s="2109"/>
      <c r="I256" s="2090" t="s">
        <v>21</v>
      </c>
      <c r="J256" s="2090"/>
      <c r="K256" s="2090"/>
      <c r="L256" s="2092"/>
      <c r="M256" s="2008"/>
      <c r="N256" s="2012"/>
      <c r="O256" s="2008"/>
      <c r="P256" s="2009"/>
    </row>
    <row r="257" spans="2:16" x14ac:dyDescent="0.25">
      <c r="B257" s="30" t="s">
        <v>11</v>
      </c>
      <c r="C257" s="1015" t="s">
        <v>23</v>
      </c>
      <c r="D257" s="1016"/>
      <c r="E257" s="1016"/>
      <c r="F257" s="991"/>
      <c r="G257" s="51"/>
      <c r="H257" s="51"/>
      <c r="I257" s="4"/>
      <c r="J257" s="4"/>
      <c r="K257" s="4"/>
      <c r="L257" s="991"/>
      <c r="M257" s="2008">
        <f>+M254</f>
        <v>28956</v>
      </c>
      <c r="N257" s="2009"/>
      <c r="O257" s="2012"/>
      <c r="P257" s="2009"/>
    </row>
    <row r="258" spans="2:16" x14ac:dyDescent="0.25">
      <c r="B258" s="1009" t="s">
        <v>14</v>
      </c>
      <c r="C258" s="1015"/>
      <c r="D258" s="1016"/>
      <c r="E258" s="1016"/>
      <c r="F258" s="20" t="s">
        <v>1</v>
      </c>
      <c r="G258" s="1020" t="s">
        <v>227</v>
      </c>
      <c r="H258" s="1020"/>
      <c r="I258" s="4"/>
      <c r="J258" s="4"/>
      <c r="K258" s="4"/>
      <c r="L258" s="4"/>
      <c r="M258" s="2008"/>
      <c r="N258" s="2012"/>
      <c r="O258" s="2008">
        <f>+M257</f>
        <v>28956</v>
      </c>
      <c r="P258" s="2009"/>
    </row>
    <row r="259" spans="2:16" ht="11.25" customHeight="1" x14ac:dyDescent="0.25">
      <c r="B259" s="1092">
        <v>16</v>
      </c>
      <c r="C259" s="2090" t="s">
        <v>21</v>
      </c>
      <c r="D259" s="2090"/>
      <c r="E259" s="2090"/>
      <c r="F259" s="2090"/>
      <c r="G259" s="2109" t="s">
        <v>1681</v>
      </c>
      <c r="H259" s="2109"/>
      <c r="I259" s="2090" t="s">
        <v>21</v>
      </c>
      <c r="J259" s="2090"/>
      <c r="K259" s="2090"/>
      <c r="L259" s="2092"/>
      <c r="M259" s="2008"/>
      <c r="N259" s="2012"/>
      <c r="O259" s="2008"/>
      <c r="P259" s="2009"/>
    </row>
    <row r="260" spans="2:16" x14ac:dyDescent="0.25">
      <c r="B260" s="30" t="s">
        <v>11</v>
      </c>
      <c r="C260" s="1015" t="s">
        <v>10</v>
      </c>
      <c r="D260" s="1016"/>
      <c r="E260" s="1016"/>
      <c r="F260" s="991"/>
      <c r="G260" s="51"/>
      <c r="H260" s="51"/>
      <c r="I260" s="4"/>
      <c r="J260" s="4"/>
      <c r="K260" s="4"/>
      <c r="L260" s="991"/>
      <c r="M260" s="2008">
        <f>+M240</f>
        <v>21717</v>
      </c>
      <c r="N260" s="2009"/>
      <c r="O260" s="2012"/>
      <c r="P260" s="2009"/>
    </row>
    <row r="261" spans="2:16" x14ac:dyDescent="0.25">
      <c r="B261" s="1009" t="s">
        <v>14</v>
      </c>
      <c r="C261" s="1017"/>
      <c r="D261" s="1018"/>
      <c r="E261" s="1018"/>
      <c r="F261" s="35" t="s">
        <v>1</v>
      </c>
      <c r="G261" s="1022" t="s">
        <v>478</v>
      </c>
      <c r="H261" s="1022"/>
      <c r="I261" s="3"/>
      <c r="J261" s="3"/>
      <c r="K261" s="3"/>
      <c r="L261" s="3"/>
      <c r="M261" s="2006"/>
      <c r="N261" s="2100"/>
      <c r="O261" s="2006">
        <f>+M260</f>
        <v>21717</v>
      </c>
      <c r="P261" s="2007"/>
    </row>
    <row r="262" spans="2:16" s="4" customFormat="1" x14ac:dyDescent="0.25">
      <c r="B262" s="1004"/>
      <c r="C262" s="12"/>
      <c r="D262" s="12"/>
      <c r="E262" s="12"/>
      <c r="F262" s="12"/>
      <c r="G262" s="51"/>
      <c r="H262" s="51"/>
      <c r="M262" s="18"/>
      <c r="N262" s="18"/>
      <c r="O262" s="18"/>
      <c r="P262" s="18"/>
    </row>
    <row r="263" spans="2:16" s="4" customFormat="1" x14ac:dyDescent="0.25">
      <c r="B263" s="1004"/>
      <c r="C263" s="12"/>
      <c r="D263" s="12"/>
      <c r="E263" s="12"/>
      <c r="F263" s="12"/>
      <c r="G263" s="51"/>
      <c r="H263" s="51"/>
      <c r="M263" s="18"/>
      <c r="N263" s="18"/>
      <c r="O263" s="18"/>
      <c r="P263" s="18"/>
    </row>
    <row r="264" spans="2:16" s="4" customFormat="1" x14ac:dyDescent="0.25">
      <c r="B264" s="6" t="s">
        <v>1653</v>
      </c>
      <c r="C264" s="21" t="s">
        <v>1680</v>
      </c>
      <c r="D264" s="12"/>
      <c r="E264" s="12"/>
      <c r="F264" s="12"/>
      <c r="G264" s="51"/>
      <c r="H264" s="51"/>
      <c r="M264" s="18"/>
      <c r="N264" s="18"/>
      <c r="O264" s="18"/>
      <c r="P264" s="18"/>
    </row>
    <row r="265" spans="2:16" s="4" customFormat="1" x14ac:dyDescent="0.25">
      <c r="B265" s="1004"/>
      <c r="C265" s="12"/>
      <c r="D265" s="12"/>
      <c r="E265" s="12"/>
      <c r="F265" s="12"/>
      <c r="G265" s="51"/>
      <c r="H265" s="51"/>
      <c r="M265" s="18"/>
      <c r="N265" s="18"/>
      <c r="O265" s="18"/>
      <c r="P265" s="18"/>
    </row>
    <row r="266" spans="2:16" s="4" customFormat="1" x14ac:dyDescent="0.25">
      <c r="B266" s="1004"/>
      <c r="C266" s="2028" t="s">
        <v>952</v>
      </c>
      <c r="D266" s="2029"/>
      <c r="E266" s="2029"/>
      <c r="F266" s="2029"/>
      <c r="G266" s="2029"/>
      <c r="H266" s="2030" t="s">
        <v>1637</v>
      </c>
      <c r="I266" s="2030"/>
      <c r="J266" s="2031" t="s">
        <v>1635</v>
      </c>
      <c r="K266" s="2032"/>
      <c r="L266" s="2030" t="s">
        <v>1164</v>
      </c>
      <c r="M266" s="2030"/>
      <c r="N266" s="2104" t="s">
        <v>1165</v>
      </c>
      <c r="O266" s="2105"/>
      <c r="P266" s="18"/>
    </row>
    <row r="267" spans="2:16" s="4" customFormat="1" x14ac:dyDescent="0.25">
      <c r="B267" s="1004"/>
      <c r="C267" s="353" t="s">
        <v>10</v>
      </c>
      <c r="D267" s="139"/>
      <c r="E267" s="139"/>
      <c r="F267" s="139"/>
      <c r="G267" s="23"/>
      <c r="H267" s="2106">
        <f t="shared" ref="H267:H285" si="3">+SUMIF($C$199:$C$261,C267,$M$199:$M$261)</f>
        <v>544249</v>
      </c>
      <c r="I267" s="2107"/>
      <c r="J267" s="2108">
        <f t="shared" ref="J267:J285" si="4">+SUMIF($G$199:$G$261,C267,$O$199:$O$261)</f>
        <v>86200</v>
      </c>
      <c r="K267" s="2108"/>
      <c r="L267" s="2106">
        <f t="shared" ref="L267:L285" si="5">+IF(H267&gt;J267,H267-J267,0)</f>
        <v>458049</v>
      </c>
      <c r="M267" s="2107"/>
      <c r="N267" s="2108">
        <f t="shared" ref="N267:N285" si="6">+IF(J267&gt;H267,J267-H267,0)</f>
        <v>0</v>
      </c>
      <c r="O267" s="2107"/>
      <c r="P267" s="18"/>
    </row>
    <row r="268" spans="2:16" s="4" customFormat="1" x14ac:dyDescent="0.25">
      <c r="B268" s="1004"/>
      <c r="C268" s="1015" t="s">
        <v>23</v>
      </c>
      <c r="D268" s="12"/>
      <c r="E268" s="12"/>
      <c r="F268" s="12"/>
      <c r="G268" s="51"/>
      <c r="H268" s="2008">
        <f t="shared" si="3"/>
        <v>36956</v>
      </c>
      <c r="I268" s="2009"/>
      <c r="J268" s="2012">
        <f t="shared" si="4"/>
        <v>4620</v>
      </c>
      <c r="K268" s="2012"/>
      <c r="L268" s="2008">
        <f t="shared" si="5"/>
        <v>32336</v>
      </c>
      <c r="M268" s="2009"/>
      <c r="N268" s="2012">
        <f t="shared" si="6"/>
        <v>0</v>
      </c>
      <c r="O268" s="2009"/>
      <c r="P268" s="18"/>
    </row>
    <row r="269" spans="2:16" s="4" customFormat="1" x14ac:dyDescent="0.25">
      <c r="B269" s="1004"/>
      <c r="C269" s="1015" t="s">
        <v>227</v>
      </c>
      <c r="D269" s="12"/>
      <c r="E269" s="12"/>
      <c r="F269" s="12"/>
      <c r="G269" s="51"/>
      <c r="H269" s="2008">
        <f t="shared" si="3"/>
        <v>28956</v>
      </c>
      <c r="I269" s="2009"/>
      <c r="J269" s="2012">
        <f t="shared" si="4"/>
        <v>28956</v>
      </c>
      <c r="K269" s="2012"/>
      <c r="L269" s="2008">
        <f t="shared" si="5"/>
        <v>0</v>
      </c>
      <c r="M269" s="2009"/>
      <c r="N269" s="2012">
        <f t="shared" si="6"/>
        <v>0</v>
      </c>
      <c r="O269" s="2009"/>
      <c r="P269" s="18"/>
    </row>
    <row r="270" spans="2:16" s="4" customFormat="1" x14ac:dyDescent="0.25">
      <c r="B270" s="1004"/>
      <c r="C270" s="1015" t="s">
        <v>1679</v>
      </c>
      <c r="D270" s="12"/>
      <c r="E270" s="12"/>
      <c r="F270" s="12"/>
      <c r="G270" s="51"/>
      <c r="H270" s="2008">
        <f t="shared" si="3"/>
        <v>28956</v>
      </c>
      <c r="I270" s="2009"/>
      <c r="J270" s="2012">
        <f t="shared" si="4"/>
        <v>28956</v>
      </c>
      <c r="K270" s="2012"/>
      <c r="L270" s="2008">
        <f t="shared" si="5"/>
        <v>0</v>
      </c>
      <c r="M270" s="2009"/>
      <c r="N270" s="2012">
        <f t="shared" si="6"/>
        <v>0</v>
      </c>
      <c r="O270" s="2009"/>
      <c r="P270" s="18"/>
    </row>
    <row r="271" spans="2:16" s="4" customFormat="1" x14ac:dyDescent="0.25">
      <c r="B271" s="1004"/>
      <c r="C271" s="1015" t="s">
        <v>478</v>
      </c>
      <c r="D271" s="12"/>
      <c r="E271" s="12"/>
      <c r="F271" s="12"/>
      <c r="G271" s="51"/>
      <c r="H271" s="2008">
        <f t="shared" si="3"/>
        <v>21717</v>
      </c>
      <c r="I271" s="2009"/>
      <c r="J271" s="2012">
        <f t="shared" si="4"/>
        <v>21717</v>
      </c>
      <c r="K271" s="2012"/>
      <c r="L271" s="2008">
        <f t="shared" si="5"/>
        <v>0</v>
      </c>
      <c r="M271" s="2009"/>
      <c r="N271" s="2012">
        <f t="shared" si="6"/>
        <v>0</v>
      </c>
      <c r="O271" s="2009"/>
      <c r="P271" s="18"/>
    </row>
    <row r="272" spans="2:16" s="4" customFormat="1" x14ac:dyDescent="0.25">
      <c r="B272" s="1004"/>
      <c r="C272" s="1015" t="s">
        <v>24</v>
      </c>
      <c r="D272" s="12"/>
      <c r="E272" s="12"/>
      <c r="F272" s="12"/>
      <c r="G272" s="51"/>
      <c r="H272" s="2008">
        <f t="shared" si="3"/>
        <v>200</v>
      </c>
      <c r="I272" s="2009"/>
      <c r="J272" s="2012">
        <f t="shared" si="4"/>
        <v>200</v>
      </c>
      <c r="K272" s="2012"/>
      <c r="L272" s="2008">
        <f t="shared" si="5"/>
        <v>0</v>
      </c>
      <c r="M272" s="2009"/>
      <c r="N272" s="2012">
        <f t="shared" si="6"/>
        <v>0</v>
      </c>
      <c r="O272" s="2009"/>
      <c r="P272" s="18"/>
    </row>
    <row r="273" spans="2:16" s="4" customFormat="1" x14ac:dyDescent="0.25">
      <c r="B273" s="1004"/>
      <c r="C273" s="1015" t="s">
        <v>1678</v>
      </c>
      <c r="D273" s="12"/>
      <c r="E273" s="12"/>
      <c r="F273" s="12"/>
      <c r="G273" s="51"/>
      <c r="H273" s="2008">
        <f t="shared" si="3"/>
        <v>10000</v>
      </c>
      <c r="I273" s="2009"/>
      <c r="J273" s="2012">
        <f t="shared" si="4"/>
        <v>10000</v>
      </c>
      <c r="K273" s="2012"/>
      <c r="L273" s="2008">
        <f t="shared" si="5"/>
        <v>0</v>
      </c>
      <c r="M273" s="2009"/>
      <c r="N273" s="2012">
        <f t="shared" si="6"/>
        <v>0</v>
      </c>
      <c r="O273" s="2009"/>
      <c r="P273" s="18"/>
    </row>
    <row r="274" spans="2:16" s="4" customFormat="1" x14ac:dyDescent="0.25">
      <c r="B274" s="1004"/>
      <c r="C274" s="1015" t="s">
        <v>13</v>
      </c>
      <c r="D274" s="12"/>
      <c r="E274" s="12"/>
      <c r="F274" s="12"/>
      <c r="G274" s="51"/>
      <c r="H274" s="2008">
        <f t="shared" si="3"/>
        <v>8820</v>
      </c>
      <c r="I274" s="2009"/>
      <c r="J274" s="2012">
        <f t="shared" si="4"/>
        <v>0</v>
      </c>
      <c r="K274" s="2012"/>
      <c r="L274" s="2008">
        <f t="shared" si="5"/>
        <v>8820</v>
      </c>
      <c r="M274" s="2009"/>
      <c r="N274" s="2012">
        <f t="shared" si="6"/>
        <v>0</v>
      </c>
      <c r="O274" s="2009"/>
      <c r="P274" s="18"/>
    </row>
    <row r="275" spans="2:16" s="4" customFormat="1" x14ac:dyDescent="0.25">
      <c r="B275" s="1004"/>
      <c r="C275" s="1015" t="s">
        <v>5</v>
      </c>
      <c r="D275" s="12"/>
      <c r="E275" s="12"/>
      <c r="F275" s="12"/>
      <c r="G275" s="51"/>
      <c r="H275" s="2008">
        <f t="shared" si="3"/>
        <v>40000</v>
      </c>
      <c r="I275" s="2009"/>
      <c r="J275" s="2012">
        <f t="shared" si="4"/>
        <v>20000</v>
      </c>
      <c r="K275" s="2012"/>
      <c r="L275" s="2008">
        <f t="shared" si="5"/>
        <v>20000</v>
      </c>
      <c r="M275" s="2009"/>
      <c r="N275" s="2012">
        <f t="shared" si="6"/>
        <v>0</v>
      </c>
      <c r="O275" s="2009"/>
      <c r="P275" s="18"/>
    </row>
    <row r="276" spans="2:16" s="4" customFormat="1" x14ac:dyDescent="0.25">
      <c r="B276" s="1004"/>
      <c r="C276" s="1015" t="s">
        <v>1089</v>
      </c>
      <c r="D276" s="12"/>
      <c r="E276" s="12"/>
      <c r="F276" s="12"/>
      <c r="G276" s="51"/>
      <c r="H276" s="2008">
        <f t="shared" si="3"/>
        <v>4000</v>
      </c>
      <c r="I276" s="2009"/>
      <c r="J276" s="2012">
        <f t="shared" si="4"/>
        <v>0</v>
      </c>
      <c r="K276" s="2012"/>
      <c r="L276" s="2008">
        <f t="shared" si="5"/>
        <v>4000</v>
      </c>
      <c r="M276" s="2009"/>
      <c r="N276" s="2012">
        <f t="shared" si="6"/>
        <v>0</v>
      </c>
      <c r="O276" s="2009"/>
      <c r="P276" s="18"/>
    </row>
    <row r="277" spans="2:16" s="4" customFormat="1" x14ac:dyDescent="0.25">
      <c r="B277" s="1004"/>
      <c r="C277" s="1015" t="s">
        <v>6</v>
      </c>
      <c r="D277" s="12"/>
      <c r="E277" s="12"/>
      <c r="F277" s="12"/>
      <c r="G277" s="51"/>
      <c r="H277" s="2008">
        <f t="shared" si="3"/>
        <v>24100</v>
      </c>
      <c r="I277" s="2009"/>
      <c r="J277" s="2012">
        <f t="shared" si="4"/>
        <v>24100</v>
      </c>
      <c r="K277" s="2012"/>
      <c r="L277" s="2008">
        <f t="shared" si="5"/>
        <v>0</v>
      </c>
      <c r="M277" s="2009"/>
      <c r="N277" s="2012">
        <f t="shared" si="6"/>
        <v>0</v>
      </c>
      <c r="O277" s="2009"/>
      <c r="P277" s="18"/>
    </row>
    <row r="278" spans="2:16" s="4" customFormat="1" x14ac:dyDescent="0.25">
      <c r="B278" s="1004"/>
      <c r="C278" s="1015" t="s">
        <v>233</v>
      </c>
      <c r="D278" s="12"/>
      <c r="E278" s="12"/>
      <c r="F278" s="12"/>
      <c r="G278" s="51"/>
      <c r="H278" s="2008">
        <f t="shared" si="3"/>
        <v>815</v>
      </c>
      <c r="I278" s="2009"/>
      <c r="J278" s="2012">
        <f t="shared" si="4"/>
        <v>815</v>
      </c>
      <c r="K278" s="2012"/>
      <c r="L278" s="2008">
        <f t="shared" si="5"/>
        <v>0</v>
      </c>
      <c r="M278" s="2009"/>
      <c r="N278" s="2012">
        <f t="shared" si="6"/>
        <v>0</v>
      </c>
      <c r="O278" s="2009"/>
      <c r="P278" s="18"/>
    </row>
    <row r="279" spans="2:16" s="4" customFormat="1" x14ac:dyDescent="0.25">
      <c r="B279" s="1004"/>
      <c r="C279" s="1015" t="s">
        <v>1644</v>
      </c>
      <c r="D279" s="12"/>
      <c r="E279" s="12"/>
      <c r="F279" s="12"/>
      <c r="G279" s="51"/>
      <c r="H279" s="2008">
        <f t="shared" si="3"/>
        <v>4420</v>
      </c>
      <c r="I279" s="2009"/>
      <c r="J279" s="2012">
        <f t="shared" si="4"/>
        <v>4420</v>
      </c>
      <c r="K279" s="2012"/>
      <c r="L279" s="2008">
        <f t="shared" si="5"/>
        <v>0</v>
      </c>
      <c r="M279" s="2009"/>
      <c r="N279" s="2012">
        <f t="shared" si="6"/>
        <v>0</v>
      </c>
      <c r="O279" s="2009"/>
      <c r="P279" s="18"/>
    </row>
    <row r="280" spans="2:16" s="4" customFormat="1" x14ac:dyDescent="0.25">
      <c r="B280" s="1004"/>
      <c r="C280" s="1015" t="s">
        <v>1677</v>
      </c>
      <c r="D280" s="12"/>
      <c r="E280" s="12"/>
      <c r="F280" s="12"/>
      <c r="G280" s="51"/>
      <c r="H280" s="2008">
        <f t="shared" si="3"/>
        <v>10000</v>
      </c>
      <c r="I280" s="2009"/>
      <c r="J280" s="2012">
        <f t="shared" si="4"/>
        <v>10000</v>
      </c>
      <c r="K280" s="2012"/>
      <c r="L280" s="2008">
        <f t="shared" si="5"/>
        <v>0</v>
      </c>
      <c r="M280" s="2009"/>
      <c r="N280" s="2012">
        <f t="shared" si="6"/>
        <v>0</v>
      </c>
      <c r="O280" s="2009"/>
      <c r="P280" s="18"/>
    </row>
    <row r="281" spans="2:16" s="4" customFormat="1" x14ac:dyDescent="0.25">
      <c r="B281" s="1004"/>
      <c r="C281" s="1015" t="s">
        <v>12</v>
      </c>
      <c r="D281" s="12"/>
      <c r="E281" s="12"/>
      <c r="F281" s="12"/>
      <c r="G281" s="51"/>
      <c r="H281" s="2008">
        <f t="shared" si="3"/>
        <v>0</v>
      </c>
      <c r="I281" s="2009"/>
      <c r="J281" s="2012">
        <f t="shared" si="4"/>
        <v>12705</v>
      </c>
      <c r="K281" s="2012"/>
      <c r="L281" s="2008">
        <f t="shared" si="5"/>
        <v>0</v>
      </c>
      <c r="M281" s="2009"/>
      <c r="N281" s="2012">
        <f t="shared" si="6"/>
        <v>12705</v>
      </c>
      <c r="O281" s="2009"/>
      <c r="P281" s="18"/>
    </row>
    <row r="282" spans="2:16" s="4" customFormat="1" x14ac:dyDescent="0.25">
      <c r="B282" s="1004"/>
      <c r="C282" s="1015" t="s">
        <v>435</v>
      </c>
      <c r="D282" s="12"/>
      <c r="E282" s="12"/>
      <c r="F282" s="12"/>
      <c r="G282" s="51"/>
      <c r="H282" s="2008">
        <f t="shared" si="3"/>
        <v>0</v>
      </c>
      <c r="I282" s="2009"/>
      <c r="J282" s="2012">
        <f t="shared" si="4"/>
        <v>500000</v>
      </c>
      <c r="K282" s="2012"/>
      <c r="L282" s="2008">
        <f t="shared" si="5"/>
        <v>0</v>
      </c>
      <c r="M282" s="2009"/>
      <c r="N282" s="2012">
        <f t="shared" si="6"/>
        <v>500000</v>
      </c>
      <c r="O282" s="2009"/>
      <c r="P282" s="18"/>
    </row>
    <row r="283" spans="2:16" s="4" customFormat="1" x14ac:dyDescent="0.25">
      <c r="B283" s="1004"/>
      <c r="C283" s="1015" t="s">
        <v>3</v>
      </c>
      <c r="D283" s="12"/>
      <c r="E283" s="12"/>
      <c r="F283" s="12"/>
      <c r="G283" s="51"/>
      <c r="H283" s="2008">
        <f t="shared" si="3"/>
        <v>0</v>
      </c>
      <c r="I283" s="2009"/>
      <c r="J283" s="2012">
        <f t="shared" si="4"/>
        <v>60500</v>
      </c>
      <c r="K283" s="2012"/>
      <c r="L283" s="2008">
        <f t="shared" si="5"/>
        <v>0</v>
      </c>
      <c r="M283" s="2009"/>
      <c r="N283" s="2012">
        <f t="shared" si="6"/>
        <v>60500</v>
      </c>
      <c r="O283" s="2009"/>
      <c r="P283" s="18"/>
    </row>
    <row r="284" spans="2:16" s="4" customFormat="1" x14ac:dyDescent="0.25">
      <c r="B284" s="1004"/>
      <c r="C284" s="1015" t="s">
        <v>1057</v>
      </c>
      <c r="D284" s="12"/>
      <c r="E284" s="12"/>
      <c r="F284" s="12"/>
      <c r="G284" s="51"/>
      <c r="H284" s="2008">
        <f t="shared" si="3"/>
        <v>20000</v>
      </c>
      <c r="I284" s="2009"/>
      <c r="J284" s="2012">
        <f t="shared" si="4"/>
        <v>0</v>
      </c>
      <c r="K284" s="2012"/>
      <c r="L284" s="2008">
        <f t="shared" si="5"/>
        <v>20000</v>
      </c>
      <c r="M284" s="2009"/>
      <c r="N284" s="2012">
        <f t="shared" si="6"/>
        <v>0</v>
      </c>
      <c r="O284" s="2009"/>
      <c r="P284" s="18"/>
    </row>
    <row r="285" spans="2:16" s="4" customFormat="1" x14ac:dyDescent="0.25">
      <c r="B285" s="1004"/>
      <c r="C285" s="1017" t="s">
        <v>1081</v>
      </c>
      <c r="D285" s="11"/>
      <c r="E285" s="11"/>
      <c r="F285" s="11"/>
      <c r="G285" s="24"/>
      <c r="H285" s="2006">
        <f t="shared" si="3"/>
        <v>30000</v>
      </c>
      <c r="I285" s="2007"/>
      <c r="J285" s="2100">
        <f t="shared" si="4"/>
        <v>0</v>
      </c>
      <c r="K285" s="2100"/>
      <c r="L285" s="2006">
        <f t="shared" si="5"/>
        <v>30000</v>
      </c>
      <c r="M285" s="2007"/>
      <c r="N285" s="2100">
        <f t="shared" si="6"/>
        <v>0</v>
      </c>
      <c r="O285" s="2007"/>
      <c r="P285" s="18"/>
    </row>
    <row r="286" spans="2:16" s="4" customFormat="1" x14ac:dyDescent="0.25">
      <c r="B286" s="1004"/>
      <c r="C286" s="2098" t="s">
        <v>410</v>
      </c>
      <c r="D286" s="2098"/>
      <c r="E286" s="2098"/>
      <c r="F286" s="2098"/>
      <c r="G286" s="2098"/>
      <c r="H286" s="2097">
        <f>+SUM(H267:I285)</f>
        <v>813189</v>
      </c>
      <c r="I286" s="2098"/>
      <c r="J286" s="2097">
        <f>+SUM(J267:K285)</f>
        <v>813189</v>
      </c>
      <c r="K286" s="2098"/>
      <c r="L286" s="2097">
        <f>+SUM(L267:M285)</f>
        <v>573205</v>
      </c>
      <c r="M286" s="2098"/>
      <c r="N286" s="2097">
        <f>+SUM(N267:O285)</f>
        <v>573205</v>
      </c>
      <c r="O286" s="2098"/>
      <c r="P286" s="18"/>
    </row>
    <row r="287" spans="2:16" s="4" customFormat="1" x14ac:dyDescent="0.25">
      <c r="B287" s="1004"/>
      <c r="C287" s="12"/>
      <c r="D287" s="12"/>
      <c r="E287" s="12"/>
      <c r="F287" s="12"/>
      <c r="G287" s="51"/>
      <c r="H287" s="51"/>
      <c r="M287" s="18"/>
      <c r="N287" s="2099"/>
      <c r="O287" s="2054"/>
      <c r="P287" s="18"/>
    </row>
    <row r="288" spans="2:16" s="4" customFormat="1" x14ac:dyDescent="0.25">
      <c r="B288" s="1004"/>
      <c r="C288" s="12"/>
      <c r="D288" s="12"/>
      <c r="E288" s="12"/>
      <c r="F288" s="12"/>
      <c r="G288" s="51"/>
      <c r="H288" s="51"/>
      <c r="M288" s="18"/>
      <c r="N288" s="1091"/>
      <c r="O288" s="50"/>
      <c r="P288" s="18"/>
    </row>
    <row r="289" spans="1:17" s="4" customFormat="1" x14ac:dyDescent="0.25">
      <c r="B289" s="50" t="s">
        <v>1633</v>
      </c>
      <c r="C289" s="21" t="s">
        <v>775</v>
      </c>
      <c r="G289" s="261"/>
      <c r="H289" s="261"/>
      <c r="M289" s="18"/>
      <c r="N289" s="18"/>
      <c r="O289" s="18"/>
      <c r="P289" s="18"/>
    </row>
    <row r="290" spans="1:17" s="4" customFormat="1" ht="17.25" x14ac:dyDescent="0.25">
      <c r="B290" s="1993" t="s">
        <v>1676</v>
      </c>
      <c r="C290" s="1993"/>
      <c r="D290" s="1993"/>
      <c r="E290" s="1994" t="s">
        <v>414</v>
      </c>
      <c r="F290" s="1994"/>
      <c r="G290" s="1994"/>
      <c r="H290" s="1993" t="s">
        <v>18</v>
      </c>
      <c r="I290" s="1995" t="s">
        <v>1675</v>
      </c>
      <c r="J290" s="1995"/>
      <c r="K290" s="1993" t="s">
        <v>18</v>
      </c>
      <c r="L290" s="1996">
        <f>+N283-L284</f>
        <v>40500</v>
      </c>
      <c r="M290" s="1996"/>
      <c r="N290" s="1997" t="s">
        <v>18</v>
      </c>
      <c r="O290" s="2024">
        <f>+L290/L291</f>
        <v>0.66942148760330578</v>
      </c>
      <c r="P290" s="2025"/>
    </row>
    <row r="291" spans="1:17" s="4" customFormat="1" x14ac:dyDescent="0.25">
      <c r="B291" s="1993"/>
      <c r="C291" s="1993"/>
      <c r="D291" s="1993"/>
      <c r="E291" s="1993" t="s">
        <v>3</v>
      </c>
      <c r="F291" s="1993"/>
      <c r="G291" s="1993"/>
      <c r="H291" s="1993"/>
      <c r="I291" s="2002">
        <v>60500</v>
      </c>
      <c r="J291" s="2003"/>
      <c r="K291" s="1993"/>
      <c r="L291" s="2004">
        <f>+N283</f>
        <v>60500</v>
      </c>
      <c r="M291" s="2004"/>
      <c r="N291" s="1997"/>
      <c r="O291" s="2026"/>
      <c r="P291" s="2027"/>
    </row>
    <row r="292" spans="1:17" s="4" customFormat="1" x14ac:dyDescent="0.25">
      <c r="B292" s="1004"/>
      <c r="C292" s="12"/>
      <c r="D292" s="12"/>
      <c r="E292" s="12"/>
      <c r="F292" s="12"/>
      <c r="G292" s="1004"/>
      <c r="H292" s="1081"/>
      <c r="I292" s="51"/>
      <c r="J292" s="261"/>
      <c r="M292" s="18"/>
      <c r="N292" s="18"/>
      <c r="O292" s="18"/>
      <c r="P292" s="18"/>
    </row>
    <row r="293" spans="1:17" s="4" customFormat="1" ht="17.25" x14ac:dyDescent="0.25">
      <c r="B293" s="1993" t="s">
        <v>1630</v>
      </c>
      <c r="C293" s="1993"/>
      <c r="D293" s="1993"/>
      <c r="E293" s="1994" t="s">
        <v>421</v>
      </c>
      <c r="F293" s="1994"/>
      <c r="G293" s="1994"/>
      <c r="H293" s="1993" t="s">
        <v>18</v>
      </c>
      <c r="I293" s="1995" t="s">
        <v>1674</v>
      </c>
      <c r="J293" s="1995"/>
      <c r="K293" s="1993" t="s">
        <v>18</v>
      </c>
      <c r="L293" s="1996">
        <f>+N283-L284-L285</f>
        <v>10500</v>
      </c>
      <c r="M293" s="1996"/>
      <c r="N293" s="1997" t="s">
        <v>18</v>
      </c>
      <c r="O293" s="2024">
        <f>+L293/L294</f>
        <v>0.17355371900826447</v>
      </c>
      <c r="P293" s="2025"/>
    </row>
    <row r="294" spans="1:17" s="4" customFormat="1" x14ac:dyDescent="0.25">
      <c r="B294" s="1993"/>
      <c r="C294" s="1993"/>
      <c r="D294" s="1993"/>
      <c r="E294" s="1993" t="s">
        <v>3</v>
      </c>
      <c r="F294" s="1993"/>
      <c r="G294" s="1993"/>
      <c r="H294" s="1993"/>
      <c r="I294" s="2002">
        <v>60500</v>
      </c>
      <c r="J294" s="2003"/>
      <c r="K294" s="1993"/>
      <c r="L294" s="2004">
        <f>+N283</f>
        <v>60500</v>
      </c>
      <c r="M294" s="2004"/>
      <c r="N294" s="1997"/>
      <c r="O294" s="2026"/>
      <c r="P294" s="2027"/>
    </row>
    <row r="295" spans="1:17" s="4" customFormat="1" x14ac:dyDescent="0.25">
      <c r="B295" s="1004"/>
      <c r="C295" s="12"/>
      <c r="D295" s="12"/>
      <c r="E295" s="12"/>
      <c r="F295" s="12"/>
      <c r="G295" s="1004"/>
      <c r="H295" s="1081"/>
      <c r="I295" s="1004"/>
      <c r="M295" s="18"/>
      <c r="N295" s="18"/>
      <c r="O295" s="18"/>
      <c r="P295" s="18"/>
    </row>
    <row r="296" spans="1:17" s="4" customFormat="1" x14ac:dyDescent="0.25">
      <c r="B296" s="1004"/>
      <c r="C296" s="12"/>
      <c r="D296" s="12"/>
      <c r="E296" s="12"/>
      <c r="F296" s="12"/>
      <c r="G296" s="1004"/>
      <c r="H296" s="1081"/>
      <c r="I296" s="1004"/>
      <c r="M296" s="18"/>
      <c r="N296" s="18"/>
      <c r="O296" s="18"/>
      <c r="P296" s="18"/>
    </row>
    <row r="297" spans="1:17" s="4" customFormat="1" x14ac:dyDescent="0.25">
      <c r="A297" s="3"/>
      <c r="B297" s="1007"/>
      <c r="C297" s="11"/>
      <c r="D297" s="11"/>
      <c r="E297" s="11"/>
      <c r="F297" s="11"/>
      <c r="G297" s="24"/>
      <c r="H297" s="24"/>
      <c r="I297" s="3"/>
      <c r="J297" s="3"/>
      <c r="K297" s="3"/>
      <c r="L297" s="3"/>
      <c r="M297" s="22"/>
      <c r="N297" s="22"/>
      <c r="O297" s="22"/>
      <c r="P297" s="22"/>
      <c r="Q297" s="3"/>
    </row>
    <row r="298" spans="1:17" s="4" customFormat="1" x14ac:dyDescent="0.25">
      <c r="A298" s="1844" t="s">
        <v>20</v>
      </c>
      <c r="B298" s="1845"/>
      <c r="C298" s="1845"/>
      <c r="D298" s="1845"/>
      <c r="E298" s="1845"/>
      <c r="F298" s="1845"/>
      <c r="G298" s="1845"/>
      <c r="H298" s="1845"/>
      <c r="I298" s="1845"/>
      <c r="J298" s="1845"/>
      <c r="K298" s="1845"/>
      <c r="L298" s="1845"/>
      <c r="M298" s="1845"/>
      <c r="N298" s="1845"/>
      <c r="O298" s="1845"/>
      <c r="P298" s="1845"/>
      <c r="Q298" s="1846"/>
    </row>
    <row r="299" spans="1:17" s="4" customFormat="1" x14ac:dyDescent="0.25">
      <c r="A299" s="1847" t="s">
        <v>1673</v>
      </c>
      <c r="B299" s="1848"/>
      <c r="C299" s="1848"/>
      <c r="D299" s="1848"/>
      <c r="E299" s="1848"/>
      <c r="F299" s="1848"/>
      <c r="G299" s="1848"/>
      <c r="H299" s="1848"/>
      <c r="I299" s="1848"/>
      <c r="J299" s="1848"/>
      <c r="K299" s="1848"/>
      <c r="L299" s="1848"/>
      <c r="M299" s="1848"/>
      <c r="N299" s="1848"/>
      <c r="O299" s="1848"/>
      <c r="P299" s="1848"/>
      <c r="Q299" s="1849"/>
    </row>
    <row r="300" spans="1:17" s="4" customFormat="1" ht="6" customHeight="1" x14ac:dyDescent="0.25">
      <c r="B300" s="1004"/>
      <c r="C300" s="12"/>
      <c r="D300" s="12"/>
      <c r="E300" s="12"/>
      <c r="F300" s="12"/>
      <c r="G300" s="51"/>
      <c r="H300" s="51"/>
      <c r="M300" s="18"/>
      <c r="N300" s="18"/>
      <c r="O300" s="18"/>
      <c r="P300" s="18"/>
    </row>
    <row r="301" spans="1:17" x14ac:dyDescent="0.25">
      <c r="B301" s="6" t="s">
        <v>1672</v>
      </c>
      <c r="C301" s="21" t="s">
        <v>482</v>
      </c>
      <c r="D301" s="21"/>
      <c r="L301" s="2101"/>
      <c r="M301" s="2101"/>
    </row>
    <row r="302" spans="1:17" ht="6" customHeight="1" x14ac:dyDescent="0.25">
      <c r="B302" s="6"/>
      <c r="C302" s="21"/>
      <c r="D302" s="21"/>
      <c r="L302" s="47"/>
      <c r="M302" s="2102" t="s">
        <v>9</v>
      </c>
      <c r="N302" s="2102"/>
      <c r="O302" s="2102" t="s">
        <v>8</v>
      </c>
      <c r="P302" s="2102"/>
    </row>
    <row r="303" spans="1:17" ht="6.75" customHeight="1" x14ac:dyDescent="0.25">
      <c r="B303" s="1085">
        <v>1</v>
      </c>
      <c r="C303" s="17"/>
      <c r="D303" s="991"/>
      <c r="E303" s="1013"/>
      <c r="F303" s="1013"/>
      <c r="G303" s="2091" t="s">
        <v>1671</v>
      </c>
      <c r="H303" s="2091"/>
      <c r="I303" s="29"/>
      <c r="J303" s="29"/>
      <c r="K303" s="29"/>
      <c r="L303" s="1013"/>
      <c r="M303" s="2103"/>
      <c r="N303" s="2103"/>
      <c r="O303" s="2103"/>
      <c r="P303" s="2103"/>
    </row>
    <row r="304" spans="1:17" x14ac:dyDescent="0.25">
      <c r="B304" s="30" t="s">
        <v>11</v>
      </c>
      <c r="C304" s="1015" t="s">
        <v>22</v>
      </c>
      <c r="D304" s="31"/>
      <c r="E304" s="1016"/>
      <c r="F304" s="991"/>
      <c r="G304" s="51"/>
      <c r="H304" s="51"/>
      <c r="I304" s="4"/>
      <c r="J304" s="4"/>
      <c r="K304" s="4"/>
      <c r="L304" s="991"/>
      <c r="M304" s="2008">
        <v>800000</v>
      </c>
      <c r="N304" s="2009"/>
      <c r="O304" s="2012"/>
      <c r="P304" s="2009"/>
    </row>
    <row r="305" spans="2:16" x14ac:dyDescent="0.25">
      <c r="B305" s="1009" t="s">
        <v>458</v>
      </c>
      <c r="C305" s="1015"/>
      <c r="D305" s="1016"/>
      <c r="E305" s="1016"/>
      <c r="F305" s="20" t="s">
        <v>1</v>
      </c>
      <c r="G305" s="1020" t="s">
        <v>435</v>
      </c>
      <c r="H305" s="1020"/>
      <c r="I305" s="4"/>
      <c r="J305" s="4"/>
      <c r="K305" s="4"/>
      <c r="L305" s="4"/>
      <c r="M305" s="2008"/>
      <c r="N305" s="2012"/>
      <c r="O305" s="2008">
        <f>+M304</f>
        <v>800000</v>
      </c>
      <c r="P305" s="2009"/>
    </row>
    <row r="306" spans="2:16" ht="6.75" customHeight="1" x14ac:dyDescent="0.25">
      <c r="B306" s="1085">
        <v>2</v>
      </c>
      <c r="C306" s="2090" t="s">
        <v>21</v>
      </c>
      <c r="D306" s="2090"/>
      <c r="E306" s="2090"/>
      <c r="F306" s="2090"/>
      <c r="G306" s="2091" t="s">
        <v>1670</v>
      </c>
      <c r="H306" s="2091"/>
      <c r="I306" s="2090" t="s">
        <v>21</v>
      </c>
      <c r="J306" s="2090"/>
      <c r="K306" s="2090"/>
      <c r="L306" s="2092"/>
      <c r="M306" s="2008"/>
      <c r="N306" s="2012"/>
      <c r="O306" s="2008"/>
      <c r="P306" s="2009"/>
    </row>
    <row r="307" spans="2:16" x14ac:dyDescent="0.25">
      <c r="B307" s="30" t="s">
        <v>11</v>
      </c>
      <c r="C307" s="1015" t="s">
        <v>4</v>
      </c>
      <c r="D307" s="1016"/>
      <c r="E307" s="1016"/>
      <c r="F307" s="991"/>
      <c r="G307" s="51"/>
      <c r="H307" s="51"/>
      <c r="I307" s="4"/>
      <c r="J307" s="4"/>
      <c r="K307" s="4"/>
      <c r="L307" s="991"/>
      <c r="M307" s="2008">
        <v>400000</v>
      </c>
      <c r="N307" s="2009"/>
      <c r="O307" s="2012"/>
      <c r="P307" s="2009"/>
    </row>
    <row r="308" spans="2:16" x14ac:dyDescent="0.25">
      <c r="B308" s="1009" t="s">
        <v>14</v>
      </c>
      <c r="C308" s="1015"/>
      <c r="D308" s="1016"/>
      <c r="E308" s="1016"/>
      <c r="F308" s="20" t="s">
        <v>1</v>
      </c>
      <c r="G308" s="1020" t="s">
        <v>22</v>
      </c>
      <c r="H308" s="1020"/>
      <c r="I308" s="4"/>
      <c r="J308" s="4"/>
      <c r="K308" s="4"/>
      <c r="L308" s="4"/>
      <c r="M308" s="2008"/>
      <c r="N308" s="2012"/>
      <c r="O308" s="2008">
        <f>+M307</f>
        <v>400000</v>
      </c>
      <c r="P308" s="2009"/>
    </row>
    <row r="309" spans="2:16" ht="6.75" customHeight="1" x14ac:dyDescent="0.25">
      <c r="B309" s="1085">
        <v>3</v>
      </c>
      <c r="C309" s="2090" t="s">
        <v>21</v>
      </c>
      <c r="D309" s="2090"/>
      <c r="E309" s="2090"/>
      <c r="F309" s="2090"/>
      <c r="G309" s="2091" t="s">
        <v>1669</v>
      </c>
      <c r="H309" s="2091"/>
      <c r="I309" s="2090" t="s">
        <v>21</v>
      </c>
      <c r="J309" s="2090"/>
      <c r="K309" s="2090"/>
      <c r="L309" s="2092"/>
      <c r="M309" s="2008"/>
      <c r="N309" s="2012"/>
      <c r="O309" s="2008"/>
      <c r="P309" s="2009"/>
    </row>
    <row r="310" spans="2:16" x14ac:dyDescent="0.25">
      <c r="B310" s="30" t="s">
        <v>11</v>
      </c>
      <c r="C310" s="1015" t="s">
        <v>25</v>
      </c>
      <c r="D310" s="1016"/>
      <c r="E310" s="1016"/>
      <c r="F310" s="991"/>
      <c r="G310" s="51"/>
      <c r="H310" s="51"/>
      <c r="I310" s="4"/>
      <c r="J310" s="4"/>
      <c r="K310" s="4"/>
      <c r="L310" s="991"/>
      <c r="M310" s="2008">
        <v>100000</v>
      </c>
      <c r="N310" s="2009"/>
      <c r="O310" s="2012"/>
      <c r="P310" s="2009"/>
    </row>
    <row r="311" spans="2:16" x14ac:dyDescent="0.25">
      <c r="B311" s="38" t="s">
        <v>11</v>
      </c>
      <c r="C311" s="1015" t="s">
        <v>13</v>
      </c>
      <c r="D311" s="1016"/>
      <c r="E311" s="1016"/>
      <c r="F311" s="991"/>
      <c r="G311" s="51"/>
      <c r="H311" s="51"/>
      <c r="I311" s="4"/>
      <c r="J311" s="4"/>
      <c r="K311" s="4"/>
      <c r="L311" s="991"/>
      <c r="M311" s="2008">
        <f>+M310*0.21</f>
        <v>21000</v>
      </c>
      <c r="N311" s="2009"/>
      <c r="O311" s="994"/>
      <c r="P311" s="995"/>
    </row>
    <row r="312" spans="2:16" x14ac:dyDescent="0.25">
      <c r="B312" s="1009" t="s">
        <v>17</v>
      </c>
      <c r="C312" s="1015"/>
      <c r="D312" s="1016"/>
      <c r="E312" s="1016"/>
      <c r="F312" s="20" t="s">
        <v>1</v>
      </c>
      <c r="G312" s="1090" t="s">
        <v>1668</v>
      </c>
      <c r="H312" s="1024"/>
      <c r="I312" s="317"/>
      <c r="J312" s="317"/>
      <c r="K312" s="317"/>
      <c r="L312" s="317"/>
      <c r="M312" s="2008"/>
      <c r="N312" s="2012"/>
      <c r="O312" s="2008">
        <f>+(M310+M311)*0.5</f>
        <v>60500</v>
      </c>
      <c r="P312" s="2009"/>
    </row>
    <row r="313" spans="2:16" x14ac:dyDescent="0.25">
      <c r="B313" s="1009" t="s">
        <v>17</v>
      </c>
      <c r="C313" s="1015"/>
      <c r="D313" s="1016"/>
      <c r="E313" s="1016"/>
      <c r="F313" s="20" t="s">
        <v>1</v>
      </c>
      <c r="G313" s="1020" t="s">
        <v>6</v>
      </c>
      <c r="H313" s="1020"/>
      <c r="I313" s="4"/>
      <c r="J313" s="4"/>
      <c r="K313" s="4"/>
      <c r="L313" s="4"/>
      <c r="M313" s="2008"/>
      <c r="N313" s="2012"/>
      <c r="O313" s="2008">
        <f>+O312</f>
        <v>60500</v>
      </c>
      <c r="P313" s="2009"/>
    </row>
    <row r="314" spans="2:16" ht="6.75" customHeight="1" x14ac:dyDescent="0.25">
      <c r="B314" s="1085">
        <v>4</v>
      </c>
      <c r="C314" s="2090" t="s">
        <v>21</v>
      </c>
      <c r="D314" s="2090"/>
      <c r="E314" s="2090"/>
      <c r="F314" s="2090"/>
      <c r="G314" s="2091" t="s">
        <v>1667</v>
      </c>
      <c r="H314" s="2091"/>
      <c r="I314" s="2090" t="s">
        <v>21</v>
      </c>
      <c r="J314" s="2090"/>
      <c r="K314" s="2090"/>
      <c r="L314" s="2092"/>
      <c r="M314" s="2008"/>
      <c r="N314" s="2012"/>
      <c r="O314" s="2008"/>
      <c r="P314" s="2009"/>
    </row>
    <row r="315" spans="2:16" x14ac:dyDescent="0.25">
      <c r="B315" s="30" t="s">
        <v>11</v>
      </c>
      <c r="C315" s="1015" t="s">
        <v>1089</v>
      </c>
      <c r="D315" s="1016"/>
      <c r="E315" s="1016"/>
      <c r="F315" s="991"/>
      <c r="G315" s="51"/>
      <c r="H315" s="51"/>
      <c r="I315" s="4"/>
      <c r="J315" s="4"/>
      <c r="K315" s="4"/>
      <c r="L315" s="991"/>
      <c r="M315" s="2008">
        <v>25000</v>
      </c>
      <c r="N315" s="2009"/>
      <c r="O315" s="2012"/>
      <c r="P315" s="2009"/>
    </row>
    <row r="316" spans="2:16" x14ac:dyDescent="0.25">
      <c r="B316" s="38" t="s">
        <v>11</v>
      </c>
      <c r="C316" s="1015" t="s">
        <v>13</v>
      </c>
      <c r="D316" s="1016"/>
      <c r="E316" s="1016"/>
      <c r="F316" s="991"/>
      <c r="G316" s="51"/>
      <c r="H316" s="51"/>
      <c r="I316" s="4"/>
      <c r="J316" s="4"/>
      <c r="K316" s="4"/>
      <c r="L316" s="991"/>
      <c r="M316" s="2008">
        <f>+M315*0.21</f>
        <v>5250</v>
      </c>
      <c r="N316" s="2009"/>
      <c r="O316" s="994"/>
      <c r="P316" s="995"/>
    </row>
    <row r="317" spans="2:16" x14ac:dyDescent="0.25">
      <c r="B317" s="1009" t="s">
        <v>14</v>
      </c>
      <c r="C317" s="1015"/>
      <c r="D317" s="1016"/>
      <c r="E317" s="1016"/>
      <c r="F317" s="20" t="s">
        <v>1</v>
      </c>
      <c r="G317" s="1020" t="str">
        <f>+G308</f>
        <v>Banco Santander Río Cta Cte</v>
      </c>
      <c r="H317" s="1020"/>
      <c r="I317" s="4"/>
      <c r="J317" s="4"/>
      <c r="K317" s="4"/>
      <c r="L317" s="4"/>
      <c r="M317" s="2008"/>
      <c r="N317" s="2012"/>
      <c r="O317" s="2008">
        <f>+(M315+M316)*0.4</f>
        <v>12100</v>
      </c>
      <c r="P317" s="2009"/>
    </row>
    <row r="318" spans="2:16" x14ac:dyDescent="0.25">
      <c r="B318" s="1009" t="s">
        <v>17</v>
      </c>
      <c r="C318" s="1015"/>
      <c r="D318" s="1016"/>
      <c r="E318" s="1016"/>
      <c r="F318" s="20" t="s">
        <v>1</v>
      </c>
      <c r="G318" s="1020" t="s">
        <v>1644</v>
      </c>
      <c r="H318" s="1020"/>
      <c r="I318" s="4"/>
      <c r="J318" s="4"/>
      <c r="K318" s="4"/>
      <c r="L318" s="4"/>
      <c r="M318" s="2008"/>
      <c r="N318" s="2012"/>
      <c r="O318" s="2008">
        <f>+(M315+M316)*0.6</f>
        <v>18150</v>
      </c>
      <c r="P318" s="2009"/>
    </row>
    <row r="319" spans="2:16" ht="6.75" customHeight="1" x14ac:dyDescent="0.25">
      <c r="B319" s="1085">
        <v>5</v>
      </c>
      <c r="C319" s="2090" t="s">
        <v>21</v>
      </c>
      <c r="D319" s="2090"/>
      <c r="E319" s="2090"/>
      <c r="F319" s="2090"/>
      <c r="G319" s="2091" t="s">
        <v>1666</v>
      </c>
      <c r="H319" s="2091"/>
      <c r="I319" s="2090" t="s">
        <v>21</v>
      </c>
      <c r="J319" s="2090"/>
      <c r="K319" s="2090"/>
      <c r="L319" s="2092"/>
      <c r="M319" s="2008"/>
      <c r="N319" s="2012"/>
      <c r="O319" s="2008"/>
      <c r="P319" s="2009"/>
    </row>
    <row r="320" spans="2:16" x14ac:dyDescent="0.25">
      <c r="B320" s="30" t="s">
        <v>11</v>
      </c>
      <c r="C320" s="1015" t="s">
        <v>1646</v>
      </c>
      <c r="D320" s="1016"/>
      <c r="E320" s="1016"/>
      <c r="F320" s="991"/>
      <c r="G320" s="51"/>
      <c r="H320" s="51"/>
      <c r="I320" s="4"/>
      <c r="J320" s="4"/>
      <c r="K320" s="4"/>
      <c r="L320" s="991"/>
      <c r="M320" s="2008">
        <v>100000</v>
      </c>
      <c r="N320" s="2009"/>
      <c r="O320" s="2012"/>
      <c r="P320" s="2009"/>
    </row>
    <row r="321" spans="2:16" x14ac:dyDescent="0.25">
      <c r="B321" s="1009" t="s">
        <v>14</v>
      </c>
      <c r="C321" s="1015"/>
      <c r="D321" s="1016"/>
      <c r="E321" s="1016"/>
      <c r="F321" s="20" t="s">
        <v>1</v>
      </c>
      <c r="G321" s="1020" t="s">
        <v>22</v>
      </c>
      <c r="H321" s="1020"/>
      <c r="I321" s="4"/>
      <c r="J321" s="4"/>
      <c r="K321" s="4"/>
      <c r="L321" s="4"/>
      <c r="M321" s="2008"/>
      <c r="N321" s="2012"/>
      <c r="O321" s="2008">
        <f>+M320</f>
        <v>100000</v>
      </c>
      <c r="P321" s="2009"/>
    </row>
    <row r="322" spans="2:16" ht="6.75" customHeight="1" x14ac:dyDescent="0.25">
      <c r="B322" s="1085">
        <v>6</v>
      </c>
      <c r="C322" s="2090" t="s">
        <v>21</v>
      </c>
      <c r="D322" s="2090"/>
      <c r="E322" s="2090"/>
      <c r="F322" s="2090"/>
      <c r="G322" s="2091" t="s">
        <v>1665</v>
      </c>
      <c r="H322" s="2091"/>
      <c r="I322" s="2090" t="s">
        <v>21</v>
      </c>
      <c r="J322" s="2090"/>
      <c r="K322" s="2090"/>
      <c r="L322" s="2092"/>
      <c r="M322" s="2008"/>
      <c r="N322" s="2012"/>
      <c r="O322" s="2008"/>
      <c r="P322" s="2009"/>
    </row>
    <row r="323" spans="2:16" x14ac:dyDescent="0.25">
      <c r="B323" s="30" t="s">
        <v>207</v>
      </c>
      <c r="C323" s="1089" t="str">
        <f>+G312</f>
        <v>Cheques diferidos a pagar Banco Santander Río</v>
      </c>
      <c r="D323" s="1088"/>
      <c r="E323" s="1088"/>
      <c r="F323" s="320"/>
      <c r="G323" s="1087"/>
      <c r="H323" s="1087"/>
      <c r="I323" s="317"/>
      <c r="J323" s="317"/>
      <c r="K323" s="4"/>
      <c r="L323" s="991"/>
      <c r="M323" s="2008">
        <f>+O312</f>
        <v>60500</v>
      </c>
      <c r="N323" s="2009"/>
      <c r="O323" s="2012"/>
      <c r="P323" s="2009"/>
    </row>
    <row r="324" spans="2:16" x14ac:dyDescent="0.25">
      <c r="B324" s="1009" t="s">
        <v>14</v>
      </c>
      <c r="C324" s="1015"/>
      <c r="D324" s="1016"/>
      <c r="E324" s="1016"/>
      <c r="F324" s="20" t="s">
        <v>1</v>
      </c>
      <c r="G324" s="1020" t="s">
        <v>22</v>
      </c>
      <c r="H324" s="1020"/>
      <c r="I324" s="4"/>
      <c r="J324" s="4"/>
      <c r="K324" s="4"/>
      <c r="L324" s="4"/>
      <c r="M324" s="2008"/>
      <c r="N324" s="2012"/>
      <c r="O324" s="2008">
        <f>+M323</f>
        <v>60500</v>
      </c>
      <c r="P324" s="2009"/>
    </row>
    <row r="325" spans="2:16" ht="6.75" customHeight="1" x14ac:dyDescent="0.25">
      <c r="B325" s="1085">
        <v>7</v>
      </c>
      <c r="C325" s="2090" t="s">
        <v>21</v>
      </c>
      <c r="D325" s="2090"/>
      <c r="E325" s="2090"/>
      <c r="F325" s="2090"/>
      <c r="G325" s="2091" t="s">
        <v>1665</v>
      </c>
      <c r="H325" s="2091"/>
      <c r="I325" s="2090" t="s">
        <v>21</v>
      </c>
      <c r="J325" s="2090"/>
      <c r="K325" s="2090"/>
      <c r="L325" s="2092"/>
      <c r="M325" s="2008"/>
      <c r="N325" s="2012"/>
      <c r="O325" s="2008"/>
      <c r="P325" s="2009"/>
    </row>
    <row r="326" spans="2:16" x14ac:dyDescent="0.25">
      <c r="B326" s="30" t="s">
        <v>11</v>
      </c>
      <c r="C326" s="1015" t="s">
        <v>227</v>
      </c>
      <c r="D326" s="1016"/>
      <c r="E326" s="1016"/>
      <c r="F326" s="991"/>
      <c r="G326" s="51"/>
      <c r="H326" s="51"/>
      <c r="I326" s="4"/>
      <c r="J326" s="4"/>
      <c r="K326" s="4"/>
      <c r="L326" s="991"/>
      <c r="M326" s="2008">
        <v>40000</v>
      </c>
      <c r="N326" s="2009"/>
      <c r="O326" s="2012"/>
      <c r="P326" s="2009"/>
    </row>
    <row r="327" spans="2:16" x14ac:dyDescent="0.25">
      <c r="B327" s="1009" t="s">
        <v>14</v>
      </c>
      <c r="C327" s="1015"/>
      <c r="D327" s="1016"/>
      <c r="E327" s="1016"/>
      <c r="F327" s="20" t="s">
        <v>1</v>
      </c>
      <c r="G327" s="1020" t="str">
        <f>+C320</f>
        <v>Préstamos a los socios</v>
      </c>
      <c r="H327" s="1020"/>
      <c r="I327" s="4"/>
      <c r="J327" s="4"/>
      <c r="K327" s="4"/>
      <c r="L327" s="4"/>
      <c r="M327" s="2008"/>
      <c r="N327" s="2012"/>
      <c r="O327" s="2008">
        <f>+M326</f>
        <v>40000</v>
      </c>
      <c r="P327" s="2009"/>
    </row>
    <row r="328" spans="2:16" ht="6.75" customHeight="1" x14ac:dyDescent="0.25">
      <c r="B328" s="1085">
        <v>8</v>
      </c>
      <c r="C328" s="2090" t="s">
        <v>21</v>
      </c>
      <c r="D328" s="2090"/>
      <c r="E328" s="2090"/>
      <c r="F328" s="2090"/>
      <c r="G328" s="2091" t="s">
        <v>1664</v>
      </c>
      <c r="H328" s="2091"/>
      <c r="I328" s="2090" t="s">
        <v>21</v>
      </c>
      <c r="J328" s="2090"/>
      <c r="K328" s="2090"/>
      <c r="L328" s="2092"/>
      <c r="M328" s="2008"/>
      <c r="N328" s="2012"/>
      <c r="O328" s="2008"/>
      <c r="P328" s="2009"/>
    </row>
    <row r="329" spans="2:16" x14ac:dyDescent="0.25">
      <c r="B329" s="30" t="s">
        <v>207</v>
      </c>
      <c r="C329" s="1015" t="str">
        <f>+G313</f>
        <v>Documentos a pagar</v>
      </c>
      <c r="D329" s="1016"/>
      <c r="E329" s="1016"/>
      <c r="F329" s="991"/>
      <c r="G329" s="51"/>
      <c r="H329" s="51"/>
      <c r="I329" s="4"/>
      <c r="J329" s="4"/>
      <c r="K329" s="4"/>
      <c r="L329" s="991"/>
      <c r="M329" s="2008">
        <f>+O313</f>
        <v>60500</v>
      </c>
      <c r="N329" s="2009"/>
      <c r="O329" s="2012"/>
      <c r="P329" s="2009"/>
    </row>
    <row r="330" spans="2:16" x14ac:dyDescent="0.25">
      <c r="B330" s="1009" t="s">
        <v>14</v>
      </c>
      <c r="C330" s="1015"/>
      <c r="D330" s="1016"/>
      <c r="E330" s="1016"/>
      <c r="F330" s="20" t="s">
        <v>1</v>
      </c>
      <c r="G330" s="1020" t="str">
        <f>+G317</f>
        <v>Banco Santander Río Cta Cte</v>
      </c>
      <c r="H330" s="1020"/>
      <c r="I330" s="4"/>
      <c r="J330" s="4"/>
      <c r="K330" s="4"/>
      <c r="L330" s="4"/>
      <c r="M330" s="2008"/>
      <c r="N330" s="2012"/>
      <c r="O330" s="2008">
        <f>+M329</f>
        <v>60500</v>
      </c>
      <c r="P330" s="2009"/>
    </row>
    <row r="331" spans="2:16" ht="6.75" customHeight="1" x14ac:dyDescent="0.25">
      <c r="B331" s="1085">
        <v>9</v>
      </c>
      <c r="C331" s="2090" t="s">
        <v>21</v>
      </c>
      <c r="D331" s="2090"/>
      <c r="E331" s="2090"/>
      <c r="F331" s="2090"/>
      <c r="G331" s="2091" t="s">
        <v>1663</v>
      </c>
      <c r="H331" s="2091"/>
      <c r="I331" s="2090" t="s">
        <v>21</v>
      </c>
      <c r="J331" s="2090"/>
      <c r="K331" s="2090"/>
      <c r="L331" s="2092"/>
      <c r="M331" s="2008"/>
      <c r="N331" s="2012"/>
      <c r="O331" s="2008"/>
      <c r="P331" s="2009"/>
    </row>
    <row r="332" spans="2:16" x14ac:dyDescent="0.25">
      <c r="B332" s="30" t="s">
        <v>11</v>
      </c>
      <c r="C332" s="1015" t="s">
        <v>26</v>
      </c>
      <c r="D332" s="1016"/>
      <c r="E332" s="1016"/>
      <c r="F332" s="991"/>
      <c r="G332" s="51"/>
      <c r="H332" s="51"/>
      <c r="I332" s="4"/>
      <c r="J332" s="4"/>
      <c r="K332" s="4"/>
      <c r="L332" s="991"/>
      <c r="M332" s="2008">
        <v>160000</v>
      </c>
      <c r="N332" s="2009"/>
      <c r="O332" s="2012"/>
      <c r="P332" s="2009"/>
    </row>
    <row r="333" spans="2:16" x14ac:dyDescent="0.25">
      <c r="B333" s="38" t="s">
        <v>11</v>
      </c>
      <c r="C333" s="1015" t="s">
        <v>13</v>
      </c>
      <c r="D333" s="1016"/>
      <c r="E333" s="1016"/>
      <c r="F333" s="991"/>
      <c r="G333" s="51"/>
      <c r="H333" s="51"/>
      <c r="I333" s="4"/>
      <c r="J333" s="4"/>
      <c r="K333" s="4"/>
      <c r="L333" s="991"/>
      <c r="M333" s="2008">
        <f>+M332*0.21</f>
        <v>33600</v>
      </c>
      <c r="N333" s="2009"/>
      <c r="O333" s="994"/>
      <c r="P333" s="995"/>
    </row>
    <row r="334" spans="2:16" x14ac:dyDescent="0.25">
      <c r="B334" s="1009" t="s">
        <v>14</v>
      </c>
      <c r="C334" s="1015"/>
      <c r="D334" s="1016"/>
      <c r="E334" s="1016"/>
      <c r="F334" s="20" t="s">
        <v>1</v>
      </c>
      <c r="G334" s="1020" t="str">
        <f>+G330</f>
        <v>Banco Santander Río Cta Cte</v>
      </c>
      <c r="H334" s="1020"/>
      <c r="I334" s="4"/>
      <c r="J334" s="4"/>
      <c r="K334" s="4"/>
      <c r="L334" s="4"/>
      <c r="M334" s="2008"/>
      <c r="N334" s="2012"/>
      <c r="O334" s="2008">
        <v>100000</v>
      </c>
      <c r="P334" s="2009"/>
    </row>
    <row r="335" spans="2:16" x14ac:dyDescent="0.25">
      <c r="B335" s="1009" t="s">
        <v>17</v>
      </c>
      <c r="C335" s="1015"/>
      <c r="D335" s="1016"/>
      <c r="E335" s="1016"/>
      <c r="F335" s="20" t="s">
        <v>1</v>
      </c>
      <c r="G335" s="1020" t="s">
        <v>1642</v>
      </c>
      <c r="H335" s="1020"/>
      <c r="I335" s="4"/>
      <c r="J335" s="4"/>
      <c r="K335" s="4"/>
      <c r="L335" s="4"/>
      <c r="M335" s="2008"/>
      <c r="N335" s="2012"/>
      <c r="O335" s="2008">
        <f>+M332+M333-O334</f>
        <v>93600</v>
      </c>
      <c r="P335" s="2009"/>
    </row>
    <row r="336" spans="2:16" ht="6.75" customHeight="1" x14ac:dyDescent="0.25">
      <c r="B336" s="1085">
        <v>10</v>
      </c>
      <c r="C336" s="2090" t="s">
        <v>21</v>
      </c>
      <c r="D336" s="2090"/>
      <c r="E336" s="2090"/>
      <c r="F336" s="2090"/>
      <c r="G336" s="2091" t="s">
        <v>1662</v>
      </c>
      <c r="H336" s="2091"/>
      <c r="I336" s="2090" t="s">
        <v>21</v>
      </c>
      <c r="J336" s="2090"/>
      <c r="K336" s="2090"/>
      <c r="L336" s="2092"/>
      <c r="M336" s="2008"/>
      <c r="N336" s="2012"/>
      <c r="O336" s="2008"/>
      <c r="P336" s="2009"/>
    </row>
    <row r="337" spans="2:16" x14ac:dyDescent="0.25">
      <c r="B337" s="30" t="s">
        <v>11</v>
      </c>
      <c r="C337" s="1015" t="s">
        <v>10</v>
      </c>
      <c r="D337" s="1016"/>
      <c r="E337" s="1016"/>
      <c r="F337" s="991"/>
      <c r="G337" s="51"/>
      <c r="H337" s="51"/>
      <c r="I337" s="4"/>
      <c r="J337" s="4"/>
      <c r="K337" s="4"/>
      <c r="L337" s="991"/>
      <c r="M337" s="2008">
        <f>+($O$342+$O$343)*0.05</f>
        <v>726</v>
      </c>
      <c r="N337" s="2009"/>
      <c r="O337" s="2012"/>
      <c r="P337" s="2009"/>
    </row>
    <row r="338" spans="2:16" x14ac:dyDescent="0.25">
      <c r="B338" s="38" t="s">
        <v>11</v>
      </c>
      <c r="C338" s="1015" t="s">
        <v>1648</v>
      </c>
      <c r="D338" s="1016"/>
      <c r="E338" s="1016"/>
      <c r="F338" s="991"/>
      <c r="G338" s="51"/>
      <c r="H338" s="51"/>
      <c r="I338" s="4"/>
      <c r="J338" s="4"/>
      <c r="K338" s="4"/>
      <c r="L338" s="991"/>
      <c r="M338" s="2008">
        <f>+($O$342+$O$343)*0.1</f>
        <v>1452</v>
      </c>
      <c r="N338" s="2009"/>
      <c r="O338" s="994"/>
      <c r="P338" s="995"/>
    </row>
    <row r="339" spans="2:16" x14ac:dyDescent="0.25">
      <c r="B339" s="38" t="s">
        <v>11</v>
      </c>
      <c r="C339" s="1015" t="s">
        <v>227</v>
      </c>
      <c r="D339" s="1016"/>
      <c r="E339" s="1016"/>
      <c r="F339" s="991"/>
      <c r="G339" s="51"/>
      <c r="H339" s="51"/>
      <c r="I339" s="4"/>
      <c r="J339" s="4"/>
      <c r="K339" s="4"/>
      <c r="L339" s="991"/>
      <c r="M339" s="2008">
        <f>+($O$342+$O$343)*0.15</f>
        <v>2178</v>
      </c>
      <c r="N339" s="2009"/>
      <c r="O339" s="994"/>
      <c r="P339" s="995"/>
    </row>
    <row r="340" spans="2:16" x14ac:dyDescent="0.25">
      <c r="B340" s="38" t="s">
        <v>11</v>
      </c>
      <c r="C340" s="1015" t="s">
        <v>478</v>
      </c>
      <c r="D340" s="1016"/>
      <c r="E340" s="1016"/>
      <c r="F340" s="991"/>
      <c r="G340" s="51"/>
      <c r="H340" s="51"/>
      <c r="I340" s="4"/>
      <c r="J340" s="4"/>
      <c r="K340" s="4"/>
      <c r="L340" s="991"/>
      <c r="M340" s="2008">
        <f>+($O$342+$O$343)*0.3</f>
        <v>4356</v>
      </c>
      <c r="N340" s="2009"/>
      <c r="O340" s="994"/>
      <c r="P340" s="995"/>
    </row>
    <row r="341" spans="2:16" x14ac:dyDescent="0.25">
      <c r="B341" s="38" t="s">
        <v>11</v>
      </c>
      <c r="C341" s="1015" t="s">
        <v>0</v>
      </c>
      <c r="D341" s="1016"/>
      <c r="E341" s="1016"/>
      <c r="F341" s="991"/>
      <c r="G341" s="51"/>
      <c r="H341" s="51"/>
      <c r="I341" s="4"/>
      <c r="J341" s="4"/>
      <c r="K341" s="4"/>
      <c r="L341" s="991"/>
      <c r="M341" s="2008">
        <f>+($O$342+$O$343)*0.4</f>
        <v>5808</v>
      </c>
      <c r="N341" s="2009"/>
      <c r="O341" s="994"/>
      <c r="P341" s="995"/>
    </row>
    <row r="342" spans="2:16" x14ac:dyDescent="0.25">
      <c r="B342" s="1009" t="s">
        <v>16</v>
      </c>
      <c r="C342" s="1015"/>
      <c r="D342" s="1016"/>
      <c r="E342" s="1016"/>
      <c r="F342" s="20" t="s">
        <v>1</v>
      </c>
      <c r="G342" s="1020" t="s">
        <v>1641</v>
      </c>
      <c r="H342" s="1020"/>
      <c r="I342" s="4"/>
      <c r="J342" s="4"/>
      <c r="K342" s="4"/>
      <c r="L342" s="4"/>
      <c r="M342" s="2008"/>
      <c r="N342" s="2012"/>
      <c r="O342" s="2008">
        <v>12000</v>
      </c>
      <c r="P342" s="2009"/>
    </row>
    <row r="343" spans="2:16" x14ac:dyDescent="0.25">
      <c r="B343" s="1009" t="s">
        <v>17</v>
      </c>
      <c r="C343" s="1015"/>
      <c r="D343" s="1016"/>
      <c r="E343" s="1016"/>
      <c r="F343" s="20" t="s">
        <v>1</v>
      </c>
      <c r="G343" s="1020" t="s">
        <v>12</v>
      </c>
      <c r="H343" s="1020"/>
      <c r="I343" s="4"/>
      <c r="J343" s="4"/>
      <c r="K343" s="4"/>
      <c r="L343" s="4"/>
      <c r="M343" s="2008"/>
      <c r="N343" s="2012"/>
      <c r="O343" s="2008">
        <f>+O342*0.21</f>
        <v>2520</v>
      </c>
      <c r="P343" s="2009"/>
    </row>
    <row r="344" spans="2:16" ht="6.75" customHeight="1" x14ac:dyDescent="0.25">
      <c r="B344" s="1085">
        <v>11</v>
      </c>
      <c r="C344" s="2090" t="s">
        <v>21</v>
      </c>
      <c r="D344" s="2090"/>
      <c r="E344" s="2090"/>
      <c r="F344" s="2090"/>
      <c r="G344" s="2091" t="s">
        <v>1661</v>
      </c>
      <c r="H344" s="2091"/>
      <c r="I344" s="2090" t="s">
        <v>21</v>
      </c>
      <c r="J344" s="2090"/>
      <c r="K344" s="2090"/>
      <c r="L344" s="2092"/>
      <c r="M344" s="2008"/>
      <c r="N344" s="2012"/>
      <c r="O344" s="2008"/>
      <c r="P344" s="2009"/>
    </row>
    <row r="345" spans="2:16" x14ac:dyDescent="0.25">
      <c r="B345" s="30" t="s">
        <v>11</v>
      </c>
      <c r="C345" s="1015" t="str">
        <f>+G334</f>
        <v>Banco Santander Río Cta Cte</v>
      </c>
      <c r="D345" s="1016"/>
      <c r="E345" s="1016"/>
      <c r="F345" s="991"/>
      <c r="G345" s="51"/>
      <c r="H345" s="51"/>
      <c r="I345" s="4"/>
      <c r="J345" s="4"/>
      <c r="K345" s="4"/>
      <c r="L345" s="991"/>
      <c r="M345" s="2008">
        <f>+M339</f>
        <v>2178</v>
      </c>
      <c r="N345" s="2009"/>
      <c r="O345" s="2012"/>
      <c r="P345" s="2009"/>
    </row>
    <row r="346" spans="2:16" x14ac:dyDescent="0.25">
      <c r="B346" s="1009" t="s">
        <v>14</v>
      </c>
      <c r="C346" s="1015"/>
      <c r="D346" s="1016"/>
      <c r="E346" s="1016"/>
      <c r="F346" s="20" t="s">
        <v>1</v>
      </c>
      <c r="G346" s="1020" t="str">
        <f>+C339</f>
        <v>Valores a depositar</v>
      </c>
      <c r="H346" s="1020"/>
      <c r="I346" s="4"/>
      <c r="J346" s="4"/>
      <c r="K346" s="4"/>
      <c r="L346" s="4"/>
      <c r="M346" s="2008"/>
      <c r="N346" s="2012"/>
      <c r="O346" s="2008">
        <f>+M345</f>
        <v>2178</v>
      </c>
      <c r="P346" s="2009"/>
    </row>
    <row r="347" spans="2:16" ht="6.75" customHeight="1" x14ac:dyDescent="0.25">
      <c r="B347" s="1085">
        <v>12</v>
      </c>
      <c r="C347" s="2090" t="s">
        <v>21</v>
      </c>
      <c r="D347" s="2090"/>
      <c r="E347" s="2090"/>
      <c r="F347" s="2090"/>
      <c r="G347" s="2091" t="s">
        <v>1660</v>
      </c>
      <c r="H347" s="2091"/>
      <c r="I347" s="2090" t="s">
        <v>21</v>
      </c>
      <c r="J347" s="2090"/>
      <c r="K347" s="2090"/>
      <c r="L347" s="2092"/>
      <c r="M347" s="2008"/>
      <c r="N347" s="2012"/>
      <c r="O347" s="2008"/>
      <c r="P347" s="2009"/>
    </row>
    <row r="348" spans="2:16" x14ac:dyDescent="0.25">
      <c r="B348" s="30" t="s">
        <v>15</v>
      </c>
      <c r="C348" s="1015" t="s">
        <v>874</v>
      </c>
      <c r="D348" s="1016"/>
      <c r="E348" s="1016"/>
      <c r="F348" s="991"/>
      <c r="G348" s="51"/>
      <c r="H348" s="51"/>
      <c r="I348" s="4"/>
      <c r="J348" s="4"/>
      <c r="K348" s="4"/>
      <c r="L348" s="991"/>
      <c r="M348" s="2008">
        <v>500</v>
      </c>
      <c r="N348" s="2009"/>
      <c r="O348" s="2012"/>
      <c r="P348" s="2009"/>
    </row>
    <row r="349" spans="2:16" x14ac:dyDescent="0.25">
      <c r="B349" s="38" t="s">
        <v>11</v>
      </c>
      <c r="C349" s="1015" t="s">
        <v>13</v>
      </c>
      <c r="D349" s="1016"/>
      <c r="E349" s="1016"/>
      <c r="F349" s="991"/>
      <c r="G349" s="51"/>
      <c r="H349" s="51"/>
      <c r="I349" s="4"/>
      <c r="J349" s="4"/>
      <c r="K349" s="4"/>
      <c r="L349" s="991"/>
      <c r="M349" s="2008">
        <f>+M348*0.21</f>
        <v>105</v>
      </c>
      <c r="N349" s="2009"/>
      <c r="O349" s="2008"/>
      <c r="P349" s="2009"/>
    </row>
    <row r="350" spans="2:16" x14ac:dyDescent="0.25">
      <c r="B350" s="1009" t="s">
        <v>14</v>
      </c>
      <c r="C350" s="1015"/>
      <c r="D350" s="1016"/>
      <c r="E350" s="1016"/>
      <c r="F350" s="20" t="s">
        <v>1</v>
      </c>
      <c r="G350" s="1020" t="s">
        <v>22</v>
      </c>
      <c r="H350" s="1020"/>
      <c r="I350" s="4"/>
      <c r="J350" s="4"/>
      <c r="K350" s="4"/>
      <c r="L350" s="4"/>
      <c r="M350" s="2008"/>
      <c r="N350" s="2012"/>
      <c r="O350" s="2008">
        <f>+M348+M349</f>
        <v>605</v>
      </c>
      <c r="P350" s="2009"/>
    </row>
    <row r="351" spans="2:16" ht="6" customHeight="1" x14ac:dyDescent="0.25">
      <c r="B351" s="1085">
        <v>13</v>
      </c>
      <c r="C351" s="2090" t="s">
        <v>21</v>
      </c>
      <c r="D351" s="2090"/>
      <c r="E351" s="2090"/>
      <c r="F351" s="2090"/>
      <c r="G351" s="2091" t="s">
        <v>1659</v>
      </c>
      <c r="H351" s="2091"/>
      <c r="I351" s="2090" t="s">
        <v>21</v>
      </c>
      <c r="J351" s="2090"/>
      <c r="K351" s="2090"/>
      <c r="L351" s="2092"/>
      <c r="M351" s="2008"/>
      <c r="N351" s="2012"/>
      <c r="O351" s="2008"/>
      <c r="P351" s="2009"/>
    </row>
    <row r="352" spans="2:16" x14ac:dyDescent="0.25">
      <c r="B352" s="30" t="s">
        <v>11</v>
      </c>
      <c r="C352" s="1015" t="s">
        <v>937</v>
      </c>
      <c r="D352" s="1016"/>
      <c r="E352" s="1016"/>
      <c r="F352" s="991"/>
      <c r="G352" s="51"/>
      <c r="H352" s="51"/>
      <c r="I352" s="4"/>
      <c r="J352" s="4"/>
      <c r="K352" s="4"/>
      <c r="L352" s="991"/>
      <c r="M352" s="2008">
        <f>+O353</f>
        <v>2904</v>
      </c>
      <c r="N352" s="2009"/>
      <c r="O352" s="2012"/>
      <c r="P352" s="2009"/>
    </row>
    <row r="353" spans="2:16" x14ac:dyDescent="0.25">
      <c r="B353" s="38" t="s">
        <v>14</v>
      </c>
      <c r="C353" s="1015"/>
      <c r="D353" s="1016"/>
      <c r="E353" s="1016"/>
      <c r="F353" s="20" t="s">
        <v>1</v>
      </c>
      <c r="G353" s="1020" t="s">
        <v>0</v>
      </c>
      <c r="H353" s="51"/>
      <c r="I353" s="4"/>
      <c r="J353" s="4"/>
      <c r="K353" s="4"/>
      <c r="L353" s="991"/>
      <c r="M353" s="2008"/>
      <c r="N353" s="2009"/>
      <c r="O353" s="2008">
        <f>0.5*M341</f>
        <v>2904</v>
      </c>
      <c r="P353" s="2009"/>
    </row>
    <row r="354" spans="2:16" s="4" customFormat="1" x14ac:dyDescent="0.25">
      <c r="B354" s="1014"/>
      <c r="C354" s="2090" t="s">
        <v>21</v>
      </c>
      <c r="D354" s="2090"/>
      <c r="E354" s="2090"/>
      <c r="F354" s="2090"/>
      <c r="G354" s="2096" t="s">
        <v>222</v>
      </c>
      <c r="H354" s="2096"/>
      <c r="I354" s="2090" t="s">
        <v>21</v>
      </c>
      <c r="J354" s="2090"/>
      <c r="K354" s="2090"/>
      <c r="L354" s="2090"/>
      <c r="M354" s="2012"/>
      <c r="N354" s="2012"/>
      <c r="O354" s="2012"/>
      <c r="P354" s="2012"/>
    </row>
    <row r="355" spans="2:16" s="4" customFormat="1" x14ac:dyDescent="0.25">
      <c r="B355" s="1014"/>
      <c r="C355" s="991"/>
      <c r="D355" s="991"/>
      <c r="E355" s="991"/>
      <c r="F355" s="991"/>
      <c r="G355" s="992"/>
      <c r="H355" s="992"/>
      <c r="I355" s="991"/>
      <c r="J355" s="991"/>
      <c r="K355" s="991"/>
      <c r="L355" s="991"/>
      <c r="M355" s="994"/>
      <c r="N355" s="994"/>
      <c r="O355" s="994"/>
      <c r="P355" s="994"/>
    </row>
    <row r="356" spans="2:16" ht="9" customHeight="1" x14ac:dyDescent="0.25">
      <c r="B356" s="1085">
        <v>14</v>
      </c>
      <c r="C356" s="2090" t="s">
        <v>21</v>
      </c>
      <c r="D356" s="2090"/>
      <c r="E356" s="2090"/>
      <c r="F356" s="2090"/>
      <c r="G356" s="2091" t="s">
        <v>1658</v>
      </c>
      <c r="H356" s="2091"/>
      <c r="I356" s="2090" t="s">
        <v>21</v>
      </c>
      <c r="J356" s="2090"/>
      <c r="K356" s="2090"/>
      <c r="L356" s="2092"/>
      <c r="M356" s="2008"/>
      <c r="N356" s="2012"/>
      <c r="O356" s="2008"/>
      <c r="P356" s="2009"/>
    </row>
    <row r="357" spans="2:16" x14ac:dyDescent="0.25">
      <c r="B357" s="30" t="s">
        <v>11</v>
      </c>
      <c r="C357" s="1015" t="s">
        <v>1647</v>
      </c>
      <c r="D357" s="1016"/>
      <c r="E357" s="1016"/>
      <c r="F357" s="991"/>
      <c r="G357" s="51"/>
      <c r="H357" s="51"/>
      <c r="I357" s="4"/>
      <c r="J357" s="4"/>
      <c r="K357" s="4"/>
      <c r="L357" s="991"/>
      <c r="M357" s="2008">
        <f>+M304-O308-O317-O321-O324-O330-O334+M345-O350</f>
        <v>68473</v>
      </c>
      <c r="N357" s="2009"/>
      <c r="O357" s="2012"/>
      <c r="P357" s="2009"/>
    </row>
    <row r="358" spans="2:16" x14ac:dyDescent="0.25">
      <c r="B358" s="38" t="s">
        <v>14</v>
      </c>
      <c r="C358" s="1015"/>
      <c r="D358" s="1016"/>
      <c r="E358" s="1016"/>
      <c r="F358" s="20" t="s">
        <v>1</v>
      </c>
      <c r="G358" s="1020" t="s">
        <v>22</v>
      </c>
      <c r="H358" s="51"/>
      <c r="I358" s="4"/>
      <c r="J358" s="4"/>
      <c r="K358" s="4"/>
      <c r="L358" s="991"/>
      <c r="M358" s="2008"/>
      <c r="N358" s="2009"/>
      <c r="O358" s="2008">
        <f>+M357</f>
        <v>68473</v>
      </c>
      <c r="P358" s="2009"/>
    </row>
    <row r="359" spans="2:16" ht="9" customHeight="1" x14ac:dyDescent="0.25">
      <c r="B359" s="1085">
        <v>15</v>
      </c>
      <c r="C359" s="2090" t="s">
        <v>21</v>
      </c>
      <c r="D359" s="2090"/>
      <c r="E359" s="2090"/>
      <c r="F359" s="2090"/>
      <c r="G359" s="2091" t="s">
        <v>1658</v>
      </c>
      <c r="H359" s="2091"/>
      <c r="I359" s="2090" t="s">
        <v>21</v>
      </c>
      <c r="J359" s="2090"/>
      <c r="K359" s="2090"/>
      <c r="L359" s="2092"/>
      <c r="M359" s="2008"/>
      <c r="N359" s="2012"/>
      <c r="O359" s="2008"/>
      <c r="P359" s="2009"/>
    </row>
    <row r="360" spans="2:16" x14ac:dyDescent="0.25">
      <c r="B360" s="30"/>
      <c r="C360" s="2093" t="s">
        <v>1657</v>
      </c>
      <c r="D360" s="2094"/>
      <c r="E360" s="2094"/>
      <c r="F360" s="2094"/>
      <c r="G360" s="2094"/>
      <c r="H360" s="2094"/>
      <c r="I360" s="2094"/>
      <c r="J360" s="2094"/>
      <c r="K360" s="2094"/>
      <c r="L360" s="2095"/>
      <c r="M360" s="2008"/>
      <c r="N360" s="2009"/>
      <c r="O360" s="2012"/>
      <c r="P360" s="2009"/>
    </row>
    <row r="361" spans="2:16" ht="9" customHeight="1" x14ac:dyDescent="0.25">
      <c r="B361" s="1085">
        <v>16</v>
      </c>
      <c r="C361" s="2090" t="s">
        <v>21</v>
      </c>
      <c r="D361" s="2090"/>
      <c r="E361" s="2090"/>
      <c r="F361" s="2090"/>
      <c r="G361" s="2091" t="s">
        <v>1656</v>
      </c>
      <c r="H361" s="2091"/>
      <c r="I361" s="2090" t="s">
        <v>21</v>
      </c>
      <c r="J361" s="2090"/>
      <c r="K361" s="2090"/>
      <c r="L361" s="2092"/>
      <c r="M361" s="2008"/>
      <c r="N361" s="2012"/>
      <c r="O361" s="2008"/>
      <c r="P361" s="2009"/>
    </row>
    <row r="362" spans="2:16" x14ac:dyDescent="0.25">
      <c r="B362" s="30" t="s">
        <v>207</v>
      </c>
      <c r="C362" s="1086" t="str">
        <f>+G318</f>
        <v>Proveedores de bienes de uso</v>
      </c>
      <c r="D362" s="1016"/>
      <c r="E362" s="1016"/>
      <c r="F362" s="991"/>
      <c r="G362" s="51"/>
      <c r="H362" s="51"/>
      <c r="I362" s="4"/>
      <c r="J362" s="4"/>
      <c r="K362" s="4"/>
      <c r="L362" s="991"/>
      <c r="M362" s="2008">
        <f>+O318</f>
        <v>18150</v>
      </c>
      <c r="N362" s="2009"/>
      <c r="O362" s="2012"/>
      <c r="P362" s="2009"/>
    </row>
    <row r="363" spans="2:16" x14ac:dyDescent="0.25">
      <c r="B363" s="38" t="s">
        <v>15</v>
      </c>
      <c r="C363" s="1086" t="s">
        <v>493</v>
      </c>
      <c r="D363" s="1016"/>
      <c r="E363" s="1016"/>
      <c r="F363" s="991"/>
      <c r="G363" s="51"/>
      <c r="H363" s="51"/>
      <c r="I363" s="4"/>
      <c r="J363" s="4"/>
      <c r="K363" s="4"/>
      <c r="L363" s="991"/>
      <c r="M363" s="2008">
        <f>+O364-M362</f>
        <v>1850</v>
      </c>
      <c r="N363" s="2009"/>
      <c r="O363" s="994"/>
      <c r="P363" s="995"/>
    </row>
    <row r="364" spans="2:16" x14ac:dyDescent="0.25">
      <c r="B364" s="38" t="s">
        <v>14</v>
      </c>
      <c r="C364" s="1015"/>
      <c r="D364" s="1016"/>
      <c r="E364" s="1016"/>
      <c r="F364" s="20" t="s">
        <v>1</v>
      </c>
      <c r="G364" s="1020" t="str">
        <f>+C357</f>
        <v>Banco Citibank Cta Cte</v>
      </c>
      <c r="H364" s="51"/>
      <c r="I364" s="4"/>
      <c r="J364" s="4"/>
      <c r="K364" s="4"/>
      <c r="L364" s="991"/>
      <c r="M364" s="2008"/>
      <c r="N364" s="2009"/>
      <c r="O364" s="2008">
        <v>20000</v>
      </c>
      <c r="P364" s="2009"/>
    </row>
    <row r="365" spans="2:16" ht="9" customHeight="1" x14ac:dyDescent="0.25">
      <c r="B365" s="1085">
        <v>17</v>
      </c>
      <c r="C365" s="2090" t="s">
        <v>21</v>
      </c>
      <c r="D365" s="2090"/>
      <c r="E365" s="2090"/>
      <c r="F365" s="2090"/>
      <c r="G365" s="2091" t="s">
        <v>1655</v>
      </c>
      <c r="H365" s="2091"/>
      <c r="I365" s="2090" t="s">
        <v>21</v>
      </c>
      <c r="J365" s="2090"/>
      <c r="K365" s="2090"/>
      <c r="L365" s="2092"/>
      <c r="M365" s="2008"/>
      <c r="N365" s="2012"/>
      <c r="O365" s="2008"/>
      <c r="P365" s="2009"/>
    </row>
    <row r="366" spans="2:16" x14ac:dyDescent="0.25">
      <c r="B366" s="30" t="s">
        <v>15</v>
      </c>
      <c r="C366" s="1086" t="s">
        <v>493</v>
      </c>
      <c r="D366" s="1016"/>
      <c r="E366" s="1016"/>
      <c r="F366" s="991"/>
      <c r="G366" s="51"/>
      <c r="H366" s="51"/>
      <c r="I366" s="4"/>
      <c r="J366" s="4"/>
      <c r="K366" s="4"/>
      <c r="L366" s="991"/>
      <c r="M366" s="2008">
        <v>2000</v>
      </c>
      <c r="N366" s="2009"/>
      <c r="O366" s="2012"/>
      <c r="P366" s="2009"/>
    </row>
    <row r="367" spans="2:16" x14ac:dyDescent="0.25">
      <c r="B367" s="38" t="s">
        <v>11</v>
      </c>
      <c r="C367" s="1086" t="s">
        <v>13</v>
      </c>
      <c r="D367" s="1016"/>
      <c r="E367" s="1016"/>
      <c r="F367" s="991"/>
      <c r="G367" s="51"/>
      <c r="H367" s="51"/>
      <c r="I367" s="4"/>
      <c r="J367" s="4"/>
      <c r="K367" s="4"/>
      <c r="L367" s="991"/>
      <c r="M367" s="2008">
        <f>+M366*0.21</f>
        <v>420</v>
      </c>
      <c r="N367" s="2009"/>
      <c r="O367" s="994"/>
      <c r="P367" s="995"/>
    </row>
    <row r="368" spans="2:16" x14ac:dyDescent="0.25">
      <c r="B368" s="38" t="s">
        <v>17</v>
      </c>
      <c r="C368" s="1015"/>
      <c r="D368" s="1016"/>
      <c r="E368" s="1016"/>
      <c r="F368" s="20" t="s">
        <v>1</v>
      </c>
      <c r="G368" s="1020" t="s">
        <v>1642</v>
      </c>
      <c r="H368" s="51"/>
      <c r="I368" s="4"/>
      <c r="J368" s="4"/>
      <c r="K368" s="4"/>
      <c r="L368" s="991"/>
      <c r="M368" s="2008"/>
      <c r="N368" s="2009"/>
      <c r="O368" s="2008">
        <f>+M366+M367</f>
        <v>2420</v>
      </c>
      <c r="P368" s="2009"/>
    </row>
    <row r="369" spans="2:16" ht="9" customHeight="1" x14ac:dyDescent="0.25">
      <c r="B369" s="1085">
        <v>18</v>
      </c>
      <c r="C369" s="2090" t="s">
        <v>21</v>
      </c>
      <c r="D369" s="2090"/>
      <c r="E369" s="2090"/>
      <c r="F369" s="2090"/>
      <c r="G369" s="2091" t="s">
        <v>1654</v>
      </c>
      <c r="H369" s="2091"/>
      <c r="I369" s="2090" t="s">
        <v>21</v>
      </c>
      <c r="J369" s="2090"/>
      <c r="K369" s="2090"/>
      <c r="L369" s="2092"/>
      <c r="M369" s="2008"/>
      <c r="N369" s="2012"/>
      <c r="O369" s="2008"/>
      <c r="P369" s="2009"/>
    </row>
    <row r="370" spans="2:16" x14ac:dyDescent="0.25">
      <c r="B370" s="30" t="s">
        <v>15</v>
      </c>
      <c r="C370" s="1015" t="s">
        <v>1640</v>
      </c>
      <c r="D370" s="1016"/>
      <c r="E370" s="1016"/>
      <c r="F370" s="991"/>
      <c r="G370" s="51"/>
      <c r="H370" s="51"/>
      <c r="I370" s="4"/>
      <c r="J370" s="4"/>
      <c r="K370" s="4"/>
      <c r="L370" s="991"/>
      <c r="M370" s="2008">
        <v>5000</v>
      </c>
      <c r="N370" s="2009"/>
      <c r="O370" s="2012"/>
      <c r="P370" s="2009"/>
    </row>
    <row r="371" spans="2:16" x14ac:dyDescent="0.25">
      <c r="B371" s="38" t="s">
        <v>11</v>
      </c>
      <c r="C371" s="1015" t="s">
        <v>13</v>
      </c>
      <c r="D371" s="1016"/>
      <c r="E371" s="1016"/>
      <c r="F371" s="991"/>
      <c r="G371" s="51"/>
      <c r="H371" s="51"/>
      <c r="I371" s="4"/>
      <c r="J371" s="4"/>
      <c r="K371" s="4"/>
      <c r="L371" s="991"/>
      <c r="M371" s="2008">
        <f>+M370*0.21</f>
        <v>1050</v>
      </c>
      <c r="N371" s="2009"/>
      <c r="O371" s="994"/>
      <c r="P371" s="995"/>
    </row>
    <row r="372" spans="2:16" x14ac:dyDescent="0.25">
      <c r="B372" s="38" t="s">
        <v>17</v>
      </c>
      <c r="C372" s="1017"/>
      <c r="D372" s="1018"/>
      <c r="E372" s="1018"/>
      <c r="F372" s="35" t="s">
        <v>1</v>
      </c>
      <c r="G372" s="1022" t="s">
        <v>1645</v>
      </c>
      <c r="H372" s="24"/>
      <c r="I372" s="3"/>
      <c r="J372" s="3"/>
      <c r="K372" s="3"/>
      <c r="L372" s="1013"/>
      <c r="M372" s="2006"/>
      <c r="N372" s="2007"/>
      <c r="O372" s="2006">
        <f>+M370+M371</f>
        <v>6050</v>
      </c>
      <c r="P372" s="2007"/>
    </row>
    <row r="373" spans="2:16" s="4" customFormat="1" x14ac:dyDescent="0.25">
      <c r="B373" s="1004"/>
      <c r="C373" s="12"/>
      <c r="D373" s="12"/>
      <c r="E373" s="12"/>
      <c r="F373" s="12"/>
      <c r="G373" s="51"/>
      <c r="H373" s="51"/>
      <c r="M373" s="18"/>
      <c r="N373" s="18"/>
      <c r="O373" s="18"/>
      <c r="P373" s="18"/>
    </row>
    <row r="374" spans="2:16" s="4" customFormat="1" x14ac:dyDescent="0.25">
      <c r="B374" s="6" t="s">
        <v>1653</v>
      </c>
      <c r="C374" s="21" t="s">
        <v>1652</v>
      </c>
      <c r="D374" s="12"/>
      <c r="E374" s="12"/>
      <c r="F374" s="12"/>
      <c r="G374" s="51"/>
      <c r="H374" s="51"/>
      <c r="M374" s="18"/>
      <c r="N374" s="18"/>
      <c r="O374" s="18"/>
      <c r="P374" s="18"/>
    </row>
    <row r="375" spans="2:16" s="4" customFormat="1" x14ac:dyDescent="0.25">
      <c r="B375" s="1004"/>
      <c r="C375" s="12"/>
      <c r="D375" s="12"/>
      <c r="E375" s="12"/>
      <c r="F375" s="12"/>
      <c r="G375" s="51"/>
      <c r="H375" s="51"/>
      <c r="M375" s="18"/>
      <c r="N375" s="18"/>
      <c r="O375" s="18"/>
      <c r="P375" s="18"/>
    </row>
    <row r="376" spans="2:16" s="1084" customFormat="1" ht="29.25" customHeight="1" x14ac:dyDescent="0.25">
      <c r="B376" s="2157" t="s">
        <v>952</v>
      </c>
      <c r="C376" s="2013"/>
      <c r="D376" s="2013"/>
      <c r="E376" s="2157" t="s">
        <v>1164</v>
      </c>
      <c r="F376" s="2158"/>
      <c r="G376" s="2013" t="s">
        <v>1165</v>
      </c>
      <c r="H376" s="2013"/>
      <c r="I376" s="2157" t="s">
        <v>431</v>
      </c>
      <c r="J376" s="2158" t="s">
        <v>1165</v>
      </c>
      <c r="K376" s="2013" t="s">
        <v>1651</v>
      </c>
      <c r="L376" s="2013" t="s">
        <v>1165</v>
      </c>
      <c r="M376" s="2161" t="s">
        <v>1650</v>
      </c>
      <c r="N376" s="2162"/>
      <c r="O376" s="2013" t="s">
        <v>1649</v>
      </c>
      <c r="P376" s="2158"/>
    </row>
    <row r="377" spans="2:16" s="4" customFormat="1" x14ac:dyDescent="0.25">
      <c r="B377" s="2010" t="s">
        <v>10</v>
      </c>
      <c r="C377" s="2011"/>
      <c r="D377" s="2011"/>
      <c r="E377" s="1925">
        <f t="shared" ref="E377:E401" si="7">+IF(+SUMIF($C$304:$C$372,B377,$M$304:$M$372)&gt;+SUMIF($G$304:$G$372,B377,$O$304:$O$372),+SUMIF($C$304:$C$372,B377,$M$304:$M$372)-+SUMIF($G$304:$G$372,B377,$O$304:$O$372),0)</f>
        <v>726</v>
      </c>
      <c r="F377" s="1926"/>
      <c r="G377" s="1940">
        <f t="shared" ref="G377:G401" si="8">+IF(+SUMIF($G$304:$G$372,B377,$O$304:$O$372)&gt;+SUMIF($C$304:$C$372,B377,$M$304:$M$372),+SUMIF($G$304:$G$372,B377,$O$304:$O$372)-+SUMIF($C$304:$C$372,B377,$M$304:$M$372),0)</f>
        <v>0</v>
      </c>
      <c r="H377" s="1940"/>
      <c r="I377" s="1925">
        <f t="shared" ref="I377:I390" si="9">+E377</f>
        <v>726</v>
      </c>
      <c r="J377" s="1926">
        <f t="shared" ref="J377:J401" si="10">+IF(+SUMIF($G$304:$G$372,C377,$O$304:$O$372)&gt;+SUMIF($C$304:$C$372,C377,$M$304:$M$372),+SUMIF($G$304:$G$372,C377,$O$304:$O$372)-+SUMIF($C$304:$C$372,C377,$M$304:$M$372),0)</f>
        <v>0</v>
      </c>
      <c r="K377" s="1940">
        <v>0</v>
      </c>
      <c r="L377" s="1940">
        <f>+IF(+SUMIF($G$304:$G$372,#REF!,$O$304:$O$372)&gt;+SUMIF($C$304:$C$372,#REF!,$M$304:$M$372),+SUMIF($G$304:$G$372,#REF!,$O$304:$O$372)-+SUMIF($C$304:$C$372,#REF!,$M$304:$M$372),0)</f>
        <v>0</v>
      </c>
      <c r="M377" s="2155">
        <v>0</v>
      </c>
      <c r="N377" s="2156"/>
      <c r="O377" s="1940">
        <v>0</v>
      </c>
      <c r="P377" s="1926"/>
    </row>
    <row r="378" spans="2:16" s="4" customFormat="1" x14ac:dyDescent="0.25">
      <c r="B378" s="2010" t="s">
        <v>1648</v>
      </c>
      <c r="C378" s="2011"/>
      <c r="D378" s="2011"/>
      <c r="E378" s="1925">
        <f t="shared" si="7"/>
        <v>1452</v>
      </c>
      <c r="F378" s="1926"/>
      <c r="G378" s="1940">
        <f t="shared" si="8"/>
        <v>0</v>
      </c>
      <c r="H378" s="1940"/>
      <c r="I378" s="1925">
        <f t="shared" si="9"/>
        <v>1452</v>
      </c>
      <c r="J378" s="1926">
        <f t="shared" si="10"/>
        <v>0</v>
      </c>
      <c r="K378" s="1940">
        <v>0</v>
      </c>
      <c r="L378" s="1940">
        <f>+IF(+SUMIF($G$304:$G$372,#REF!,$O$304:$O$372)&gt;+SUMIF($C$304:$C$372,#REF!,$M$304:$M$372),+SUMIF($G$304:$G$372,#REF!,$O$304:$O$372)-+SUMIF($C$304:$C$372,#REF!,$M$304:$M$372),0)</f>
        <v>0</v>
      </c>
      <c r="M378" s="1925">
        <v>0</v>
      </c>
      <c r="N378" s="1926"/>
      <c r="O378" s="1940">
        <v>0</v>
      </c>
      <c r="P378" s="1926"/>
    </row>
    <row r="379" spans="2:16" s="4" customFormat="1" x14ac:dyDescent="0.25">
      <c r="B379" s="2082" t="s">
        <v>22</v>
      </c>
      <c r="C379" s="2083"/>
      <c r="D379" s="2083"/>
      <c r="E379" s="1925">
        <f t="shared" si="7"/>
        <v>0</v>
      </c>
      <c r="F379" s="1926"/>
      <c r="G379" s="1940">
        <f t="shared" si="8"/>
        <v>0</v>
      </c>
      <c r="H379" s="1940"/>
      <c r="I379" s="1925">
        <f t="shared" si="9"/>
        <v>0</v>
      </c>
      <c r="J379" s="1926">
        <f t="shared" si="10"/>
        <v>0</v>
      </c>
      <c r="K379" s="1940">
        <v>0</v>
      </c>
      <c r="L379" s="1940">
        <f>+IF(+SUMIF($G$304:$G$372,#REF!,$O$304:$O$372)&gt;+SUMIF($C$304:$C$372,#REF!,$M$304:$M$372),+SUMIF($G$304:$G$372,#REF!,$O$304:$O$372)-+SUMIF($C$304:$C$372,#REF!,$M$304:$M$372),0)</f>
        <v>0</v>
      </c>
      <c r="M379" s="1925">
        <v>0</v>
      </c>
      <c r="N379" s="1926"/>
      <c r="O379" s="1940">
        <v>0</v>
      </c>
      <c r="P379" s="1926"/>
    </row>
    <row r="380" spans="2:16" s="4" customFormat="1" x14ac:dyDescent="0.25">
      <c r="B380" s="2010" t="s">
        <v>1647</v>
      </c>
      <c r="C380" s="2011"/>
      <c r="D380" s="2011"/>
      <c r="E380" s="1925">
        <f t="shared" si="7"/>
        <v>48473</v>
      </c>
      <c r="F380" s="1926"/>
      <c r="G380" s="1940">
        <f t="shared" si="8"/>
        <v>0</v>
      </c>
      <c r="H380" s="1940"/>
      <c r="I380" s="1925">
        <f t="shared" si="9"/>
        <v>48473</v>
      </c>
      <c r="J380" s="1926">
        <f t="shared" si="10"/>
        <v>0</v>
      </c>
      <c r="K380" s="1940">
        <v>0</v>
      </c>
      <c r="L380" s="1940">
        <f>+IF(+SUMIF($G$304:$G$372,#REF!,$O$304:$O$372)&gt;+SUMIF($C$304:$C$372,#REF!,$M$304:$M$372),+SUMIF($G$304:$G$372,#REF!,$O$304:$O$372)-+SUMIF($C$304:$C$372,#REF!,$M$304:$M$372),0)</f>
        <v>0</v>
      </c>
      <c r="M380" s="1925">
        <v>0</v>
      </c>
      <c r="N380" s="1926"/>
      <c r="O380" s="1940">
        <v>0</v>
      </c>
      <c r="P380" s="1926"/>
    </row>
    <row r="381" spans="2:16" s="4" customFormat="1" x14ac:dyDescent="0.25">
      <c r="B381" s="2010" t="s">
        <v>227</v>
      </c>
      <c r="C381" s="2011"/>
      <c r="D381" s="2011"/>
      <c r="E381" s="1925">
        <f t="shared" si="7"/>
        <v>40000</v>
      </c>
      <c r="F381" s="1926"/>
      <c r="G381" s="1940">
        <f t="shared" si="8"/>
        <v>0</v>
      </c>
      <c r="H381" s="1940"/>
      <c r="I381" s="1925">
        <f t="shared" si="9"/>
        <v>40000</v>
      </c>
      <c r="J381" s="1926">
        <f t="shared" si="10"/>
        <v>0</v>
      </c>
      <c r="K381" s="1940">
        <v>0</v>
      </c>
      <c r="L381" s="1940">
        <f>+IF(+SUMIF($G$304:$G$372,#REF!,$O$304:$O$372)&gt;+SUMIF($C$304:$C$372,#REF!,$M$304:$M$372),+SUMIF($G$304:$G$372,#REF!,$O$304:$O$372)-+SUMIF($C$304:$C$372,#REF!,$M$304:$M$372),0)</f>
        <v>0</v>
      </c>
      <c r="M381" s="1925">
        <v>0</v>
      </c>
      <c r="N381" s="1926"/>
      <c r="O381" s="1940">
        <v>0</v>
      </c>
      <c r="P381" s="1926"/>
    </row>
    <row r="382" spans="2:16" s="4" customFormat="1" x14ac:dyDescent="0.25">
      <c r="B382" s="2010" t="s">
        <v>0</v>
      </c>
      <c r="C382" s="2011"/>
      <c r="D382" s="2011"/>
      <c r="E382" s="1925">
        <f t="shared" si="7"/>
        <v>2904</v>
      </c>
      <c r="F382" s="1926"/>
      <c r="G382" s="1940">
        <f t="shared" si="8"/>
        <v>0</v>
      </c>
      <c r="H382" s="1940"/>
      <c r="I382" s="1925">
        <f t="shared" si="9"/>
        <v>2904</v>
      </c>
      <c r="J382" s="1926">
        <f t="shared" si="10"/>
        <v>0</v>
      </c>
      <c r="K382" s="1940">
        <v>0</v>
      </c>
      <c r="L382" s="1940">
        <f>+IF(+SUMIF($G$304:$G$372,#REF!,$O$304:$O$372)&gt;+SUMIF($C$304:$C$372,#REF!,$M$304:$M$372),+SUMIF($G$304:$G$372,#REF!,$O$304:$O$372)-+SUMIF($C$304:$C$372,#REF!,$M$304:$M$372),0)</f>
        <v>0</v>
      </c>
      <c r="M382" s="1925">
        <v>0</v>
      </c>
      <c r="N382" s="1926"/>
      <c r="O382" s="1940">
        <v>0</v>
      </c>
      <c r="P382" s="1926"/>
    </row>
    <row r="383" spans="2:16" s="4" customFormat="1" x14ac:dyDescent="0.25">
      <c r="B383" s="2010" t="s">
        <v>937</v>
      </c>
      <c r="C383" s="2011"/>
      <c r="D383" s="2011"/>
      <c r="E383" s="1925">
        <f t="shared" si="7"/>
        <v>2904</v>
      </c>
      <c r="F383" s="1926"/>
      <c r="G383" s="1940">
        <f t="shared" si="8"/>
        <v>0</v>
      </c>
      <c r="H383" s="1940"/>
      <c r="I383" s="1925">
        <f t="shared" si="9"/>
        <v>2904</v>
      </c>
      <c r="J383" s="1926">
        <f t="shared" si="10"/>
        <v>0</v>
      </c>
      <c r="K383" s="1940">
        <v>0</v>
      </c>
      <c r="L383" s="1940">
        <f>+IF(+SUMIF($G$304:$G$372,#REF!,$O$304:$O$372)&gt;+SUMIF($C$304:$C$372,#REF!,$M$304:$M$372),+SUMIF($G$304:$G$372,#REF!,$O$304:$O$372)-+SUMIF($C$304:$C$372,#REF!,$M$304:$M$372),0)</f>
        <v>0</v>
      </c>
      <c r="M383" s="1925">
        <v>0</v>
      </c>
      <c r="N383" s="1926"/>
      <c r="O383" s="1940">
        <v>0</v>
      </c>
      <c r="P383" s="1926"/>
    </row>
    <row r="384" spans="2:16" s="4" customFormat="1" x14ac:dyDescent="0.25">
      <c r="B384" s="2010" t="s">
        <v>478</v>
      </c>
      <c r="C384" s="2011"/>
      <c r="D384" s="2011"/>
      <c r="E384" s="1925">
        <f t="shared" si="7"/>
        <v>4356</v>
      </c>
      <c r="F384" s="1926"/>
      <c r="G384" s="1940">
        <f t="shared" si="8"/>
        <v>0</v>
      </c>
      <c r="H384" s="1940"/>
      <c r="I384" s="1925">
        <f t="shared" si="9"/>
        <v>4356</v>
      </c>
      <c r="J384" s="1926">
        <f t="shared" si="10"/>
        <v>0</v>
      </c>
      <c r="K384" s="1940">
        <v>0</v>
      </c>
      <c r="L384" s="1940">
        <f>+IF(+SUMIF($G$304:$G$372,#REF!,$O$304:$O$372)&gt;+SUMIF($C$304:$C$372,#REF!,$M$304:$M$372),+SUMIF($G$304:$G$372,#REF!,$O$304:$O$372)-+SUMIF($C$304:$C$372,#REF!,$M$304:$M$372),0)</f>
        <v>0</v>
      </c>
      <c r="M384" s="1925">
        <v>0</v>
      </c>
      <c r="N384" s="1926"/>
      <c r="O384" s="1940">
        <v>0</v>
      </c>
      <c r="P384" s="1926"/>
    </row>
    <row r="385" spans="2:16" s="4" customFormat="1" x14ac:dyDescent="0.25">
      <c r="B385" s="2010" t="s">
        <v>13</v>
      </c>
      <c r="C385" s="2011"/>
      <c r="D385" s="2011"/>
      <c r="E385" s="1925">
        <f t="shared" si="7"/>
        <v>61425</v>
      </c>
      <c r="F385" s="1926"/>
      <c r="G385" s="1940">
        <f t="shared" si="8"/>
        <v>0</v>
      </c>
      <c r="H385" s="1940"/>
      <c r="I385" s="1925">
        <f t="shared" si="9"/>
        <v>61425</v>
      </c>
      <c r="J385" s="1926">
        <f t="shared" si="10"/>
        <v>0</v>
      </c>
      <c r="K385" s="1940">
        <v>0</v>
      </c>
      <c r="L385" s="1940">
        <f>+IF(+SUMIF($G$304:$G$372,#REF!,$O$304:$O$372)&gt;+SUMIF($C$304:$C$372,#REF!,$M$304:$M$372),+SUMIF($G$304:$G$372,#REF!,$O$304:$O$372)-+SUMIF($C$304:$C$372,#REF!,$M$304:$M$372),0)</f>
        <v>0</v>
      </c>
      <c r="M385" s="1925">
        <v>0</v>
      </c>
      <c r="N385" s="1926"/>
      <c r="O385" s="1940">
        <v>0</v>
      </c>
      <c r="P385" s="1926"/>
    </row>
    <row r="386" spans="2:16" s="4" customFormat="1" x14ac:dyDescent="0.25">
      <c r="B386" s="2010" t="s">
        <v>1646</v>
      </c>
      <c r="C386" s="2011"/>
      <c r="D386" s="2011"/>
      <c r="E386" s="1925">
        <f t="shared" si="7"/>
        <v>60000</v>
      </c>
      <c r="F386" s="1926"/>
      <c r="G386" s="1940">
        <f t="shared" si="8"/>
        <v>0</v>
      </c>
      <c r="H386" s="1940"/>
      <c r="I386" s="1925">
        <f t="shared" si="9"/>
        <v>60000</v>
      </c>
      <c r="J386" s="1926">
        <f t="shared" si="10"/>
        <v>0</v>
      </c>
      <c r="K386" s="1940">
        <v>0</v>
      </c>
      <c r="L386" s="1940">
        <f>+IF(+SUMIF($G$304:$G$372,#REF!,$O$304:$O$372)&gt;+SUMIF($C$304:$C$372,#REF!,$M$304:$M$372),+SUMIF($G$304:$G$372,#REF!,$O$304:$O$372)-+SUMIF($C$304:$C$372,#REF!,$M$304:$M$372),0)</f>
        <v>0</v>
      </c>
      <c r="M386" s="1925">
        <v>0</v>
      </c>
      <c r="N386" s="1926"/>
      <c r="O386" s="1940">
        <v>0</v>
      </c>
      <c r="P386" s="1926"/>
    </row>
    <row r="387" spans="2:16" s="4" customFormat="1" x14ac:dyDescent="0.25">
      <c r="B387" s="2010" t="s">
        <v>1089</v>
      </c>
      <c r="C387" s="2011"/>
      <c r="D387" s="2011"/>
      <c r="E387" s="1925">
        <f t="shared" si="7"/>
        <v>25000</v>
      </c>
      <c r="F387" s="1926"/>
      <c r="G387" s="1940">
        <f t="shared" si="8"/>
        <v>0</v>
      </c>
      <c r="H387" s="1940"/>
      <c r="I387" s="1925">
        <f t="shared" si="9"/>
        <v>25000</v>
      </c>
      <c r="J387" s="1926">
        <f t="shared" si="10"/>
        <v>0</v>
      </c>
      <c r="K387" s="1940">
        <v>0</v>
      </c>
      <c r="L387" s="1940">
        <f>+IF(+SUMIF($G$304:$G$372,#REF!,$O$304:$O$372)&gt;+SUMIF($C$304:$C$372,#REF!,$M$304:$M$372),+SUMIF($G$304:$G$372,#REF!,$O$304:$O$372)-+SUMIF($C$304:$C$372,#REF!,$M$304:$M$372),0)</f>
        <v>0</v>
      </c>
      <c r="M387" s="1925">
        <v>0</v>
      </c>
      <c r="N387" s="1926"/>
      <c r="O387" s="1940">
        <v>0</v>
      </c>
      <c r="P387" s="1926"/>
    </row>
    <row r="388" spans="2:16" s="4" customFormat="1" x14ac:dyDescent="0.25">
      <c r="B388" s="2010" t="s">
        <v>25</v>
      </c>
      <c r="C388" s="2011"/>
      <c r="D388" s="2011"/>
      <c r="E388" s="1925">
        <f t="shared" si="7"/>
        <v>100000</v>
      </c>
      <c r="F388" s="1926"/>
      <c r="G388" s="1940">
        <f t="shared" si="8"/>
        <v>0</v>
      </c>
      <c r="H388" s="1940"/>
      <c r="I388" s="1925">
        <f t="shared" si="9"/>
        <v>100000</v>
      </c>
      <c r="J388" s="1926">
        <f t="shared" si="10"/>
        <v>0</v>
      </c>
      <c r="K388" s="1940">
        <v>0</v>
      </c>
      <c r="L388" s="1940">
        <f>+IF(+SUMIF($G$304:$G$372,#REF!,$O$304:$O$372)&gt;+SUMIF($C$304:$C$372,#REF!,$M$304:$M$372),+SUMIF($G$304:$G$372,#REF!,$O$304:$O$372)-+SUMIF($C$304:$C$372,#REF!,$M$304:$M$372),0)</f>
        <v>0</v>
      </c>
      <c r="M388" s="1925">
        <v>0</v>
      </c>
      <c r="N388" s="1926"/>
      <c r="O388" s="1940">
        <v>0</v>
      </c>
      <c r="P388" s="1926"/>
    </row>
    <row r="389" spans="2:16" s="4" customFormat="1" x14ac:dyDescent="0.25">
      <c r="B389" s="2010" t="s">
        <v>26</v>
      </c>
      <c r="C389" s="2011"/>
      <c r="D389" s="2011"/>
      <c r="E389" s="1925">
        <f t="shared" si="7"/>
        <v>160000</v>
      </c>
      <c r="F389" s="1926"/>
      <c r="G389" s="1940">
        <f t="shared" si="8"/>
        <v>0</v>
      </c>
      <c r="H389" s="1940"/>
      <c r="I389" s="1925">
        <f t="shared" si="9"/>
        <v>160000</v>
      </c>
      <c r="J389" s="1926">
        <f t="shared" si="10"/>
        <v>0</v>
      </c>
      <c r="K389" s="1940">
        <v>0</v>
      </c>
      <c r="L389" s="1940">
        <f>+IF(+SUMIF($G$304:$G$372,#REF!,$O$304:$O$372)&gt;+SUMIF($C$304:$C$372,#REF!,$M$304:$M$372),+SUMIF($G$304:$G$372,#REF!,$O$304:$O$372)-+SUMIF($C$304:$C$372,#REF!,$M$304:$M$372),0)</f>
        <v>0</v>
      </c>
      <c r="M389" s="1925">
        <v>0</v>
      </c>
      <c r="N389" s="1926"/>
      <c r="O389" s="1940">
        <v>0</v>
      </c>
      <c r="P389" s="1926"/>
    </row>
    <row r="390" spans="2:16" s="4" customFormat="1" x14ac:dyDescent="0.25">
      <c r="B390" s="2010" t="s">
        <v>4</v>
      </c>
      <c r="C390" s="2011"/>
      <c r="D390" s="2011"/>
      <c r="E390" s="1925">
        <f t="shared" si="7"/>
        <v>400000</v>
      </c>
      <c r="F390" s="1926"/>
      <c r="G390" s="1940">
        <f t="shared" si="8"/>
        <v>0</v>
      </c>
      <c r="H390" s="1940"/>
      <c r="I390" s="1925">
        <f t="shared" si="9"/>
        <v>400000</v>
      </c>
      <c r="J390" s="1926">
        <f t="shared" si="10"/>
        <v>0</v>
      </c>
      <c r="K390" s="1940">
        <v>0</v>
      </c>
      <c r="L390" s="1940">
        <f>+IF(+SUMIF($G$304:$G$372,#REF!,$O$304:$O$372)&gt;+SUMIF($C$304:$C$372,#REF!,$M$304:$M$372),+SUMIF($G$304:$G$372,#REF!,$O$304:$O$372)-+SUMIF($C$304:$C$372,#REF!,$M$304:$M$372),0)</f>
        <v>0</v>
      </c>
      <c r="M390" s="1925">
        <v>0</v>
      </c>
      <c r="N390" s="1926"/>
      <c r="O390" s="1940">
        <v>0</v>
      </c>
      <c r="P390" s="1926"/>
    </row>
    <row r="391" spans="2:16" s="4" customFormat="1" x14ac:dyDescent="0.25">
      <c r="B391" s="2010" t="s">
        <v>1645</v>
      </c>
      <c r="C391" s="2011"/>
      <c r="D391" s="2011"/>
      <c r="E391" s="1925">
        <f t="shared" si="7"/>
        <v>0</v>
      </c>
      <c r="F391" s="1926"/>
      <c r="G391" s="1940">
        <f t="shared" si="8"/>
        <v>6050</v>
      </c>
      <c r="H391" s="1940"/>
      <c r="I391" s="1925">
        <v>0</v>
      </c>
      <c r="J391" s="1926">
        <f t="shared" si="10"/>
        <v>0</v>
      </c>
      <c r="K391" s="1940">
        <f t="shared" ref="K391:K397" si="11">+G391</f>
        <v>6050</v>
      </c>
      <c r="L391" s="1940">
        <f>+IF(+SUMIF($G$304:$G$372,#REF!,$O$304:$O$372)&gt;+SUMIF($C$304:$C$372,#REF!,$M$304:$M$372),+SUMIF($G$304:$G$372,#REF!,$O$304:$O$372)-+SUMIF($C$304:$C$372,#REF!,$M$304:$M$372),0)</f>
        <v>0</v>
      </c>
      <c r="M391" s="1925">
        <v>0</v>
      </c>
      <c r="N391" s="1926"/>
      <c r="O391" s="1940">
        <v>0</v>
      </c>
      <c r="P391" s="1926"/>
    </row>
    <row r="392" spans="2:16" s="4" customFormat="1" x14ac:dyDescent="0.25">
      <c r="B392" s="2082" t="s">
        <v>1644</v>
      </c>
      <c r="C392" s="2083"/>
      <c r="D392" s="2083"/>
      <c r="E392" s="1925">
        <f t="shared" si="7"/>
        <v>0</v>
      </c>
      <c r="F392" s="1926"/>
      <c r="G392" s="1940">
        <f t="shared" si="8"/>
        <v>0</v>
      </c>
      <c r="H392" s="1940"/>
      <c r="I392" s="1925">
        <v>0</v>
      </c>
      <c r="J392" s="1926">
        <f t="shared" si="10"/>
        <v>0</v>
      </c>
      <c r="K392" s="1940">
        <f t="shared" si="11"/>
        <v>0</v>
      </c>
      <c r="L392" s="1940">
        <f>+IF(+SUMIF($G$304:$G$372,#REF!,$O$304:$O$372)&gt;+SUMIF($C$304:$C$372,#REF!,$M$304:$M$372),+SUMIF($G$304:$G$372,#REF!,$O$304:$O$372)-+SUMIF($C$304:$C$372,#REF!,$M$304:$M$372),0)</f>
        <v>0</v>
      </c>
      <c r="M392" s="1925">
        <v>0</v>
      </c>
      <c r="N392" s="1926"/>
      <c r="O392" s="1940">
        <v>0</v>
      </c>
      <c r="P392" s="1926"/>
    </row>
    <row r="393" spans="2:16" s="4" customFormat="1" x14ac:dyDescent="0.25">
      <c r="B393" s="2159" t="s">
        <v>1643</v>
      </c>
      <c r="C393" s="2160"/>
      <c r="D393" s="2160"/>
      <c r="E393" s="1925">
        <f t="shared" si="7"/>
        <v>0</v>
      </c>
      <c r="F393" s="1926"/>
      <c r="G393" s="1940">
        <f t="shared" si="8"/>
        <v>0</v>
      </c>
      <c r="H393" s="1940"/>
      <c r="I393" s="1925">
        <v>0</v>
      </c>
      <c r="J393" s="1926">
        <f t="shared" si="10"/>
        <v>0</v>
      </c>
      <c r="K393" s="1940">
        <f t="shared" si="11"/>
        <v>0</v>
      </c>
      <c r="L393" s="1940">
        <f>+IF(+SUMIF($G$304:$G$372,#REF!,$O$304:$O$372)&gt;+SUMIF($C$304:$C$372,#REF!,$M$304:$M$372),+SUMIF($G$304:$G$372,#REF!,$O$304:$O$372)-+SUMIF($C$304:$C$372,#REF!,$M$304:$M$372),0)</f>
        <v>0</v>
      </c>
      <c r="M393" s="1925">
        <v>0</v>
      </c>
      <c r="N393" s="1926"/>
      <c r="O393" s="1940">
        <v>0</v>
      </c>
      <c r="P393" s="1926"/>
    </row>
    <row r="394" spans="2:16" s="4" customFormat="1" x14ac:dyDescent="0.25">
      <c r="B394" s="2010" t="s">
        <v>6</v>
      </c>
      <c r="C394" s="2011"/>
      <c r="D394" s="2011"/>
      <c r="E394" s="1925">
        <f t="shared" si="7"/>
        <v>0</v>
      </c>
      <c r="F394" s="1926"/>
      <c r="G394" s="1940">
        <f t="shared" si="8"/>
        <v>0</v>
      </c>
      <c r="H394" s="1940"/>
      <c r="I394" s="1925">
        <v>0</v>
      </c>
      <c r="J394" s="1926">
        <f t="shared" si="10"/>
        <v>0</v>
      </c>
      <c r="K394" s="1940">
        <f t="shared" si="11"/>
        <v>0</v>
      </c>
      <c r="L394" s="1940">
        <f>+IF(+SUMIF($G$304:$G$372,#REF!,$O$304:$O$372)&gt;+SUMIF($C$304:$C$372,#REF!,$M$304:$M$372),+SUMIF($G$304:$G$372,#REF!,$O$304:$O$372)-+SUMIF($C$304:$C$372,#REF!,$M$304:$M$372),0)</f>
        <v>0</v>
      </c>
      <c r="M394" s="1925">
        <v>0</v>
      </c>
      <c r="N394" s="1926"/>
      <c r="O394" s="1940">
        <v>0</v>
      </c>
      <c r="P394" s="1926"/>
    </row>
    <row r="395" spans="2:16" s="4" customFormat="1" x14ac:dyDescent="0.25">
      <c r="B395" s="2010" t="s">
        <v>12</v>
      </c>
      <c r="C395" s="2011"/>
      <c r="D395" s="2011"/>
      <c r="E395" s="1925">
        <f t="shared" si="7"/>
        <v>0</v>
      </c>
      <c r="F395" s="1926"/>
      <c r="G395" s="1940">
        <f t="shared" si="8"/>
        <v>2520</v>
      </c>
      <c r="H395" s="1940"/>
      <c r="I395" s="1925">
        <v>0</v>
      </c>
      <c r="J395" s="1926">
        <f t="shared" si="10"/>
        <v>0</v>
      </c>
      <c r="K395" s="1940">
        <f t="shared" si="11"/>
        <v>2520</v>
      </c>
      <c r="L395" s="1940">
        <f>+IF(+SUMIF($G$304:$G$372,#REF!,$O$304:$O$372)&gt;+SUMIF($C$304:$C$372,#REF!,$M$304:$M$372),+SUMIF($G$304:$G$372,#REF!,$O$304:$O$372)-+SUMIF($C$304:$C$372,#REF!,$M$304:$M$372),0)</f>
        <v>0</v>
      </c>
      <c r="M395" s="1925">
        <v>0</v>
      </c>
      <c r="N395" s="1926"/>
      <c r="O395" s="1940">
        <v>0</v>
      </c>
      <c r="P395" s="1926"/>
    </row>
    <row r="396" spans="2:16" s="4" customFormat="1" x14ac:dyDescent="0.25">
      <c r="B396" s="2010" t="s">
        <v>1642</v>
      </c>
      <c r="C396" s="2011"/>
      <c r="D396" s="2011"/>
      <c r="E396" s="1925">
        <f t="shared" si="7"/>
        <v>0</v>
      </c>
      <c r="F396" s="1926"/>
      <c r="G396" s="1940">
        <f t="shared" si="8"/>
        <v>96020</v>
      </c>
      <c r="H396" s="1940"/>
      <c r="I396" s="1925">
        <v>0</v>
      </c>
      <c r="J396" s="1926">
        <f t="shared" si="10"/>
        <v>0</v>
      </c>
      <c r="K396" s="1940">
        <f t="shared" si="11"/>
        <v>96020</v>
      </c>
      <c r="L396" s="1940">
        <f>+IF(+SUMIF($G$304:$G$372,#REF!,$O$304:$O$372)&gt;+SUMIF($C$304:$C$372,#REF!,$M$304:$M$372),+SUMIF($G$304:$G$372,#REF!,$O$304:$O$372)-+SUMIF($C$304:$C$372,#REF!,$M$304:$M$372),0)</f>
        <v>0</v>
      </c>
      <c r="M396" s="1925">
        <v>0</v>
      </c>
      <c r="N396" s="1926"/>
      <c r="O396" s="1940">
        <v>0</v>
      </c>
      <c r="P396" s="1926"/>
    </row>
    <row r="397" spans="2:16" s="4" customFormat="1" x14ac:dyDescent="0.25">
      <c r="B397" s="2010" t="s">
        <v>435</v>
      </c>
      <c r="C397" s="2011"/>
      <c r="D397" s="2011"/>
      <c r="E397" s="1925">
        <f t="shared" si="7"/>
        <v>0</v>
      </c>
      <c r="F397" s="1926"/>
      <c r="G397" s="1940">
        <f t="shared" si="8"/>
        <v>800000</v>
      </c>
      <c r="H397" s="1940"/>
      <c r="I397" s="1925">
        <v>0</v>
      </c>
      <c r="J397" s="1926">
        <f t="shared" si="10"/>
        <v>0</v>
      </c>
      <c r="K397" s="1940">
        <f t="shared" si="11"/>
        <v>800000</v>
      </c>
      <c r="L397" s="1940">
        <f>+IF(+SUMIF($G$304:$G$372,#REF!,$O$304:$O$372)&gt;+SUMIF($C$304:$C$372,#REF!,$M$304:$M$372),+SUMIF($G$304:$G$372,#REF!,$O$304:$O$372)-+SUMIF($C$304:$C$372,#REF!,$M$304:$M$372),0)</f>
        <v>0</v>
      </c>
      <c r="M397" s="1925">
        <v>0</v>
      </c>
      <c r="N397" s="1926"/>
      <c r="O397" s="1940">
        <v>0</v>
      </c>
      <c r="P397" s="1926"/>
    </row>
    <row r="398" spans="2:16" s="4" customFormat="1" x14ac:dyDescent="0.25">
      <c r="B398" s="2010" t="s">
        <v>1641</v>
      </c>
      <c r="C398" s="2011"/>
      <c r="D398" s="2011"/>
      <c r="E398" s="1925">
        <f t="shared" si="7"/>
        <v>0</v>
      </c>
      <c r="F398" s="1926"/>
      <c r="G398" s="1940">
        <f t="shared" si="8"/>
        <v>12000</v>
      </c>
      <c r="H398" s="1940"/>
      <c r="I398" s="1925">
        <v>0</v>
      </c>
      <c r="J398" s="1926">
        <f t="shared" si="10"/>
        <v>0</v>
      </c>
      <c r="K398" s="1940">
        <v>0</v>
      </c>
      <c r="L398" s="1940">
        <f>+IF(+SUMIF($G$304:$G$372,#REF!,$O$304:$O$372)&gt;+SUMIF($C$304:$C$372,#REF!,$M$304:$M$372),+SUMIF($G$304:$G$372,#REF!,$O$304:$O$372)-+SUMIF($C$304:$C$372,#REF!,$M$304:$M$372),0)</f>
        <v>0</v>
      </c>
      <c r="M398" s="1925">
        <v>0</v>
      </c>
      <c r="N398" s="1926"/>
      <c r="O398" s="1940">
        <f>+G398</f>
        <v>12000</v>
      </c>
      <c r="P398" s="1926"/>
    </row>
    <row r="399" spans="2:16" s="4" customFormat="1" x14ac:dyDescent="0.25">
      <c r="B399" s="2082" t="s">
        <v>1640</v>
      </c>
      <c r="C399" s="2083"/>
      <c r="D399" s="2083"/>
      <c r="E399" s="1925">
        <f t="shared" si="7"/>
        <v>5000</v>
      </c>
      <c r="F399" s="1926"/>
      <c r="G399" s="1940">
        <f t="shared" si="8"/>
        <v>0</v>
      </c>
      <c r="H399" s="1940"/>
      <c r="I399" s="1925">
        <v>0</v>
      </c>
      <c r="J399" s="1926">
        <f t="shared" si="10"/>
        <v>0</v>
      </c>
      <c r="K399" s="1940">
        <v>0</v>
      </c>
      <c r="L399" s="1940">
        <f>+IF(+SUMIF($G$304:$G$372,#REF!,$O$304:$O$372)&gt;+SUMIF($C$304:$C$372,#REF!,$M$304:$M$372),+SUMIF($G$304:$G$372,#REF!,$O$304:$O$372)-+SUMIF($C$304:$C$372,#REF!,$M$304:$M$372),0)</f>
        <v>0</v>
      </c>
      <c r="M399" s="1925">
        <f>+E399</f>
        <v>5000</v>
      </c>
      <c r="N399" s="1926"/>
      <c r="O399" s="1940">
        <v>0</v>
      </c>
      <c r="P399" s="1926"/>
    </row>
    <row r="400" spans="2:16" s="4" customFormat="1" x14ac:dyDescent="0.25">
      <c r="B400" s="2010" t="s">
        <v>874</v>
      </c>
      <c r="C400" s="2011"/>
      <c r="D400" s="2011"/>
      <c r="E400" s="1925">
        <f t="shared" si="7"/>
        <v>500</v>
      </c>
      <c r="F400" s="1926"/>
      <c r="G400" s="1940">
        <f t="shared" si="8"/>
        <v>0</v>
      </c>
      <c r="H400" s="1940"/>
      <c r="I400" s="1925">
        <v>0</v>
      </c>
      <c r="J400" s="1926">
        <f t="shared" si="10"/>
        <v>0</v>
      </c>
      <c r="K400" s="1940">
        <v>0</v>
      </c>
      <c r="L400" s="1940">
        <f>+IF(+SUMIF($G$304:$G$372,#REF!,$O$304:$O$372)&gt;+SUMIF($C$304:$C$372,#REF!,$M$304:$M$372),+SUMIF($G$304:$G$372,#REF!,$O$304:$O$372)-+SUMIF($C$304:$C$372,#REF!,$M$304:$M$372),0)</f>
        <v>0</v>
      </c>
      <c r="M400" s="1925">
        <f>+E400</f>
        <v>500</v>
      </c>
      <c r="N400" s="1926"/>
      <c r="O400" s="1940">
        <v>0</v>
      </c>
      <c r="P400" s="1926"/>
    </row>
    <row r="401" spans="2:16" s="4" customFormat="1" x14ac:dyDescent="0.25">
      <c r="B401" s="2168" t="s">
        <v>493</v>
      </c>
      <c r="C401" s="2169"/>
      <c r="D401" s="2169"/>
      <c r="E401" s="2084">
        <f t="shared" si="7"/>
        <v>3850</v>
      </c>
      <c r="F401" s="2085"/>
      <c r="G401" s="2167">
        <f t="shared" si="8"/>
        <v>0</v>
      </c>
      <c r="H401" s="2167"/>
      <c r="I401" s="2084">
        <v>0</v>
      </c>
      <c r="J401" s="2085">
        <f t="shared" si="10"/>
        <v>0</v>
      </c>
      <c r="K401" s="2167">
        <v>0</v>
      </c>
      <c r="L401" s="2167">
        <f>+IF(+SUMIF($G$304:$G$372,#REF!,$O$304:$O$372)&gt;+SUMIF($C$304:$C$372,#REF!,$M$304:$M$372),+SUMIF($G$304:$G$372,#REF!,$O$304:$O$372)-+SUMIF($C$304:$C$372,#REF!,$M$304:$M$372),0)</f>
        <v>0</v>
      </c>
      <c r="M401" s="2084">
        <f>+E401</f>
        <v>3850</v>
      </c>
      <c r="N401" s="2085"/>
      <c r="O401" s="2167">
        <v>0</v>
      </c>
      <c r="P401" s="2085"/>
    </row>
    <row r="402" spans="2:16" s="4" customFormat="1" ht="15.75" thickBot="1" x14ac:dyDescent="0.3">
      <c r="B402" s="1083" t="s">
        <v>410</v>
      </c>
      <c r="C402" s="772"/>
      <c r="D402" s="772"/>
      <c r="E402" s="2163">
        <f>+SUM(E377:F401)</f>
        <v>916590</v>
      </c>
      <c r="F402" s="2164"/>
      <c r="G402" s="2163">
        <f>+SUM(G377:H401)</f>
        <v>916590</v>
      </c>
      <c r="H402" s="2164"/>
      <c r="I402" s="2163">
        <f>+SUM(I377:J401)</f>
        <v>907240</v>
      </c>
      <c r="J402" s="2164"/>
      <c r="K402" s="2163">
        <f>+SUM(K377:L401)</f>
        <v>904590</v>
      </c>
      <c r="L402" s="2164"/>
      <c r="M402" s="2163">
        <f>+SUM(M377:N401)</f>
        <v>9350</v>
      </c>
      <c r="N402" s="2164"/>
      <c r="O402" s="2163">
        <f>+SUM(O377:P401)</f>
        <v>12000</v>
      </c>
      <c r="P402" s="2164"/>
    </row>
    <row r="403" spans="2:16" s="4" customFormat="1" ht="15.75" thickTop="1" x14ac:dyDescent="0.25">
      <c r="B403" s="1004"/>
      <c r="C403" s="12"/>
      <c r="D403" s="12"/>
      <c r="E403" s="12"/>
      <c r="F403" s="12"/>
      <c r="G403" s="51"/>
      <c r="H403" s="51"/>
      <c r="J403" s="1080"/>
      <c r="K403" s="1004"/>
      <c r="M403" s="18"/>
      <c r="N403" s="18"/>
      <c r="O403" s="18"/>
      <c r="P403" s="18"/>
    </row>
    <row r="404" spans="2:16" s="4" customFormat="1" x14ac:dyDescent="0.25">
      <c r="B404" s="2165" t="s">
        <v>1639</v>
      </c>
      <c r="C404" s="2166"/>
      <c r="D404" s="23"/>
      <c r="E404" s="1082"/>
      <c r="G404" s="2165" t="s">
        <v>1638</v>
      </c>
      <c r="H404" s="2166"/>
      <c r="I404" s="1"/>
      <c r="J404" s="1"/>
      <c r="K404" s="1"/>
      <c r="L404" s="1"/>
      <c r="M404" s="23"/>
      <c r="N404" s="1082"/>
    </row>
    <row r="405" spans="2:16" s="4" customFormat="1" x14ac:dyDescent="0.25">
      <c r="B405" s="1019" t="s">
        <v>1637</v>
      </c>
      <c r="C405" s="12"/>
      <c r="D405" s="2170">
        <f>+E402</f>
        <v>916590</v>
      </c>
      <c r="E405" s="1997"/>
      <c r="G405" s="1019" t="s">
        <v>1636</v>
      </c>
      <c r="H405" s="12"/>
      <c r="M405" s="2170">
        <f>+I402+M402</f>
        <v>916590</v>
      </c>
      <c r="N405" s="2173"/>
    </row>
    <row r="406" spans="2:16" s="4" customFormat="1" x14ac:dyDescent="0.25">
      <c r="B406" s="1021" t="s">
        <v>1635</v>
      </c>
      <c r="C406" s="11"/>
      <c r="D406" s="2171">
        <f>+G402</f>
        <v>916590</v>
      </c>
      <c r="E406" s="2172"/>
      <c r="G406" s="1021" t="s">
        <v>1634</v>
      </c>
      <c r="H406" s="11"/>
      <c r="I406" s="3"/>
      <c r="J406" s="3"/>
      <c r="K406" s="3"/>
      <c r="L406" s="3"/>
      <c r="M406" s="2171">
        <f>+K402+O402</f>
        <v>916590</v>
      </c>
      <c r="N406" s="2174"/>
    </row>
    <row r="407" spans="2:16" s="4" customFormat="1" x14ac:dyDescent="0.25">
      <c r="B407" s="1020"/>
      <c r="C407" s="12"/>
      <c r="D407" s="1080"/>
      <c r="E407" s="1004"/>
      <c r="G407" s="1020"/>
      <c r="H407" s="12"/>
      <c r="M407" s="1080"/>
      <c r="N407" s="1080"/>
    </row>
    <row r="408" spans="2:16" s="4" customFormat="1" x14ac:dyDescent="0.25">
      <c r="B408" s="1020"/>
      <c r="C408" s="12"/>
      <c r="D408" s="1080"/>
      <c r="E408" s="1004"/>
      <c r="G408" s="1020"/>
      <c r="H408" s="12"/>
      <c r="M408" s="1080"/>
      <c r="N408" s="1080"/>
    </row>
    <row r="409" spans="2:16" s="4" customFormat="1" x14ac:dyDescent="0.25">
      <c r="B409" s="1020"/>
      <c r="C409" s="12"/>
      <c r="D409" s="1080"/>
      <c r="E409" s="1004"/>
      <c r="G409" s="1020"/>
      <c r="H409" s="12"/>
      <c r="M409" s="1080"/>
      <c r="N409" s="1080"/>
    </row>
    <row r="410" spans="2:16" s="4" customFormat="1" x14ac:dyDescent="0.25">
      <c r="B410" s="50" t="s">
        <v>1633</v>
      </c>
      <c r="C410" s="21" t="s">
        <v>775</v>
      </c>
      <c r="G410" s="261"/>
      <c r="H410" s="261"/>
      <c r="M410" s="18"/>
      <c r="N410" s="18"/>
      <c r="O410" s="18"/>
      <c r="P410" s="18"/>
    </row>
    <row r="411" spans="2:16" s="4" customFormat="1" ht="17.25" x14ac:dyDescent="0.25">
      <c r="B411" s="1993" t="s">
        <v>1632</v>
      </c>
      <c r="C411" s="1993"/>
      <c r="D411" s="1993"/>
      <c r="E411" s="1994" t="s">
        <v>418</v>
      </c>
      <c r="F411" s="1994"/>
      <c r="G411" s="1994"/>
      <c r="H411" s="1993" t="s">
        <v>18</v>
      </c>
      <c r="I411" s="1995" t="s">
        <v>1631</v>
      </c>
      <c r="J411" s="1995"/>
      <c r="K411" s="1993" t="s">
        <v>18</v>
      </c>
      <c r="L411" s="1996">
        <f>+O398-M399-M400</f>
        <v>6500</v>
      </c>
      <c r="M411" s="1996"/>
      <c r="N411" s="1997" t="s">
        <v>18</v>
      </c>
      <c r="O411" s="1998">
        <f>+L411/L412</f>
        <v>0.54166666666666663</v>
      </c>
      <c r="P411" s="1999"/>
    </row>
    <row r="412" spans="2:16" s="4" customFormat="1" x14ac:dyDescent="0.25">
      <c r="B412" s="1993"/>
      <c r="C412" s="1993"/>
      <c r="D412" s="1993"/>
      <c r="E412" s="1993" t="s">
        <v>3</v>
      </c>
      <c r="F412" s="1993"/>
      <c r="G412" s="1993"/>
      <c r="H412" s="1993"/>
      <c r="I412" s="2002">
        <v>120000</v>
      </c>
      <c r="J412" s="2003"/>
      <c r="K412" s="1993"/>
      <c r="L412" s="2004">
        <f>+O398</f>
        <v>12000</v>
      </c>
      <c r="M412" s="2004"/>
      <c r="N412" s="1997"/>
      <c r="O412" s="2000"/>
      <c r="P412" s="2001"/>
    </row>
    <row r="413" spans="2:16" s="4" customFormat="1" x14ac:dyDescent="0.25">
      <c r="B413" s="1004"/>
      <c r="C413" s="12"/>
      <c r="D413" s="12"/>
      <c r="E413" s="12"/>
      <c r="F413" s="12"/>
      <c r="G413" s="1004"/>
      <c r="H413" s="1081"/>
      <c r="I413" s="1004"/>
      <c r="M413" s="18"/>
      <c r="N413" s="18"/>
      <c r="O413" s="18"/>
      <c r="P413" s="18"/>
    </row>
    <row r="414" spans="2:16" s="4" customFormat="1" x14ac:dyDescent="0.25">
      <c r="B414" s="1445"/>
      <c r="C414" s="12"/>
      <c r="D414" s="12"/>
      <c r="E414" s="12"/>
      <c r="F414" s="12"/>
      <c r="G414" s="1445"/>
      <c r="H414" s="1446"/>
      <c r="I414" s="1445"/>
      <c r="M414" s="18"/>
      <c r="N414" s="18"/>
      <c r="O414" s="18"/>
      <c r="P414" s="18"/>
    </row>
    <row r="415" spans="2:16" s="4" customFormat="1" x14ac:dyDescent="0.25">
      <c r="B415" s="1445"/>
      <c r="C415" s="12"/>
      <c r="D415" s="12"/>
      <c r="E415" s="12"/>
      <c r="F415" s="12"/>
      <c r="G415" s="1445"/>
      <c r="H415" s="1446"/>
      <c r="I415" s="1445"/>
      <c r="M415" s="18"/>
      <c r="N415" s="18"/>
      <c r="O415" s="18"/>
      <c r="P415" s="18"/>
    </row>
    <row r="416" spans="2:16" s="4" customFormat="1" x14ac:dyDescent="0.25">
      <c r="B416" s="1445"/>
      <c r="C416" s="12"/>
      <c r="D416" s="12"/>
      <c r="E416" s="12"/>
      <c r="F416" s="12"/>
      <c r="G416" s="1445"/>
      <c r="H416" s="1446"/>
      <c r="I416" s="1445"/>
      <c r="M416" s="18"/>
      <c r="N416" s="18"/>
      <c r="O416" s="18"/>
      <c r="P416" s="18"/>
    </row>
    <row r="417" spans="1:17" s="4" customFormat="1" x14ac:dyDescent="0.25">
      <c r="B417" s="1445"/>
      <c r="C417" s="12"/>
      <c r="D417" s="12"/>
      <c r="E417" s="12"/>
      <c r="F417" s="12"/>
      <c r="G417" s="1445"/>
      <c r="H417" s="1446"/>
      <c r="I417" s="1445"/>
      <c r="M417" s="18"/>
      <c r="N417" s="18"/>
      <c r="O417" s="18"/>
      <c r="P417" s="18"/>
    </row>
    <row r="418" spans="1:17" s="4" customFormat="1" ht="17.25" x14ac:dyDescent="0.25">
      <c r="B418" s="1993" t="s">
        <v>1630</v>
      </c>
      <c r="C418" s="1993"/>
      <c r="D418" s="1993"/>
      <c r="E418" s="1994" t="s">
        <v>421</v>
      </c>
      <c r="F418" s="1994"/>
      <c r="G418" s="1994"/>
      <c r="H418" s="1993" t="s">
        <v>18</v>
      </c>
      <c r="I418" s="1995" t="s">
        <v>1629</v>
      </c>
      <c r="J418" s="1995"/>
      <c r="K418" s="1993" t="s">
        <v>18</v>
      </c>
      <c r="L418" s="1996">
        <f>+O398-SUM(M399:N401)</f>
        <v>2650</v>
      </c>
      <c r="M418" s="1996"/>
      <c r="N418" s="1997" t="s">
        <v>18</v>
      </c>
      <c r="O418" s="1998">
        <f>+L418/L419</f>
        <v>0.22083333333333333</v>
      </c>
      <c r="P418" s="1999"/>
    </row>
    <row r="419" spans="1:17" s="4" customFormat="1" x14ac:dyDescent="0.25">
      <c r="B419" s="1993"/>
      <c r="C419" s="1993"/>
      <c r="D419" s="1993"/>
      <c r="E419" s="1993" t="s">
        <v>3</v>
      </c>
      <c r="F419" s="1993"/>
      <c r="G419" s="1993"/>
      <c r="H419" s="1993"/>
      <c r="I419" s="2002">
        <v>12000</v>
      </c>
      <c r="J419" s="2003"/>
      <c r="K419" s="1993"/>
      <c r="L419" s="2004">
        <f>+O398</f>
        <v>12000</v>
      </c>
      <c r="M419" s="2004"/>
      <c r="N419" s="1997"/>
      <c r="O419" s="2000"/>
      <c r="P419" s="2001"/>
    </row>
    <row r="420" spans="1:17" s="4" customFormat="1" x14ac:dyDescent="0.25">
      <c r="B420" s="1020"/>
      <c r="C420" s="12"/>
      <c r="D420" s="1080"/>
      <c r="E420" s="1004"/>
      <c r="G420" s="1020"/>
      <c r="H420" s="12"/>
      <c r="M420" s="1080"/>
      <c r="N420" s="1080"/>
    </row>
    <row r="421" spans="1:17" s="4" customFormat="1" x14ac:dyDescent="0.25">
      <c r="B421" s="1020"/>
      <c r="C421" s="12"/>
      <c r="D421" s="1080"/>
      <c r="E421" s="1004"/>
      <c r="G421" s="1020"/>
      <c r="H421" s="12"/>
      <c r="M421" s="1080"/>
      <c r="N421" s="1080"/>
    </row>
    <row r="422" spans="1:17" s="4" customFormat="1" x14ac:dyDescent="0.25">
      <c r="B422" s="1020"/>
      <c r="C422" s="12"/>
      <c r="D422" s="1080"/>
      <c r="E422" s="1004"/>
      <c r="G422" s="1020"/>
      <c r="H422" s="12"/>
      <c r="M422" s="1080"/>
      <c r="N422" s="1080"/>
    </row>
    <row r="423" spans="1:17" s="4" customFormat="1" x14ac:dyDescent="0.25">
      <c r="B423" s="1020"/>
      <c r="C423" s="12"/>
      <c r="D423" s="1080"/>
      <c r="E423" s="1004"/>
      <c r="G423" s="1020"/>
      <c r="H423" s="12"/>
      <c r="M423" s="1080"/>
      <c r="N423" s="1080"/>
    </row>
    <row r="424" spans="1:17" s="4" customFormat="1" x14ac:dyDescent="0.25">
      <c r="B424" s="1020"/>
      <c r="C424" s="12"/>
      <c r="D424" s="1080"/>
      <c r="E424" s="1004"/>
      <c r="G424" s="1020"/>
      <c r="H424" s="12"/>
      <c r="M424" s="1080"/>
      <c r="N424" s="1080"/>
    </row>
    <row r="425" spans="1:17" s="4" customFormat="1" x14ac:dyDescent="0.25">
      <c r="B425" s="1020"/>
      <c r="C425" s="12"/>
      <c r="D425" s="1080"/>
      <c r="E425" s="1004"/>
      <c r="G425" s="1020"/>
      <c r="H425" s="12"/>
      <c r="M425" s="1080"/>
      <c r="N425" s="1080"/>
    </row>
    <row r="426" spans="1:17" s="4" customFormat="1" x14ac:dyDescent="0.25">
      <c r="B426" s="1020"/>
      <c r="C426" s="12"/>
      <c r="D426" s="1080"/>
      <c r="E426" s="1004"/>
      <c r="G426" s="1020"/>
      <c r="H426" s="12"/>
      <c r="M426" s="1080"/>
      <c r="N426" s="1080"/>
    </row>
    <row r="427" spans="1:17" s="4" customFormat="1" x14ac:dyDescent="0.25">
      <c r="B427" s="1020"/>
      <c r="C427" s="12"/>
      <c r="D427" s="1080"/>
      <c r="E427" s="1004"/>
      <c r="G427" s="1020"/>
      <c r="H427" s="12"/>
      <c r="M427" s="1080"/>
      <c r="N427" s="1080"/>
    </row>
    <row r="428" spans="1:17" s="4" customFormat="1" x14ac:dyDescent="0.25">
      <c r="B428" s="1004"/>
      <c r="C428" s="12"/>
      <c r="D428" s="12"/>
      <c r="E428" s="12"/>
      <c r="F428" s="12"/>
      <c r="G428" s="51"/>
      <c r="H428" s="51"/>
      <c r="M428" s="18"/>
      <c r="N428" s="18"/>
      <c r="O428" s="18"/>
      <c r="P428" s="18"/>
    </row>
    <row r="429" spans="1:17" s="4" customFormat="1" x14ac:dyDescent="0.25">
      <c r="A429" s="1844" t="s">
        <v>20</v>
      </c>
      <c r="B429" s="1845"/>
      <c r="C429" s="1845"/>
      <c r="D429" s="1845"/>
      <c r="E429" s="1845"/>
      <c r="F429" s="1845"/>
      <c r="G429" s="1845"/>
      <c r="H429" s="1845"/>
      <c r="I429" s="1845"/>
      <c r="J429" s="1845"/>
      <c r="K429" s="1845"/>
      <c r="L429" s="1845"/>
      <c r="M429" s="1845"/>
      <c r="N429" s="1845"/>
      <c r="O429" s="1845"/>
      <c r="P429" s="1845"/>
      <c r="Q429" s="1846"/>
    </row>
    <row r="430" spans="1:17" s="4" customFormat="1" x14ac:dyDescent="0.25">
      <c r="A430" s="1847" t="s">
        <v>1628</v>
      </c>
      <c r="B430" s="1848"/>
      <c r="C430" s="1848"/>
      <c r="D430" s="1848"/>
      <c r="E430" s="1848"/>
      <c r="F430" s="1848"/>
      <c r="G430" s="1848"/>
      <c r="H430" s="1848"/>
      <c r="I430" s="1848"/>
      <c r="J430" s="1848"/>
      <c r="K430" s="1848"/>
      <c r="L430" s="1848"/>
      <c r="M430" s="1848"/>
      <c r="N430" s="1848"/>
      <c r="O430" s="1848"/>
      <c r="P430" s="1848"/>
      <c r="Q430" s="1849"/>
    </row>
    <row r="431" spans="1:17" s="4" customFormat="1" ht="6" customHeight="1" x14ac:dyDescent="0.25">
      <c r="B431" s="1004"/>
      <c r="C431" s="12"/>
      <c r="D431" s="12"/>
      <c r="E431" s="12"/>
      <c r="F431" s="12"/>
      <c r="G431" s="51"/>
      <c r="H431" s="51"/>
      <c r="M431" s="18"/>
      <c r="N431" s="18"/>
      <c r="O431" s="18"/>
      <c r="P431" s="18"/>
    </row>
    <row r="432" spans="1:17" s="4" customFormat="1" x14ac:dyDescent="0.25">
      <c r="B432" s="1004"/>
      <c r="C432" s="12"/>
      <c r="D432" s="12"/>
      <c r="E432" s="12"/>
      <c r="F432" s="12"/>
      <c r="G432" s="51"/>
      <c r="H432" s="51"/>
      <c r="M432" s="18"/>
      <c r="N432" s="18"/>
      <c r="O432" s="18"/>
      <c r="P432" s="18"/>
    </row>
    <row r="433" spans="2:16" s="4" customFormat="1" ht="15" customHeight="1" x14ac:dyDescent="0.25">
      <c r="B433" s="1079" t="s">
        <v>1600</v>
      </c>
      <c r="C433" s="2005" t="s">
        <v>1627</v>
      </c>
      <c r="D433" s="2005"/>
      <c r="E433" s="2005"/>
      <c r="F433" s="2005"/>
      <c r="G433" s="2005"/>
      <c r="H433" s="2005"/>
      <c r="I433" s="2005"/>
      <c r="J433" s="2005"/>
      <c r="K433" s="2005"/>
      <c r="L433" s="2005"/>
      <c r="M433" s="2005"/>
      <c r="N433" s="2005"/>
      <c r="O433" s="2005"/>
      <c r="P433" s="2005"/>
    </row>
    <row r="434" spans="2:16" s="371" customFormat="1" x14ac:dyDescent="0.25">
      <c r="B434" s="1078">
        <v>1</v>
      </c>
      <c r="C434" s="1992" t="s">
        <v>1626</v>
      </c>
      <c r="D434" s="1992"/>
      <c r="E434" s="1992"/>
      <c r="F434" s="1992"/>
      <c r="G434" s="1992"/>
      <c r="H434" s="1992"/>
      <c r="I434" s="1992"/>
      <c r="J434" s="1992"/>
      <c r="K434" s="1992"/>
      <c r="L434" s="1992"/>
      <c r="M434" s="1992"/>
      <c r="N434" s="1992"/>
      <c r="O434" s="1992"/>
      <c r="P434" s="1992"/>
    </row>
    <row r="435" spans="2:16" s="371" customFormat="1" ht="15" customHeight="1" x14ac:dyDescent="0.25">
      <c r="B435" s="1078">
        <f t="shared" ref="B435:B460" si="12">+B434+1</f>
        <v>2</v>
      </c>
      <c r="C435" s="1992" t="s">
        <v>1625</v>
      </c>
      <c r="D435" s="1992"/>
      <c r="E435" s="1992"/>
      <c r="F435" s="1992"/>
      <c r="G435" s="1992"/>
      <c r="H435" s="1992"/>
      <c r="I435" s="1992"/>
      <c r="J435" s="1992"/>
      <c r="K435" s="1992"/>
      <c r="L435" s="1992"/>
      <c r="M435" s="1992"/>
      <c r="N435" s="1992"/>
      <c r="O435" s="1992"/>
      <c r="P435" s="1992"/>
    </row>
    <row r="436" spans="2:16" s="371" customFormat="1" x14ac:dyDescent="0.25">
      <c r="B436" s="1078">
        <f t="shared" si="12"/>
        <v>3</v>
      </c>
      <c r="C436" s="1992" t="s">
        <v>1624</v>
      </c>
      <c r="D436" s="1992"/>
      <c r="E436" s="1992"/>
      <c r="F436" s="1992"/>
      <c r="G436" s="1992"/>
      <c r="H436" s="1992"/>
      <c r="I436" s="1992"/>
      <c r="J436" s="1992"/>
      <c r="K436" s="1992"/>
      <c r="L436" s="1992"/>
      <c r="M436" s="1992"/>
      <c r="N436" s="1992"/>
      <c r="O436" s="1992"/>
      <c r="P436" s="1992"/>
    </row>
    <row r="437" spans="2:16" s="371" customFormat="1" x14ac:dyDescent="0.25">
      <c r="B437" s="1078">
        <f t="shared" si="12"/>
        <v>4</v>
      </c>
      <c r="C437" s="1992" t="s">
        <v>1623</v>
      </c>
      <c r="D437" s="1992"/>
      <c r="E437" s="1992"/>
      <c r="F437" s="1992"/>
      <c r="G437" s="1992"/>
      <c r="H437" s="1992"/>
      <c r="I437" s="1992"/>
      <c r="J437" s="1992"/>
      <c r="K437" s="1992"/>
      <c r="L437" s="1992"/>
      <c r="M437" s="1992"/>
      <c r="N437" s="1992"/>
      <c r="O437" s="1992"/>
      <c r="P437" s="1992"/>
    </row>
    <row r="438" spans="2:16" s="371" customFormat="1" x14ac:dyDescent="0.25">
      <c r="B438" s="1078">
        <f t="shared" si="12"/>
        <v>5</v>
      </c>
      <c r="C438" s="1992" t="s">
        <v>1622</v>
      </c>
      <c r="D438" s="1992"/>
      <c r="E438" s="1992"/>
      <c r="F438" s="1992"/>
      <c r="G438" s="1992"/>
      <c r="H438" s="1992"/>
      <c r="I438" s="1992"/>
      <c r="J438" s="1992"/>
      <c r="K438" s="1992"/>
      <c r="L438" s="1992"/>
      <c r="M438" s="1992"/>
      <c r="N438" s="1992"/>
      <c r="O438" s="1992"/>
      <c r="P438" s="1992"/>
    </row>
    <row r="439" spans="2:16" s="371" customFormat="1" x14ac:dyDescent="0.25">
      <c r="B439" s="1078">
        <f t="shared" si="12"/>
        <v>6</v>
      </c>
      <c r="C439" s="1992" t="s">
        <v>1622</v>
      </c>
      <c r="D439" s="1992"/>
      <c r="E439" s="1992"/>
      <c r="F439" s="1992"/>
      <c r="G439" s="1992"/>
      <c r="H439" s="1992"/>
      <c r="I439" s="1992"/>
      <c r="J439" s="1992"/>
      <c r="K439" s="1992"/>
      <c r="L439" s="1992"/>
      <c r="M439" s="1992"/>
      <c r="N439" s="1992"/>
      <c r="O439" s="1992"/>
      <c r="P439" s="1992"/>
    </row>
    <row r="440" spans="2:16" s="371" customFormat="1" x14ac:dyDescent="0.25">
      <c r="B440" s="1078">
        <f t="shared" si="12"/>
        <v>7</v>
      </c>
      <c r="C440" s="1992" t="s">
        <v>1621</v>
      </c>
      <c r="D440" s="1992"/>
      <c r="E440" s="1992"/>
      <c r="F440" s="1992"/>
      <c r="G440" s="1992"/>
      <c r="H440" s="1992"/>
      <c r="I440" s="1992"/>
      <c r="J440" s="1992"/>
      <c r="K440" s="1992"/>
      <c r="L440" s="1992"/>
      <c r="M440" s="1992"/>
      <c r="N440" s="1992"/>
      <c r="O440" s="1992"/>
      <c r="P440" s="1992"/>
    </row>
    <row r="441" spans="2:16" s="371" customFormat="1" x14ac:dyDescent="0.25">
      <c r="B441" s="1078">
        <f t="shared" si="12"/>
        <v>8</v>
      </c>
      <c r="C441" s="1992" t="s">
        <v>1620</v>
      </c>
      <c r="D441" s="1992"/>
      <c r="E441" s="1992"/>
      <c r="F441" s="1992"/>
      <c r="G441" s="1992"/>
      <c r="H441" s="1992"/>
      <c r="I441" s="1992"/>
      <c r="J441" s="1992"/>
      <c r="K441" s="1992"/>
      <c r="L441" s="1992"/>
      <c r="M441" s="1992"/>
      <c r="N441" s="1992"/>
      <c r="O441" s="1992"/>
      <c r="P441" s="1992"/>
    </row>
    <row r="442" spans="2:16" s="371" customFormat="1" x14ac:dyDescent="0.25">
      <c r="B442" s="1078">
        <f t="shared" si="12"/>
        <v>9</v>
      </c>
      <c r="C442" s="1992" t="s">
        <v>1603</v>
      </c>
      <c r="D442" s="1992"/>
      <c r="E442" s="1992"/>
      <c r="F442" s="1992"/>
      <c r="G442" s="1992"/>
      <c r="H442" s="1992"/>
      <c r="I442" s="1992"/>
      <c r="J442" s="1992"/>
      <c r="K442" s="1992"/>
      <c r="L442" s="1992"/>
      <c r="M442" s="1992"/>
      <c r="N442" s="1992"/>
      <c r="O442" s="1992"/>
      <c r="P442" s="1992"/>
    </row>
    <row r="443" spans="2:16" s="371" customFormat="1" x14ac:dyDescent="0.25">
      <c r="B443" s="1078">
        <f t="shared" si="12"/>
        <v>10</v>
      </c>
      <c r="C443" s="1992" t="s">
        <v>1619</v>
      </c>
      <c r="D443" s="1992"/>
      <c r="E443" s="1992"/>
      <c r="F443" s="1992"/>
      <c r="G443" s="1992"/>
      <c r="H443" s="1992"/>
      <c r="I443" s="1992"/>
      <c r="J443" s="1992"/>
      <c r="K443" s="1992"/>
      <c r="L443" s="1992"/>
      <c r="M443" s="1992"/>
      <c r="N443" s="1992"/>
      <c r="O443" s="1992"/>
      <c r="P443" s="1992"/>
    </row>
    <row r="444" spans="2:16" s="371" customFormat="1" x14ac:dyDescent="0.25">
      <c r="B444" s="1078">
        <f t="shared" si="12"/>
        <v>11</v>
      </c>
      <c r="C444" s="1992" t="s">
        <v>1618</v>
      </c>
      <c r="D444" s="1992"/>
      <c r="E444" s="1992"/>
      <c r="F444" s="1992"/>
      <c r="G444" s="1992"/>
      <c r="H444" s="1992"/>
      <c r="I444" s="1992"/>
      <c r="J444" s="1992"/>
      <c r="K444" s="1992"/>
      <c r="L444" s="1992"/>
      <c r="M444" s="1992"/>
      <c r="N444" s="1992"/>
      <c r="O444" s="1992"/>
      <c r="P444" s="1992"/>
    </row>
    <row r="445" spans="2:16" s="371" customFormat="1" x14ac:dyDescent="0.25">
      <c r="B445" s="1078">
        <f t="shared" si="12"/>
        <v>12</v>
      </c>
      <c r="C445" s="1992" t="s">
        <v>1617</v>
      </c>
      <c r="D445" s="1992"/>
      <c r="E445" s="1992"/>
      <c r="F445" s="1992"/>
      <c r="G445" s="1992"/>
      <c r="H445" s="1992"/>
      <c r="I445" s="1992"/>
      <c r="J445" s="1992"/>
      <c r="K445" s="1992"/>
      <c r="L445" s="1992"/>
      <c r="M445" s="1992"/>
      <c r="N445" s="1992"/>
      <c r="O445" s="1992"/>
      <c r="P445" s="1992"/>
    </row>
    <row r="446" spans="2:16" s="371" customFormat="1" x14ac:dyDescent="0.25">
      <c r="B446" s="1078">
        <f t="shared" si="12"/>
        <v>13</v>
      </c>
      <c r="C446" s="1992" t="s">
        <v>1616</v>
      </c>
      <c r="D446" s="1992"/>
      <c r="E446" s="1992"/>
      <c r="F446" s="1992"/>
      <c r="G446" s="1992"/>
      <c r="H446" s="1992"/>
      <c r="I446" s="1992"/>
      <c r="J446" s="1992"/>
      <c r="K446" s="1992"/>
      <c r="L446" s="1992"/>
      <c r="M446" s="1992"/>
      <c r="N446" s="1992"/>
      <c r="O446" s="1992"/>
      <c r="P446" s="1992"/>
    </row>
    <row r="447" spans="2:16" s="371" customFormat="1" x14ac:dyDescent="0.25">
      <c r="B447" s="1078">
        <f t="shared" si="12"/>
        <v>14</v>
      </c>
      <c r="C447" s="1992" t="s">
        <v>1615</v>
      </c>
      <c r="D447" s="1992"/>
      <c r="E447" s="1992"/>
      <c r="F447" s="1992"/>
      <c r="G447" s="1992"/>
      <c r="H447" s="1992"/>
      <c r="I447" s="1992"/>
      <c r="J447" s="1992"/>
      <c r="K447" s="1992"/>
      <c r="L447" s="1992"/>
      <c r="M447" s="1992"/>
      <c r="N447" s="1992"/>
      <c r="O447" s="1992"/>
      <c r="P447" s="1992"/>
    </row>
    <row r="448" spans="2:16" s="371" customFormat="1" x14ac:dyDescent="0.25">
      <c r="B448" s="1078">
        <f t="shared" si="12"/>
        <v>15</v>
      </c>
      <c r="C448" s="1992" t="s">
        <v>1614</v>
      </c>
      <c r="D448" s="1992"/>
      <c r="E448" s="1992"/>
      <c r="F448" s="1992"/>
      <c r="G448" s="1992"/>
      <c r="H448" s="1992"/>
      <c r="I448" s="1992"/>
      <c r="J448" s="1992"/>
      <c r="K448" s="1992"/>
      <c r="L448" s="1992"/>
      <c r="M448" s="1992"/>
      <c r="N448" s="1992"/>
      <c r="O448" s="1992"/>
      <c r="P448" s="1992"/>
    </row>
    <row r="449" spans="2:16" s="371" customFormat="1" x14ac:dyDescent="0.25">
      <c r="B449" s="1078">
        <f t="shared" si="12"/>
        <v>16</v>
      </c>
      <c r="C449" s="1992" t="s">
        <v>1613</v>
      </c>
      <c r="D449" s="1992"/>
      <c r="E449" s="1992"/>
      <c r="F449" s="1992"/>
      <c r="G449" s="1992"/>
      <c r="H449" s="1992"/>
      <c r="I449" s="1992"/>
      <c r="J449" s="1992"/>
      <c r="K449" s="1992"/>
      <c r="L449" s="1992"/>
      <c r="M449" s="1992"/>
      <c r="N449" s="1992"/>
      <c r="O449" s="1992"/>
      <c r="P449" s="1992"/>
    </row>
    <row r="450" spans="2:16" s="371" customFormat="1" x14ac:dyDescent="0.25">
      <c r="B450" s="1078">
        <f t="shared" si="12"/>
        <v>17</v>
      </c>
      <c r="C450" s="1992" t="s">
        <v>1612</v>
      </c>
      <c r="D450" s="1992"/>
      <c r="E450" s="1992"/>
      <c r="F450" s="1992"/>
      <c r="G450" s="1992"/>
      <c r="H450" s="1992"/>
      <c r="I450" s="1992"/>
      <c r="J450" s="1992"/>
      <c r="K450" s="1992"/>
      <c r="L450" s="1992"/>
      <c r="M450" s="1992"/>
      <c r="N450" s="1992"/>
      <c r="O450" s="1992"/>
      <c r="P450" s="1992"/>
    </row>
    <row r="451" spans="2:16" s="371" customFormat="1" x14ac:dyDescent="0.25">
      <c r="B451" s="1078">
        <f t="shared" si="12"/>
        <v>18</v>
      </c>
      <c r="C451" s="1992" t="s">
        <v>1611</v>
      </c>
      <c r="D451" s="1992"/>
      <c r="E451" s="1992"/>
      <c r="F451" s="1992"/>
      <c r="G451" s="1992"/>
      <c r="H451" s="1992"/>
      <c r="I451" s="1992"/>
      <c r="J451" s="1992"/>
      <c r="K451" s="1992"/>
      <c r="L451" s="1992"/>
      <c r="M451" s="1992"/>
      <c r="N451" s="1992"/>
      <c r="O451" s="1992"/>
      <c r="P451" s="1992"/>
    </row>
    <row r="452" spans="2:16" s="371" customFormat="1" x14ac:dyDescent="0.25">
      <c r="B452" s="1078">
        <f t="shared" si="12"/>
        <v>19</v>
      </c>
      <c r="C452" s="1992" t="s">
        <v>1610</v>
      </c>
      <c r="D452" s="1992"/>
      <c r="E452" s="1992"/>
      <c r="F452" s="1992"/>
      <c r="G452" s="1992"/>
      <c r="H452" s="1992"/>
      <c r="I452" s="1992"/>
      <c r="J452" s="1992"/>
      <c r="K452" s="1992"/>
      <c r="L452" s="1992"/>
      <c r="M452" s="1992"/>
      <c r="N452" s="1992"/>
      <c r="O452" s="1992"/>
      <c r="P452" s="1992"/>
    </row>
    <row r="453" spans="2:16" s="371" customFormat="1" x14ac:dyDescent="0.25">
      <c r="B453" s="1078">
        <f t="shared" si="12"/>
        <v>20</v>
      </c>
      <c r="C453" s="1992" t="s">
        <v>1609</v>
      </c>
      <c r="D453" s="1992"/>
      <c r="E453" s="1992"/>
      <c r="F453" s="1992"/>
      <c r="G453" s="1992"/>
      <c r="H453" s="1992"/>
      <c r="I453" s="1992"/>
      <c r="J453" s="1992"/>
      <c r="K453" s="1992"/>
      <c r="L453" s="1992"/>
      <c r="M453" s="1992"/>
      <c r="N453" s="1992"/>
      <c r="O453" s="1992"/>
      <c r="P453" s="1992"/>
    </row>
    <row r="454" spans="2:16" s="371" customFormat="1" x14ac:dyDescent="0.25">
      <c r="B454" s="1078">
        <f t="shared" si="12"/>
        <v>21</v>
      </c>
      <c r="C454" s="1992" t="s">
        <v>1608</v>
      </c>
      <c r="D454" s="1992"/>
      <c r="E454" s="1992"/>
      <c r="F454" s="1992"/>
      <c r="G454" s="1992"/>
      <c r="H454" s="1992"/>
      <c r="I454" s="1992"/>
      <c r="J454" s="1992"/>
      <c r="K454" s="1992"/>
      <c r="L454" s="1992"/>
      <c r="M454" s="1992"/>
      <c r="N454" s="1992"/>
      <c r="O454" s="1992"/>
      <c r="P454" s="1992"/>
    </row>
    <row r="455" spans="2:16" s="371" customFormat="1" x14ac:dyDescent="0.25">
      <c r="B455" s="1078">
        <f t="shared" si="12"/>
        <v>22</v>
      </c>
      <c r="C455" s="1992" t="s">
        <v>1607</v>
      </c>
      <c r="D455" s="1992"/>
      <c r="E455" s="1992"/>
      <c r="F455" s="1992"/>
      <c r="G455" s="1992"/>
      <c r="H455" s="1992"/>
      <c r="I455" s="1992"/>
      <c r="J455" s="1992"/>
      <c r="K455" s="1992"/>
      <c r="L455" s="1992"/>
      <c r="M455" s="1992"/>
      <c r="N455" s="1992"/>
      <c r="O455" s="1992"/>
      <c r="P455" s="1992"/>
    </row>
    <row r="456" spans="2:16" s="371" customFormat="1" x14ac:dyDescent="0.25">
      <c r="B456" s="1078">
        <f t="shared" si="12"/>
        <v>23</v>
      </c>
      <c r="C456" s="1992" t="s">
        <v>1606</v>
      </c>
      <c r="D456" s="1992"/>
      <c r="E456" s="1992"/>
      <c r="F456" s="1992"/>
      <c r="G456" s="1992"/>
      <c r="H456" s="1992"/>
      <c r="I456" s="1992"/>
      <c r="J456" s="1992"/>
      <c r="K456" s="1992"/>
      <c r="L456" s="1992"/>
      <c r="M456" s="1992"/>
      <c r="N456" s="1992"/>
      <c r="O456" s="1992"/>
      <c r="P456" s="1992"/>
    </row>
    <row r="457" spans="2:16" s="371" customFormat="1" x14ac:dyDescent="0.25">
      <c r="B457" s="1078">
        <f t="shared" si="12"/>
        <v>24</v>
      </c>
      <c r="C457" s="1992" t="s">
        <v>1605</v>
      </c>
      <c r="D457" s="1992"/>
      <c r="E457" s="1992"/>
      <c r="F457" s="1992"/>
      <c r="G457" s="1992"/>
      <c r="H457" s="1992"/>
      <c r="I457" s="1992"/>
      <c r="J457" s="1992"/>
      <c r="K457" s="1992"/>
      <c r="L457" s="1992"/>
      <c r="M457" s="1992"/>
      <c r="N457" s="1992"/>
      <c r="O457" s="1992"/>
      <c r="P457" s="1992"/>
    </row>
    <row r="458" spans="2:16" s="371" customFormat="1" x14ac:dyDescent="0.25">
      <c r="B458" s="1078">
        <f t="shared" si="12"/>
        <v>25</v>
      </c>
      <c r="C458" s="1992" t="s">
        <v>1604</v>
      </c>
      <c r="D458" s="1992"/>
      <c r="E458" s="1992"/>
      <c r="F458" s="1992"/>
      <c r="G458" s="1992"/>
      <c r="H458" s="1992"/>
      <c r="I458" s="1992"/>
      <c r="J458" s="1992"/>
      <c r="K458" s="1992"/>
      <c r="L458" s="1992"/>
      <c r="M458" s="1992"/>
      <c r="N458" s="1992"/>
      <c r="O458" s="1992"/>
      <c r="P458" s="1992"/>
    </row>
    <row r="459" spans="2:16" s="371" customFormat="1" x14ac:dyDescent="0.25">
      <c r="B459" s="1078">
        <f t="shared" si="12"/>
        <v>26</v>
      </c>
      <c r="C459" s="1992" t="s">
        <v>1603</v>
      </c>
      <c r="D459" s="1992"/>
      <c r="E459" s="1992"/>
      <c r="F459" s="1992"/>
      <c r="G459" s="1992"/>
      <c r="H459" s="1992"/>
      <c r="I459" s="1992"/>
      <c r="J459" s="1992"/>
      <c r="K459" s="1992"/>
      <c r="L459" s="1992"/>
      <c r="M459" s="1992"/>
      <c r="N459" s="1992"/>
      <c r="O459" s="1992"/>
      <c r="P459" s="1992"/>
    </row>
    <row r="460" spans="2:16" s="371" customFormat="1" x14ac:dyDescent="0.25">
      <c r="B460" s="1078">
        <f t="shared" si="12"/>
        <v>27</v>
      </c>
      <c r="C460" s="1992" t="s">
        <v>1602</v>
      </c>
      <c r="D460" s="1992"/>
      <c r="E460" s="1992"/>
      <c r="F460" s="1992"/>
      <c r="G460" s="1992"/>
      <c r="H460" s="1992"/>
      <c r="I460" s="1992"/>
      <c r="J460" s="1992"/>
      <c r="K460" s="1992"/>
      <c r="L460" s="1992"/>
      <c r="M460" s="1992"/>
      <c r="N460" s="1992"/>
      <c r="O460" s="1992"/>
      <c r="P460" s="1992"/>
    </row>
    <row r="461" spans="2:16" s="4" customFormat="1" x14ac:dyDescent="0.25">
      <c r="B461" s="1004"/>
      <c r="C461" s="12"/>
      <c r="D461" s="12"/>
      <c r="E461" s="12"/>
      <c r="F461" s="12"/>
      <c r="G461" s="51"/>
      <c r="H461" s="51"/>
      <c r="M461" s="18"/>
      <c r="N461" s="18"/>
      <c r="O461" s="18"/>
      <c r="P461" s="18"/>
    </row>
    <row r="462" spans="2:16" s="4" customFormat="1" x14ac:dyDescent="0.25">
      <c r="B462" s="1004"/>
      <c r="C462" s="12"/>
      <c r="D462" s="12"/>
      <c r="E462" s="12"/>
      <c r="F462" s="12"/>
      <c r="G462" s="51"/>
      <c r="H462" s="51"/>
      <c r="M462" s="18"/>
      <c r="N462" s="18"/>
      <c r="O462" s="18"/>
      <c r="P462" s="18"/>
    </row>
    <row r="463" spans="2:16" s="4" customFormat="1" x14ac:dyDescent="0.25">
      <c r="B463" s="1004"/>
      <c r="C463" s="12"/>
      <c r="D463" s="12"/>
      <c r="E463" s="12"/>
      <c r="F463" s="12"/>
      <c r="G463" s="51"/>
      <c r="H463" s="51"/>
      <c r="M463" s="18"/>
      <c r="N463" s="18"/>
      <c r="O463" s="18"/>
      <c r="P463" s="18"/>
    </row>
    <row r="464" spans="2:16" s="4" customFormat="1" x14ac:dyDescent="0.25">
      <c r="B464" s="1004"/>
      <c r="C464" s="12"/>
      <c r="D464" s="12"/>
      <c r="E464" s="12"/>
      <c r="F464" s="12"/>
      <c r="G464" s="51"/>
      <c r="H464" s="51"/>
      <c r="M464" s="18"/>
      <c r="N464" s="18"/>
      <c r="O464" s="18"/>
      <c r="P464" s="18"/>
    </row>
    <row r="465" spans="1:17" s="4" customFormat="1" x14ac:dyDescent="0.25">
      <c r="B465" s="1004"/>
      <c r="C465" s="12"/>
      <c r="D465" s="12"/>
      <c r="E465" s="12"/>
      <c r="F465" s="12"/>
      <c r="G465" s="51"/>
      <c r="H465" s="51"/>
      <c r="M465" s="18"/>
      <c r="N465" s="18"/>
      <c r="O465" s="18"/>
      <c r="P465" s="18"/>
    </row>
    <row r="466" spans="1:17" s="4" customFormat="1" x14ac:dyDescent="0.25">
      <c r="B466" s="1004"/>
      <c r="C466" s="12"/>
      <c r="D466" s="12"/>
      <c r="E466" s="12"/>
      <c r="F466" s="12"/>
      <c r="G466" s="51"/>
      <c r="H466" s="51"/>
      <c r="M466" s="18"/>
      <c r="N466" s="18"/>
      <c r="O466" s="18"/>
      <c r="P466" s="18"/>
    </row>
    <row r="467" spans="1:17" s="4" customFormat="1" x14ac:dyDescent="0.25">
      <c r="B467" s="1004"/>
      <c r="C467" s="12"/>
      <c r="D467" s="12"/>
      <c r="E467" s="12"/>
      <c r="F467" s="12"/>
      <c r="G467" s="51"/>
      <c r="H467" s="51"/>
      <c r="M467" s="18"/>
      <c r="N467" s="18"/>
      <c r="O467" s="18"/>
      <c r="P467" s="18"/>
    </row>
    <row r="468" spans="1:17" s="4" customFormat="1" x14ac:dyDescent="0.25">
      <c r="B468" s="1004"/>
      <c r="C468" s="12"/>
      <c r="D468" s="12"/>
      <c r="E468" s="12"/>
      <c r="F468" s="12"/>
      <c r="G468" s="51"/>
      <c r="H468" s="51"/>
      <c r="M468" s="18"/>
      <c r="N468" s="18"/>
      <c r="O468" s="18"/>
      <c r="P468" s="18"/>
    </row>
    <row r="469" spans="1:17" s="4" customFormat="1" x14ac:dyDescent="0.25">
      <c r="B469" s="1004"/>
      <c r="C469" s="12"/>
      <c r="D469" s="12"/>
      <c r="E469" s="12"/>
      <c r="F469" s="12"/>
      <c r="G469" s="51"/>
      <c r="H469" s="51"/>
      <c r="M469" s="18"/>
      <c r="N469" s="18"/>
      <c r="O469" s="18"/>
      <c r="P469" s="18"/>
    </row>
    <row r="470" spans="1:17" s="4" customFormat="1" x14ac:dyDescent="0.25">
      <c r="B470" s="1004"/>
      <c r="C470" s="12"/>
      <c r="D470" s="12"/>
      <c r="E470" s="12"/>
      <c r="F470" s="12"/>
      <c r="G470" s="51"/>
      <c r="H470" s="51"/>
      <c r="M470" s="18"/>
      <c r="N470" s="18"/>
      <c r="O470" s="18"/>
      <c r="P470" s="18"/>
    </row>
    <row r="471" spans="1:17" s="4" customFormat="1" x14ac:dyDescent="0.25">
      <c r="B471" s="1004"/>
      <c r="C471" s="12"/>
      <c r="D471" s="12"/>
      <c r="E471" s="12"/>
      <c r="F471" s="12"/>
      <c r="G471" s="51"/>
      <c r="H471" s="51"/>
      <c r="M471" s="18"/>
      <c r="N471" s="18"/>
      <c r="O471" s="18"/>
      <c r="P471" s="18"/>
    </row>
    <row r="472" spans="1:17" s="4" customFormat="1" x14ac:dyDescent="0.25">
      <c r="B472" s="1004"/>
      <c r="C472" s="12"/>
      <c r="D472" s="12"/>
      <c r="E472" s="12"/>
      <c r="F472" s="12"/>
      <c r="G472" s="51"/>
      <c r="H472" s="51"/>
      <c r="M472" s="18"/>
      <c r="N472" s="18"/>
      <c r="O472" s="18"/>
      <c r="P472" s="18"/>
    </row>
    <row r="473" spans="1:17" s="4" customFormat="1" x14ac:dyDescent="0.25">
      <c r="B473" s="1004"/>
      <c r="C473" s="12"/>
      <c r="D473" s="12"/>
      <c r="E473" s="12"/>
      <c r="F473" s="12"/>
      <c r="G473" s="51"/>
      <c r="H473" s="51"/>
      <c r="M473" s="18"/>
      <c r="N473" s="18"/>
      <c r="O473" s="18"/>
      <c r="P473" s="18"/>
    </row>
    <row r="474" spans="1:17" s="4" customFormat="1" x14ac:dyDescent="0.25">
      <c r="B474" s="1004"/>
      <c r="C474" s="12"/>
      <c r="D474" s="12"/>
      <c r="E474" s="12"/>
      <c r="F474" s="12"/>
      <c r="G474" s="51"/>
      <c r="H474" s="51"/>
      <c r="M474" s="18"/>
      <c r="N474" s="18"/>
      <c r="O474" s="18"/>
      <c r="P474" s="18"/>
    </row>
    <row r="475" spans="1:17" s="4" customFormat="1" x14ac:dyDescent="0.25">
      <c r="B475" s="1004"/>
      <c r="C475" s="12"/>
      <c r="D475" s="12"/>
      <c r="E475" s="12"/>
      <c r="F475" s="12"/>
      <c r="G475" s="51"/>
      <c r="H475" s="51"/>
      <c r="M475" s="18"/>
      <c r="N475" s="18"/>
      <c r="O475" s="18"/>
      <c r="P475" s="18"/>
    </row>
    <row r="476" spans="1:17" s="4" customFormat="1" x14ac:dyDescent="0.25">
      <c r="B476" s="1004"/>
      <c r="C476" s="12"/>
      <c r="D476" s="12"/>
      <c r="E476" s="12"/>
      <c r="F476" s="12"/>
      <c r="G476" s="51"/>
      <c r="H476" s="51"/>
      <c r="M476" s="18"/>
      <c r="N476" s="18"/>
      <c r="O476" s="18"/>
      <c r="P476" s="18"/>
    </row>
    <row r="477" spans="1:17" s="4" customFormat="1" x14ac:dyDescent="0.25">
      <c r="A477" s="3"/>
      <c r="B477" s="1007"/>
      <c r="C477" s="11"/>
      <c r="D477" s="11"/>
      <c r="E477" s="11"/>
      <c r="F477" s="11"/>
      <c r="G477" s="24"/>
      <c r="H477" s="24"/>
      <c r="I477" s="3"/>
      <c r="J477" s="3"/>
      <c r="K477" s="3"/>
      <c r="L477" s="3"/>
      <c r="M477" s="22"/>
      <c r="N477" s="22"/>
      <c r="O477" s="22"/>
      <c r="P477" s="22"/>
      <c r="Q477" s="3"/>
    </row>
    <row r="478" spans="1:17" s="4" customFormat="1" x14ac:dyDescent="0.25">
      <c r="A478" s="1844" t="s">
        <v>20</v>
      </c>
      <c r="B478" s="1845"/>
      <c r="C478" s="1845"/>
      <c r="D478" s="1845"/>
      <c r="E478" s="1845"/>
      <c r="F478" s="1845"/>
      <c r="G478" s="1845"/>
      <c r="H478" s="1845"/>
      <c r="I478" s="1845"/>
      <c r="J478" s="1845"/>
      <c r="K478" s="1845"/>
      <c r="L478" s="1845"/>
      <c r="M478" s="1845"/>
      <c r="N478" s="1845"/>
      <c r="O478" s="1845"/>
      <c r="P478" s="1845"/>
      <c r="Q478" s="1846"/>
    </row>
    <row r="479" spans="1:17" s="4" customFormat="1" x14ac:dyDescent="0.25">
      <c r="A479" s="1847" t="s">
        <v>1601</v>
      </c>
      <c r="B479" s="1848"/>
      <c r="C479" s="1848"/>
      <c r="D479" s="1848"/>
      <c r="E479" s="1848"/>
      <c r="F479" s="1848"/>
      <c r="G479" s="1848"/>
      <c r="H479" s="1848"/>
      <c r="I479" s="1848"/>
      <c r="J479" s="1848"/>
      <c r="K479" s="1848"/>
      <c r="L479" s="1848"/>
      <c r="M479" s="1848"/>
      <c r="N479" s="1848"/>
      <c r="O479" s="1848"/>
      <c r="P479" s="1848"/>
      <c r="Q479" s="1849"/>
    </row>
    <row r="480" spans="1:17" s="4" customFormat="1" x14ac:dyDescent="0.25">
      <c r="B480" s="1004"/>
      <c r="C480" s="12"/>
      <c r="D480" s="12"/>
      <c r="E480" s="12"/>
      <c r="F480" s="12"/>
      <c r="G480" s="51"/>
      <c r="H480" s="51"/>
      <c r="M480" s="18"/>
      <c r="N480" s="18"/>
      <c r="O480" s="18"/>
      <c r="P480" s="18"/>
    </row>
    <row r="481" spans="2:16" s="4" customFormat="1" x14ac:dyDescent="0.25">
      <c r="B481" s="1077" t="s">
        <v>1600</v>
      </c>
      <c r="C481" s="2086" t="s">
        <v>1599</v>
      </c>
      <c r="D481" s="2086"/>
      <c r="E481" s="2086"/>
      <c r="F481" s="2086"/>
      <c r="G481" s="2086"/>
      <c r="H481" s="2086"/>
      <c r="I481" s="2086"/>
      <c r="J481" s="2086"/>
      <c r="K481" s="2087" t="s">
        <v>1598</v>
      </c>
      <c r="L481" s="2088"/>
      <c r="M481" s="2088"/>
      <c r="N481" s="2088"/>
      <c r="O481" s="2088"/>
      <c r="P481" s="2089"/>
    </row>
    <row r="482" spans="2:16" s="4" customFormat="1" x14ac:dyDescent="0.25">
      <c r="B482" s="1076">
        <v>1</v>
      </c>
      <c r="C482" s="2081" t="s">
        <v>1597</v>
      </c>
      <c r="D482" s="2081"/>
      <c r="E482" s="2081"/>
      <c r="F482" s="2081"/>
      <c r="G482" s="2081"/>
      <c r="H482" s="2081"/>
      <c r="I482" s="2081"/>
      <c r="J482" s="2081"/>
      <c r="K482" s="2078" t="s">
        <v>1568</v>
      </c>
      <c r="L482" s="2079"/>
      <c r="M482" s="2079"/>
      <c r="N482" s="2079"/>
      <c r="O482" s="2079"/>
      <c r="P482" s="2080"/>
    </row>
    <row r="483" spans="2:16" s="4" customFormat="1" x14ac:dyDescent="0.25">
      <c r="B483" s="1076">
        <v>2</v>
      </c>
      <c r="C483" s="2081" t="s">
        <v>1596</v>
      </c>
      <c r="D483" s="2081"/>
      <c r="E483" s="2081"/>
      <c r="F483" s="2081"/>
      <c r="G483" s="2081"/>
      <c r="H483" s="2081"/>
      <c r="I483" s="2081"/>
      <c r="J483" s="2081"/>
      <c r="K483" s="2078" t="s">
        <v>1564</v>
      </c>
      <c r="L483" s="2079"/>
      <c r="M483" s="2079"/>
      <c r="N483" s="2079"/>
      <c r="O483" s="2079"/>
      <c r="P483" s="2080"/>
    </row>
    <row r="484" spans="2:16" s="4" customFormat="1" x14ac:dyDescent="0.25">
      <c r="B484" s="1076">
        <v>3</v>
      </c>
      <c r="C484" s="2081" t="s">
        <v>1595</v>
      </c>
      <c r="D484" s="2081"/>
      <c r="E484" s="2081"/>
      <c r="F484" s="2081"/>
      <c r="G484" s="2081"/>
      <c r="H484" s="2081"/>
      <c r="I484" s="2081"/>
      <c r="J484" s="2081"/>
      <c r="K484" s="2078" t="s">
        <v>1594</v>
      </c>
      <c r="L484" s="2079"/>
      <c r="M484" s="2079"/>
      <c r="N484" s="2079"/>
      <c r="O484" s="2079"/>
      <c r="P484" s="2080"/>
    </row>
    <row r="485" spans="2:16" s="4" customFormat="1" x14ac:dyDescent="0.25">
      <c r="B485" s="1076">
        <v>4</v>
      </c>
      <c r="C485" s="2081" t="s">
        <v>1593</v>
      </c>
      <c r="D485" s="2081"/>
      <c r="E485" s="2081"/>
      <c r="F485" s="2081"/>
      <c r="G485" s="2081"/>
      <c r="H485" s="2081"/>
      <c r="I485" s="2081"/>
      <c r="J485" s="2081"/>
      <c r="K485" s="2078" t="s">
        <v>1592</v>
      </c>
      <c r="L485" s="2079"/>
      <c r="M485" s="2079"/>
      <c r="N485" s="2079"/>
      <c r="O485" s="2079"/>
      <c r="P485" s="2080"/>
    </row>
    <row r="486" spans="2:16" s="4" customFormat="1" x14ac:dyDescent="0.25">
      <c r="B486" s="1076">
        <v>5</v>
      </c>
      <c r="C486" s="2081" t="s">
        <v>1591</v>
      </c>
      <c r="D486" s="2081"/>
      <c r="E486" s="2081"/>
      <c r="F486" s="2081"/>
      <c r="G486" s="2081"/>
      <c r="H486" s="2081"/>
      <c r="I486" s="2081"/>
      <c r="J486" s="2081"/>
      <c r="K486" s="2078" t="s">
        <v>1568</v>
      </c>
      <c r="L486" s="2079"/>
      <c r="M486" s="2079"/>
      <c r="N486" s="2079"/>
      <c r="O486" s="2079"/>
      <c r="P486" s="2080"/>
    </row>
    <row r="487" spans="2:16" s="4" customFormat="1" x14ac:dyDescent="0.25">
      <c r="B487" s="1076">
        <v>6</v>
      </c>
      <c r="C487" s="2081" t="s">
        <v>1590</v>
      </c>
      <c r="D487" s="2081"/>
      <c r="E487" s="2081"/>
      <c r="F487" s="2081"/>
      <c r="G487" s="2081"/>
      <c r="H487" s="2081"/>
      <c r="I487" s="2081"/>
      <c r="J487" s="2081"/>
      <c r="K487" s="2078" t="s">
        <v>1589</v>
      </c>
      <c r="L487" s="2079"/>
      <c r="M487" s="2079"/>
      <c r="N487" s="2079"/>
      <c r="O487" s="2079"/>
      <c r="P487" s="2080"/>
    </row>
    <row r="488" spans="2:16" s="4" customFormat="1" x14ac:dyDescent="0.25">
      <c r="B488" s="1076">
        <v>7</v>
      </c>
      <c r="C488" s="2081" t="s">
        <v>1588</v>
      </c>
      <c r="D488" s="2081"/>
      <c r="E488" s="2081"/>
      <c r="F488" s="2081"/>
      <c r="G488" s="2081"/>
      <c r="H488" s="2081"/>
      <c r="I488" s="2081"/>
      <c r="J488" s="2081"/>
      <c r="K488" s="2078" t="s">
        <v>1587</v>
      </c>
      <c r="L488" s="2079"/>
      <c r="M488" s="2079"/>
      <c r="N488" s="2079"/>
      <c r="O488" s="2079"/>
      <c r="P488" s="2080"/>
    </row>
    <row r="489" spans="2:16" s="4" customFormat="1" x14ac:dyDescent="0.25">
      <c r="B489" s="1076">
        <v>8</v>
      </c>
      <c r="C489" s="2081" t="s">
        <v>1586</v>
      </c>
      <c r="D489" s="2081"/>
      <c r="E489" s="2081"/>
      <c r="F489" s="2081"/>
      <c r="G489" s="2081"/>
      <c r="H489" s="2081"/>
      <c r="I489" s="2081"/>
      <c r="J489" s="2081"/>
      <c r="K489" s="2078" t="s">
        <v>1560</v>
      </c>
      <c r="L489" s="2079"/>
      <c r="M489" s="2079"/>
      <c r="N489" s="2079"/>
      <c r="O489" s="2079"/>
      <c r="P489" s="2080"/>
    </row>
    <row r="490" spans="2:16" s="4" customFormat="1" x14ac:dyDescent="0.25">
      <c r="B490" s="1076">
        <v>9</v>
      </c>
      <c r="C490" s="2081" t="s">
        <v>1585</v>
      </c>
      <c r="D490" s="2081"/>
      <c r="E490" s="2081"/>
      <c r="F490" s="2081"/>
      <c r="G490" s="2081"/>
      <c r="H490" s="2081"/>
      <c r="I490" s="2081"/>
      <c r="J490" s="2081"/>
      <c r="K490" s="2078" t="s">
        <v>1584</v>
      </c>
      <c r="L490" s="2079"/>
      <c r="M490" s="2079"/>
      <c r="N490" s="2079"/>
      <c r="O490" s="2079"/>
      <c r="P490" s="2080"/>
    </row>
    <row r="491" spans="2:16" s="4" customFormat="1" x14ac:dyDescent="0.25">
      <c r="B491" s="1076">
        <v>10</v>
      </c>
      <c r="C491" s="2081" t="s">
        <v>1583</v>
      </c>
      <c r="D491" s="2081"/>
      <c r="E491" s="2081"/>
      <c r="F491" s="2081"/>
      <c r="G491" s="2081"/>
      <c r="H491" s="2081"/>
      <c r="I491" s="2081"/>
      <c r="J491" s="2081"/>
      <c r="K491" s="2078" t="s">
        <v>1568</v>
      </c>
      <c r="L491" s="2079"/>
      <c r="M491" s="2079"/>
      <c r="N491" s="2079"/>
      <c r="O491" s="2079"/>
      <c r="P491" s="2080"/>
    </row>
    <row r="492" spans="2:16" s="4" customFormat="1" x14ac:dyDescent="0.25">
      <c r="B492" s="1076">
        <v>11</v>
      </c>
      <c r="C492" s="2081" t="s">
        <v>1582</v>
      </c>
      <c r="D492" s="2081"/>
      <c r="E492" s="2081"/>
      <c r="F492" s="2081"/>
      <c r="G492" s="2081"/>
      <c r="H492" s="2081"/>
      <c r="I492" s="2081"/>
      <c r="J492" s="2081"/>
      <c r="K492" s="2078" t="s">
        <v>1568</v>
      </c>
      <c r="L492" s="2079"/>
      <c r="M492" s="2079"/>
      <c r="N492" s="2079"/>
      <c r="O492" s="2079"/>
      <c r="P492" s="2080"/>
    </row>
    <row r="493" spans="2:16" s="4" customFormat="1" x14ac:dyDescent="0.25">
      <c r="B493" s="1076">
        <v>12</v>
      </c>
      <c r="C493" s="2081" t="s">
        <v>1581</v>
      </c>
      <c r="D493" s="2081"/>
      <c r="E493" s="2081"/>
      <c r="F493" s="2081"/>
      <c r="G493" s="2081"/>
      <c r="H493" s="2081"/>
      <c r="I493" s="2081"/>
      <c r="J493" s="2081"/>
      <c r="K493" s="2078" t="s">
        <v>1580</v>
      </c>
      <c r="L493" s="2079"/>
      <c r="M493" s="2079"/>
      <c r="N493" s="2079"/>
      <c r="O493" s="2079"/>
      <c r="P493" s="2080"/>
    </row>
    <row r="494" spans="2:16" s="4" customFormat="1" x14ac:dyDescent="0.25">
      <c r="B494" s="1076">
        <v>13</v>
      </c>
      <c r="C494" s="2081" t="s">
        <v>1579</v>
      </c>
      <c r="D494" s="2081"/>
      <c r="E494" s="2081"/>
      <c r="F494" s="2081"/>
      <c r="G494" s="2081"/>
      <c r="H494" s="2081"/>
      <c r="I494" s="2081"/>
      <c r="J494" s="2081"/>
      <c r="K494" s="2078" t="s">
        <v>1544</v>
      </c>
      <c r="L494" s="2079"/>
      <c r="M494" s="2079"/>
      <c r="N494" s="2079"/>
      <c r="O494" s="2079"/>
      <c r="P494" s="2080"/>
    </row>
    <row r="495" spans="2:16" s="4" customFormat="1" x14ac:dyDescent="0.25">
      <c r="B495" s="1076">
        <v>14</v>
      </c>
      <c r="C495" s="2081" t="s">
        <v>1578</v>
      </c>
      <c r="D495" s="2081"/>
      <c r="E495" s="2081"/>
      <c r="F495" s="2081"/>
      <c r="G495" s="2081"/>
      <c r="H495" s="2081"/>
      <c r="I495" s="2081"/>
      <c r="J495" s="2081"/>
      <c r="K495" s="2078" t="s">
        <v>1544</v>
      </c>
      <c r="L495" s="2079"/>
      <c r="M495" s="2079"/>
      <c r="N495" s="2079"/>
      <c r="O495" s="2079"/>
      <c r="P495" s="2080"/>
    </row>
    <row r="496" spans="2:16" s="4" customFormat="1" x14ac:dyDescent="0.25">
      <c r="B496" s="1076">
        <v>15</v>
      </c>
      <c r="C496" s="2081" t="s">
        <v>1577</v>
      </c>
      <c r="D496" s="2081"/>
      <c r="E496" s="2081"/>
      <c r="F496" s="2081"/>
      <c r="G496" s="2081"/>
      <c r="H496" s="2081"/>
      <c r="I496" s="2081"/>
      <c r="J496" s="2081"/>
      <c r="K496" s="2078" t="s">
        <v>1576</v>
      </c>
      <c r="L496" s="2079"/>
      <c r="M496" s="2079"/>
      <c r="N496" s="2079"/>
      <c r="O496" s="2079"/>
      <c r="P496" s="2080"/>
    </row>
    <row r="497" spans="2:16" s="4" customFormat="1" x14ac:dyDescent="0.25">
      <c r="B497" s="1076">
        <v>16</v>
      </c>
      <c r="C497" s="2081" t="s">
        <v>1575</v>
      </c>
      <c r="D497" s="2081"/>
      <c r="E497" s="2081"/>
      <c r="F497" s="2081"/>
      <c r="G497" s="2081"/>
      <c r="H497" s="2081"/>
      <c r="I497" s="2081"/>
      <c r="J497" s="2081"/>
      <c r="K497" s="2078" t="s">
        <v>1568</v>
      </c>
      <c r="L497" s="2079"/>
      <c r="M497" s="2079"/>
      <c r="N497" s="2079"/>
      <c r="O497" s="2079"/>
      <c r="P497" s="2080"/>
    </row>
    <row r="498" spans="2:16" s="4" customFormat="1" x14ac:dyDescent="0.25">
      <c r="B498" s="1076">
        <v>17</v>
      </c>
      <c r="C498" s="2081" t="s">
        <v>1574</v>
      </c>
      <c r="D498" s="2081"/>
      <c r="E498" s="2081"/>
      <c r="F498" s="2081"/>
      <c r="G498" s="2081"/>
      <c r="H498" s="2081"/>
      <c r="I498" s="2081"/>
      <c r="J498" s="2081"/>
      <c r="K498" s="2078" t="s">
        <v>1564</v>
      </c>
      <c r="L498" s="2079"/>
      <c r="M498" s="2079"/>
      <c r="N498" s="2079"/>
      <c r="O498" s="2079"/>
      <c r="P498" s="2080"/>
    </row>
    <row r="499" spans="2:16" s="4" customFormat="1" x14ac:dyDescent="0.25">
      <c r="B499" s="1076">
        <v>18</v>
      </c>
      <c r="C499" s="2081" t="s">
        <v>1573</v>
      </c>
      <c r="D499" s="2081"/>
      <c r="E499" s="2081"/>
      <c r="F499" s="2081"/>
      <c r="G499" s="2081"/>
      <c r="H499" s="2081"/>
      <c r="I499" s="2081"/>
      <c r="J499" s="2081"/>
      <c r="K499" s="2078" t="s">
        <v>1572</v>
      </c>
      <c r="L499" s="2079"/>
      <c r="M499" s="2079"/>
      <c r="N499" s="2079"/>
      <c r="O499" s="2079"/>
      <c r="P499" s="2080"/>
    </row>
    <row r="500" spans="2:16" s="4" customFormat="1" x14ac:dyDescent="0.25">
      <c r="B500" s="1076">
        <v>19</v>
      </c>
      <c r="C500" s="2081" t="s">
        <v>1571</v>
      </c>
      <c r="D500" s="2081"/>
      <c r="E500" s="2081"/>
      <c r="F500" s="2081"/>
      <c r="G500" s="2081"/>
      <c r="H500" s="2081"/>
      <c r="I500" s="2081"/>
      <c r="J500" s="2081"/>
      <c r="K500" s="2078" t="s">
        <v>1564</v>
      </c>
      <c r="L500" s="2079"/>
      <c r="M500" s="2079"/>
      <c r="N500" s="2079"/>
      <c r="O500" s="2079"/>
      <c r="P500" s="2080"/>
    </row>
    <row r="501" spans="2:16" s="4" customFormat="1" x14ac:dyDescent="0.25">
      <c r="B501" s="1076">
        <v>20</v>
      </c>
      <c r="C501" s="2081" t="s">
        <v>1570</v>
      </c>
      <c r="D501" s="2081"/>
      <c r="E501" s="2081"/>
      <c r="F501" s="2081"/>
      <c r="G501" s="2081"/>
      <c r="H501" s="2081"/>
      <c r="I501" s="2081"/>
      <c r="J501" s="2081"/>
      <c r="K501" s="2078" t="s">
        <v>1568</v>
      </c>
      <c r="L501" s="2079"/>
      <c r="M501" s="2079"/>
      <c r="N501" s="2079"/>
      <c r="O501" s="2079"/>
      <c r="P501" s="2080"/>
    </row>
    <row r="502" spans="2:16" s="4" customFormat="1" x14ac:dyDescent="0.25">
      <c r="B502" s="1076">
        <v>21</v>
      </c>
      <c r="C502" s="2081" t="s">
        <v>1569</v>
      </c>
      <c r="D502" s="2081"/>
      <c r="E502" s="2081"/>
      <c r="F502" s="2081"/>
      <c r="G502" s="2081"/>
      <c r="H502" s="2081"/>
      <c r="I502" s="2081"/>
      <c r="J502" s="2081"/>
      <c r="K502" s="2078" t="s">
        <v>1568</v>
      </c>
      <c r="L502" s="2079"/>
      <c r="M502" s="2079"/>
      <c r="N502" s="2079"/>
      <c r="O502" s="2079"/>
      <c r="P502" s="2080"/>
    </row>
    <row r="503" spans="2:16" s="4" customFormat="1" x14ac:dyDescent="0.25">
      <c r="B503" s="1076">
        <v>22</v>
      </c>
      <c r="C503" s="2081" t="s">
        <v>1567</v>
      </c>
      <c r="D503" s="2081"/>
      <c r="E503" s="2081"/>
      <c r="F503" s="2081"/>
      <c r="G503" s="2081"/>
      <c r="H503" s="2081"/>
      <c r="I503" s="2081"/>
      <c r="J503" s="2081"/>
      <c r="K503" s="2078" t="s">
        <v>1566</v>
      </c>
      <c r="L503" s="2079"/>
      <c r="M503" s="2079"/>
      <c r="N503" s="2079"/>
      <c r="O503" s="2079"/>
      <c r="P503" s="2080"/>
    </row>
    <row r="504" spans="2:16" s="4" customFormat="1" x14ac:dyDescent="0.25">
      <c r="B504" s="1076">
        <v>23</v>
      </c>
      <c r="C504" s="2081" t="s">
        <v>1565</v>
      </c>
      <c r="D504" s="2081"/>
      <c r="E504" s="2081"/>
      <c r="F504" s="2081"/>
      <c r="G504" s="2081"/>
      <c r="H504" s="2081"/>
      <c r="I504" s="2081"/>
      <c r="J504" s="2081"/>
      <c r="K504" s="2078" t="s">
        <v>1564</v>
      </c>
      <c r="L504" s="2079"/>
      <c r="M504" s="2079"/>
      <c r="N504" s="2079"/>
      <c r="O504" s="2079"/>
      <c r="P504" s="2080"/>
    </row>
    <row r="505" spans="2:16" s="4" customFormat="1" x14ac:dyDescent="0.25">
      <c r="B505" s="1076">
        <v>24</v>
      </c>
      <c r="C505" s="2081" t="s">
        <v>1563</v>
      </c>
      <c r="D505" s="2081"/>
      <c r="E505" s="2081"/>
      <c r="F505" s="2081"/>
      <c r="G505" s="2081"/>
      <c r="H505" s="2081"/>
      <c r="I505" s="2081"/>
      <c r="J505" s="2081"/>
      <c r="K505" s="2078" t="s">
        <v>1562</v>
      </c>
      <c r="L505" s="2079"/>
      <c r="M505" s="2079"/>
      <c r="N505" s="2079"/>
      <c r="O505" s="2079"/>
      <c r="P505" s="2080"/>
    </row>
    <row r="506" spans="2:16" s="4" customFormat="1" x14ac:dyDescent="0.25">
      <c r="B506" s="1076">
        <v>25</v>
      </c>
      <c r="C506" s="2081" t="s">
        <v>1561</v>
      </c>
      <c r="D506" s="2081"/>
      <c r="E506" s="2081"/>
      <c r="F506" s="2081"/>
      <c r="G506" s="2081"/>
      <c r="H506" s="2081"/>
      <c r="I506" s="2081"/>
      <c r="J506" s="2081"/>
      <c r="K506" s="2078" t="s">
        <v>1560</v>
      </c>
      <c r="L506" s="2079"/>
      <c r="M506" s="2079"/>
      <c r="N506" s="2079"/>
      <c r="O506" s="2079"/>
      <c r="P506" s="2080"/>
    </row>
    <row r="507" spans="2:16" s="4" customFormat="1" x14ac:dyDescent="0.25">
      <c r="B507" s="1004"/>
      <c r="C507" s="12"/>
      <c r="D507" s="12"/>
      <c r="E507" s="12"/>
      <c r="F507" s="12"/>
      <c r="G507" s="51"/>
      <c r="H507" s="51"/>
      <c r="M507" s="18"/>
      <c r="N507" s="18"/>
      <c r="O507" s="18"/>
      <c r="P507" s="18"/>
    </row>
    <row r="508" spans="2:16" s="4" customFormat="1" x14ac:dyDescent="0.25">
      <c r="B508" s="1004"/>
      <c r="C508" s="12"/>
      <c r="D508" s="12"/>
      <c r="E508" s="12"/>
      <c r="F508" s="12"/>
      <c r="G508" s="51"/>
      <c r="H508" s="51"/>
      <c r="M508" s="18"/>
      <c r="N508" s="18"/>
      <c r="O508" s="18"/>
      <c r="P508" s="18"/>
    </row>
    <row r="509" spans="2:16" s="4" customFormat="1" x14ac:dyDescent="0.25">
      <c r="B509" s="1004"/>
      <c r="C509" s="12"/>
      <c r="D509" s="12"/>
      <c r="E509" s="12"/>
      <c r="F509" s="12"/>
      <c r="G509" s="51"/>
      <c r="H509" s="51"/>
      <c r="M509" s="18"/>
      <c r="N509" s="18"/>
      <c r="O509" s="18"/>
      <c r="P509" s="18"/>
    </row>
    <row r="510" spans="2:16" s="4" customFormat="1" x14ac:dyDescent="0.25">
      <c r="B510" s="1004"/>
      <c r="C510" s="12"/>
      <c r="D510" s="12"/>
      <c r="E510" s="12"/>
      <c r="F510" s="12"/>
      <c r="G510" s="51"/>
      <c r="H510" s="51"/>
      <c r="M510" s="18"/>
      <c r="N510" s="18"/>
      <c r="O510" s="18"/>
      <c r="P510" s="18"/>
    </row>
    <row r="511" spans="2:16" s="4" customFormat="1" x14ac:dyDescent="0.25">
      <c r="B511" s="1004"/>
      <c r="C511" s="12"/>
      <c r="D511" s="12"/>
      <c r="E511" s="12"/>
      <c r="F511" s="12"/>
      <c r="G511" s="51"/>
      <c r="H511" s="51"/>
      <c r="M511" s="18"/>
      <c r="N511" s="18"/>
      <c r="O511" s="18"/>
      <c r="P511" s="18"/>
    </row>
    <row r="512" spans="2:16" s="4" customFormat="1" x14ac:dyDescent="0.25">
      <c r="B512" s="1004"/>
      <c r="C512" s="12"/>
      <c r="D512" s="12"/>
      <c r="E512" s="12"/>
      <c r="F512" s="12"/>
      <c r="G512" s="51"/>
      <c r="H512" s="51"/>
      <c r="M512" s="18"/>
      <c r="N512" s="18"/>
      <c r="O512" s="18"/>
      <c r="P512" s="18"/>
    </row>
    <row r="513" spans="1:17" s="4" customFormat="1" x14ac:dyDescent="0.25">
      <c r="B513" s="1004"/>
      <c r="C513" s="12"/>
      <c r="D513" s="12"/>
      <c r="E513" s="12"/>
      <c r="F513" s="12"/>
      <c r="G513" s="51"/>
      <c r="H513" s="51"/>
      <c r="M513" s="18"/>
      <c r="N513" s="18"/>
      <c r="O513" s="18"/>
      <c r="P513" s="18"/>
    </row>
    <row r="514" spans="1:17" s="4" customFormat="1" x14ac:dyDescent="0.25">
      <c r="B514" s="1004"/>
      <c r="C514" s="12"/>
      <c r="D514" s="12"/>
      <c r="E514" s="12"/>
      <c r="F514" s="12"/>
      <c r="G514" s="51"/>
      <c r="H514" s="51"/>
      <c r="M514" s="18"/>
      <c r="N514" s="18"/>
      <c r="O514" s="18"/>
      <c r="P514" s="18"/>
    </row>
    <row r="515" spans="1:17" s="4" customFormat="1" x14ac:dyDescent="0.25">
      <c r="B515" s="1004"/>
      <c r="C515" s="12"/>
      <c r="D515" s="12"/>
      <c r="E515" s="12"/>
      <c r="F515" s="12"/>
      <c r="G515" s="51"/>
      <c r="H515" s="51"/>
      <c r="M515" s="18"/>
      <c r="N515" s="18"/>
      <c r="O515" s="18"/>
      <c r="P515" s="18"/>
    </row>
    <row r="516" spans="1:17" s="4" customFormat="1" x14ac:dyDescent="0.25">
      <c r="B516" s="1004"/>
      <c r="C516" s="12"/>
      <c r="D516" s="12"/>
      <c r="E516" s="12"/>
      <c r="F516" s="12"/>
      <c r="G516" s="51"/>
      <c r="H516" s="51"/>
      <c r="M516" s="18"/>
      <c r="N516" s="18"/>
      <c r="O516" s="18"/>
      <c r="P516" s="18"/>
    </row>
    <row r="517" spans="1:17" s="4" customFormat="1" x14ac:dyDescent="0.25">
      <c r="B517" s="1004"/>
      <c r="C517" s="12"/>
      <c r="D517" s="12"/>
      <c r="E517" s="12"/>
      <c r="F517" s="12"/>
      <c r="G517" s="51"/>
      <c r="H517" s="51"/>
      <c r="M517" s="18"/>
      <c r="N517" s="18"/>
      <c r="O517" s="18"/>
      <c r="P517" s="18"/>
    </row>
    <row r="518" spans="1:17" s="4" customFormat="1" x14ac:dyDescent="0.25">
      <c r="B518" s="1004"/>
      <c r="C518" s="12"/>
      <c r="D518" s="12"/>
      <c r="E518" s="12"/>
      <c r="F518" s="12"/>
      <c r="G518" s="51"/>
      <c r="H518" s="51"/>
      <c r="M518" s="18"/>
      <c r="N518" s="18"/>
      <c r="O518" s="18"/>
      <c r="P518" s="18"/>
    </row>
    <row r="519" spans="1:17" s="4" customFormat="1" x14ac:dyDescent="0.25">
      <c r="B519" s="1004"/>
      <c r="C519" s="12"/>
      <c r="D519" s="12"/>
      <c r="E519" s="12"/>
      <c r="F519" s="12"/>
      <c r="G519" s="51"/>
      <c r="H519" s="51"/>
      <c r="M519" s="18"/>
      <c r="N519" s="18"/>
      <c r="O519" s="18"/>
      <c r="P519" s="18"/>
    </row>
    <row r="520" spans="1:17" s="4" customFormat="1" x14ac:dyDescent="0.25">
      <c r="B520" s="1004"/>
      <c r="C520" s="12"/>
      <c r="D520" s="12"/>
      <c r="E520" s="12"/>
      <c r="F520" s="12"/>
      <c r="G520" s="51"/>
      <c r="H520" s="51"/>
      <c r="M520" s="18"/>
      <c r="N520" s="18"/>
      <c r="O520" s="18"/>
      <c r="P520" s="18"/>
    </row>
    <row r="521" spans="1:17" s="4" customFormat="1" x14ac:dyDescent="0.25">
      <c r="B521" s="1004"/>
      <c r="C521" s="12"/>
      <c r="D521" s="12"/>
      <c r="E521" s="12"/>
      <c r="F521" s="12"/>
      <c r="G521" s="51"/>
      <c r="H521" s="51"/>
      <c r="M521" s="18"/>
      <c r="N521" s="18"/>
      <c r="O521" s="18"/>
      <c r="P521" s="18"/>
    </row>
    <row r="522" spans="1:17" s="4" customFormat="1" x14ac:dyDescent="0.25">
      <c r="B522" s="1004"/>
      <c r="C522" s="12"/>
      <c r="D522" s="12"/>
      <c r="E522" s="12"/>
      <c r="F522" s="12"/>
      <c r="G522" s="51"/>
      <c r="H522" s="51"/>
      <c r="M522" s="18"/>
      <c r="N522" s="18"/>
      <c r="O522" s="18"/>
      <c r="P522" s="18"/>
    </row>
    <row r="523" spans="1:17" s="4" customFormat="1" x14ac:dyDescent="0.25">
      <c r="B523" s="1004"/>
      <c r="C523" s="12"/>
      <c r="D523" s="12"/>
      <c r="E523" s="12"/>
      <c r="F523" s="12"/>
      <c r="G523" s="51"/>
      <c r="H523" s="51"/>
      <c r="M523" s="18"/>
      <c r="N523" s="18"/>
      <c r="O523" s="18"/>
      <c r="P523" s="18"/>
    </row>
    <row r="524" spans="1:17" s="4" customFormat="1" x14ac:dyDescent="0.25">
      <c r="B524" s="1004"/>
      <c r="C524" s="12"/>
      <c r="D524" s="12"/>
      <c r="E524" s="12"/>
      <c r="F524" s="12"/>
      <c r="G524" s="51"/>
      <c r="H524" s="51"/>
      <c r="M524" s="18"/>
      <c r="N524" s="18"/>
      <c r="O524" s="18"/>
      <c r="P524" s="18"/>
    </row>
    <row r="525" spans="1:17" s="4" customFormat="1" x14ac:dyDescent="0.25">
      <c r="B525" s="1004"/>
      <c r="C525" s="12"/>
      <c r="D525" s="12"/>
      <c r="E525" s="12"/>
      <c r="F525" s="12"/>
      <c r="G525" s="51"/>
      <c r="H525" s="51"/>
      <c r="M525" s="18"/>
      <c r="N525" s="18"/>
      <c r="O525" s="18"/>
      <c r="P525" s="18"/>
    </row>
    <row r="526" spans="1:17" s="4" customFormat="1" x14ac:dyDescent="0.25">
      <c r="B526" s="1004"/>
      <c r="C526" s="12"/>
      <c r="D526" s="12"/>
      <c r="E526" s="12"/>
      <c r="F526" s="12"/>
      <c r="G526" s="51"/>
      <c r="H526" s="51"/>
      <c r="M526" s="18"/>
      <c r="N526" s="18"/>
      <c r="O526" s="18"/>
      <c r="P526" s="18"/>
    </row>
    <row r="527" spans="1:17" s="4" customFormat="1" x14ac:dyDescent="0.25">
      <c r="A527" s="3"/>
      <c r="B527" s="1007"/>
      <c r="C527" s="11"/>
      <c r="D527" s="11"/>
      <c r="E527" s="11"/>
      <c r="F527" s="11"/>
      <c r="G527" s="24"/>
      <c r="H527" s="24"/>
      <c r="I527" s="3"/>
      <c r="J527" s="3"/>
      <c r="K527" s="3"/>
      <c r="L527" s="3"/>
      <c r="M527" s="22"/>
      <c r="N527" s="22"/>
      <c r="O527" s="22"/>
      <c r="P527" s="22"/>
      <c r="Q527" s="3"/>
    </row>
    <row r="528" spans="1:17" x14ac:dyDescent="0.25">
      <c r="A528" s="1844" t="s">
        <v>20</v>
      </c>
      <c r="B528" s="1845"/>
      <c r="C528" s="1845"/>
      <c r="D528" s="1845"/>
      <c r="E528" s="1845"/>
      <c r="F528" s="1845"/>
      <c r="G528" s="1845"/>
      <c r="H528" s="1845"/>
      <c r="I528" s="1845"/>
      <c r="J528" s="1845"/>
      <c r="K528" s="1845"/>
      <c r="L528" s="1845"/>
      <c r="M528" s="1845"/>
      <c r="N528" s="1845"/>
      <c r="O528" s="1845"/>
      <c r="P528" s="1845"/>
      <c r="Q528" s="1846"/>
    </row>
    <row r="529" spans="1:17" x14ac:dyDescent="0.25">
      <c r="A529" s="1847" t="s">
        <v>1559</v>
      </c>
      <c r="B529" s="1848"/>
      <c r="C529" s="1848"/>
      <c r="D529" s="1848"/>
      <c r="E529" s="1848"/>
      <c r="F529" s="1848"/>
      <c r="G529" s="1848"/>
      <c r="H529" s="1848"/>
      <c r="I529" s="1848"/>
      <c r="J529" s="1848"/>
      <c r="K529" s="1848"/>
      <c r="L529" s="1848"/>
      <c r="M529" s="1848"/>
      <c r="N529" s="1848"/>
      <c r="O529" s="1848"/>
      <c r="P529" s="1848"/>
      <c r="Q529" s="1849"/>
    </row>
    <row r="530" spans="1:17" ht="5.25" customHeight="1" x14ac:dyDescent="0.25"/>
    <row r="531" spans="1:17" ht="15.75" thickBot="1" x14ac:dyDescent="0.3">
      <c r="B531" s="2054" t="s">
        <v>1558</v>
      </c>
      <c r="C531" s="2054"/>
      <c r="D531" s="2054"/>
      <c r="E531" s="2054"/>
      <c r="F531" s="2054"/>
      <c r="G531" s="2054"/>
      <c r="H531" s="2054"/>
      <c r="I531" s="2054"/>
      <c r="J531" s="2054"/>
      <c r="K531" s="2054"/>
      <c r="L531" s="1069"/>
      <c r="M531" s="2"/>
      <c r="N531" s="2"/>
      <c r="O531" s="2"/>
    </row>
    <row r="532" spans="1:17" x14ac:dyDescent="0.25">
      <c r="B532" s="2057" t="s">
        <v>397</v>
      </c>
      <c r="C532" s="2058"/>
      <c r="D532" s="2058"/>
      <c r="E532" s="2059">
        <v>3000</v>
      </c>
      <c r="F532" s="2060"/>
      <c r="G532" s="2061" t="s">
        <v>404</v>
      </c>
      <c r="H532" s="2058"/>
      <c r="I532" s="2058"/>
      <c r="J532" s="2059">
        <v>20000</v>
      </c>
      <c r="K532" s="2062"/>
      <c r="L532" s="1066"/>
      <c r="M532" s="996"/>
      <c r="N532" s="996"/>
    </row>
    <row r="533" spans="1:17" x14ac:dyDescent="0.25">
      <c r="B533" s="2035" t="s">
        <v>403</v>
      </c>
      <c r="C533" s="2034"/>
      <c r="D533" s="2034"/>
      <c r="E533" s="1940">
        <v>50000</v>
      </c>
      <c r="F533" s="1926"/>
      <c r="G533" s="2033" t="s">
        <v>399</v>
      </c>
      <c r="H533" s="2034"/>
      <c r="I533" s="2034"/>
      <c r="J533" s="2012">
        <v>0</v>
      </c>
      <c r="K533" s="2066"/>
      <c r="L533" s="1066"/>
      <c r="M533" s="996"/>
      <c r="N533" s="996"/>
    </row>
    <row r="534" spans="1:17" ht="15" customHeight="1" x14ac:dyDescent="0.25">
      <c r="B534" s="2035" t="s">
        <v>19</v>
      </c>
      <c r="C534" s="2034"/>
      <c r="D534" s="2034"/>
      <c r="E534" s="1940">
        <v>10000</v>
      </c>
      <c r="F534" s="1926"/>
      <c r="G534" s="2043" t="s">
        <v>506</v>
      </c>
      <c r="H534" s="2044"/>
      <c r="I534" s="2044"/>
      <c r="J534" s="2045">
        <v>43000</v>
      </c>
      <c r="K534" s="2046"/>
      <c r="L534" s="1066"/>
      <c r="M534" s="996"/>
      <c r="N534" s="996"/>
    </row>
    <row r="535" spans="1:17" x14ac:dyDescent="0.25">
      <c r="B535" s="1067"/>
      <c r="C535" s="28"/>
      <c r="D535" s="28"/>
      <c r="E535" s="2042" t="s">
        <v>655</v>
      </c>
      <c r="F535" s="2047"/>
      <c r="G535" s="2033" t="s">
        <v>7</v>
      </c>
      <c r="H535" s="2034"/>
      <c r="I535" s="2034"/>
      <c r="J535" s="2012">
        <v>0</v>
      </c>
      <c r="K535" s="2066"/>
      <c r="L535" s="1066"/>
      <c r="M535" s="996"/>
      <c r="N535" s="996"/>
    </row>
    <row r="536" spans="1:17" ht="15.75" thickBot="1" x14ac:dyDescent="0.3">
      <c r="B536" s="2036" t="s">
        <v>427</v>
      </c>
      <c r="C536" s="2037"/>
      <c r="D536" s="2037"/>
      <c r="E536" s="2038">
        <f>+SUM(E532:F535)</f>
        <v>63000</v>
      </c>
      <c r="F536" s="2039"/>
      <c r="G536" s="2040" t="s">
        <v>1533</v>
      </c>
      <c r="H536" s="2037"/>
      <c r="I536" s="2037"/>
      <c r="J536" s="2038">
        <f>+SUM(J532:K535)</f>
        <v>63000</v>
      </c>
      <c r="K536" s="2041"/>
      <c r="L536" s="1066"/>
      <c r="M536" s="996"/>
      <c r="N536" s="996"/>
    </row>
    <row r="537" spans="1:17" x14ac:dyDescent="0.25">
      <c r="B537" s="2"/>
      <c r="C537" s="2"/>
      <c r="D537" s="2"/>
      <c r="E537" s="2"/>
      <c r="F537" s="2"/>
      <c r="G537" s="4"/>
      <c r="H537" s="4"/>
      <c r="I537" s="4"/>
      <c r="J537" s="2042"/>
      <c r="K537" s="2042"/>
      <c r="M537" s="996"/>
      <c r="N537" s="996"/>
    </row>
    <row r="538" spans="1:17" ht="15.75" thickBot="1" x14ac:dyDescent="0.3">
      <c r="B538" s="2054" t="s">
        <v>1557</v>
      </c>
      <c r="C538" s="2054"/>
      <c r="D538" s="2054"/>
      <c r="E538" s="2054"/>
      <c r="F538" s="2054"/>
      <c r="G538" s="2054"/>
      <c r="H538" s="2054"/>
      <c r="I538" s="2054"/>
      <c r="J538" s="2054"/>
      <c r="K538" s="2054"/>
      <c r="L538" s="1069"/>
      <c r="M538" s="2"/>
      <c r="N538" s="2"/>
      <c r="O538" s="2"/>
    </row>
    <row r="539" spans="1:17" x14ac:dyDescent="0.25">
      <c r="B539" s="2057" t="s">
        <v>397</v>
      </c>
      <c r="C539" s="2058"/>
      <c r="D539" s="2058"/>
      <c r="E539" s="2059">
        <f>+E532+5000</f>
        <v>8000</v>
      </c>
      <c r="F539" s="2060"/>
      <c r="G539" s="2061" t="s">
        <v>404</v>
      </c>
      <c r="H539" s="2058"/>
      <c r="I539" s="2058"/>
      <c r="J539" s="2059">
        <f>+J532+5000</f>
        <v>25000</v>
      </c>
      <c r="K539" s="2062"/>
      <c r="L539" s="1066"/>
      <c r="M539" s="2063" t="s">
        <v>10</v>
      </c>
      <c r="N539" s="2063"/>
      <c r="O539" s="2064">
        <v>5000</v>
      </c>
      <c r="P539" s="2064"/>
    </row>
    <row r="540" spans="1:17" x14ac:dyDescent="0.25">
      <c r="B540" s="2035" t="s">
        <v>403</v>
      </c>
      <c r="C540" s="2034"/>
      <c r="D540" s="2034"/>
      <c r="E540" s="1940">
        <f>+E533</f>
        <v>50000</v>
      </c>
      <c r="F540" s="1926"/>
      <c r="G540" s="2033" t="s">
        <v>399</v>
      </c>
      <c r="H540" s="2034"/>
      <c r="I540" s="2034"/>
      <c r="J540" s="2012">
        <v>0</v>
      </c>
      <c r="K540" s="2066"/>
      <c r="L540" s="1066"/>
      <c r="M540" s="2055" t="s">
        <v>1556</v>
      </c>
      <c r="N540" s="2055"/>
      <c r="O540" s="2056">
        <f>-O539</f>
        <v>-5000</v>
      </c>
      <c r="P540" s="2056"/>
    </row>
    <row r="541" spans="1:17" ht="15" customHeight="1" x14ac:dyDescent="0.25">
      <c r="B541" s="2035" t="s">
        <v>19</v>
      </c>
      <c r="C541" s="2034"/>
      <c r="D541" s="2034"/>
      <c r="E541" s="1940">
        <f>+E534</f>
        <v>10000</v>
      </c>
      <c r="F541" s="1926"/>
      <c r="G541" s="2043" t="s">
        <v>506</v>
      </c>
      <c r="H541" s="2044"/>
      <c r="I541" s="2044"/>
      <c r="J541" s="2045">
        <f>+J534</f>
        <v>43000</v>
      </c>
      <c r="K541" s="2046"/>
      <c r="L541" s="1066"/>
      <c r="M541" s="2077"/>
      <c r="N541" s="2077"/>
      <c r="O541" s="2077"/>
      <c r="P541" s="2077"/>
    </row>
    <row r="542" spans="1:17" x14ac:dyDescent="0.25">
      <c r="B542" s="1067"/>
      <c r="C542" s="28"/>
      <c r="D542" s="28"/>
      <c r="E542" s="2042" t="s">
        <v>655</v>
      </c>
      <c r="F542" s="2047"/>
      <c r="G542" s="2033" t="s">
        <v>7</v>
      </c>
      <c r="H542" s="2034"/>
      <c r="I542" s="2034"/>
      <c r="J542" s="2012">
        <v>0</v>
      </c>
      <c r="K542" s="2066"/>
      <c r="L542" s="1066"/>
      <c r="M542" s="2070"/>
      <c r="N542" s="2070"/>
      <c r="O542" s="2070"/>
      <c r="P542" s="2070"/>
    </row>
    <row r="543" spans="1:17" ht="15.75" thickBot="1" x14ac:dyDescent="0.3">
      <c r="B543" s="2036" t="s">
        <v>427</v>
      </c>
      <c r="C543" s="2037"/>
      <c r="D543" s="2037"/>
      <c r="E543" s="2038">
        <f>+SUM(E539:F542)</f>
        <v>68000</v>
      </c>
      <c r="F543" s="2039"/>
      <c r="G543" s="2040" t="s">
        <v>1533</v>
      </c>
      <c r="H543" s="2037"/>
      <c r="I543" s="2037"/>
      <c r="J543" s="2038">
        <f>+SUM(J539:K542)</f>
        <v>68000</v>
      </c>
      <c r="K543" s="2041"/>
      <c r="L543" s="1066"/>
      <c r="M543" s="996"/>
      <c r="N543" s="996"/>
    </row>
    <row r="544" spans="1:17" x14ac:dyDescent="0.25">
      <c r="B544" s="2"/>
      <c r="C544" s="2"/>
      <c r="D544" s="2"/>
      <c r="E544" s="2"/>
      <c r="F544" s="2"/>
      <c r="G544" s="4"/>
      <c r="H544" s="4"/>
      <c r="I544" s="4"/>
      <c r="J544" s="2042"/>
      <c r="K544" s="2042"/>
      <c r="M544" s="996"/>
      <c r="N544" s="996"/>
    </row>
    <row r="545" spans="2:16" ht="15.75" thickBot="1" x14ac:dyDescent="0.3">
      <c r="B545" s="2054" t="s">
        <v>1555</v>
      </c>
      <c r="C545" s="2054"/>
      <c r="D545" s="2054"/>
      <c r="E545" s="2054"/>
      <c r="F545" s="2054"/>
      <c r="G545" s="2054"/>
      <c r="H545" s="2054"/>
      <c r="I545" s="2054"/>
      <c r="J545" s="2054"/>
      <c r="K545" s="2054"/>
      <c r="L545" s="1069"/>
      <c r="M545" s="2"/>
      <c r="N545" s="2"/>
      <c r="O545" s="2"/>
    </row>
    <row r="546" spans="2:16" ht="15" customHeight="1" x14ac:dyDescent="0.25">
      <c r="B546" s="2057" t="s">
        <v>397</v>
      </c>
      <c r="C546" s="2058"/>
      <c r="D546" s="2058"/>
      <c r="E546" s="2059">
        <f>+E539</f>
        <v>8000</v>
      </c>
      <c r="F546" s="2060"/>
      <c r="G546" s="2061" t="s">
        <v>404</v>
      </c>
      <c r="H546" s="2058"/>
      <c r="I546" s="2058"/>
      <c r="J546" s="2059">
        <f>+J539</f>
        <v>25000</v>
      </c>
      <c r="K546" s="2062"/>
      <c r="L546" s="1066"/>
      <c r="M546" s="2071" t="s">
        <v>1554</v>
      </c>
      <c r="N546" s="2072"/>
      <c r="O546" s="2072"/>
      <c r="P546" s="2073"/>
    </row>
    <row r="547" spans="2:16" x14ac:dyDescent="0.25">
      <c r="B547" s="2035" t="s">
        <v>403</v>
      </c>
      <c r="C547" s="2034"/>
      <c r="D547" s="2034"/>
      <c r="E547" s="1940">
        <f>+E540</f>
        <v>50000</v>
      </c>
      <c r="F547" s="1926"/>
      <c r="G547" s="2033" t="s">
        <v>399</v>
      </c>
      <c r="H547" s="2034"/>
      <c r="I547" s="2034"/>
      <c r="J547" s="2012">
        <f>+J540</f>
        <v>0</v>
      </c>
      <c r="K547" s="2066"/>
      <c r="L547" s="1066"/>
      <c r="M547" s="2074"/>
      <c r="N547" s="2075"/>
      <c r="O547" s="2075"/>
      <c r="P547" s="2076"/>
    </row>
    <row r="548" spans="2:16" ht="15" customHeight="1" x14ac:dyDescent="0.25">
      <c r="B548" s="2035" t="s">
        <v>19</v>
      </c>
      <c r="C548" s="2034"/>
      <c r="D548" s="2034"/>
      <c r="E548" s="1940">
        <f>+E541</f>
        <v>10000</v>
      </c>
      <c r="F548" s="1926"/>
      <c r="G548" s="2043" t="s">
        <v>506</v>
      </c>
      <c r="H548" s="2044"/>
      <c r="I548" s="2044"/>
      <c r="J548" s="2045">
        <f>+J541</f>
        <v>43000</v>
      </c>
      <c r="K548" s="2046"/>
      <c r="L548" s="1066"/>
      <c r="M548" s="996"/>
      <c r="N548" s="996"/>
    </row>
    <row r="549" spans="2:16" x14ac:dyDescent="0.25">
      <c r="B549" s="1067"/>
      <c r="C549" s="28"/>
      <c r="D549" s="28"/>
      <c r="E549" s="2042" t="s">
        <v>655</v>
      </c>
      <c r="F549" s="2047"/>
      <c r="G549" s="2033" t="s">
        <v>7</v>
      </c>
      <c r="H549" s="2034"/>
      <c r="I549" s="2034"/>
      <c r="J549" s="2012">
        <f>+J542</f>
        <v>0</v>
      </c>
      <c r="K549" s="2066"/>
      <c r="L549" s="1066"/>
      <c r="M549" s="996"/>
      <c r="N549" s="996"/>
    </row>
    <row r="550" spans="2:16" ht="15.75" thickBot="1" x14ac:dyDescent="0.3">
      <c r="B550" s="2036" t="s">
        <v>427</v>
      </c>
      <c r="C550" s="2037"/>
      <c r="D550" s="2037"/>
      <c r="E550" s="2038">
        <f>+SUM(E546:F549)</f>
        <v>68000</v>
      </c>
      <c r="F550" s="2039"/>
      <c r="G550" s="2040" t="s">
        <v>1533</v>
      </c>
      <c r="H550" s="2037"/>
      <c r="I550" s="2037"/>
      <c r="J550" s="2038">
        <f>+SUM(J546:K549)</f>
        <v>68000</v>
      </c>
      <c r="K550" s="2041"/>
      <c r="L550" s="1066"/>
      <c r="M550" s="996"/>
      <c r="N550" s="996"/>
    </row>
    <row r="551" spans="2:16" x14ac:dyDescent="0.25">
      <c r="B551" s="2"/>
      <c r="C551" s="2"/>
      <c r="D551" s="2"/>
      <c r="E551" s="2"/>
      <c r="F551" s="2"/>
      <c r="G551" s="4"/>
      <c r="H551" s="4"/>
      <c r="I551" s="4"/>
      <c r="J551" s="2042"/>
      <c r="K551" s="2042"/>
      <c r="M551" s="996"/>
      <c r="N551" s="996"/>
    </row>
    <row r="552" spans="2:16" ht="15.75" thickBot="1" x14ac:dyDescent="0.3">
      <c r="B552" s="2054" t="s">
        <v>1553</v>
      </c>
      <c r="C552" s="2054"/>
      <c r="D552" s="2054"/>
      <c r="E552" s="2054"/>
      <c r="F552" s="2054"/>
      <c r="G552" s="2054"/>
      <c r="H552" s="2054"/>
      <c r="I552" s="2054"/>
      <c r="J552" s="2054"/>
      <c r="K552" s="2054"/>
      <c r="L552" s="1069"/>
      <c r="M552" s="2"/>
      <c r="N552" s="2"/>
      <c r="O552" s="2"/>
      <c r="P552" s="2"/>
    </row>
    <row r="553" spans="2:16" x14ac:dyDescent="0.25">
      <c r="B553" s="2057" t="s">
        <v>397</v>
      </c>
      <c r="C553" s="2058"/>
      <c r="D553" s="2058"/>
      <c r="E553" s="2059">
        <f>+E546</f>
        <v>8000</v>
      </c>
      <c r="F553" s="2060"/>
      <c r="G553" s="2061" t="s">
        <v>404</v>
      </c>
      <c r="H553" s="2058"/>
      <c r="I553" s="2058"/>
      <c r="J553" s="2059">
        <f>+J546</f>
        <v>25000</v>
      </c>
      <c r="K553" s="2062"/>
      <c r="L553" s="1066"/>
      <c r="M553" s="2063" t="s">
        <v>1539</v>
      </c>
      <c r="N553" s="2063"/>
      <c r="O553" s="2064">
        <v>35000</v>
      </c>
      <c r="P553" s="2064"/>
    </row>
    <row r="554" spans="2:16" x14ac:dyDescent="0.25">
      <c r="B554" s="2035" t="s">
        <v>403</v>
      </c>
      <c r="C554" s="2034"/>
      <c r="D554" s="2034"/>
      <c r="E554" s="1940">
        <f>+E547+O553</f>
        <v>85000</v>
      </c>
      <c r="F554" s="1926"/>
      <c r="G554" s="2033" t="s">
        <v>399</v>
      </c>
      <c r="H554" s="2034"/>
      <c r="I554" s="2034"/>
      <c r="J554" s="2012">
        <f>+J547</f>
        <v>0</v>
      </c>
      <c r="K554" s="2066"/>
      <c r="L554" s="1066"/>
      <c r="M554" s="2055" t="s">
        <v>3</v>
      </c>
      <c r="N554" s="2055"/>
      <c r="O554" s="2056">
        <f>-O553</f>
        <v>-35000</v>
      </c>
      <c r="P554" s="2056"/>
    </row>
    <row r="555" spans="2:16" ht="15" customHeight="1" x14ac:dyDescent="0.25">
      <c r="B555" s="2035" t="s">
        <v>19</v>
      </c>
      <c r="C555" s="2034"/>
      <c r="D555" s="2034"/>
      <c r="E555" s="1940">
        <f>+E548+O556</f>
        <v>5000</v>
      </c>
      <c r="F555" s="1926"/>
      <c r="G555" s="2043" t="s">
        <v>506</v>
      </c>
      <c r="H555" s="2044"/>
      <c r="I555" s="2044"/>
      <c r="J555" s="2045">
        <f>+J548</f>
        <v>43000</v>
      </c>
      <c r="K555" s="2046"/>
      <c r="L555" s="1066"/>
      <c r="M555" s="2068" t="s">
        <v>1552</v>
      </c>
      <c r="N555" s="2068"/>
      <c r="O555" s="2069">
        <f>0.5*E548</f>
        <v>5000</v>
      </c>
      <c r="P555" s="2069"/>
    </row>
    <row r="556" spans="2:16" x14ac:dyDescent="0.25">
      <c r="B556" s="1067"/>
      <c r="C556" s="28"/>
      <c r="D556" s="28"/>
      <c r="E556" s="2042" t="s">
        <v>655</v>
      </c>
      <c r="F556" s="2047"/>
      <c r="G556" s="2033" t="s">
        <v>7</v>
      </c>
      <c r="H556" s="2034"/>
      <c r="I556" s="2034"/>
      <c r="J556" s="2012">
        <f>-O554-O555</f>
        <v>30000</v>
      </c>
      <c r="K556" s="2066"/>
      <c r="L556" s="1066"/>
      <c r="M556" s="2055" t="s">
        <v>5</v>
      </c>
      <c r="N556" s="2055"/>
      <c r="O556" s="2056">
        <f>-O555</f>
        <v>-5000</v>
      </c>
      <c r="P556" s="2056"/>
    </row>
    <row r="557" spans="2:16" ht="15.75" thickBot="1" x14ac:dyDescent="0.3">
      <c r="B557" s="2036" t="s">
        <v>427</v>
      </c>
      <c r="C557" s="2037"/>
      <c r="D557" s="2037"/>
      <c r="E557" s="2038">
        <f>+SUM(E553:F556)</f>
        <v>98000</v>
      </c>
      <c r="F557" s="2039"/>
      <c r="G557" s="2040" t="s">
        <v>1533</v>
      </c>
      <c r="H557" s="2037"/>
      <c r="I557" s="2037"/>
      <c r="J557" s="2038">
        <f>+SUM(J553:K556)</f>
        <v>98000</v>
      </c>
      <c r="K557" s="2041"/>
      <c r="L557" s="1066"/>
      <c r="M557" s="996"/>
      <c r="N557" s="996"/>
    </row>
    <row r="558" spans="2:16" x14ac:dyDescent="0.25">
      <c r="B558" s="2"/>
      <c r="C558" s="2"/>
      <c r="D558" s="2"/>
      <c r="E558" s="2"/>
      <c r="F558" s="2"/>
      <c r="G558" s="4"/>
      <c r="H558" s="4"/>
      <c r="I558" s="4"/>
      <c r="J558" s="2042"/>
      <c r="K558" s="2042"/>
      <c r="M558" s="996"/>
      <c r="N558" s="996"/>
    </row>
    <row r="559" spans="2:16" ht="15.75" thickBot="1" x14ac:dyDescent="0.3">
      <c r="B559" s="2054" t="s">
        <v>1551</v>
      </c>
      <c r="C559" s="2054"/>
      <c r="D559" s="2054"/>
      <c r="E559" s="2054"/>
      <c r="F559" s="2054"/>
      <c r="G559" s="2054"/>
      <c r="H559" s="2054"/>
      <c r="I559" s="2054"/>
      <c r="J559" s="2054"/>
      <c r="K559" s="2054"/>
      <c r="L559" s="1069"/>
      <c r="M559" s="2"/>
      <c r="N559" s="2"/>
      <c r="O559" s="2"/>
    </row>
    <row r="560" spans="2:16" x14ac:dyDescent="0.25">
      <c r="B560" s="2057" t="s">
        <v>397</v>
      </c>
      <c r="C560" s="2058"/>
      <c r="D560" s="2058"/>
      <c r="E560" s="2059">
        <f>+E553+O560</f>
        <v>58000</v>
      </c>
      <c r="F560" s="2060"/>
      <c r="G560" s="2061" t="s">
        <v>404</v>
      </c>
      <c r="H560" s="2058"/>
      <c r="I560" s="2058"/>
      <c r="J560" s="2059">
        <f>+J553</f>
        <v>25000</v>
      </c>
      <c r="K560" s="2062"/>
      <c r="L560" s="1066"/>
      <c r="M560" s="2063" t="s">
        <v>1544</v>
      </c>
      <c r="N560" s="2063"/>
      <c r="O560" s="2064">
        <v>50000</v>
      </c>
      <c r="P560" s="2064"/>
    </row>
    <row r="561" spans="1:17" x14ac:dyDescent="0.25">
      <c r="B561" s="2035" t="s">
        <v>403</v>
      </c>
      <c r="C561" s="2034"/>
      <c r="D561" s="2034"/>
      <c r="E561" s="1940">
        <f>+E554</f>
        <v>85000</v>
      </c>
      <c r="F561" s="1926"/>
      <c r="G561" s="2033" t="s">
        <v>399</v>
      </c>
      <c r="H561" s="2034"/>
      <c r="I561" s="2034"/>
      <c r="J561" s="2012">
        <f>+J554</f>
        <v>0</v>
      </c>
      <c r="K561" s="2066"/>
      <c r="L561" s="1066"/>
      <c r="M561" s="2055" t="s">
        <v>502</v>
      </c>
      <c r="N561" s="2055"/>
      <c r="O561" s="2056">
        <f>-O560</f>
        <v>-50000</v>
      </c>
      <c r="P561" s="2056"/>
    </row>
    <row r="562" spans="1:17" ht="15" customHeight="1" x14ac:dyDescent="0.25">
      <c r="B562" s="2035" t="s">
        <v>19</v>
      </c>
      <c r="C562" s="2034"/>
      <c r="D562" s="2034"/>
      <c r="E562" s="1940">
        <f>+E555</f>
        <v>5000</v>
      </c>
      <c r="F562" s="1926"/>
      <c r="G562" s="2043" t="s">
        <v>506</v>
      </c>
      <c r="H562" s="2044"/>
      <c r="I562" s="2044"/>
      <c r="J562" s="2045">
        <f>+J555-O561</f>
        <v>93000</v>
      </c>
      <c r="K562" s="2046"/>
      <c r="L562" s="1066"/>
      <c r="M562" s="2"/>
      <c r="N562" s="2"/>
      <c r="O562" s="2"/>
      <c r="P562" s="2"/>
    </row>
    <row r="563" spans="1:17" x14ac:dyDescent="0.25">
      <c r="B563" s="1067"/>
      <c r="C563" s="28"/>
      <c r="D563" s="28"/>
      <c r="E563" s="2042" t="s">
        <v>655</v>
      </c>
      <c r="F563" s="2047"/>
      <c r="G563" s="2033" t="s">
        <v>7</v>
      </c>
      <c r="H563" s="2034"/>
      <c r="I563" s="2034"/>
      <c r="J563" s="2012">
        <f>+J556</f>
        <v>30000</v>
      </c>
      <c r="K563" s="2066"/>
      <c r="L563" s="1066"/>
      <c r="M563" s="2"/>
      <c r="N563" s="2"/>
      <c r="O563" s="2"/>
      <c r="P563" s="2"/>
    </row>
    <row r="564" spans="1:17" ht="15.75" thickBot="1" x14ac:dyDescent="0.3">
      <c r="B564" s="2036" t="s">
        <v>427</v>
      </c>
      <c r="C564" s="2037"/>
      <c r="D564" s="2037"/>
      <c r="E564" s="2038">
        <f>+SUM(E560:F563)</f>
        <v>148000</v>
      </c>
      <c r="F564" s="2039"/>
      <c r="G564" s="2040" t="s">
        <v>1533</v>
      </c>
      <c r="H564" s="2037"/>
      <c r="I564" s="2037"/>
      <c r="J564" s="2038">
        <f>+SUM(J560:K563)</f>
        <v>148000</v>
      </c>
      <c r="K564" s="2041"/>
      <c r="L564" s="1066"/>
      <c r="M564" s="2"/>
      <c r="N564" s="2"/>
      <c r="O564" s="2"/>
      <c r="P564" s="2"/>
    </row>
    <row r="565" spans="1:17" x14ac:dyDescent="0.25">
      <c r="B565" s="2"/>
      <c r="C565" s="2"/>
      <c r="D565" s="2"/>
      <c r="E565" s="2"/>
      <c r="F565" s="2"/>
      <c r="G565" s="4"/>
      <c r="H565" s="4"/>
      <c r="I565" s="4"/>
      <c r="J565" s="2042"/>
      <c r="K565" s="2042"/>
      <c r="M565" s="996"/>
      <c r="N565" s="996"/>
    </row>
    <row r="566" spans="1:17" ht="15.75" thickBot="1" x14ac:dyDescent="0.3">
      <c r="B566" s="2054" t="s">
        <v>1550</v>
      </c>
      <c r="C566" s="2054"/>
      <c r="D566" s="2054"/>
      <c r="E566" s="2054"/>
      <c r="F566" s="2054"/>
      <c r="G566" s="2054"/>
      <c r="H566" s="2054"/>
      <c r="I566" s="2054"/>
      <c r="J566" s="2054"/>
      <c r="K566" s="2054"/>
      <c r="L566" s="1069"/>
      <c r="M566" s="2"/>
      <c r="N566" s="2"/>
      <c r="O566" s="2"/>
    </row>
    <row r="567" spans="1:17" x14ac:dyDescent="0.25">
      <c r="B567" s="2057" t="s">
        <v>397</v>
      </c>
      <c r="C567" s="2058"/>
      <c r="D567" s="2058"/>
      <c r="E567" s="2059">
        <f>+E560+O568</f>
        <v>52000</v>
      </c>
      <c r="F567" s="2060"/>
      <c r="G567" s="2061" t="s">
        <v>404</v>
      </c>
      <c r="H567" s="2058"/>
      <c r="I567" s="2058"/>
      <c r="J567" s="2059">
        <f>+J560-O567</f>
        <v>19000</v>
      </c>
      <c r="K567" s="2062"/>
      <c r="L567" s="1066"/>
      <c r="M567" s="2063" t="s">
        <v>2</v>
      </c>
      <c r="N567" s="2063"/>
      <c r="O567" s="2064">
        <v>6000</v>
      </c>
      <c r="P567" s="2064"/>
    </row>
    <row r="568" spans="1:17" x14ac:dyDescent="0.25">
      <c r="B568" s="2035" t="s">
        <v>403</v>
      </c>
      <c r="C568" s="2034"/>
      <c r="D568" s="2034"/>
      <c r="E568" s="1940">
        <f>+E561</f>
        <v>85000</v>
      </c>
      <c r="F568" s="1926"/>
      <c r="G568" s="2033" t="s">
        <v>399</v>
      </c>
      <c r="H568" s="2034"/>
      <c r="I568" s="2034"/>
      <c r="J568" s="2012">
        <f>+J561</f>
        <v>0</v>
      </c>
      <c r="K568" s="2066"/>
      <c r="L568" s="1066"/>
      <c r="M568" s="2055" t="s">
        <v>1549</v>
      </c>
      <c r="N568" s="2055"/>
      <c r="O568" s="2056">
        <f>-O567</f>
        <v>-6000</v>
      </c>
      <c r="P568" s="2056"/>
    </row>
    <row r="569" spans="1:17" ht="15" customHeight="1" x14ac:dyDescent="0.25">
      <c r="B569" s="2035" t="s">
        <v>19</v>
      </c>
      <c r="C569" s="2034"/>
      <c r="D569" s="2034"/>
      <c r="E569" s="1940">
        <f>+E562</f>
        <v>5000</v>
      </c>
      <c r="F569" s="1926"/>
      <c r="G569" s="2043" t="s">
        <v>506</v>
      </c>
      <c r="H569" s="2044"/>
      <c r="I569" s="2044"/>
      <c r="J569" s="2045">
        <f>+J562</f>
        <v>93000</v>
      </c>
      <c r="K569" s="2046"/>
      <c r="L569" s="1066"/>
      <c r="M569" s="996"/>
      <c r="N569" s="996"/>
    </row>
    <row r="570" spans="1:17" x14ac:dyDescent="0.25">
      <c r="B570" s="1067"/>
      <c r="C570" s="28"/>
      <c r="D570" s="28"/>
      <c r="E570" s="2042" t="s">
        <v>655</v>
      </c>
      <c r="F570" s="2047"/>
      <c r="G570" s="2033" t="s">
        <v>7</v>
      </c>
      <c r="H570" s="2034"/>
      <c r="I570" s="2034"/>
      <c r="J570" s="2012">
        <f>+J563</f>
        <v>30000</v>
      </c>
      <c r="K570" s="2066"/>
      <c r="L570" s="1066"/>
      <c r="M570" s="996"/>
      <c r="N570" s="996"/>
    </row>
    <row r="571" spans="1:17" ht="15.75" thickBot="1" x14ac:dyDescent="0.3">
      <c r="B571" s="2036" t="s">
        <v>427</v>
      </c>
      <c r="C571" s="2037"/>
      <c r="D571" s="2037"/>
      <c r="E571" s="2038">
        <f>+SUM(E567:F570)</f>
        <v>142000</v>
      </c>
      <c r="F571" s="2039"/>
      <c r="G571" s="2040" t="s">
        <v>1533</v>
      </c>
      <c r="H571" s="2037"/>
      <c r="I571" s="2037"/>
      <c r="J571" s="2038">
        <f>+SUM(J567:K570)</f>
        <v>142000</v>
      </c>
      <c r="K571" s="2041"/>
      <c r="L571" s="1066"/>
      <c r="M571" s="996"/>
      <c r="N571" s="996"/>
    </row>
    <row r="572" spans="1:17" x14ac:dyDescent="0.25">
      <c r="B572" s="1075"/>
      <c r="C572" s="1075"/>
      <c r="D572" s="1075"/>
      <c r="E572" s="1074"/>
      <c r="F572" s="1074"/>
      <c r="G572" s="1075"/>
      <c r="H572" s="1075"/>
      <c r="I572" s="1075"/>
      <c r="J572" s="1074"/>
      <c r="K572" s="1074"/>
      <c r="L572" s="1066"/>
      <c r="M572" s="996"/>
      <c r="N572" s="996"/>
    </row>
    <row r="573" spans="1:17" x14ac:dyDescent="0.25">
      <c r="B573" s="1075"/>
      <c r="C573" s="1075"/>
      <c r="D573" s="1075"/>
      <c r="E573" s="1074"/>
      <c r="F573" s="1074"/>
      <c r="G573" s="2067" t="s">
        <v>1548</v>
      </c>
      <c r="H573" s="2067"/>
      <c r="I573" s="2067"/>
      <c r="J573" s="2067"/>
      <c r="K573" s="2067"/>
      <c r="L573" s="1066"/>
      <c r="M573" s="996"/>
      <c r="N573" s="996"/>
    </row>
    <row r="574" spans="1:17" s="4" customFormat="1" x14ac:dyDescent="0.25">
      <c r="B574" s="1075"/>
      <c r="C574" s="1075"/>
      <c r="D574" s="1075"/>
      <c r="E574" s="1074"/>
      <c r="F574" s="1074"/>
      <c r="G574" s="1075"/>
      <c r="H574" s="1075"/>
      <c r="I574" s="1075"/>
      <c r="J574" s="1074"/>
      <c r="K574" s="1074"/>
      <c r="L574" s="1073"/>
      <c r="M574" s="994"/>
      <c r="N574" s="994"/>
      <c r="O574" s="18"/>
      <c r="P574" s="18"/>
    </row>
    <row r="575" spans="1:17" x14ac:dyDescent="0.25">
      <c r="A575" s="4"/>
      <c r="B575" s="1075"/>
      <c r="C575" s="1075"/>
      <c r="D575" s="1075"/>
      <c r="E575" s="1074"/>
      <c r="F575" s="1074"/>
      <c r="G575" s="1075"/>
      <c r="H575" s="1075"/>
      <c r="I575" s="1075"/>
      <c r="J575" s="1074"/>
      <c r="K575" s="1074"/>
      <c r="L575" s="1073"/>
      <c r="M575" s="994"/>
      <c r="N575" s="994"/>
      <c r="O575" s="18"/>
      <c r="P575" s="18"/>
      <c r="Q575" s="4"/>
    </row>
    <row r="576" spans="1:17" x14ac:dyDescent="0.25">
      <c r="B576" s="2"/>
      <c r="C576" s="2"/>
      <c r="D576" s="2"/>
      <c r="E576" s="2"/>
      <c r="F576" s="2"/>
      <c r="G576" s="4"/>
      <c r="H576" s="4"/>
      <c r="I576" s="4"/>
      <c r="J576" s="2042"/>
      <c r="K576" s="2042"/>
      <c r="M576" s="996"/>
      <c r="N576" s="996"/>
    </row>
    <row r="577" spans="2:16" ht="15.75" thickBot="1" x14ac:dyDescent="0.3">
      <c r="B577" s="2054" t="s">
        <v>1547</v>
      </c>
      <c r="C577" s="2054"/>
      <c r="D577" s="2054"/>
      <c r="E577" s="2054"/>
      <c r="F577" s="2054"/>
      <c r="G577" s="2054"/>
      <c r="H577" s="2054"/>
      <c r="I577" s="2054"/>
      <c r="J577" s="2054"/>
      <c r="K577" s="2054"/>
      <c r="L577" s="1069"/>
      <c r="M577" s="2"/>
      <c r="N577" s="2"/>
      <c r="O577" s="2"/>
    </row>
    <row r="578" spans="2:16" x14ac:dyDescent="0.25">
      <c r="B578" s="2057" t="s">
        <v>397</v>
      </c>
      <c r="C578" s="2058"/>
      <c r="D578" s="2058"/>
      <c r="E578" s="2059">
        <f>+E567</f>
        <v>52000</v>
      </c>
      <c r="F578" s="2060"/>
      <c r="G578" s="2061" t="s">
        <v>404</v>
      </c>
      <c r="H578" s="2058"/>
      <c r="I578" s="2058"/>
      <c r="J578" s="2059">
        <f>+J567-O579</f>
        <v>19100</v>
      </c>
      <c r="K578" s="2062"/>
      <c r="L578" s="1066"/>
      <c r="M578" s="2063" t="s">
        <v>1546</v>
      </c>
      <c r="N578" s="2063"/>
      <c r="O578" s="2064">
        <v>100</v>
      </c>
      <c r="P578" s="2064"/>
    </row>
    <row r="579" spans="2:16" x14ac:dyDescent="0.25">
      <c r="B579" s="2035" t="s">
        <v>403</v>
      </c>
      <c r="C579" s="2034"/>
      <c r="D579" s="2034"/>
      <c r="E579" s="1940">
        <f>+E568</f>
        <v>85000</v>
      </c>
      <c r="F579" s="1926"/>
      <c r="G579" s="2033" t="s">
        <v>399</v>
      </c>
      <c r="H579" s="2034"/>
      <c r="I579" s="2034"/>
      <c r="J579" s="2012">
        <f>+J568</f>
        <v>0</v>
      </c>
      <c r="K579" s="2066"/>
      <c r="L579" s="1066"/>
      <c r="M579" s="2055" t="s">
        <v>2</v>
      </c>
      <c r="N579" s="2055"/>
      <c r="O579" s="2056">
        <f>-O578</f>
        <v>-100</v>
      </c>
      <c r="P579" s="2056"/>
    </row>
    <row r="580" spans="2:16" ht="15" customHeight="1" x14ac:dyDescent="0.25">
      <c r="B580" s="2035" t="s">
        <v>19</v>
      </c>
      <c r="C580" s="2034"/>
      <c r="D580" s="2034"/>
      <c r="E580" s="1940">
        <f>+E569</f>
        <v>5000</v>
      </c>
      <c r="F580" s="1926"/>
      <c r="G580" s="2043" t="s">
        <v>506</v>
      </c>
      <c r="H580" s="2044"/>
      <c r="I580" s="2044"/>
      <c r="J580" s="2045">
        <f>+J569</f>
        <v>93000</v>
      </c>
      <c r="K580" s="2046"/>
      <c r="L580" s="1066"/>
      <c r="M580" s="1065"/>
      <c r="N580" s="1065"/>
      <c r="O580" s="1064"/>
      <c r="P580" s="1064"/>
    </row>
    <row r="581" spans="2:16" x14ac:dyDescent="0.25">
      <c r="B581" s="1067"/>
      <c r="C581" s="28"/>
      <c r="D581" s="28"/>
      <c r="E581" s="2042" t="s">
        <v>655</v>
      </c>
      <c r="F581" s="2047"/>
      <c r="G581" s="2033" t="s">
        <v>7</v>
      </c>
      <c r="H581" s="2034"/>
      <c r="I581" s="2034"/>
      <c r="J581" s="2012">
        <f>+J570-O578</f>
        <v>29900</v>
      </c>
      <c r="K581" s="2066"/>
      <c r="L581" s="1066"/>
      <c r="M581" s="1065"/>
      <c r="N581" s="1065"/>
      <c r="O581" s="1064"/>
      <c r="P581" s="1064"/>
    </row>
    <row r="582" spans="2:16" ht="15.75" thickBot="1" x14ac:dyDescent="0.3">
      <c r="B582" s="2036" t="s">
        <v>427</v>
      </c>
      <c r="C582" s="2037"/>
      <c r="D582" s="2037"/>
      <c r="E582" s="2038">
        <f>+SUM(E578:F581)</f>
        <v>142000</v>
      </c>
      <c r="F582" s="2039"/>
      <c r="G582" s="2040" t="s">
        <v>1533</v>
      </c>
      <c r="H582" s="2037"/>
      <c r="I582" s="2037"/>
      <c r="J582" s="2038">
        <f>+SUM(J578:K581)</f>
        <v>142000</v>
      </c>
      <c r="K582" s="2041"/>
      <c r="L582" s="1066"/>
      <c r="M582" s="1065"/>
      <c r="N582" s="1065"/>
      <c r="O582" s="1064"/>
      <c r="P582" s="1064"/>
    </row>
    <row r="583" spans="2:16" x14ac:dyDescent="0.25">
      <c r="B583" s="2"/>
      <c r="C583" s="2"/>
      <c r="D583" s="2"/>
      <c r="E583" s="2"/>
      <c r="F583" s="2"/>
      <c r="G583" s="4"/>
      <c r="H583" s="4"/>
      <c r="I583" s="4"/>
      <c r="J583" s="2042"/>
      <c r="K583" s="2042"/>
      <c r="M583" s="1065"/>
      <c r="N583" s="1065"/>
      <c r="O583" s="1064"/>
      <c r="P583" s="1064"/>
    </row>
    <row r="584" spans="2:16" ht="15.75" thickBot="1" x14ac:dyDescent="0.3">
      <c r="B584" s="2054" t="s">
        <v>1545</v>
      </c>
      <c r="C584" s="2054"/>
      <c r="D584" s="2054"/>
      <c r="E584" s="2054"/>
      <c r="F584" s="2054"/>
      <c r="G584" s="2054"/>
      <c r="H584" s="2054"/>
      <c r="I584" s="2054"/>
      <c r="J584" s="2054"/>
      <c r="K584" s="2054"/>
      <c r="L584" s="1069"/>
      <c r="M584" s="1068"/>
      <c r="N584" s="1068"/>
      <c r="O584" s="1068"/>
      <c r="P584" s="1064"/>
    </row>
    <row r="585" spans="2:16" x14ac:dyDescent="0.25">
      <c r="B585" s="2057" t="s">
        <v>397</v>
      </c>
      <c r="C585" s="2058"/>
      <c r="D585" s="2058"/>
      <c r="E585" s="2059">
        <f>+E578+O586</f>
        <v>42000</v>
      </c>
      <c r="F585" s="2060"/>
      <c r="G585" s="2061" t="s">
        <v>404</v>
      </c>
      <c r="H585" s="2058"/>
      <c r="I585" s="2058"/>
      <c r="J585" s="2059">
        <f>+J578</f>
        <v>19100</v>
      </c>
      <c r="K585" s="2062"/>
      <c r="L585" s="1072"/>
      <c r="M585" s="2063" t="s">
        <v>297</v>
      </c>
      <c r="N585" s="2063"/>
      <c r="O585" s="2064">
        <v>10000</v>
      </c>
      <c r="P585" s="2064"/>
    </row>
    <row r="586" spans="2:16" x14ac:dyDescent="0.25">
      <c r="B586" s="2035" t="s">
        <v>403</v>
      </c>
      <c r="C586" s="2034"/>
      <c r="D586" s="2034"/>
      <c r="E586" s="1940">
        <f>+E579</f>
        <v>85000</v>
      </c>
      <c r="F586" s="1926"/>
      <c r="G586" s="2033" t="s">
        <v>399</v>
      </c>
      <c r="H586" s="2034"/>
      <c r="I586" s="2034"/>
      <c r="J586" s="1940">
        <f>-O588</f>
        <v>2400</v>
      </c>
      <c r="K586" s="1929"/>
      <c r="L586" s="1072"/>
      <c r="M586" s="2055" t="s">
        <v>1544</v>
      </c>
      <c r="N586" s="2055"/>
      <c r="O586" s="2056">
        <f>-O585</f>
        <v>-10000</v>
      </c>
      <c r="P586" s="2056"/>
    </row>
    <row r="587" spans="2:16" ht="15" customHeight="1" x14ac:dyDescent="0.25">
      <c r="B587" s="2035" t="s">
        <v>19</v>
      </c>
      <c r="C587" s="2034"/>
      <c r="D587" s="2034"/>
      <c r="E587" s="1940">
        <f>+E580</f>
        <v>5000</v>
      </c>
      <c r="F587" s="1926"/>
      <c r="G587" s="2043" t="s">
        <v>506</v>
      </c>
      <c r="H587" s="2044"/>
      <c r="I587" s="2044"/>
      <c r="J587" s="2045">
        <f>+J580</f>
        <v>93000</v>
      </c>
      <c r="K587" s="2046"/>
      <c r="L587" s="1072"/>
      <c r="M587" s="2063" t="s">
        <v>1543</v>
      </c>
      <c r="N587" s="2063"/>
      <c r="O587" s="2064">
        <v>2400</v>
      </c>
      <c r="P587" s="2064"/>
    </row>
    <row r="588" spans="2:16" ht="15" customHeight="1" x14ac:dyDescent="0.25">
      <c r="B588" s="1067"/>
      <c r="C588" s="28"/>
      <c r="D588" s="28"/>
      <c r="E588" s="2042" t="s">
        <v>655</v>
      </c>
      <c r="F588" s="2047"/>
      <c r="G588" s="2033" t="s">
        <v>7</v>
      </c>
      <c r="H588" s="2034"/>
      <c r="I588" s="2034"/>
      <c r="J588" s="1940">
        <f>+J581-O585-O587</f>
        <v>17500</v>
      </c>
      <c r="K588" s="1929"/>
      <c r="L588" s="1072"/>
      <c r="M588" s="2055" t="s">
        <v>1542</v>
      </c>
      <c r="N588" s="2055"/>
      <c r="O588" s="2056">
        <f>-O587</f>
        <v>-2400</v>
      </c>
      <c r="P588" s="2056"/>
    </row>
    <row r="589" spans="2:16" ht="15.75" thickBot="1" x14ac:dyDescent="0.3">
      <c r="B589" s="2036" t="s">
        <v>427</v>
      </c>
      <c r="C589" s="2037"/>
      <c r="D589" s="2037"/>
      <c r="E589" s="2038">
        <f>+SUM(E585:F588)</f>
        <v>132000</v>
      </c>
      <c r="F589" s="2039"/>
      <c r="G589" s="2040" t="s">
        <v>1533</v>
      </c>
      <c r="H589" s="2037"/>
      <c r="I589" s="2037"/>
      <c r="J589" s="2038">
        <f>+SUM(J585:K588)</f>
        <v>132000</v>
      </c>
      <c r="K589" s="2041"/>
      <c r="L589" s="1066"/>
      <c r="M589" s="1071"/>
      <c r="N589" s="1071"/>
      <c r="O589" s="1070"/>
      <c r="P589" s="1070"/>
    </row>
    <row r="590" spans="2:16" x14ac:dyDescent="0.25">
      <c r="B590" s="2"/>
      <c r="C590" s="2"/>
      <c r="D590" s="2"/>
      <c r="E590" s="2"/>
      <c r="F590" s="2"/>
      <c r="G590" s="4"/>
      <c r="H590" s="4"/>
      <c r="I590" s="4"/>
      <c r="J590" s="2042"/>
      <c r="K590" s="2042"/>
      <c r="M590" s="1065"/>
      <c r="N590" s="1065"/>
      <c r="O590" s="1064"/>
      <c r="P590" s="1064"/>
    </row>
    <row r="591" spans="2:16" ht="15.75" thickBot="1" x14ac:dyDescent="0.3">
      <c r="B591" s="2054" t="s">
        <v>1541</v>
      </c>
      <c r="C591" s="2054"/>
      <c r="D591" s="2054"/>
      <c r="E591" s="2054"/>
      <c r="F591" s="2054"/>
      <c r="G591" s="2054"/>
      <c r="H591" s="2054"/>
      <c r="I591" s="2054"/>
      <c r="J591" s="2054"/>
      <c r="K591" s="2054"/>
      <c r="L591" s="1069"/>
      <c r="M591" s="1068"/>
      <c r="N591" s="1068"/>
      <c r="O591" s="1068"/>
      <c r="P591" s="1064"/>
    </row>
    <row r="592" spans="2:16" x14ac:dyDescent="0.25">
      <c r="B592" s="2057" t="s">
        <v>397</v>
      </c>
      <c r="C592" s="2058"/>
      <c r="D592" s="2058"/>
      <c r="E592" s="2059">
        <f>+E585+O592</f>
        <v>54000</v>
      </c>
      <c r="F592" s="2060"/>
      <c r="G592" s="2061" t="s">
        <v>404</v>
      </c>
      <c r="H592" s="2058"/>
      <c r="I592" s="2058"/>
      <c r="J592" s="2059">
        <f>+J585</f>
        <v>19100</v>
      </c>
      <c r="K592" s="2062"/>
      <c r="L592" s="1066"/>
      <c r="M592" s="2063" t="s">
        <v>1540</v>
      </c>
      <c r="N592" s="2063"/>
      <c r="O592" s="2064">
        <v>12000</v>
      </c>
      <c r="P592" s="2064"/>
    </row>
    <row r="593" spans="2:16" x14ac:dyDescent="0.25">
      <c r="B593" s="2035" t="s">
        <v>403</v>
      </c>
      <c r="C593" s="2034"/>
      <c r="D593" s="2034"/>
      <c r="E593" s="1940">
        <f>+E586+O593</f>
        <v>73000</v>
      </c>
      <c r="F593" s="1926"/>
      <c r="G593" s="2033" t="s">
        <v>399</v>
      </c>
      <c r="H593" s="2034"/>
      <c r="I593" s="2034"/>
      <c r="J593" s="1940">
        <f>+J586</f>
        <v>2400</v>
      </c>
      <c r="K593" s="1929"/>
      <c r="L593" s="1066"/>
      <c r="M593" s="2055" t="s">
        <v>1539</v>
      </c>
      <c r="N593" s="2055"/>
      <c r="O593" s="2056">
        <f>-O592</f>
        <v>-12000</v>
      </c>
      <c r="P593" s="2056"/>
    </row>
    <row r="594" spans="2:16" ht="15" customHeight="1" x14ac:dyDescent="0.25">
      <c r="B594" s="2035" t="s">
        <v>19</v>
      </c>
      <c r="C594" s="2034"/>
      <c r="D594" s="2034"/>
      <c r="E594" s="1940">
        <f>+E587</f>
        <v>5000</v>
      </c>
      <c r="F594" s="1926"/>
      <c r="G594" s="2043" t="s">
        <v>506</v>
      </c>
      <c r="H594" s="2044"/>
      <c r="I594" s="2044"/>
      <c r="J594" s="2045">
        <f>+J587</f>
        <v>93000</v>
      </c>
      <c r="K594" s="2046"/>
      <c r="L594" s="1066"/>
      <c r="M594" s="1065"/>
      <c r="N594" s="1065"/>
      <c r="O594" s="1064"/>
      <c r="P594" s="1064"/>
    </row>
    <row r="595" spans="2:16" x14ac:dyDescent="0.25">
      <c r="B595" s="1067"/>
      <c r="C595" s="28"/>
      <c r="D595" s="28"/>
      <c r="E595" s="2042" t="s">
        <v>655</v>
      </c>
      <c r="F595" s="2047"/>
      <c r="G595" s="2033" t="s">
        <v>7</v>
      </c>
      <c r="H595" s="2034"/>
      <c r="I595" s="2034"/>
      <c r="J595" s="1940">
        <f>+J588</f>
        <v>17500</v>
      </c>
      <c r="K595" s="1929"/>
      <c r="L595" s="1066"/>
      <c r="M595" s="1065"/>
      <c r="N595" s="1065"/>
      <c r="O595" s="1064"/>
      <c r="P595" s="1064"/>
    </row>
    <row r="596" spans="2:16" ht="15.75" thickBot="1" x14ac:dyDescent="0.3">
      <c r="B596" s="2036" t="s">
        <v>427</v>
      </c>
      <c r="C596" s="2037"/>
      <c r="D596" s="2037"/>
      <c r="E596" s="2038">
        <f>+SUM(E592:F595)</f>
        <v>132000</v>
      </c>
      <c r="F596" s="2039"/>
      <c r="G596" s="2040" t="s">
        <v>1533</v>
      </c>
      <c r="H596" s="2037"/>
      <c r="I596" s="2037"/>
      <c r="J596" s="2038">
        <f>+SUM(J592:K595)</f>
        <v>132000</v>
      </c>
      <c r="K596" s="2041"/>
      <c r="L596" s="1066"/>
      <c r="M596" s="1065"/>
      <c r="N596" s="1065"/>
      <c r="O596" s="1064"/>
      <c r="P596" s="1064"/>
    </row>
    <row r="597" spans="2:16" x14ac:dyDescent="0.25">
      <c r="B597" s="2"/>
      <c r="C597" s="2"/>
      <c r="D597" s="2"/>
      <c r="E597" s="2"/>
      <c r="F597" s="2"/>
      <c r="G597" s="4"/>
      <c r="H597" s="4"/>
      <c r="I597" s="4"/>
      <c r="J597" s="2042"/>
      <c r="K597" s="2042"/>
      <c r="M597" s="1065"/>
      <c r="N597" s="1065"/>
      <c r="O597" s="1064"/>
      <c r="P597" s="1064"/>
    </row>
    <row r="598" spans="2:16" ht="15.75" thickBot="1" x14ac:dyDescent="0.3">
      <c r="B598" s="2054" t="s">
        <v>1538</v>
      </c>
      <c r="C598" s="2054"/>
      <c r="D598" s="2054"/>
      <c r="E598" s="2054"/>
      <c r="F598" s="2054"/>
      <c r="G598" s="2054"/>
      <c r="H598" s="2054"/>
      <c r="I598" s="2054"/>
      <c r="J598" s="2054"/>
      <c r="K598" s="2054"/>
      <c r="L598" s="1069"/>
      <c r="M598" s="1068"/>
      <c r="N598" s="1068"/>
      <c r="O598" s="1068"/>
      <c r="P598" s="1064"/>
    </row>
    <row r="599" spans="2:16" x14ac:dyDescent="0.25">
      <c r="B599" s="2057" t="s">
        <v>397</v>
      </c>
      <c r="C599" s="2058"/>
      <c r="D599" s="2058"/>
      <c r="E599" s="2059">
        <f>+E592+O600</f>
        <v>53950</v>
      </c>
      <c r="F599" s="2060"/>
      <c r="G599" s="2061" t="s">
        <v>404</v>
      </c>
      <c r="H599" s="2058"/>
      <c r="I599" s="2058"/>
      <c r="J599" s="2059">
        <f>+J592</f>
        <v>19100</v>
      </c>
      <c r="K599" s="2062"/>
      <c r="L599" s="1066"/>
      <c r="M599" s="2065" t="s">
        <v>1537</v>
      </c>
      <c r="N599" s="2065"/>
      <c r="O599" s="2064">
        <v>50</v>
      </c>
      <c r="P599" s="2064"/>
    </row>
    <row r="600" spans="2:16" x14ac:dyDescent="0.25">
      <c r="B600" s="2035" t="s">
        <v>403</v>
      </c>
      <c r="C600" s="2034"/>
      <c r="D600" s="2034"/>
      <c r="E600" s="1940">
        <f>+E593</f>
        <v>73000</v>
      </c>
      <c r="F600" s="1926"/>
      <c r="G600" s="2033" t="s">
        <v>399</v>
      </c>
      <c r="H600" s="2034"/>
      <c r="I600" s="2034"/>
      <c r="J600" s="1940">
        <f>+J593</f>
        <v>2400</v>
      </c>
      <c r="K600" s="1929"/>
      <c r="L600" s="1066"/>
      <c r="M600" s="2055" t="s">
        <v>10</v>
      </c>
      <c r="N600" s="2055"/>
      <c r="O600" s="2056">
        <f>-O599</f>
        <v>-50</v>
      </c>
      <c r="P600" s="2056"/>
    </row>
    <row r="601" spans="2:16" ht="15" customHeight="1" x14ac:dyDescent="0.25">
      <c r="B601" s="2035" t="s">
        <v>19</v>
      </c>
      <c r="C601" s="2034"/>
      <c r="D601" s="2034"/>
      <c r="E601" s="1940">
        <f>+E594</f>
        <v>5000</v>
      </c>
      <c r="F601" s="1926"/>
      <c r="G601" s="2043" t="s">
        <v>506</v>
      </c>
      <c r="H601" s="2044"/>
      <c r="I601" s="2044"/>
      <c r="J601" s="2045">
        <f>+J594</f>
        <v>93000</v>
      </c>
      <c r="K601" s="2046"/>
      <c r="L601" s="1066"/>
      <c r="M601" s="1065"/>
      <c r="N601" s="1065"/>
      <c r="O601" s="1064"/>
      <c r="P601" s="1064"/>
    </row>
    <row r="602" spans="2:16" x14ac:dyDescent="0.25">
      <c r="B602" s="1067"/>
      <c r="C602" s="28"/>
      <c r="D602" s="28"/>
      <c r="E602" s="2042" t="s">
        <v>655</v>
      </c>
      <c r="F602" s="2047"/>
      <c r="G602" s="2033" t="s">
        <v>7</v>
      </c>
      <c r="H602" s="2034"/>
      <c r="I602" s="2034"/>
      <c r="J602" s="1940">
        <f>+J595-O599</f>
        <v>17450</v>
      </c>
      <c r="K602" s="1929"/>
      <c r="L602" s="1066"/>
      <c r="M602" s="1065"/>
      <c r="N602" s="1065"/>
      <c r="O602" s="1064"/>
      <c r="P602" s="1064"/>
    </row>
    <row r="603" spans="2:16" ht="15.75" thickBot="1" x14ac:dyDescent="0.3">
      <c r="B603" s="2036" t="s">
        <v>427</v>
      </c>
      <c r="C603" s="2037"/>
      <c r="D603" s="2037"/>
      <c r="E603" s="2038">
        <f>+SUM(E599:F602)</f>
        <v>131950</v>
      </c>
      <c r="F603" s="2039"/>
      <c r="G603" s="2040" t="s">
        <v>1533</v>
      </c>
      <c r="H603" s="2037"/>
      <c r="I603" s="2037"/>
      <c r="J603" s="2038">
        <f>+SUM(J599:K602)</f>
        <v>131950</v>
      </c>
      <c r="K603" s="2041"/>
      <c r="L603" s="1066"/>
      <c r="M603" s="1065"/>
      <c r="N603" s="1065"/>
      <c r="O603" s="1064"/>
      <c r="P603" s="1064"/>
    </row>
    <row r="604" spans="2:16" x14ac:dyDescent="0.25">
      <c r="B604" s="2"/>
      <c r="C604" s="2"/>
      <c r="D604" s="2"/>
      <c r="E604" s="2"/>
      <c r="F604" s="2"/>
      <c r="G604" s="4"/>
      <c r="H604" s="4"/>
      <c r="I604" s="4"/>
      <c r="J604" s="2042"/>
      <c r="K604" s="2042"/>
      <c r="M604" s="1065"/>
      <c r="N604" s="1065"/>
      <c r="O604" s="1064"/>
      <c r="P604" s="1064"/>
    </row>
    <row r="605" spans="2:16" ht="15.75" thickBot="1" x14ac:dyDescent="0.3">
      <c r="B605" s="2054" t="s">
        <v>1536</v>
      </c>
      <c r="C605" s="2054"/>
      <c r="D605" s="2054"/>
      <c r="E605" s="2054"/>
      <c r="F605" s="2054"/>
      <c r="G605" s="2054"/>
      <c r="H605" s="2054"/>
      <c r="I605" s="2054"/>
      <c r="J605" s="2054"/>
      <c r="K605" s="2054"/>
      <c r="L605" s="1069"/>
      <c r="M605" s="1068"/>
      <c r="N605" s="1068"/>
      <c r="O605" s="1068"/>
      <c r="P605" s="1064"/>
    </row>
    <row r="606" spans="2:16" x14ac:dyDescent="0.25">
      <c r="B606" s="2057" t="s">
        <v>397</v>
      </c>
      <c r="C606" s="2058"/>
      <c r="D606" s="2058"/>
      <c r="E606" s="2059">
        <f>+E599</f>
        <v>53950</v>
      </c>
      <c r="F606" s="2060"/>
      <c r="G606" s="2061" t="s">
        <v>404</v>
      </c>
      <c r="H606" s="2058"/>
      <c r="I606" s="2058"/>
      <c r="J606" s="2059">
        <f>+J599-O607</f>
        <v>19800</v>
      </c>
      <c r="K606" s="2062"/>
      <c r="L606" s="1066"/>
      <c r="M606" s="2063" t="s">
        <v>1535</v>
      </c>
      <c r="N606" s="2063"/>
      <c r="O606" s="2064">
        <v>700</v>
      </c>
      <c r="P606" s="2064"/>
    </row>
    <row r="607" spans="2:16" x14ac:dyDescent="0.25">
      <c r="B607" s="2035" t="s">
        <v>403</v>
      </c>
      <c r="C607" s="2034"/>
      <c r="D607" s="2034"/>
      <c r="E607" s="1940">
        <f>+E600</f>
        <v>73000</v>
      </c>
      <c r="F607" s="1926"/>
      <c r="G607" s="2033" t="s">
        <v>399</v>
      </c>
      <c r="H607" s="2034"/>
      <c r="I607" s="2034"/>
      <c r="J607" s="1940">
        <f>+J600</f>
        <v>2400</v>
      </c>
      <c r="K607" s="1929"/>
      <c r="L607" s="1066"/>
      <c r="M607" s="2055" t="s">
        <v>1534</v>
      </c>
      <c r="N607" s="2055"/>
      <c r="O607" s="2056">
        <f>-O606</f>
        <v>-700</v>
      </c>
      <c r="P607" s="2056"/>
    </row>
    <row r="608" spans="2:16" ht="15" customHeight="1" x14ac:dyDescent="0.25">
      <c r="B608" s="2035" t="s">
        <v>19</v>
      </c>
      <c r="C608" s="2034"/>
      <c r="D608" s="2034"/>
      <c r="E608" s="1940">
        <f>+E601</f>
        <v>5000</v>
      </c>
      <c r="F608" s="1926"/>
      <c r="G608" s="2043" t="s">
        <v>506</v>
      </c>
      <c r="H608" s="2044"/>
      <c r="I608" s="2044"/>
      <c r="J608" s="2045">
        <f>+J601</f>
        <v>93000</v>
      </c>
      <c r="K608" s="2046"/>
      <c r="L608" s="1066"/>
      <c r="M608" s="1065"/>
      <c r="N608" s="1065"/>
      <c r="O608" s="1064"/>
      <c r="P608" s="1064"/>
    </row>
    <row r="609" spans="2:16" x14ac:dyDescent="0.25">
      <c r="B609" s="1067"/>
      <c r="C609" s="28"/>
      <c r="D609" s="28"/>
      <c r="E609" s="2042" t="s">
        <v>655</v>
      </c>
      <c r="F609" s="2047"/>
      <c r="G609" s="2033" t="s">
        <v>7</v>
      </c>
      <c r="H609" s="2034"/>
      <c r="I609" s="2034"/>
      <c r="J609" s="1940">
        <f>+J602-O606</f>
        <v>16750</v>
      </c>
      <c r="K609" s="1929"/>
      <c r="L609" s="1066"/>
      <c r="M609" s="1065"/>
      <c r="N609" s="1065"/>
      <c r="O609" s="1064"/>
      <c r="P609" s="1064"/>
    </row>
    <row r="610" spans="2:16" ht="15.75" thickBot="1" x14ac:dyDescent="0.3">
      <c r="B610" s="2036" t="s">
        <v>427</v>
      </c>
      <c r="C610" s="2037"/>
      <c r="D610" s="2037"/>
      <c r="E610" s="2038">
        <f>+SUM(E606:F609)</f>
        <v>131950</v>
      </c>
      <c r="F610" s="2039"/>
      <c r="G610" s="2040" t="s">
        <v>1533</v>
      </c>
      <c r="H610" s="2037"/>
      <c r="I610" s="2037"/>
      <c r="J610" s="2038">
        <f>+SUM(J606:K609)</f>
        <v>131950</v>
      </c>
      <c r="K610" s="2041"/>
      <c r="L610" s="1066"/>
      <c r="M610" s="1065"/>
      <c r="N610" s="1065"/>
      <c r="O610" s="1064"/>
      <c r="P610" s="1064"/>
    </row>
    <row r="611" spans="2:16" ht="4.5" customHeight="1" x14ac:dyDescent="0.25">
      <c r="B611" s="2"/>
      <c r="C611" s="2"/>
      <c r="D611" s="2"/>
      <c r="E611" s="2"/>
      <c r="F611" s="2"/>
      <c r="G611" s="4"/>
      <c r="H611" s="4"/>
      <c r="I611" s="4"/>
      <c r="J611" s="2042"/>
      <c r="K611" s="2042"/>
      <c r="M611" s="996"/>
      <c r="N611" s="996"/>
    </row>
    <row r="612" spans="2:16" s="4" customFormat="1" x14ac:dyDescent="0.25">
      <c r="B612" s="48"/>
      <c r="C612" s="48"/>
      <c r="D612" s="48"/>
      <c r="E612" s="1063"/>
      <c r="F612" s="1063"/>
      <c r="G612" s="468"/>
      <c r="H612" s="468"/>
      <c r="I612" s="468"/>
      <c r="J612" s="1063"/>
      <c r="K612" s="1063"/>
      <c r="M612" s="18"/>
      <c r="N612" s="18"/>
      <c r="O612" s="18"/>
      <c r="P612" s="18"/>
    </row>
    <row r="613" spans="2:16" s="4" customFormat="1" x14ac:dyDescent="0.25">
      <c r="B613" s="48"/>
      <c r="C613" s="48"/>
      <c r="D613" s="48"/>
      <c r="E613" s="1063"/>
      <c r="F613" s="1063"/>
      <c r="G613" s="468"/>
      <c r="H613" s="468"/>
      <c r="I613" s="468"/>
      <c r="J613" s="1063"/>
      <c r="K613" s="1063"/>
      <c r="M613" s="18"/>
      <c r="N613" s="18"/>
      <c r="O613" s="18"/>
      <c r="P613" s="18"/>
    </row>
    <row r="614" spans="2:16" s="4" customFormat="1" x14ac:dyDescent="0.25">
      <c r="B614" s="48"/>
      <c r="C614" s="48"/>
      <c r="D614" s="48"/>
      <c r="E614" s="1063"/>
      <c r="F614" s="1063"/>
      <c r="G614" s="468"/>
      <c r="H614" s="468"/>
      <c r="I614" s="468"/>
      <c r="J614" s="1063"/>
      <c r="K614" s="1063"/>
      <c r="M614" s="18"/>
      <c r="N614" s="18"/>
      <c r="O614" s="18"/>
      <c r="P614" s="18"/>
    </row>
    <row r="615" spans="2:16" s="4" customFormat="1" x14ac:dyDescent="0.25">
      <c r="B615" s="48"/>
      <c r="C615" s="48"/>
      <c r="D615" s="48"/>
      <c r="E615" s="1063"/>
      <c r="F615" s="1063"/>
      <c r="G615" s="468"/>
      <c r="H615" s="468"/>
      <c r="I615" s="468"/>
      <c r="J615" s="1063"/>
      <c r="K615" s="1063"/>
      <c r="M615" s="18"/>
      <c r="N615" s="18"/>
      <c r="O615" s="18"/>
      <c r="P615" s="18"/>
    </row>
    <row r="616" spans="2:16" s="4" customFormat="1" x14ac:dyDescent="0.25">
      <c r="B616" s="48"/>
      <c r="C616" s="48"/>
      <c r="D616" s="48"/>
      <c r="E616" s="1063"/>
      <c r="F616" s="1063"/>
      <c r="G616" s="468"/>
      <c r="H616" s="468"/>
      <c r="I616" s="468"/>
      <c r="J616" s="1063"/>
      <c r="K616" s="1063"/>
      <c r="M616" s="18"/>
      <c r="N616" s="18"/>
      <c r="O616" s="18"/>
      <c r="P616" s="18"/>
    </row>
    <row r="617" spans="2:16" s="4" customFormat="1" x14ac:dyDescent="0.25">
      <c r="B617" s="48"/>
      <c r="C617" s="48"/>
      <c r="D617" s="48"/>
      <c r="E617" s="1063"/>
      <c r="F617" s="1063"/>
      <c r="G617" s="468"/>
      <c r="H617" s="468"/>
      <c r="I617" s="468"/>
      <c r="J617" s="1063"/>
      <c r="K617" s="1063"/>
      <c r="M617" s="18"/>
      <c r="N617" s="18"/>
      <c r="O617" s="18"/>
      <c r="P617" s="18"/>
    </row>
    <row r="618" spans="2:16" s="4" customFormat="1" x14ac:dyDescent="0.25">
      <c r="B618" s="48"/>
      <c r="C618" s="48"/>
      <c r="D618" s="48"/>
      <c r="E618" s="1063"/>
      <c r="F618" s="1063"/>
      <c r="G618" s="468"/>
      <c r="H618" s="468"/>
      <c r="I618" s="468"/>
      <c r="J618" s="1063"/>
      <c r="K618" s="1063"/>
      <c r="M618" s="18"/>
      <c r="N618" s="18"/>
      <c r="O618" s="18"/>
      <c r="P618" s="18"/>
    </row>
    <row r="619" spans="2:16" s="4" customFormat="1" x14ac:dyDescent="0.25">
      <c r="B619" s="48"/>
      <c r="C619" s="48"/>
      <c r="D619" s="48"/>
      <c r="E619" s="1063"/>
      <c r="F619" s="1063"/>
      <c r="G619" s="468"/>
      <c r="H619" s="468"/>
      <c r="I619" s="468"/>
      <c r="J619" s="1063"/>
      <c r="K619" s="1063"/>
      <c r="M619" s="18"/>
      <c r="N619" s="18"/>
      <c r="O619" s="18"/>
      <c r="P619" s="18"/>
    </row>
    <row r="620" spans="2:16" s="4" customFormat="1" x14ac:dyDescent="0.25">
      <c r="B620" s="48"/>
      <c r="C620" s="48"/>
      <c r="D620" s="48"/>
      <c r="E620" s="1063"/>
      <c r="F620" s="1063"/>
      <c r="G620" s="468"/>
      <c r="H620" s="468"/>
      <c r="I620" s="468"/>
      <c r="J620" s="1063"/>
      <c r="K620" s="1063"/>
      <c r="M620" s="18"/>
      <c r="N620" s="18"/>
      <c r="O620" s="18"/>
      <c r="P620" s="18"/>
    </row>
    <row r="621" spans="2:16" s="4" customFormat="1" x14ac:dyDescent="0.25">
      <c r="B621" s="48"/>
      <c r="C621" s="48"/>
      <c r="D621" s="48"/>
      <c r="E621" s="1063"/>
      <c r="F621" s="1063"/>
      <c r="G621" s="468"/>
      <c r="H621" s="468"/>
      <c r="I621" s="468"/>
      <c r="J621" s="1063"/>
      <c r="K621" s="1063"/>
      <c r="M621" s="18"/>
      <c r="N621" s="18"/>
      <c r="O621" s="18"/>
      <c r="P621" s="18"/>
    </row>
    <row r="622" spans="2:16" s="4" customFormat="1" x14ac:dyDescent="0.25">
      <c r="B622" s="48"/>
      <c r="C622" s="48"/>
      <c r="D622" s="48"/>
      <c r="E622" s="1063"/>
      <c r="F622" s="1063"/>
      <c r="G622" s="468"/>
      <c r="H622" s="468"/>
      <c r="I622" s="468"/>
      <c r="J622" s="1063"/>
      <c r="K622" s="1063"/>
      <c r="M622" s="18"/>
      <c r="N622" s="18"/>
      <c r="O622" s="18"/>
      <c r="P622" s="18"/>
    </row>
    <row r="623" spans="2:16" s="4" customFormat="1" x14ac:dyDescent="0.25">
      <c r="B623" s="48"/>
      <c r="C623" s="48"/>
      <c r="D623" s="48"/>
      <c r="E623" s="1063"/>
      <c r="F623" s="1063"/>
      <c r="G623" s="468"/>
      <c r="H623" s="468"/>
      <c r="I623" s="468"/>
      <c r="J623" s="1063"/>
      <c r="K623" s="1063"/>
      <c r="M623" s="18"/>
      <c r="N623" s="18"/>
      <c r="O623" s="18"/>
      <c r="P623" s="18"/>
    </row>
    <row r="624" spans="2:16" s="4" customFormat="1" x14ac:dyDescent="0.25">
      <c r="B624" s="48"/>
      <c r="C624" s="48"/>
      <c r="D624" s="48"/>
      <c r="E624" s="1063"/>
      <c r="F624" s="1063"/>
      <c r="G624" s="468"/>
      <c r="H624" s="468"/>
      <c r="I624" s="468"/>
      <c r="J624" s="1063"/>
      <c r="K624" s="1063"/>
      <c r="M624" s="18"/>
      <c r="N624" s="18"/>
      <c r="O624" s="18"/>
      <c r="P624" s="18"/>
    </row>
    <row r="625" spans="2:16" s="4" customFormat="1" x14ac:dyDescent="0.25">
      <c r="B625" s="48"/>
      <c r="C625" s="48"/>
      <c r="D625" s="48"/>
      <c r="E625" s="1063"/>
      <c r="F625" s="1063"/>
      <c r="G625" s="468"/>
      <c r="H625" s="468"/>
      <c r="I625" s="468"/>
      <c r="J625" s="1063"/>
      <c r="K625" s="1063"/>
      <c r="M625" s="18"/>
      <c r="N625" s="18"/>
      <c r="O625" s="18"/>
      <c r="P625" s="18"/>
    </row>
    <row r="626" spans="2:16" s="4" customFormat="1" x14ac:dyDescent="0.25">
      <c r="B626" s="48"/>
      <c r="C626" s="48"/>
      <c r="D626" s="48"/>
      <c r="E626" s="1063"/>
      <c r="F626" s="1063"/>
      <c r="G626" s="468"/>
      <c r="H626" s="468"/>
      <c r="I626" s="468"/>
      <c r="J626" s="1063"/>
      <c r="K626" s="1063"/>
      <c r="M626" s="18"/>
      <c r="N626" s="18"/>
      <c r="O626" s="18"/>
      <c r="P626" s="18"/>
    </row>
    <row r="627" spans="2:16" s="4" customFormat="1" x14ac:dyDescent="0.25">
      <c r="B627" s="48"/>
      <c r="C627" s="48"/>
      <c r="D627" s="48"/>
      <c r="E627" s="1063"/>
      <c r="F627" s="1063"/>
      <c r="G627" s="468"/>
      <c r="H627" s="468"/>
      <c r="I627" s="468"/>
      <c r="J627" s="1063"/>
      <c r="K627" s="1063"/>
      <c r="M627" s="18"/>
      <c r="N627" s="18"/>
      <c r="O627" s="18"/>
      <c r="P627" s="18"/>
    </row>
    <row r="628" spans="2:16" s="4" customFormat="1" x14ac:dyDescent="0.25">
      <c r="B628" s="48"/>
      <c r="C628" s="48"/>
      <c r="D628" s="48"/>
      <c r="E628" s="1063"/>
      <c r="F628" s="1063"/>
      <c r="G628" s="468"/>
      <c r="H628" s="468"/>
      <c r="I628" s="468"/>
      <c r="J628" s="1063"/>
      <c r="K628" s="1063"/>
      <c r="M628" s="18"/>
      <c r="N628" s="18"/>
      <c r="O628" s="18"/>
      <c r="P628" s="18"/>
    </row>
    <row r="629" spans="2:16" s="4" customFormat="1" x14ac:dyDescent="0.25">
      <c r="B629" s="48"/>
      <c r="C629" s="48"/>
      <c r="D629" s="48"/>
      <c r="E629" s="1063"/>
      <c r="F629" s="1063"/>
      <c r="G629" s="468"/>
      <c r="H629" s="468"/>
      <c r="I629" s="468"/>
      <c r="J629" s="1063"/>
      <c r="K629" s="1063"/>
      <c r="M629" s="18"/>
      <c r="N629" s="18"/>
      <c r="O629" s="18"/>
      <c r="P629" s="18"/>
    </row>
    <row r="630" spans="2:16" s="4" customFormat="1" x14ac:dyDescent="0.25">
      <c r="B630" s="48"/>
      <c r="C630" s="48"/>
      <c r="D630" s="48"/>
      <c r="E630" s="1063"/>
      <c r="F630" s="1063"/>
      <c r="G630" s="468"/>
      <c r="H630" s="468"/>
      <c r="I630" s="468"/>
      <c r="J630" s="1063"/>
      <c r="K630" s="1063"/>
      <c r="M630" s="18"/>
      <c r="N630" s="18"/>
      <c r="O630" s="18"/>
      <c r="P630" s="18"/>
    </row>
    <row r="631" spans="2:16" s="4" customFormat="1" x14ac:dyDescent="0.25">
      <c r="B631" s="48"/>
      <c r="C631" s="48"/>
      <c r="D631" s="48"/>
      <c r="E631" s="1063"/>
      <c r="F631" s="1063"/>
      <c r="G631" s="468"/>
      <c r="H631" s="468"/>
      <c r="I631" s="468"/>
      <c r="J631" s="1063"/>
      <c r="K631" s="1063"/>
      <c r="M631" s="18"/>
      <c r="N631" s="18"/>
      <c r="O631" s="18"/>
      <c r="P631" s="18"/>
    </row>
    <row r="632" spans="2:16" s="4" customFormat="1" x14ac:dyDescent="0.25">
      <c r="B632" s="48"/>
      <c r="C632" s="48"/>
      <c r="D632" s="48"/>
      <c r="E632" s="1063"/>
      <c r="F632" s="1063"/>
      <c r="G632" s="468"/>
      <c r="H632" s="468"/>
      <c r="I632" s="468"/>
      <c r="J632" s="1063"/>
      <c r="K632" s="1063"/>
      <c r="M632" s="18"/>
      <c r="N632" s="18"/>
      <c r="O632" s="18"/>
      <c r="P632" s="18"/>
    </row>
    <row r="633" spans="2:16" s="4" customFormat="1" x14ac:dyDescent="0.25">
      <c r="B633" s="48"/>
      <c r="C633" s="48"/>
      <c r="D633" s="48"/>
      <c r="E633" s="1063"/>
      <c r="F633" s="1063"/>
      <c r="G633" s="468"/>
      <c r="H633" s="468"/>
      <c r="I633" s="468"/>
      <c r="J633" s="1063"/>
      <c r="K633" s="1063"/>
      <c r="M633" s="18"/>
      <c r="N633" s="18"/>
      <c r="O633" s="18"/>
      <c r="P633" s="18"/>
    </row>
    <row r="634" spans="2:16" s="4" customFormat="1" x14ac:dyDescent="0.25">
      <c r="B634" s="48"/>
      <c r="C634" s="48"/>
      <c r="D634" s="48"/>
      <c r="E634" s="1063"/>
      <c r="F634" s="1063"/>
      <c r="G634" s="468"/>
      <c r="H634" s="468"/>
      <c r="I634" s="468"/>
      <c r="J634" s="1063"/>
      <c r="K634" s="1063"/>
      <c r="M634" s="18"/>
      <c r="N634" s="18"/>
      <c r="O634" s="18"/>
      <c r="P634" s="18"/>
    </row>
    <row r="635" spans="2:16" s="4" customFormat="1" x14ac:dyDescent="0.25">
      <c r="B635" s="48"/>
      <c r="C635" s="48"/>
      <c r="D635" s="48"/>
      <c r="E635" s="1063"/>
      <c r="F635" s="1063"/>
      <c r="G635" s="468"/>
      <c r="H635" s="468"/>
      <c r="I635" s="468"/>
      <c r="J635" s="1063"/>
      <c r="K635" s="1063"/>
      <c r="M635" s="18"/>
      <c r="N635" s="18"/>
      <c r="O635" s="18"/>
      <c r="P635" s="18"/>
    </row>
    <row r="636" spans="2:16" s="4" customFormat="1" x14ac:dyDescent="0.25">
      <c r="B636" s="48"/>
      <c r="C636" s="48"/>
      <c r="D636" s="48"/>
      <c r="E636" s="1063"/>
      <c r="F636" s="1063"/>
      <c r="G636" s="468"/>
      <c r="H636" s="468"/>
      <c r="I636" s="468"/>
      <c r="J636" s="1063"/>
      <c r="K636" s="1063"/>
      <c r="M636" s="18"/>
      <c r="N636" s="18"/>
      <c r="O636" s="18"/>
      <c r="P636" s="18"/>
    </row>
    <row r="637" spans="2:16" s="4" customFormat="1" x14ac:dyDescent="0.25">
      <c r="B637" s="48"/>
      <c r="C637" s="48"/>
      <c r="D637" s="48"/>
      <c r="E637" s="1063"/>
      <c r="F637" s="1063"/>
      <c r="G637" s="468"/>
      <c r="H637" s="468"/>
      <c r="I637" s="468"/>
      <c r="J637" s="1063"/>
      <c r="K637" s="1063"/>
      <c r="M637" s="18"/>
      <c r="N637" s="18"/>
      <c r="O637" s="18"/>
      <c r="P637" s="18"/>
    </row>
    <row r="638" spans="2:16" s="4" customFormat="1" x14ac:dyDescent="0.25">
      <c r="B638" s="48"/>
      <c r="C638" s="48"/>
      <c r="D638" s="48"/>
      <c r="E638" s="1063"/>
      <c r="F638" s="1063"/>
      <c r="G638" s="468"/>
      <c r="H638" s="468"/>
      <c r="I638" s="468"/>
      <c r="J638" s="1063"/>
      <c r="K638" s="1063"/>
      <c r="M638" s="18"/>
      <c r="N638" s="18"/>
      <c r="O638" s="18"/>
      <c r="P638" s="18"/>
    </row>
    <row r="639" spans="2:16" s="4" customFormat="1" x14ac:dyDescent="0.25">
      <c r="B639" s="48"/>
      <c r="C639" s="48"/>
      <c r="D639" s="48"/>
      <c r="E639" s="1063"/>
      <c r="F639" s="1063"/>
      <c r="G639" s="468"/>
      <c r="H639" s="468"/>
      <c r="I639" s="468"/>
      <c r="J639" s="1063"/>
      <c r="K639" s="1063"/>
      <c r="M639" s="18"/>
      <c r="N639" s="18"/>
      <c r="O639" s="18"/>
      <c r="P639" s="18"/>
    </row>
    <row r="640" spans="2:16" s="4" customFormat="1" x14ac:dyDescent="0.25">
      <c r="B640" s="48"/>
      <c r="C640" s="48"/>
      <c r="D640" s="48"/>
      <c r="E640" s="1063"/>
      <c r="F640" s="1063"/>
      <c r="G640" s="468"/>
      <c r="H640" s="468"/>
      <c r="I640" s="468"/>
      <c r="J640" s="1063"/>
      <c r="K640" s="1063"/>
      <c r="M640" s="18"/>
      <c r="N640" s="18"/>
      <c r="O640" s="18"/>
      <c r="P640" s="18"/>
    </row>
    <row r="641" spans="2:16" s="4" customFormat="1" x14ac:dyDescent="0.25">
      <c r="B641" s="48"/>
      <c r="C641" s="48"/>
      <c r="D641" s="48"/>
      <c r="E641" s="1063"/>
      <c r="F641" s="1063"/>
      <c r="G641" s="468"/>
      <c r="H641" s="468"/>
      <c r="I641" s="468"/>
      <c r="J641" s="1063"/>
      <c r="K641" s="1063"/>
      <c r="M641" s="18"/>
      <c r="N641" s="18"/>
      <c r="O641" s="18"/>
      <c r="P641" s="18"/>
    </row>
    <row r="642" spans="2:16" s="4" customFormat="1" x14ac:dyDescent="0.25">
      <c r="B642" s="48"/>
      <c r="C642" s="48"/>
      <c r="D642" s="48"/>
      <c r="E642" s="1063"/>
      <c r="F642" s="1063"/>
      <c r="G642" s="468"/>
      <c r="H642" s="468"/>
      <c r="I642" s="468"/>
      <c r="J642" s="1063"/>
      <c r="K642" s="1063"/>
      <c r="M642" s="18"/>
      <c r="N642" s="18"/>
      <c r="O642" s="18"/>
      <c r="P642" s="18"/>
    </row>
    <row r="643" spans="2:16" s="4" customFormat="1" x14ac:dyDescent="0.25">
      <c r="B643" s="48"/>
      <c r="C643" s="48"/>
      <c r="D643" s="48"/>
      <c r="E643" s="1063"/>
      <c r="F643" s="1063"/>
      <c r="G643" s="468"/>
      <c r="H643" s="468"/>
      <c r="I643" s="468"/>
      <c r="J643" s="1063"/>
      <c r="K643" s="1063"/>
      <c r="M643" s="18"/>
      <c r="N643" s="18"/>
      <c r="O643" s="18"/>
      <c r="P643" s="18"/>
    </row>
    <row r="644" spans="2:16" s="4" customFormat="1" x14ac:dyDescent="0.25">
      <c r="B644" s="48"/>
      <c r="C644" s="48"/>
      <c r="D644" s="48"/>
      <c r="E644" s="1063"/>
      <c r="F644" s="1063"/>
      <c r="G644" s="468"/>
      <c r="H644" s="468"/>
      <c r="I644" s="468"/>
      <c r="J644" s="1063"/>
      <c r="K644" s="1063"/>
      <c r="M644" s="18"/>
      <c r="N644" s="18"/>
      <c r="O644" s="18"/>
      <c r="P644" s="18"/>
    </row>
    <row r="645" spans="2:16" s="4" customFormat="1" x14ac:dyDescent="0.25">
      <c r="B645" s="48"/>
      <c r="C645" s="48"/>
      <c r="D645" s="48"/>
      <c r="E645" s="1063"/>
      <c r="F645" s="1063"/>
      <c r="G645" s="468"/>
      <c r="H645" s="468"/>
      <c r="I645" s="468"/>
      <c r="J645" s="1063"/>
      <c r="K645" s="1063"/>
      <c r="M645" s="18"/>
      <c r="N645" s="18"/>
      <c r="O645" s="18"/>
      <c r="P645" s="18"/>
    </row>
    <row r="646" spans="2:16" s="4" customFormat="1" x14ac:dyDescent="0.25">
      <c r="B646" s="48"/>
      <c r="C646" s="48"/>
      <c r="D646" s="48"/>
      <c r="E646" s="1063"/>
      <c r="F646" s="1063"/>
      <c r="G646" s="468"/>
      <c r="H646" s="468"/>
      <c r="I646" s="468"/>
      <c r="J646" s="1063"/>
      <c r="K646" s="1063"/>
      <c r="M646" s="18"/>
      <c r="N646" s="18"/>
      <c r="O646" s="18"/>
      <c r="P646" s="18"/>
    </row>
    <row r="647" spans="2:16" s="4" customFormat="1" x14ac:dyDescent="0.25">
      <c r="B647" s="48"/>
      <c r="C647" s="48"/>
      <c r="D647" s="48"/>
      <c r="E647" s="1063"/>
      <c r="F647" s="1063"/>
      <c r="G647" s="468"/>
      <c r="H647" s="468"/>
      <c r="I647" s="468"/>
      <c r="J647" s="1063"/>
      <c r="K647" s="1063"/>
      <c r="M647" s="18"/>
      <c r="N647" s="18"/>
      <c r="O647" s="18"/>
      <c r="P647" s="18"/>
    </row>
    <row r="648" spans="2:16" s="4" customFormat="1" x14ac:dyDescent="0.25">
      <c r="B648" s="48"/>
      <c r="C648" s="48"/>
      <c r="D648" s="48"/>
      <c r="E648" s="1063"/>
      <c r="F648" s="1063"/>
      <c r="G648" s="468"/>
      <c r="H648" s="468"/>
      <c r="I648" s="468"/>
      <c r="J648" s="1063"/>
      <c r="K648" s="1063"/>
      <c r="M648" s="18"/>
      <c r="N648" s="18"/>
      <c r="O648" s="18"/>
      <c r="P648" s="18"/>
    </row>
    <row r="649" spans="2:16" s="4" customFormat="1" x14ac:dyDescent="0.25">
      <c r="B649" s="48"/>
      <c r="C649" s="48"/>
      <c r="D649" s="48"/>
      <c r="E649" s="1063"/>
      <c r="F649" s="1063"/>
      <c r="G649" s="468"/>
      <c r="H649" s="468"/>
      <c r="I649" s="468"/>
      <c r="J649" s="1063"/>
      <c r="K649" s="1063"/>
      <c r="M649" s="18"/>
      <c r="N649" s="18"/>
      <c r="O649" s="18"/>
      <c r="P649" s="18"/>
    </row>
  </sheetData>
  <sheetProtection algorithmName="SHA-512" hashValue="KvshLGOijpjbplCmG0/pm8vXIRpaooQtVxS3TEgXekbIG3+s62r4SwUdT7dEotdglhwWVhkfTKKRd1Q5hRf38g==" saltValue="a+ut/X1Z7CAl0FH09B4Pqw==" spinCount="100000" sheet="1" objects="1" scenarios="1"/>
  <mergeCells count="1329">
    <mergeCell ref="I386:J386"/>
    <mergeCell ref="D405:E405"/>
    <mergeCell ref="D406:E406"/>
    <mergeCell ref="G404:H404"/>
    <mergeCell ref="M405:N405"/>
    <mergeCell ref="M406:N406"/>
    <mergeCell ref="E402:F402"/>
    <mergeCell ref="G402:H402"/>
    <mergeCell ref="I402:J402"/>
    <mergeCell ref="K402:L402"/>
    <mergeCell ref="I399:J399"/>
    <mergeCell ref="K399:L399"/>
    <mergeCell ref="I390:J390"/>
    <mergeCell ref="K390:L390"/>
    <mergeCell ref="I400:J400"/>
    <mergeCell ref="K400:L400"/>
    <mergeCell ref="I401:J401"/>
    <mergeCell ref="I398:J398"/>
    <mergeCell ref="K398:L398"/>
    <mergeCell ref="G401:H401"/>
    <mergeCell ref="G399:H399"/>
    <mergeCell ref="E398:F398"/>
    <mergeCell ref="G391:H391"/>
    <mergeCell ref="G392:H392"/>
    <mergeCell ref="G389:H389"/>
    <mergeCell ref="E395:F395"/>
    <mergeCell ref="E394:F394"/>
    <mergeCell ref="E387:F387"/>
    <mergeCell ref="E390:F390"/>
    <mergeCell ref="M402:N402"/>
    <mergeCell ref="I397:J397"/>
    <mergeCell ref="K397:L397"/>
    <mergeCell ref="O402:P402"/>
    <mergeCell ref="B404:C404"/>
    <mergeCell ref="M400:N400"/>
    <mergeCell ref="O400:P400"/>
    <mergeCell ref="M401:N401"/>
    <mergeCell ref="O401:P401"/>
    <mergeCell ref="K401:L401"/>
    <mergeCell ref="B400:D400"/>
    <mergeCell ref="B401:D401"/>
    <mergeCell ref="O389:P389"/>
    <mergeCell ref="M398:N398"/>
    <mergeCell ref="O398:P398"/>
    <mergeCell ref="M397:N397"/>
    <mergeCell ref="O397:P397"/>
    <mergeCell ref="M393:N393"/>
    <mergeCell ref="O393:P393"/>
    <mergeCell ref="M383:N383"/>
    <mergeCell ref="K395:L395"/>
    <mergeCell ref="I388:J388"/>
    <mergeCell ref="K388:L388"/>
    <mergeCell ref="I387:J387"/>
    <mergeCell ref="K387:L387"/>
    <mergeCell ref="B391:D391"/>
    <mergeCell ref="B392:D392"/>
    <mergeCell ref="B389:D389"/>
    <mergeCell ref="E391:F391"/>
    <mergeCell ref="E392:F392"/>
    <mergeCell ref="E389:F389"/>
    <mergeCell ref="O385:P385"/>
    <mergeCell ref="M395:N395"/>
    <mergeCell ref="O395:P395"/>
    <mergeCell ref="M388:N388"/>
    <mergeCell ref="O388:P388"/>
    <mergeCell ref="M386:N386"/>
    <mergeCell ref="O386:P386"/>
    <mergeCell ref="M391:N391"/>
    <mergeCell ref="M389:N389"/>
    <mergeCell ref="G390:H390"/>
    <mergeCell ref="G385:H385"/>
    <mergeCell ref="G395:H395"/>
    <mergeCell ref="G388:H388"/>
    <mergeCell ref="M376:N376"/>
    <mergeCell ref="O376:P376"/>
    <mergeCell ref="M396:N396"/>
    <mergeCell ref="O396:P396"/>
    <mergeCell ref="M380:N380"/>
    <mergeCell ref="O380:P380"/>
    <mergeCell ref="M379:N379"/>
    <mergeCell ref="K378:L378"/>
    <mergeCell ref="I393:J393"/>
    <mergeCell ref="K393:L393"/>
    <mergeCell ref="I383:J383"/>
    <mergeCell ref="K383:L383"/>
    <mergeCell ref="I382:J382"/>
    <mergeCell ref="K382:L382"/>
    <mergeCell ref="I384:J384"/>
    <mergeCell ref="I389:J389"/>
    <mergeCell ref="K389:L389"/>
    <mergeCell ref="M381:N381"/>
    <mergeCell ref="O381:P381"/>
    <mergeCell ref="O387:P387"/>
    <mergeCell ref="O391:P391"/>
    <mergeCell ref="I385:J385"/>
    <mergeCell ref="K379:L379"/>
    <mergeCell ref="K386:L386"/>
    <mergeCell ref="K391:L391"/>
    <mergeCell ref="K385:L385"/>
    <mergeCell ref="M390:N390"/>
    <mergeCell ref="O390:P390"/>
    <mergeCell ref="M385:N385"/>
    <mergeCell ref="O383:P383"/>
    <mergeCell ref="B376:D376"/>
    <mergeCell ref="G376:H376"/>
    <mergeCell ref="I376:J376"/>
    <mergeCell ref="E376:F376"/>
    <mergeCell ref="E396:F396"/>
    <mergeCell ref="E380:F380"/>
    <mergeCell ref="E379:F379"/>
    <mergeCell ref="G384:H384"/>
    <mergeCell ref="B397:D397"/>
    <mergeCell ref="B393:D393"/>
    <mergeCell ref="G396:H396"/>
    <mergeCell ref="G380:H380"/>
    <mergeCell ref="G379:H379"/>
    <mergeCell ref="G377:H377"/>
    <mergeCell ref="G378:H378"/>
    <mergeCell ref="B381:D381"/>
    <mergeCell ref="G397:H397"/>
    <mergeCell ref="G393:H393"/>
    <mergeCell ref="G394:H394"/>
    <mergeCell ref="G387:H387"/>
    <mergeCell ref="I395:J395"/>
    <mergeCell ref="I391:J391"/>
    <mergeCell ref="I392:J392"/>
    <mergeCell ref="E388:F388"/>
    <mergeCell ref="E386:F386"/>
    <mergeCell ref="E397:F397"/>
    <mergeCell ref="E393:F393"/>
    <mergeCell ref="E383:F383"/>
    <mergeCell ref="E382:F382"/>
    <mergeCell ref="E384:F384"/>
    <mergeCell ref="I394:J394"/>
    <mergeCell ref="G386:H386"/>
    <mergeCell ref="M58:N58"/>
    <mergeCell ref="O58:P58"/>
    <mergeCell ref="E381:F381"/>
    <mergeCell ref="G50:H50"/>
    <mergeCell ref="I50:L50"/>
    <mergeCell ref="M50:N50"/>
    <mergeCell ref="O50:P50"/>
    <mergeCell ref="C46:F46"/>
    <mergeCell ref="G383:H383"/>
    <mergeCell ref="G382:H382"/>
    <mergeCell ref="I381:J381"/>
    <mergeCell ref="K381:L381"/>
    <mergeCell ref="G381:H381"/>
    <mergeCell ref="O379:P379"/>
    <mergeCell ref="M377:N377"/>
    <mergeCell ref="O377:P377"/>
    <mergeCell ref="M378:N378"/>
    <mergeCell ref="O378:P378"/>
    <mergeCell ref="M59:N59"/>
    <mergeCell ref="O59:P59"/>
    <mergeCell ref="M54:N54"/>
    <mergeCell ref="O54:P54"/>
    <mergeCell ref="M55:N55"/>
    <mergeCell ref="O55:P55"/>
    <mergeCell ref="M57:N57"/>
    <mergeCell ref="O57:P57"/>
    <mergeCell ref="O80:P80"/>
    <mergeCell ref="M56:N56"/>
    <mergeCell ref="O56:P56"/>
    <mergeCell ref="M51:N51"/>
    <mergeCell ref="O51:P51"/>
    <mergeCell ref="M52:N52"/>
    <mergeCell ref="A36:Q36"/>
    <mergeCell ref="A37:Q37"/>
    <mergeCell ref="B396:D396"/>
    <mergeCell ref="B380:D380"/>
    <mergeCell ref="B379:D379"/>
    <mergeCell ref="B377:D377"/>
    <mergeCell ref="B378:D378"/>
    <mergeCell ref="M49:N49"/>
    <mergeCell ref="O49:P49"/>
    <mergeCell ref="C50:F50"/>
    <mergeCell ref="O53:P53"/>
    <mergeCell ref="M66:N66"/>
    <mergeCell ref="O66:P66"/>
    <mergeCell ref="M67:N67"/>
    <mergeCell ref="O67:P67"/>
    <mergeCell ref="M68:N68"/>
    <mergeCell ref="O68:P68"/>
    <mergeCell ref="M62:N62"/>
    <mergeCell ref="M63:N63"/>
    <mergeCell ref="I396:J396"/>
    <mergeCell ref="K396:L396"/>
    <mergeCell ref="I380:J380"/>
    <mergeCell ref="K380:L380"/>
    <mergeCell ref="G46:H46"/>
    <mergeCell ref="I46:L46"/>
    <mergeCell ref="M47:N47"/>
    <mergeCell ref="O47:P47"/>
    <mergeCell ref="C56:F56"/>
    <mergeCell ref="G56:H56"/>
    <mergeCell ref="I56:L56"/>
    <mergeCell ref="O52:P52"/>
    <mergeCell ref="M53:N53"/>
    <mergeCell ref="M48:N48"/>
    <mergeCell ref="O48:P48"/>
    <mergeCell ref="M45:N45"/>
    <mergeCell ref="O45:P45"/>
    <mergeCell ref="L39:M39"/>
    <mergeCell ref="G41:H41"/>
    <mergeCell ref="M42:N42"/>
    <mergeCell ref="O42:P42"/>
    <mergeCell ref="O40:P41"/>
    <mergeCell ref="M40:N41"/>
    <mergeCell ref="M75:N75"/>
    <mergeCell ref="O75:P75"/>
    <mergeCell ref="A2:Q2"/>
    <mergeCell ref="A3:Q3"/>
    <mergeCell ref="M43:N43"/>
    <mergeCell ref="O43:P43"/>
    <mergeCell ref="M44:N44"/>
    <mergeCell ref="O44:P44"/>
    <mergeCell ref="C60:F60"/>
    <mergeCell ref="G60:H60"/>
    <mergeCell ref="I60:L60"/>
    <mergeCell ref="M60:N60"/>
    <mergeCell ref="O60:P60"/>
    <mergeCell ref="M61:N61"/>
    <mergeCell ref="O61:P61"/>
    <mergeCell ref="O63:P63"/>
    <mergeCell ref="M64:N64"/>
    <mergeCell ref="O64:P64"/>
    <mergeCell ref="C65:F65"/>
    <mergeCell ref="G65:H65"/>
    <mergeCell ref="I65:L65"/>
    <mergeCell ref="M65:N65"/>
    <mergeCell ref="O65:P65"/>
    <mergeCell ref="C75:F75"/>
    <mergeCell ref="C69:F69"/>
    <mergeCell ref="G69:H69"/>
    <mergeCell ref="I69:L69"/>
    <mergeCell ref="M69:N69"/>
    <mergeCell ref="O69:P69"/>
    <mergeCell ref="M70:N70"/>
    <mergeCell ref="M46:N46"/>
    <mergeCell ref="O46:P46"/>
    <mergeCell ref="O70:P70"/>
    <mergeCell ref="E96:F96"/>
    <mergeCell ref="M76:N76"/>
    <mergeCell ref="O76:P76"/>
    <mergeCell ref="M71:N71"/>
    <mergeCell ref="O72:P72"/>
    <mergeCell ref="M73:N73"/>
    <mergeCell ref="O73:P73"/>
    <mergeCell ref="M74:N74"/>
    <mergeCell ref="O74:P74"/>
    <mergeCell ref="M80:N80"/>
    <mergeCell ref="M77:N77"/>
    <mergeCell ref="O77:P77"/>
    <mergeCell ref="M78:N78"/>
    <mergeCell ref="O78:P78"/>
    <mergeCell ref="C79:F79"/>
    <mergeCell ref="G79:H79"/>
    <mergeCell ref="I79:L79"/>
    <mergeCell ref="M79:N79"/>
    <mergeCell ref="O79:P79"/>
    <mergeCell ref="M81:N81"/>
    <mergeCell ref="M82:N82"/>
    <mergeCell ref="O82:P82"/>
    <mergeCell ref="M83:N83"/>
    <mergeCell ref="O83:P83"/>
    <mergeCell ref="H96:I96"/>
    <mergeCell ref="O96:P96"/>
    <mergeCell ref="L96:M96"/>
    <mergeCell ref="K95:P95"/>
    <mergeCell ref="D95:I95"/>
    <mergeCell ref="G75:H75"/>
    <mergeCell ref="I75:L75"/>
    <mergeCell ref="L105:M105"/>
    <mergeCell ref="O105:P105"/>
    <mergeCell ref="O106:P106"/>
    <mergeCell ref="L106:M106"/>
    <mergeCell ref="L107:M107"/>
    <mergeCell ref="H98:I98"/>
    <mergeCell ref="M147:P147"/>
    <mergeCell ref="E118:F118"/>
    <mergeCell ref="D113:I113"/>
    <mergeCell ref="H118:I118"/>
    <mergeCell ref="H119:I119"/>
    <mergeCell ref="E99:F99"/>
    <mergeCell ref="E102:F102"/>
    <mergeCell ref="E103:F103"/>
    <mergeCell ref="E106:F106"/>
    <mergeCell ref="E107:F107"/>
    <mergeCell ref="E108:F108"/>
    <mergeCell ref="D101:I101"/>
    <mergeCell ref="E114:F114"/>
    <mergeCell ref="D115:I115"/>
    <mergeCell ref="H97:I97"/>
    <mergeCell ref="K147:L147"/>
    <mergeCell ref="M148:P148"/>
    <mergeCell ref="K113:P113"/>
    <mergeCell ref="L114:M114"/>
    <mergeCell ref="O114:P114"/>
    <mergeCell ref="H124:I124"/>
    <mergeCell ref="H125:I125"/>
    <mergeCell ref="C84:F84"/>
    <mergeCell ref="G84:H84"/>
    <mergeCell ref="I84:L84"/>
    <mergeCell ref="M84:N84"/>
    <mergeCell ref="O84:P84"/>
    <mergeCell ref="M85:N85"/>
    <mergeCell ref="O85:P85"/>
    <mergeCell ref="K146:L146"/>
    <mergeCell ref="M86:N86"/>
    <mergeCell ref="O86:P86"/>
    <mergeCell ref="M87:N87"/>
    <mergeCell ref="O87:P87"/>
    <mergeCell ref="I145:J145"/>
    <mergeCell ref="K145:L145"/>
    <mergeCell ref="M145:P145"/>
    <mergeCell ref="M146:P146"/>
    <mergeCell ref="K104:P104"/>
    <mergeCell ref="O115:P115"/>
    <mergeCell ref="K129:P129"/>
    <mergeCell ref="D105:I105"/>
    <mergeCell ref="D117:I117"/>
    <mergeCell ref="D123:I123"/>
    <mergeCell ref="D129:I129"/>
    <mergeCell ref="E109:F109"/>
    <mergeCell ref="K150:L150"/>
    <mergeCell ref="I152:J152"/>
    <mergeCell ref="K152:L152"/>
    <mergeCell ref="I158:J158"/>
    <mergeCell ref="K158:L158"/>
    <mergeCell ref="I157:J157"/>
    <mergeCell ref="K157:L157"/>
    <mergeCell ref="I155:J155"/>
    <mergeCell ref="K155:L155"/>
    <mergeCell ref="K156:L156"/>
    <mergeCell ref="M156:P156"/>
    <mergeCell ref="M157:P157"/>
    <mergeCell ref="K153:L153"/>
    <mergeCell ref="I151:J151"/>
    <mergeCell ref="K151:L151"/>
    <mergeCell ref="H130:I130"/>
    <mergeCell ref="H131:I131"/>
    <mergeCell ref="N139:O139"/>
    <mergeCell ref="K137:O137"/>
    <mergeCell ref="C145:H145"/>
    <mergeCell ref="C146:H146"/>
    <mergeCell ref="L130:M130"/>
    <mergeCell ref="O130:P130"/>
    <mergeCell ref="L131:M131"/>
    <mergeCell ref="D137:I137"/>
    <mergeCell ref="I148:J148"/>
    <mergeCell ref="D133:I133"/>
    <mergeCell ref="E134:F134"/>
    <mergeCell ref="E135:F135"/>
    <mergeCell ref="C151:H151"/>
    <mergeCell ref="C152:H152"/>
    <mergeCell ref="C153:H153"/>
    <mergeCell ref="I159:J159"/>
    <mergeCell ref="K159:L159"/>
    <mergeCell ref="M158:P158"/>
    <mergeCell ref="M159:P159"/>
    <mergeCell ref="M150:P150"/>
    <mergeCell ref="M151:P151"/>
    <mergeCell ref="M152:P152"/>
    <mergeCell ref="M153:P153"/>
    <mergeCell ref="M154:P154"/>
    <mergeCell ref="M155:P155"/>
    <mergeCell ref="C159:H159"/>
    <mergeCell ref="C160:H160"/>
    <mergeCell ref="C161:H161"/>
    <mergeCell ref="M160:P160"/>
    <mergeCell ref="G198:H198"/>
    <mergeCell ref="M198:N198"/>
    <mergeCell ref="O198:P198"/>
    <mergeCell ref="H169:I169"/>
    <mergeCell ref="H170:I170"/>
    <mergeCell ref="H173:I173"/>
    <mergeCell ref="I160:J160"/>
    <mergeCell ref="K160:L160"/>
    <mergeCell ref="I154:J154"/>
    <mergeCell ref="K154:L154"/>
    <mergeCell ref="J162:K162"/>
    <mergeCell ref="C154:H154"/>
    <mergeCell ref="C155:H155"/>
    <mergeCell ref="C156:H156"/>
    <mergeCell ref="C157:H157"/>
    <mergeCell ref="C158:H158"/>
    <mergeCell ref="I161:J161"/>
    <mergeCell ref="K161:L161"/>
    <mergeCell ref="H166:I166"/>
    <mergeCell ref="H167:I167"/>
    <mergeCell ref="H168:I168"/>
    <mergeCell ref="C206:F206"/>
    <mergeCell ref="G206:H206"/>
    <mergeCell ref="I206:L206"/>
    <mergeCell ref="M206:N206"/>
    <mergeCell ref="O206:P206"/>
    <mergeCell ref="C203:F203"/>
    <mergeCell ref="G203:H203"/>
    <mergeCell ref="I203:L203"/>
    <mergeCell ref="M203:N203"/>
    <mergeCell ref="O203:P203"/>
    <mergeCell ref="O171:P171"/>
    <mergeCell ref="O173:P173"/>
    <mergeCell ref="O167:P167"/>
    <mergeCell ref="O168:P168"/>
    <mergeCell ref="O169:P169"/>
    <mergeCell ref="M205:N205"/>
    <mergeCell ref="O205:P205"/>
    <mergeCell ref="M204:N204"/>
    <mergeCell ref="O204:P204"/>
    <mergeCell ref="M199:N199"/>
    <mergeCell ref="O199:P199"/>
    <mergeCell ref="M200:N200"/>
    <mergeCell ref="O200:P200"/>
    <mergeCell ref="O178:P179"/>
    <mergeCell ref="A193:Q193"/>
    <mergeCell ref="A194:Q194"/>
    <mergeCell ref="L196:M196"/>
    <mergeCell ref="M211:N211"/>
    <mergeCell ref="O211:P211"/>
    <mergeCell ref="I178:J178"/>
    <mergeCell ref="I179:J179"/>
    <mergeCell ref="L178:M178"/>
    <mergeCell ref="L179:M179"/>
    <mergeCell ref="N178:N179"/>
    <mergeCell ref="K178:K179"/>
    <mergeCell ref="E178:G178"/>
    <mergeCell ref="C201:F201"/>
    <mergeCell ref="G201:H201"/>
    <mergeCell ref="I201:L201"/>
    <mergeCell ref="M201:N201"/>
    <mergeCell ref="O201:P201"/>
    <mergeCell ref="B178:D179"/>
    <mergeCell ref="E179:G179"/>
    <mergeCell ref="H178:H179"/>
    <mergeCell ref="M212:N212"/>
    <mergeCell ref="O212:P212"/>
    <mergeCell ref="C202:L202"/>
    <mergeCell ref="M202:N202"/>
    <mergeCell ref="O202:P202"/>
    <mergeCell ref="M213:N213"/>
    <mergeCell ref="O213:P213"/>
    <mergeCell ref="C214:F214"/>
    <mergeCell ref="G214:H214"/>
    <mergeCell ref="I214:L214"/>
    <mergeCell ref="M214:N214"/>
    <mergeCell ref="O214:P214"/>
    <mergeCell ref="M215:N215"/>
    <mergeCell ref="O215:P215"/>
    <mergeCell ref="M216:N216"/>
    <mergeCell ref="O216:P216"/>
    <mergeCell ref="C217:F217"/>
    <mergeCell ref="G217:H217"/>
    <mergeCell ref="I217:L217"/>
    <mergeCell ref="M217:N217"/>
    <mergeCell ref="O217:P217"/>
    <mergeCell ref="M207:N207"/>
    <mergeCell ref="O207:P207"/>
    <mergeCell ref="M208:N208"/>
    <mergeCell ref="O208:P208"/>
    <mergeCell ref="C209:F209"/>
    <mergeCell ref="G209:H209"/>
    <mergeCell ref="I209:L209"/>
    <mergeCell ref="M209:N209"/>
    <mergeCell ref="O209:P209"/>
    <mergeCell ref="M210:N210"/>
    <mergeCell ref="O210:P210"/>
    <mergeCell ref="M218:N218"/>
    <mergeCell ref="O218:P218"/>
    <mergeCell ref="M219:N219"/>
    <mergeCell ref="M220:N220"/>
    <mergeCell ref="O220:P220"/>
    <mergeCell ref="C221:F221"/>
    <mergeCell ref="G221:H221"/>
    <mergeCell ref="I221:L221"/>
    <mergeCell ref="M221:N221"/>
    <mergeCell ref="O221:P221"/>
    <mergeCell ref="M222:N222"/>
    <mergeCell ref="O222:P222"/>
    <mergeCell ref="M223:N223"/>
    <mergeCell ref="O223:P223"/>
    <mergeCell ref="C224:F224"/>
    <mergeCell ref="G224:H224"/>
    <mergeCell ref="I224:L224"/>
    <mergeCell ref="M224:N224"/>
    <mergeCell ref="O224:P224"/>
    <mergeCell ref="M225:N225"/>
    <mergeCell ref="O225:P225"/>
    <mergeCell ref="M226:N226"/>
    <mergeCell ref="O226:P226"/>
    <mergeCell ref="C227:F227"/>
    <mergeCell ref="G227:H227"/>
    <mergeCell ref="I227:L227"/>
    <mergeCell ref="M227:N227"/>
    <mergeCell ref="O227:P227"/>
    <mergeCell ref="M228:N228"/>
    <mergeCell ref="O228:P228"/>
    <mergeCell ref="M229:N229"/>
    <mergeCell ref="M230:N230"/>
    <mergeCell ref="O230:P230"/>
    <mergeCell ref="M231:N231"/>
    <mergeCell ref="O231:P231"/>
    <mergeCell ref="M232:N232"/>
    <mergeCell ref="O232:P232"/>
    <mergeCell ref="C233:F233"/>
    <mergeCell ref="G233:H233"/>
    <mergeCell ref="I233:L233"/>
    <mergeCell ref="M233:N233"/>
    <mergeCell ref="O233:P233"/>
    <mergeCell ref="M234:N234"/>
    <mergeCell ref="O234:P234"/>
    <mergeCell ref="M235:N235"/>
    <mergeCell ref="O235:P235"/>
    <mergeCell ref="C236:F236"/>
    <mergeCell ref="G236:H236"/>
    <mergeCell ref="I236:L236"/>
    <mergeCell ref="M236:N236"/>
    <mergeCell ref="O236:P236"/>
    <mergeCell ref="M237:N237"/>
    <mergeCell ref="O237:P237"/>
    <mergeCell ref="M238:N238"/>
    <mergeCell ref="M251:N251"/>
    <mergeCell ref="M239:N239"/>
    <mergeCell ref="O239:P239"/>
    <mergeCell ref="M240:N240"/>
    <mergeCell ref="O240:P240"/>
    <mergeCell ref="M241:N241"/>
    <mergeCell ref="O241:P241"/>
    <mergeCell ref="M242:N242"/>
    <mergeCell ref="O242:P242"/>
    <mergeCell ref="C243:F243"/>
    <mergeCell ref="G243:H243"/>
    <mergeCell ref="I243:L243"/>
    <mergeCell ref="M243:N243"/>
    <mergeCell ref="O243:P243"/>
    <mergeCell ref="C247:F247"/>
    <mergeCell ref="G247:H247"/>
    <mergeCell ref="I247:L247"/>
    <mergeCell ref="M247:N247"/>
    <mergeCell ref="O247:P247"/>
    <mergeCell ref="J269:K269"/>
    <mergeCell ref="M248:N248"/>
    <mergeCell ref="O248:P248"/>
    <mergeCell ref="C256:F256"/>
    <mergeCell ref="G256:H256"/>
    <mergeCell ref="I256:L256"/>
    <mergeCell ref="M249:N249"/>
    <mergeCell ref="O249:P249"/>
    <mergeCell ref="C250:F250"/>
    <mergeCell ref="G250:H250"/>
    <mergeCell ref="I250:L250"/>
    <mergeCell ref="M250:N250"/>
    <mergeCell ref="O250:P250"/>
    <mergeCell ref="M258:N258"/>
    <mergeCell ref="O258:P258"/>
    <mergeCell ref="C259:F259"/>
    <mergeCell ref="G259:H259"/>
    <mergeCell ref="I259:L259"/>
    <mergeCell ref="M259:N259"/>
    <mergeCell ref="O259:P259"/>
    <mergeCell ref="C253:F253"/>
    <mergeCell ref="G253:H253"/>
    <mergeCell ref="I253:L253"/>
    <mergeCell ref="M253:N253"/>
    <mergeCell ref="O253:P253"/>
    <mergeCell ref="O257:P257"/>
    <mergeCell ref="M257:N257"/>
    <mergeCell ref="M254:N254"/>
    <mergeCell ref="O254:P254"/>
    <mergeCell ref="M255:N255"/>
    <mergeCell ref="M256:N256"/>
    <mergeCell ref="O256:P256"/>
    <mergeCell ref="H268:I268"/>
    <mergeCell ref="J268:K268"/>
    <mergeCell ref="L268:M268"/>
    <mergeCell ref="N268:O268"/>
    <mergeCell ref="L269:M269"/>
    <mergeCell ref="N273:O273"/>
    <mergeCell ref="H271:I271"/>
    <mergeCell ref="J271:K271"/>
    <mergeCell ref="L271:M271"/>
    <mergeCell ref="N271:O271"/>
    <mergeCell ref="J274:K274"/>
    <mergeCell ref="L274:M274"/>
    <mergeCell ref="N274:O274"/>
    <mergeCell ref="O251:P251"/>
    <mergeCell ref="M252:N252"/>
    <mergeCell ref="O252:P252"/>
    <mergeCell ref="O255:P255"/>
    <mergeCell ref="N269:O269"/>
    <mergeCell ref="M260:N260"/>
    <mergeCell ref="O260:P260"/>
    <mergeCell ref="M261:N261"/>
    <mergeCell ref="O261:P261"/>
    <mergeCell ref="N266:O266"/>
    <mergeCell ref="H267:I267"/>
    <mergeCell ref="J267:K267"/>
    <mergeCell ref="L267:M267"/>
    <mergeCell ref="N267:O267"/>
    <mergeCell ref="H272:I272"/>
    <mergeCell ref="J272:K272"/>
    <mergeCell ref="L272:M272"/>
    <mergeCell ref="N272:O272"/>
    <mergeCell ref="H269:I269"/>
    <mergeCell ref="L273:M273"/>
    <mergeCell ref="O302:P303"/>
    <mergeCell ref="G303:H303"/>
    <mergeCell ref="H283:I283"/>
    <mergeCell ref="J283:K283"/>
    <mergeCell ref="L283:M283"/>
    <mergeCell ref="N283:O283"/>
    <mergeCell ref="C286:G286"/>
    <mergeCell ref="H286:I286"/>
    <mergeCell ref="J275:K275"/>
    <mergeCell ref="L275:M275"/>
    <mergeCell ref="N275:O275"/>
    <mergeCell ref="H274:I274"/>
    <mergeCell ref="H277:I277"/>
    <mergeCell ref="J277:K277"/>
    <mergeCell ref="L277:M277"/>
    <mergeCell ref="N277:O277"/>
    <mergeCell ref="H276:I276"/>
    <mergeCell ref="M305:N305"/>
    <mergeCell ref="O305:P305"/>
    <mergeCell ref="C306:F306"/>
    <mergeCell ref="G306:H306"/>
    <mergeCell ref="I306:L306"/>
    <mergeCell ref="M306:N306"/>
    <mergeCell ref="O306:P306"/>
    <mergeCell ref="H270:I270"/>
    <mergeCell ref="J270:K270"/>
    <mergeCell ref="L270:M270"/>
    <mergeCell ref="N270:O270"/>
    <mergeCell ref="M304:N304"/>
    <mergeCell ref="O304:P304"/>
    <mergeCell ref="A298:Q298"/>
    <mergeCell ref="A299:Q299"/>
    <mergeCell ref="L301:M301"/>
    <mergeCell ref="M302:N303"/>
    <mergeCell ref="J276:K276"/>
    <mergeCell ref="L276:M276"/>
    <mergeCell ref="N276:O276"/>
    <mergeCell ref="H282:I282"/>
    <mergeCell ref="J282:K282"/>
    <mergeCell ref="L282:M282"/>
    <mergeCell ref="N282:O282"/>
    <mergeCell ref="N278:O278"/>
    <mergeCell ref="H280:I280"/>
    <mergeCell ref="J280:K280"/>
    <mergeCell ref="H281:I281"/>
    <mergeCell ref="J281:K281"/>
    <mergeCell ref="L281:M281"/>
    <mergeCell ref="N281:O281"/>
    <mergeCell ref="H275:I275"/>
    <mergeCell ref="M308:N308"/>
    <mergeCell ref="O308:P308"/>
    <mergeCell ref="C309:F309"/>
    <mergeCell ref="G309:H309"/>
    <mergeCell ref="I309:L309"/>
    <mergeCell ref="M309:N309"/>
    <mergeCell ref="O309:P309"/>
    <mergeCell ref="M310:N310"/>
    <mergeCell ref="O310:P310"/>
    <mergeCell ref="M311:N311"/>
    <mergeCell ref="M312:N312"/>
    <mergeCell ref="O312:P312"/>
    <mergeCell ref="M313:N313"/>
    <mergeCell ref="O313:P313"/>
    <mergeCell ref="C314:F314"/>
    <mergeCell ref="G314:H314"/>
    <mergeCell ref="I314:L314"/>
    <mergeCell ref="M314:N314"/>
    <mergeCell ref="O314:P314"/>
    <mergeCell ref="M315:N315"/>
    <mergeCell ref="O315:P315"/>
    <mergeCell ref="J286:K286"/>
    <mergeCell ref="L286:M286"/>
    <mergeCell ref="N286:O286"/>
    <mergeCell ref="N284:O284"/>
    <mergeCell ref="N287:O287"/>
    <mergeCell ref="B290:D291"/>
    <mergeCell ref="E290:G290"/>
    <mergeCell ref="H290:H291"/>
    <mergeCell ref="J285:K285"/>
    <mergeCell ref="M316:N316"/>
    <mergeCell ref="M317:N317"/>
    <mergeCell ref="O317:P317"/>
    <mergeCell ref="M318:N318"/>
    <mergeCell ref="O318:P318"/>
    <mergeCell ref="C319:F319"/>
    <mergeCell ref="G319:H319"/>
    <mergeCell ref="I319:L319"/>
    <mergeCell ref="M319:N319"/>
    <mergeCell ref="O319:P319"/>
    <mergeCell ref="H284:I284"/>
    <mergeCell ref="J284:K284"/>
    <mergeCell ref="L284:M284"/>
    <mergeCell ref="N290:N291"/>
    <mergeCell ref="O290:P291"/>
    <mergeCell ref="E291:G291"/>
    <mergeCell ref="I291:J291"/>
    <mergeCell ref="L291:M291"/>
    <mergeCell ref="N285:O285"/>
    <mergeCell ref="M307:N307"/>
    <mergeCell ref="O307:P307"/>
    <mergeCell ref="M320:N320"/>
    <mergeCell ref="O320:P320"/>
    <mergeCell ref="M321:N321"/>
    <mergeCell ref="O321:P321"/>
    <mergeCell ref="C322:F322"/>
    <mergeCell ref="G322:H322"/>
    <mergeCell ref="I322:L322"/>
    <mergeCell ref="M322:N322"/>
    <mergeCell ref="O322:P322"/>
    <mergeCell ref="M323:N323"/>
    <mergeCell ref="O323:P323"/>
    <mergeCell ref="M324:N324"/>
    <mergeCell ref="O324:P324"/>
    <mergeCell ref="C325:F325"/>
    <mergeCell ref="G325:H325"/>
    <mergeCell ref="I325:L325"/>
    <mergeCell ref="M325:N325"/>
    <mergeCell ref="O325:P325"/>
    <mergeCell ref="M326:N326"/>
    <mergeCell ref="O326:P326"/>
    <mergeCell ref="M327:N327"/>
    <mergeCell ref="O327:P327"/>
    <mergeCell ref="C328:F328"/>
    <mergeCell ref="G328:H328"/>
    <mergeCell ref="I328:L328"/>
    <mergeCell ref="M328:N328"/>
    <mergeCell ref="O328:P328"/>
    <mergeCell ref="M329:N329"/>
    <mergeCell ref="O329:P329"/>
    <mergeCell ref="M330:N330"/>
    <mergeCell ref="O330:P330"/>
    <mergeCell ref="C331:F331"/>
    <mergeCell ref="G331:H331"/>
    <mergeCell ref="I331:L331"/>
    <mergeCell ref="M331:N331"/>
    <mergeCell ref="O331:P331"/>
    <mergeCell ref="M332:N332"/>
    <mergeCell ref="O332:P332"/>
    <mergeCell ref="M333:N333"/>
    <mergeCell ref="M334:N334"/>
    <mergeCell ref="O334:P334"/>
    <mergeCell ref="M335:N335"/>
    <mergeCell ref="O335:P335"/>
    <mergeCell ref="C336:F336"/>
    <mergeCell ref="G336:H336"/>
    <mergeCell ref="I336:L336"/>
    <mergeCell ref="M336:N336"/>
    <mergeCell ref="O336:P336"/>
    <mergeCell ref="M337:N337"/>
    <mergeCell ref="O337:P337"/>
    <mergeCell ref="M338:N338"/>
    <mergeCell ref="M339:N339"/>
    <mergeCell ref="M340:N340"/>
    <mergeCell ref="M341:N341"/>
    <mergeCell ref="M342:N342"/>
    <mergeCell ref="O342:P342"/>
    <mergeCell ref="M343:N343"/>
    <mergeCell ref="O343:P343"/>
    <mergeCell ref="C344:F344"/>
    <mergeCell ref="G344:H344"/>
    <mergeCell ref="I344:L344"/>
    <mergeCell ref="M344:N344"/>
    <mergeCell ref="O344:P344"/>
    <mergeCell ref="M345:N345"/>
    <mergeCell ref="O345:P345"/>
    <mergeCell ref="M346:N346"/>
    <mergeCell ref="O346:P346"/>
    <mergeCell ref="C347:F347"/>
    <mergeCell ref="G347:H347"/>
    <mergeCell ref="I347:L347"/>
    <mergeCell ref="M347:N347"/>
    <mergeCell ref="O347:P347"/>
    <mergeCell ref="M348:N348"/>
    <mergeCell ref="O348:P348"/>
    <mergeCell ref="M349:N349"/>
    <mergeCell ref="O349:P349"/>
    <mergeCell ref="M350:N350"/>
    <mergeCell ref="O350:P350"/>
    <mergeCell ref="C351:F351"/>
    <mergeCell ref="G351:H351"/>
    <mergeCell ref="I351:L351"/>
    <mergeCell ref="M351:N351"/>
    <mergeCell ref="O351:P351"/>
    <mergeCell ref="M352:N352"/>
    <mergeCell ref="O352:P352"/>
    <mergeCell ref="M353:N353"/>
    <mergeCell ref="O353:P353"/>
    <mergeCell ref="C354:F354"/>
    <mergeCell ref="G354:H354"/>
    <mergeCell ref="I354:L354"/>
    <mergeCell ref="M354:N354"/>
    <mergeCell ref="O354:P354"/>
    <mergeCell ref="C356:F356"/>
    <mergeCell ref="G356:H356"/>
    <mergeCell ref="I356:L356"/>
    <mergeCell ref="M356:N356"/>
    <mergeCell ref="O356:P356"/>
    <mergeCell ref="M357:N357"/>
    <mergeCell ref="O357:P357"/>
    <mergeCell ref="I361:L361"/>
    <mergeCell ref="M361:N361"/>
    <mergeCell ref="O361:P361"/>
    <mergeCell ref="M358:N358"/>
    <mergeCell ref="O358:P358"/>
    <mergeCell ref="C359:F359"/>
    <mergeCell ref="G359:H359"/>
    <mergeCell ref="I359:L359"/>
    <mergeCell ref="M359:N359"/>
    <mergeCell ref="O359:P359"/>
    <mergeCell ref="C365:F365"/>
    <mergeCell ref="G365:H365"/>
    <mergeCell ref="I365:L365"/>
    <mergeCell ref="M365:N365"/>
    <mergeCell ref="O365:P365"/>
    <mergeCell ref="C360:L360"/>
    <mergeCell ref="M360:N360"/>
    <mergeCell ref="O360:P360"/>
    <mergeCell ref="C361:F361"/>
    <mergeCell ref="G361:H361"/>
    <mergeCell ref="G369:H369"/>
    <mergeCell ref="I369:L369"/>
    <mergeCell ref="M369:N369"/>
    <mergeCell ref="O369:P369"/>
    <mergeCell ref="M362:N362"/>
    <mergeCell ref="O362:P362"/>
    <mergeCell ref="M363:N363"/>
    <mergeCell ref="M364:N364"/>
    <mergeCell ref="O364:P364"/>
    <mergeCell ref="M366:N366"/>
    <mergeCell ref="O366:P366"/>
    <mergeCell ref="M367:N367"/>
    <mergeCell ref="M368:N368"/>
    <mergeCell ref="O368:P368"/>
    <mergeCell ref="C369:F369"/>
    <mergeCell ref="I379:J379"/>
    <mergeCell ref="K486:P486"/>
    <mergeCell ref="B383:D383"/>
    <mergeCell ref="B382:D382"/>
    <mergeCell ref="B384:D384"/>
    <mergeCell ref="B394:D394"/>
    <mergeCell ref="B387:D387"/>
    <mergeCell ref="E411:G411"/>
    <mergeCell ref="H411:H412"/>
    <mergeCell ref="I411:J411"/>
    <mergeCell ref="K411:K412"/>
    <mergeCell ref="L411:M411"/>
    <mergeCell ref="C448:P448"/>
    <mergeCell ref="C449:P449"/>
    <mergeCell ref="C450:P450"/>
    <mergeCell ref="C451:P451"/>
    <mergeCell ref="C452:P452"/>
    <mergeCell ref="B398:D398"/>
    <mergeCell ref="G398:H398"/>
    <mergeCell ref="K384:L384"/>
    <mergeCell ref="K394:L394"/>
    <mergeCell ref="M399:N399"/>
    <mergeCell ref="O399:P399"/>
    <mergeCell ref="M382:N382"/>
    <mergeCell ref="O382:P382"/>
    <mergeCell ref="M384:N384"/>
    <mergeCell ref="O384:P384"/>
    <mergeCell ref="M394:N394"/>
    <mergeCell ref="O394:P394"/>
    <mergeCell ref="M387:N387"/>
    <mergeCell ref="M392:N392"/>
    <mergeCell ref="O392:P392"/>
    <mergeCell ref="K487:P487"/>
    <mergeCell ref="K488:P488"/>
    <mergeCell ref="K489:P489"/>
    <mergeCell ref="K490:P490"/>
    <mergeCell ref="B399:D399"/>
    <mergeCell ref="E400:F400"/>
    <mergeCell ref="E401:F401"/>
    <mergeCell ref="E399:F399"/>
    <mergeCell ref="G400:H400"/>
    <mergeCell ref="C490:J490"/>
    <mergeCell ref="C485:J485"/>
    <mergeCell ref="C486:J486"/>
    <mergeCell ref="C487:J487"/>
    <mergeCell ref="C482:J482"/>
    <mergeCell ref="C483:J483"/>
    <mergeCell ref="C484:J484"/>
    <mergeCell ref="A478:Q478"/>
    <mergeCell ref="A479:Q479"/>
    <mergeCell ref="C481:J481"/>
    <mergeCell ref="K481:P481"/>
    <mergeCell ref="C488:J488"/>
    <mergeCell ref="C489:J489"/>
    <mergeCell ref="K482:P482"/>
    <mergeCell ref="K483:P483"/>
    <mergeCell ref="K484:P484"/>
    <mergeCell ref="K485:P485"/>
    <mergeCell ref="N411:N412"/>
    <mergeCell ref="O411:P412"/>
    <mergeCell ref="E412:G412"/>
    <mergeCell ref="I412:J412"/>
    <mergeCell ref="L412:M412"/>
    <mergeCell ref="B411:D412"/>
    <mergeCell ref="K494:P494"/>
    <mergeCell ref="K495:P495"/>
    <mergeCell ref="K496:P496"/>
    <mergeCell ref="K497:P497"/>
    <mergeCell ref="K498:P498"/>
    <mergeCell ref="K499:P499"/>
    <mergeCell ref="C491:J491"/>
    <mergeCell ref="C492:J492"/>
    <mergeCell ref="C493:J493"/>
    <mergeCell ref="K491:P491"/>
    <mergeCell ref="K492:P492"/>
    <mergeCell ref="K493:P493"/>
    <mergeCell ref="C497:J497"/>
    <mergeCell ref="C498:J498"/>
    <mergeCell ref="C499:J499"/>
    <mergeCell ref="C494:J494"/>
    <mergeCell ref="C495:J495"/>
    <mergeCell ref="C496:J496"/>
    <mergeCell ref="K500:P500"/>
    <mergeCell ref="K501:P501"/>
    <mergeCell ref="K502:P502"/>
    <mergeCell ref="K503:P503"/>
    <mergeCell ref="K504:P504"/>
    <mergeCell ref="K505:P505"/>
    <mergeCell ref="C503:J503"/>
    <mergeCell ref="C504:J504"/>
    <mergeCell ref="C505:J505"/>
    <mergeCell ref="C500:J500"/>
    <mergeCell ref="C501:J501"/>
    <mergeCell ref="C502:J502"/>
    <mergeCell ref="C506:J506"/>
    <mergeCell ref="A528:Q528"/>
    <mergeCell ref="A529:Q529"/>
    <mergeCell ref="B531:K531"/>
    <mergeCell ref="B532:D532"/>
    <mergeCell ref="E532:F532"/>
    <mergeCell ref="G532:I532"/>
    <mergeCell ref="J532:K532"/>
    <mergeCell ref="K506:P506"/>
    <mergeCell ref="B533:D533"/>
    <mergeCell ref="E533:F533"/>
    <mergeCell ref="G533:I533"/>
    <mergeCell ref="J533:K533"/>
    <mergeCell ref="B534:D534"/>
    <mergeCell ref="E534:F534"/>
    <mergeCell ref="G534:I534"/>
    <mergeCell ref="J534:K534"/>
    <mergeCell ref="E535:F535"/>
    <mergeCell ref="G535:I535"/>
    <mergeCell ref="J535:K535"/>
    <mergeCell ref="B536:D536"/>
    <mergeCell ref="E536:F536"/>
    <mergeCell ref="G536:I536"/>
    <mergeCell ref="J536:K536"/>
    <mergeCell ref="J537:K537"/>
    <mergeCell ref="B538:K538"/>
    <mergeCell ref="B539:D539"/>
    <mergeCell ref="E539:F539"/>
    <mergeCell ref="G539:I539"/>
    <mergeCell ref="J539:K539"/>
    <mergeCell ref="M539:N539"/>
    <mergeCell ref="O539:P539"/>
    <mergeCell ref="B540:D540"/>
    <mergeCell ref="E540:F540"/>
    <mergeCell ref="G540:I540"/>
    <mergeCell ref="J540:K540"/>
    <mergeCell ref="M540:N540"/>
    <mergeCell ref="O540:P540"/>
    <mergeCell ref="B541:D541"/>
    <mergeCell ref="E541:F541"/>
    <mergeCell ref="G541:I541"/>
    <mergeCell ref="J541:K541"/>
    <mergeCell ref="M541:P541"/>
    <mergeCell ref="E542:F542"/>
    <mergeCell ref="G542:I542"/>
    <mergeCell ref="J542:K542"/>
    <mergeCell ref="M542:P542"/>
    <mergeCell ref="B543:D543"/>
    <mergeCell ref="E543:F543"/>
    <mergeCell ref="G543:I543"/>
    <mergeCell ref="J543:K543"/>
    <mergeCell ref="J544:K544"/>
    <mergeCell ref="B545:K545"/>
    <mergeCell ref="B546:D546"/>
    <mergeCell ref="E546:F546"/>
    <mergeCell ref="G546:I546"/>
    <mergeCell ref="J546:K546"/>
    <mergeCell ref="M546:P547"/>
    <mergeCell ref="B547:D547"/>
    <mergeCell ref="E547:F547"/>
    <mergeCell ref="G547:I547"/>
    <mergeCell ref="J547:K547"/>
    <mergeCell ref="B548:D548"/>
    <mergeCell ref="E548:F548"/>
    <mergeCell ref="G548:I548"/>
    <mergeCell ref="J548:K548"/>
    <mergeCell ref="E549:F549"/>
    <mergeCell ref="G549:I549"/>
    <mergeCell ref="J549:K549"/>
    <mergeCell ref="B550:D550"/>
    <mergeCell ref="E550:F550"/>
    <mergeCell ref="G550:I550"/>
    <mergeCell ref="J550:K550"/>
    <mergeCell ref="J551:K551"/>
    <mergeCell ref="B552:K552"/>
    <mergeCell ref="B553:D553"/>
    <mergeCell ref="E553:F553"/>
    <mergeCell ref="G553:I553"/>
    <mergeCell ref="J553:K553"/>
    <mergeCell ref="M553:N553"/>
    <mergeCell ref="O553:P553"/>
    <mergeCell ref="B554:D554"/>
    <mergeCell ref="E554:F554"/>
    <mergeCell ref="G554:I554"/>
    <mergeCell ref="J554:K554"/>
    <mergeCell ref="M554:N554"/>
    <mergeCell ref="O554:P554"/>
    <mergeCell ref="B555:D555"/>
    <mergeCell ref="E555:F555"/>
    <mergeCell ref="G555:I555"/>
    <mergeCell ref="J555:K555"/>
    <mergeCell ref="M555:N555"/>
    <mergeCell ref="O555:P555"/>
    <mergeCell ref="E556:F556"/>
    <mergeCell ref="G556:I556"/>
    <mergeCell ref="J556:K556"/>
    <mergeCell ref="M556:N556"/>
    <mergeCell ref="O556:P556"/>
    <mergeCell ref="B557:D557"/>
    <mergeCell ref="E557:F557"/>
    <mergeCell ref="G557:I557"/>
    <mergeCell ref="J557:K557"/>
    <mergeCell ref="J558:K558"/>
    <mergeCell ref="B559:K559"/>
    <mergeCell ref="B560:D560"/>
    <mergeCell ref="E560:F560"/>
    <mergeCell ref="G560:I560"/>
    <mergeCell ref="J560:K560"/>
    <mergeCell ref="M560:N560"/>
    <mergeCell ref="O560:P560"/>
    <mergeCell ref="B561:D561"/>
    <mergeCell ref="E561:F561"/>
    <mergeCell ref="G561:I561"/>
    <mergeCell ref="J561:K561"/>
    <mergeCell ref="M561:N561"/>
    <mergeCell ref="O561:P561"/>
    <mergeCell ref="B562:D562"/>
    <mergeCell ref="E562:F562"/>
    <mergeCell ref="G562:I562"/>
    <mergeCell ref="J562:K562"/>
    <mergeCell ref="E563:F563"/>
    <mergeCell ref="G563:I563"/>
    <mergeCell ref="J563:K563"/>
    <mergeCell ref="B564:D564"/>
    <mergeCell ref="E564:F564"/>
    <mergeCell ref="G564:I564"/>
    <mergeCell ref="J564:K564"/>
    <mergeCell ref="J565:K565"/>
    <mergeCell ref="B566:K566"/>
    <mergeCell ref="B567:D567"/>
    <mergeCell ref="E567:F567"/>
    <mergeCell ref="G567:I567"/>
    <mergeCell ref="J567:K567"/>
    <mergeCell ref="M567:N567"/>
    <mergeCell ref="O567:P567"/>
    <mergeCell ref="B568:D568"/>
    <mergeCell ref="E568:F568"/>
    <mergeCell ref="G568:I568"/>
    <mergeCell ref="J568:K568"/>
    <mergeCell ref="M568:N568"/>
    <mergeCell ref="O568:P568"/>
    <mergeCell ref="B569:D569"/>
    <mergeCell ref="E569:F569"/>
    <mergeCell ref="G569:I569"/>
    <mergeCell ref="J569:K569"/>
    <mergeCell ref="E570:F570"/>
    <mergeCell ref="G570:I570"/>
    <mergeCell ref="J570:K570"/>
    <mergeCell ref="B571:D571"/>
    <mergeCell ref="E571:F571"/>
    <mergeCell ref="G571:I571"/>
    <mergeCell ref="J571:K571"/>
    <mergeCell ref="G573:K573"/>
    <mergeCell ref="J576:K576"/>
    <mergeCell ref="B577:K577"/>
    <mergeCell ref="B578:D578"/>
    <mergeCell ref="E578:F578"/>
    <mergeCell ref="G578:I578"/>
    <mergeCell ref="J578:K578"/>
    <mergeCell ref="M578:N578"/>
    <mergeCell ref="O578:P578"/>
    <mergeCell ref="B579:D579"/>
    <mergeCell ref="E579:F579"/>
    <mergeCell ref="G579:I579"/>
    <mergeCell ref="J579:K579"/>
    <mergeCell ref="M579:N579"/>
    <mergeCell ref="O579:P579"/>
    <mergeCell ref="B580:D580"/>
    <mergeCell ref="E580:F580"/>
    <mergeCell ref="G580:I580"/>
    <mergeCell ref="J580:K580"/>
    <mergeCell ref="E581:F581"/>
    <mergeCell ref="G581:I581"/>
    <mergeCell ref="J581:K581"/>
    <mergeCell ref="B582:D582"/>
    <mergeCell ref="E582:F582"/>
    <mergeCell ref="G582:I582"/>
    <mergeCell ref="J582:K582"/>
    <mergeCell ref="J583:K583"/>
    <mergeCell ref="B584:K584"/>
    <mergeCell ref="B585:D585"/>
    <mergeCell ref="E585:F585"/>
    <mergeCell ref="G585:I585"/>
    <mergeCell ref="J585:K585"/>
    <mergeCell ref="M585:N585"/>
    <mergeCell ref="O585:P585"/>
    <mergeCell ref="B586:D586"/>
    <mergeCell ref="E586:F586"/>
    <mergeCell ref="G586:I586"/>
    <mergeCell ref="J586:K586"/>
    <mergeCell ref="M586:N586"/>
    <mergeCell ref="O586:P586"/>
    <mergeCell ref="B587:D587"/>
    <mergeCell ref="E587:F587"/>
    <mergeCell ref="G587:I587"/>
    <mergeCell ref="J587:K587"/>
    <mergeCell ref="M587:N587"/>
    <mergeCell ref="O587:P587"/>
    <mergeCell ref="E588:F588"/>
    <mergeCell ref="G588:I588"/>
    <mergeCell ref="J588:K588"/>
    <mergeCell ref="M588:N588"/>
    <mergeCell ref="O588:P588"/>
    <mergeCell ref="B589:D589"/>
    <mergeCell ref="E589:F589"/>
    <mergeCell ref="G589:I589"/>
    <mergeCell ref="J589:K589"/>
    <mergeCell ref="J590:K590"/>
    <mergeCell ref="B591:K591"/>
    <mergeCell ref="B592:D592"/>
    <mergeCell ref="E592:F592"/>
    <mergeCell ref="G592:I592"/>
    <mergeCell ref="J592:K592"/>
    <mergeCell ref="M592:N592"/>
    <mergeCell ref="O592:P592"/>
    <mergeCell ref="B593:D593"/>
    <mergeCell ref="E593:F593"/>
    <mergeCell ref="G593:I593"/>
    <mergeCell ref="J593:K593"/>
    <mergeCell ref="M593:N593"/>
    <mergeCell ref="O593:P593"/>
    <mergeCell ref="B594:D594"/>
    <mergeCell ref="E594:F594"/>
    <mergeCell ref="G594:I594"/>
    <mergeCell ref="J594:K594"/>
    <mergeCell ref="E595:F595"/>
    <mergeCell ref="G595:I595"/>
    <mergeCell ref="J595:K595"/>
    <mergeCell ref="B596:D596"/>
    <mergeCell ref="E596:F596"/>
    <mergeCell ref="G596:I596"/>
    <mergeCell ref="J596:K596"/>
    <mergeCell ref="J597:K597"/>
    <mergeCell ref="B598:K598"/>
    <mergeCell ref="B599:D599"/>
    <mergeCell ref="E599:F599"/>
    <mergeCell ref="G599:I599"/>
    <mergeCell ref="J599:K599"/>
    <mergeCell ref="M599:N599"/>
    <mergeCell ref="O599:P599"/>
    <mergeCell ref="B600:D600"/>
    <mergeCell ref="E600:F600"/>
    <mergeCell ref="G600:I600"/>
    <mergeCell ref="J600:K600"/>
    <mergeCell ref="M600:N600"/>
    <mergeCell ref="O600:P600"/>
    <mergeCell ref="B601:D601"/>
    <mergeCell ref="E601:F601"/>
    <mergeCell ref="G601:I601"/>
    <mergeCell ref="J601:K601"/>
    <mergeCell ref="E602:F602"/>
    <mergeCell ref="G602:I602"/>
    <mergeCell ref="J602:K602"/>
    <mergeCell ref="B603:D603"/>
    <mergeCell ref="E603:F603"/>
    <mergeCell ref="G603:I603"/>
    <mergeCell ref="J603:K603"/>
    <mergeCell ref="J604:K604"/>
    <mergeCell ref="B605:K605"/>
    <mergeCell ref="M607:N607"/>
    <mergeCell ref="O607:P607"/>
    <mergeCell ref="B606:D606"/>
    <mergeCell ref="E606:F606"/>
    <mergeCell ref="G606:I606"/>
    <mergeCell ref="J606:K606"/>
    <mergeCell ref="M606:N606"/>
    <mergeCell ref="O606:P606"/>
    <mergeCell ref="G609:I609"/>
    <mergeCell ref="J609:K609"/>
    <mergeCell ref="B607:D607"/>
    <mergeCell ref="E607:F607"/>
    <mergeCell ref="G607:I607"/>
    <mergeCell ref="J607:K607"/>
    <mergeCell ref="B610:D610"/>
    <mergeCell ref="E610:F610"/>
    <mergeCell ref="G610:I610"/>
    <mergeCell ref="J610:K610"/>
    <mergeCell ref="J611:K611"/>
    <mergeCell ref="B608:D608"/>
    <mergeCell ref="E608:F608"/>
    <mergeCell ref="G608:I608"/>
    <mergeCell ref="J608:K608"/>
    <mergeCell ref="E609:F609"/>
    <mergeCell ref="K133:P133"/>
    <mergeCell ref="L134:M134"/>
    <mergeCell ref="O134:P134"/>
    <mergeCell ref="L135:M135"/>
    <mergeCell ref="I149:J149"/>
    <mergeCell ref="K149:L149"/>
    <mergeCell ref="I147:J147"/>
    <mergeCell ref="M149:P149"/>
    <mergeCell ref="K148:L148"/>
    <mergeCell ref="I146:J146"/>
    <mergeCell ref="C147:H147"/>
    <mergeCell ref="C148:H148"/>
    <mergeCell ref="C149:H149"/>
    <mergeCell ref="C150:H150"/>
    <mergeCell ref="I150:J150"/>
    <mergeCell ref="N138:O138"/>
    <mergeCell ref="L97:M97"/>
    <mergeCell ref="K99:P99"/>
    <mergeCell ref="L100:M100"/>
    <mergeCell ref="O100:P100"/>
    <mergeCell ref="L102:M102"/>
    <mergeCell ref="O101:P101"/>
    <mergeCell ref="E138:F138"/>
    <mergeCell ref="E139:F139"/>
    <mergeCell ref="H114:I114"/>
    <mergeCell ref="I156:J156"/>
    <mergeCell ref="I153:J153"/>
    <mergeCell ref="L293:M293"/>
    <mergeCell ref="N293:N294"/>
    <mergeCell ref="O293:P294"/>
    <mergeCell ref="E294:G294"/>
    <mergeCell ref="I294:J294"/>
    <mergeCell ref="L294:M294"/>
    <mergeCell ref="L280:M280"/>
    <mergeCell ref="N280:O280"/>
    <mergeCell ref="H279:I279"/>
    <mergeCell ref="J279:K279"/>
    <mergeCell ref="L279:M279"/>
    <mergeCell ref="N279:O279"/>
    <mergeCell ref="C266:G266"/>
    <mergeCell ref="H266:I266"/>
    <mergeCell ref="J266:K266"/>
    <mergeCell ref="L266:M266"/>
    <mergeCell ref="H278:I278"/>
    <mergeCell ref="J278:K278"/>
    <mergeCell ref="L278:M278"/>
    <mergeCell ref="H273:I273"/>
    <mergeCell ref="J273:K273"/>
    <mergeCell ref="C441:P441"/>
    <mergeCell ref="E419:G419"/>
    <mergeCell ref="I419:J419"/>
    <mergeCell ref="L419:M419"/>
    <mergeCell ref="C433:P433"/>
    <mergeCell ref="C434:P434"/>
    <mergeCell ref="C435:P435"/>
    <mergeCell ref="A430:Q430"/>
    <mergeCell ref="A429:Q429"/>
    <mergeCell ref="L285:M285"/>
    <mergeCell ref="I290:J290"/>
    <mergeCell ref="K290:K291"/>
    <mergeCell ref="L290:M290"/>
    <mergeCell ref="H285:I285"/>
    <mergeCell ref="M370:N370"/>
    <mergeCell ref="M371:N371"/>
    <mergeCell ref="M372:N372"/>
    <mergeCell ref="E385:F385"/>
    <mergeCell ref="B390:D390"/>
    <mergeCell ref="B385:D385"/>
    <mergeCell ref="B395:D395"/>
    <mergeCell ref="B388:D388"/>
    <mergeCell ref="B386:D386"/>
    <mergeCell ref="E377:F377"/>
    <mergeCell ref="E378:F378"/>
    <mergeCell ref="O370:P370"/>
    <mergeCell ref="O372:P372"/>
    <mergeCell ref="K376:L376"/>
    <mergeCell ref="K392:L392"/>
    <mergeCell ref="I377:J377"/>
    <mergeCell ref="K377:L377"/>
    <mergeCell ref="I378:J378"/>
    <mergeCell ref="C459:P459"/>
    <mergeCell ref="C460:P460"/>
    <mergeCell ref="B418:D419"/>
    <mergeCell ref="E418:G418"/>
    <mergeCell ref="H418:H419"/>
    <mergeCell ref="I418:J418"/>
    <mergeCell ref="K418:K419"/>
    <mergeCell ref="L418:M418"/>
    <mergeCell ref="N418:N419"/>
    <mergeCell ref="O418:P419"/>
    <mergeCell ref="C453:P453"/>
    <mergeCell ref="C454:P454"/>
    <mergeCell ref="C455:P455"/>
    <mergeCell ref="C456:P456"/>
    <mergeCell ref="C457:P457"/>
    <mergeCell ref="C458:P458"/>
    <mergeCell ref="B293:D294"/>
    <mergeCell ref="E293:G293"/>
    <mergeCell ref="H293:H294"/>
    <mergeCell ref="I293:J293"/>
    <mergeCell ref="K293:K294"/>
    <mergeCell ref="C442:P442"/>
    <mergeCell ref="C443:P443"/>
    <mergeCell ref="C444:P444"/>
    <mergeCell ref="C445:P445"/>
    <mergeCell ref="C446:P446"/>
    <mergeCell ref="C447:P447"/>
    <mergeCell ref="C436:P436"/>
    <mergeCell ref="C437:P437"/>
    <mergeCell ref="C438:P438"/>
    <mergeCell ref="C439:P439"/>
    <mergeCell ref="C440:P440"/>
  </mergeCells>
  <printOptions horizontalCentered="1"/>
  <pageMargins left="0.51181102362204722" right="0.51181102362204722" top="0.74803149606299213" bottom="0.74803149606299213" header="0.31496062992125984" footer="0.31496062992125984"/>
  <pageSetup paperSize="9" scale="97" orientation="portrait" r:id="rId1"/>
  <headerFooter>
    <oddHeader>&amp;L&amp;"Garamond,Normal"Universidad de San Andrés
Fundamentos de Contabilidad&amp;C&amp;"Garamond,Normal"&amp;12
  &amp;"-,Regular"&amp;11
&amp;R&amp;"Garamond,Negrita"Solución Adicionales&amp;"Garamond,Normal"
&amp;"Garamond,Cursiva"Unidad 4: El procesamiento contable</oddHeader>
  </headerFooter>
  <rowBreaks count="12" manualBreakCount="12">
    <brk id="34" max="16383" man="1"/>
    <brk id="89" max="16383" man="1"/>
    <brk id="141" max="16383" man="1"/>
    <brk id="191" max="16383" man="1"/>
    <brk id="245" max="16383" man="1"/>
    <brk id="295" max="16383" man="1"/>
    <brk id="354" max="16383" man="1"/>
    <brk id="407" max="16383" man="1"/>
    <brk id="427" max="16383" man="1"/>
    <brk id="476" max="16383" man="1"/>
    <brk id="526" max="16383" man="1"/>
    <brk id="57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view="pageBreakPreview" zoomScale="60" zoomScaleNormal="100" workbookViewId="0">
      <selection activeCell="E460" sqref="E460"/>
    </sheetView>
  </sheetViews>
  <sheetFormatPr baseColWidth="10" defaultColWidth="9.140625" defaultRowHeight="12.75" x14ac:dyDescent="0.25"/>
  <cols>
    <col min="1" max="1" width="4.7109375" style="1135" customWidth="1"/>
    <col min="2" max="16384" width="9.140625" style="1135"/>
  </cols>
  <sheetData/>
  <printOptions horizontalCentered="1"/>
  <pageMargins left="0.51181102362204722" right="1.0629921259842521" top="0.74803149606299213" bottom="0.74803149606299213" header="0.31496062992125984" footer="0.31496062992125984"/>
  <pageSetup paperSize="9" scale="88" orientation="portrait" r:id="rId1"/>
  <headerFooter>
    <oddHeader>&amp;L&amp;"Garamond,Normal"Universidad de San Andrés
Fundamentos de Contabilidad&amp;C&amp;"Garamond,Normal"&amp;12
  &amp;"-,Regular"&amp;11
&amp;R&amp;"Garamond,Negrita"Solución Adicionales&amp;"Garamond,Normal"
&amp;"Garamond,Cursiva"Unidad 3: Introducción a los Estados Contables básicos</oddHeader>
    <oddFooter xml:space="preserve">&amp;R&amp;"Garamond,Normal"Página | &amp;"Garamond,Negrita"&amp;P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showGridLines="0" view="pageBreakPreview" zoomScaleNormal="100" zoomScaleSheetLayoutView="100" workbookViewId="0">
      <selection activeCell="E460" sqref="E460"/>
    </sheetView>
  </sheetViews>
  <sheetFormatPr baseColWidth="10" defaultColWidth="73.42578125" defaultRowHeight="15" x14ac:dyDescent="0.25"/>
  <cols>
    <col min="1" max="1" width="3.42578125" style="623" bestFit="1" customWidth="1"/>
    <col min="2" max="2" width="63.28515625" style="623" bestFit="1" customWidth="1"/>
    <col min="3" max="3" width="56.28515625" style="623" bestFit="1" customWidth="1"/>
    <col min="4" max="16384" width="73.42578125" style="623"/>
  </cols>
  <sheetData>
    <row r="1" spans="1:3" s="1139" customFormat="1" ht="30" x14ac:dyDescent="0.25">
      <c r="A1" s="1079" t="s">
        <v>1600</v>
      </c>
      <c r="B1" s="1079" t="s">
        <v>1599</v>
      </c>
      <c r="C1" s="1079" t="s">
        <v>1627</v>
      </c>
    </row>
    <row r="2" spans="1:3" s="1136" customFormat="1" x14ac:dyDescent="0.25">
      <c r="A2" s="1078">
        <v>1</v>
      </c>
      <c r="B2" s="1138" t="s">
        <v>1753</v>
      </c>
      <c r="C2" s="1137" t="s">
        <v>1626</v>
      </c>
    </row>
    <row r="3" spans="1:3" s="1136" customFormat="1" x14ac:dyDescent="0.25">
      <c r="A3" s="1078">
        <f t="shared" ref="A3:A28" si="0">+A2+1</f>
        <v>2</v>
      </c>
      <c r="B3" s="1138" t="s">
        <v>1752</v>
      </c>
      <c r="C3" s="1137" t="s">
        <v>1625</v>
      </c>
    </row>
    <row r="4" spans="1:3" s="1136" customFormat="1" x14ac:dyDescent="0.25">
      <c r="A4" s="1078">
        <f t="shared" si="0"/>
        <v>3</v>
      </c>
      <c r="B4" s="1138" t="s">
        <v>1751</v>
      </c>
      <c r="C4" s="1137" t="s">
        <v>1624</v>
      </c>
    </row>
    <row r="5" spans="1:3" s="1136" customFormat="1" x14ac:dyDescent="0.25">
      <c r="A5" s="1078">
        <f t="shared" si="0"/>
        <v>4</v>
      </c>
      <c r="B5" s="1138" t="s">
        <v>1750</v>
      </c>
      <c r="C5" s="1137" t="s">
        <v>1623</v>
      </c>
    </row>
    <row r="6" spans="1:3" s="1136" customFormat="1" x14ac:dyDescent="0.25">
      <c r="A6" s="1078">
        <f t="shared" si="0"/>
        <v>5</v>
      </c>
      <c r="B6" s="1138" t="s">
        <v>1749</v>
      </c>
      <c r="C6" s="1137" t="s">
        <v>1622</v>
      </c>
    </row>
    <row r="7" spans="1:3" s="1136" customFormat="1" x14ac:dyDescent="0.25">
      <c r="A7" s="1078">
        <f t="shared" si="0"/>
        <v>6</v>
      </c>
      <c r="B7" s="1138" t="s">
        <v>1748</v>
      </c>
      <c r="C7" s="1137" t="s">
        <v>1622</v>
      </c>
    </row>
    <row r="8" spans="1:3" s="1136" customFormat="1" x14ac:dyDescent="0.25">
      <c r="A8" s="1078">
        <f t="shared" si="0"/>
        <v>7</v>
      </c>
      <c r="B8" s="1138" t="s">
        <v>1747</v>
      </c>
      <c r="C8" s="1137" t="s">
        <v>1621</v>
      </c>
    </row>
    <row r="9" spans="1:3" s="1136" customFormat="1" x14ac:dyDescent="0.25">
      <c r="A9" s="1078">
        <f t="shared" si="0"/>
        <v>8</v>
      </c>
      <c r="B9" s="1138" t="s">
        <v>1746</v>
      </c>
      <c r="C9" s="1137" t="s">
        <v>1620</v>
      </c>
    </row>
    <row r="10" spans="1:3" s="1136" customFormat="1" x14ac:dyDescent="0.25">
      <c r="A10" s="1078">
        <f t="shared" si="0"/>
        <v>9</v>
      </c>
      <c r="B10" s="1138" t="s">
        <v>1745</v>
      </c>
      <c r="C10" s="1137" t="s">
        <v>1603</v>
      </c>
    </row>
    <row r="11" spans="1:3" s="1136" customFormat="1" x14ac:dyDescent="0.25">
      <c r="A11" s="1078">
        <f t="shared" si="0"/>
        <v>10</v>
      </c>
      <c r="B11" s="1138" t="s">
        <v>1744</v>
      </c>
      <c r="C11" s="1137" t="s">
        <v>1619</v>
      </c>
    </row>
    <row r="12" spans="1:3" s="1136" customFormat="1" x14ac:dyDescent="0.25">
      <c r="A12" s="1078">
        <f t="shared" si="0"/>
        <v>11</v>
      </c>
      <c r="B12" s="1138" t="s">
        <v>1743</v>
      </c>
      <c r="C12" s="1137" t="s">
        <v>1618</v>
      </c>
    </row>
    <row r="13" spans="1:3" s="1136" customFormat="1" x14ac:dyDescent="0.25">
      <c r="A13" s="1078">
        <f t="shared" si="0"/>
        <v>12</v>
      </c>
      <c r="B13" s="1138" t="s">
        <v>1742</v>
      </c>
      <c r="C13" s="1137" t="s">
        <v>1617</v>
      </c>
    </row>
    <row r="14" spans="1:3" s="1136" customFormat="1" x14ac:dyDescent="0.25">
      <c r="A14" s="1078">
        <f t="shared" si="0"/>
        <v>13</v>
      </c>
      <c r="B14" s="1138" t="s">
        <v>1741</v>
      </c>
      <c r="C14" s="1137" t="s">
        <v>1616</v>
      </c>
    </row>
    <row r="15" spans="1:3" s="1136" customFormat="1" x14ac:dyDescent="0.25">
      <c r="A15" s="1078">
        <f t="shared" si="0"/>
        <v>14</v>
      </c>
      <c r="B15" s="1138" t="s">
        <v>1740</v>
      </c>
      <c r="C15" s="1137" t="s">
        <v>1615</v>
      </c>
    </row>
    <row r="16" spans="1:3" s="1136" customFormat="1" x14ac:dyDescent="0.25">
      <c r="A16" s="1078">
        <f t="shared" si="0"/>
        <v>15</v>
      </c>
      <c r="B16" s="1138" t="s">
        <v>1739</v>
      </c>
      <c r="C16" s="1137" t="s">
        <v>1614</v>
      </c>
    </row>
    <row r="17" spans="1:3" s="1136" customFormat="1" x14ac:dyDescent="0.25">
      <c r="A17" s="1078">
        <f t="shared" si="0"/>
        <v>16</v>
      </c>
      <c r="B17" s="1138" t="s">
        <v>1738</v>
      </c>
      <c r="C17" s="1137" t="s">
        <v>1613</v>
      </c>
    </row>
    <row r="18" spans="1:3" s="1136" customFormat="1" x14ac:dyDescent="0.25">
      <c r="A18" s="1078">
        <f t="shared" si="0"/>
        <v>17</v>
      </c>
      <c r="B18" s="1138" t="s">
        <v>1737</v>
      </c>
      <c r="C18" s="1137" t="s">
        <v>1612</v>
      </c>
    </row>
    <row r="19" spans="1:3" s="1136" customFormat="1" x14ac:dyDescent="0.25">
      <c r="A19" s="1078">
        <f t="shared" si="0"/>
        <v>18</v>
      </c>
      <c r="B19" s="1138" t="s">
        <v>1736</v>
      </c>
      <c r="C19" s="1137" t="s">
        <v>1611</v>
      </c>
    </row>
    <row r="20" spans="1:3" s="1136" customFormat="1" x14ac:dyDescent="0.25">
      <c r="A20" s="1078">
        <f t="shared" si="0"/>
        <v>19</v>
      </c>
      <c r="B20" s="1138" t="s">
        <v>1735</v>
      </c>
      <c r="C20" s="1137" t="s">
        <v>1610</v>
      </c>
    </row>
    <row r="21" spans="1:3" s="1136" customFormat="1" x14ac:dyDescent="0.25">
      <c r="A21" s="1078">
        <f t="shared" si="0"/>
        <v>20</v>
      </c>
      <c r="B21" s="1138" t="s">
        <v>1734</v>
      </c>
      <c r="C21" s="1137" t="s">
        <v>1609</v>
      </c>
    </row>
    <row r="22" spans="1:3" s="1136" customFormat="1" x14ac:dyDescent="0.25">
      <c r="A22" s="1078">
        <f t="shared" si="0"/>
        <v>21</v>
      </c>
      <c r="B22" s="1138" t="s">
        <v>1733</v>
      </c>
      <c r="C22" s="1137" t="s">
        <v>1608</v>
      </c>
    </row>
    <row r="23" spans="1:3" s="1136" customFormat="1" x14ac:dyDescent="0.25">
      <c r="A23" s="1078">
        <f t="shared" si="0"/>
        <v>22</v>
      </c>
      <c r="B23" s="1138" t="s">
        <v>1732</v>
      </c>
      <c r="C23" s="1137" t="s">
        <v>1607</v>
      </c>
    </row>
    <row r="24" spans="1:3" s="1136" customFormat="1" x14ac:dyDescent="0.25">
      <c r="A24" s="1078">
        <f t="shared" si="0"/>
        <v>23</v>
      </c>
      <c r="B24" s="1138" t="s">
        <v>1731</v>
      </c>
      <c r="C24" s="1137" t="s">
        <v>1606</v>
      </c>
    </row>
    <row r="25" spans="1:3" s="1136" customFormat="1" x14ac:dyDescent="0.25">
      <c r="A25" s="1078">
        <f t="shared" si="0"/>
        <v>24</v>
      </c>
      <c r="B25" s="1138" t="s">
        <v>1730</v>
      </c>
      <c r="C25" s="1137" t="s">
        <v>1605</v>
      </c>
    </row>
    <row r="26" spans="1:3" s="1136" customFormat="1" x14ac:dyDescent="0.25">
      <c r="A26" s="1078">
        <f t="shared" si="0"/>
        <v>25</v>
      </c>
      <c r="B26" s="1138" t="s">
        <v>1729</v>
      </c>
      <c r="C26" s="1137" t="s">
        <v>1604</v>
      </c>
    </row>
    <row r="27" spans="1:3" s="1136" customFormat="1" x14ac:dyDescent="0.25">
      <c r="A27" s="1078">
        <f t="shared" si="0"/>
        <v>26</v>
      </c>
      <c r="B27" s="1138" t="s">
        <v>1728</v>
      </c>
      <c r="C27" s="1137" t="s">
        <v>1603</v>
      </c>
    </row>
    <row r="28" spans="1:3" s="1136" customFormat="1" x14ac:dyDescent="0.25">
      <c r="A28" s="1078">
        <f t="shared" si="0"/>
        <v>27</v>
      </c>
      <c r="B28" s="1138" t="s">
        <v>1727</v>
      </c>
      <c r="C28" s="1137" t="s">
        <v>1602</v>
      </c>
    </row>
  </sheetData>
  <printOptions horizontalCentered="1"/>
  <pageMargins left="0.51181102362204722" right="1.0629921259842521" top="0.74803149606299213" bottom="0.74803149606299213" header="0.31496062992125984" footer="0.31496062992125984"/>
  <pageSetup paperSize="9" scale="69" orientation="portrait" r:id="rId1"/>
  <headerFooter>
    <oddHeader>&amp;L&amp;"Garamond,Normal"Universidad de San Andrés
Fundamentos de Contabilidad&amp;C&amp;"Garamond,Normal"&amp;12
  &amp;"-,Regular"&amp;11
&amp;R&amp;"Garamond,Negrita"Solución Adicionales&amp;"Garamond,Normal"
&amp;"Garamond,Cursiva"Unidad 3: Introducción a los Estados Contables básicos</oddHeader>
    <oddFooter xml:space="preserve">&amp;R&amp;"Garamond,Normal"Página | &amp;"Garamond,Negrita"&amp;P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35"/>
  <sheetViews>
    <sheetView showGridLines="0" view="pageBreakPreview" topLeftCell="D1" zoomScaleNormal="80" zoomScaleSheetLayoutView="100" workbookViewId="0">
      <selection activeCell="N2" sqref="N2:Q7"/>
    </sheetView>
  </sheetViews>
  <sheetFormatPr baseColWidth="10" defaultColWidth="9.140625" defaultRowHeight="15" x14ac:dyDescent="0.25"/>
  <cols>
    <col min="1" max="1" width="2.42578125" style="1140" customWidth="1"/>
    <col min="2" max="2" width="15" style="1140" bestFit="1" customWidth="1"/>
    <col min="3" max="3" width="7.7109375" style="1140" bestFit="1" customWidth="1"/>
    <col min="4" max="4" width="18.7109375" style="1140" bestFit="1" customWidth="1"/>
    <col min="5" max="5" width="7.7109375" style="1140" bestFit="1" customWidth="1"/>
    <col min="6" max="6" width="2.28515625" style="1140" customWidth="1"/>
    <col min="7" max="7" width="15" style="1140" bestFit="1" customWidth="1"/>
    <col min="8" max="8" width="7.7109375" style="1140" bestFit="1" customWidth="1"/>
    <col min="9" max="9" width="18.7109375" style="1140" bestFit="1" customWidth="1"/>
    <col min="10" max="10" width="7.7109375" style="1140" bestFit="1" customWidth="1"/>
    <col min="11" max="11" width="2.42578125" style="1140" customWidth="1"/>
    <col min="12" max="12" width="16.140625" style="1141" customWidth="1"/>
    <col min="13" max="13" width="2.28515625" style="1141" customWidth="1"/>
    <col min="14" max="14" width="17.7109375" style="1141" bestFit="1" customWidth="1"/>
    <col min="15" max="15" width="9.140625" style="1141"/>
    <col min="16" max="16" width="20.7109375" style="1140" customWidth="1"/>
    <col min="17" max="17" width="9.140625" style="1140"/>
    <col min="18" max="18" width="2" style="1140" customWidth="1"/>
    <col min="19" max="16384" width="9.140625" style="1140"/>
  </cols>
  <sheetData>
    <row r="2" spans="2:17" ht="15" customHeight="1" thickBot="1" x14ac:dyDescent="0.3">
      <c r="B2" s="2175" t="s">
        <v>1557</v>
      </c>
      <c r="C2" s="2175"/>
      <c r="D2" s="2175"/>
      <c r="E2" s="2175"/>
      <c r="G2" s="2175" t="s">
        <v>1555</v>
      </c>
      <c r="H2" s="2175"/>
      <c r="I2" s="2175"/>
      <c r="J2" s="2175"/>
      <c r="K2" s="439"/>
      <c r="N2" s="2176" t="s">
        <v>1558</v>
      </c>
      <c r="O2" s="2176"/>
      <c r="P2" s="2176"/>
      <c r="Q2" s="2176"/>
    </row>
    <row r="3" spans="2:17" ht="15" customHeight="1" x14ac:dyDescent="0.25">
      <c r="B3" s="1152" t="s">
        <v>397</v>
      </c>
      <c r="C3" s="1153"/>
      <c r="D3" s="1152" t="s">
        <v>404</v>
      </c>
      <c r="E3" s="638"/>
      <c r="G3" s="1152" t="s">
        <v>397</v>
      </c>
      <c r="H3" s="1153"/>
      <c r="I3" s="1152" t="s">
        <v>404</v>
      </c>
      <c r="J3" s="638"/>
      <c r="K3" s="28"/>
      <c r="N3" s="1172" t="s">
        <v>2112</v>
      </c>
      <c r="O3" s="1171">
        <v>3000</v>
      </c>
      <c r="P3" s="1170" t="s">
        <v>2115</v>
      </c>
      <c r="Q3" s="1169">
        <v>20000</v>
      </c>
    </row>
    <row r="4" spans="2:17" ht="15" customHeight="1" x14ac:dyDescent="0.25">
      <c r="B4" s="1149" t="s">
        <v>403</v>
      </c>
      <c r="C4" s="1023"/>
      <c r="D4" s="1147" t="s">
        <v>399</v>
      </c>
      <c r="E4" s="511"/>
      <c r="G4" s="1149" t="s">
        <v>403</v>
      </c>
      <c r="H4" s="1023"/>
      <c r="I4" s="1147" t="s">
        <v>399</v>
      </c>
      <c r="J4" s="511"/>
      <c r="K4" s="28"/>
      <c r="N4" s="1165" t="s">
        <v>2113</v>
      </c>
      <c r="O4" s="1168">
        <v>50000</v>
      </c>
      <c r="P4" s="1163" t="s">
        <v>399</v>
      </c>
      <c r="Q4" s="1162">
        <v>0</v>
      </c>
    </row>
    <row r="5" spans="2:17" ht="15" customHeight="1" x14ac:dyDescent="0.25">
      <c r="B5" s="1149" t="s">
        <v>19</v>
      </c>
      <c r="C5" s="1023"/>
      <c r="D5" s="1152" t="s">
        <v>506</v>
      </c>
      <c r="E5" s="638"/>
      <c r="G5" s="1149" t="s">
        <v>19</v>
      </c>
      <c r="H5" s="1023"/>
      <c r="I5" s="1152" t="s">
        <v>506</v>
      </c>
      <c r="J5" s="638"/>
      <c r="K5" s="439"/>
      <c r="N5" s="1165" t="s">
        <v>2114</v>
      </c>
      <c r="O5" s="1168">
        <v>10000</v>
      </c>
      <c r="P5" s="1167" t="s">
        <v>2116</v>
      </c>
      <c r="Q5" s="1166">
        <v>43000</v>
      </c>
    </row>
    <row r="6" spans="2:17" ht="15" customHeight="1" x14ac:dyDescent="0.25">
      <c r="B6" s="1149"/>
      <c r="C6" s="1148"/>
      <c r="D6" s="1147" t="s">
        <v>7</v>
      </c>
      <c r="E6" s="511"/>
      <c r="G6" s="1149"/>
      <c r="H6" s="1148"/>
      <c r="I6" s="1147" t="s">
        <v>7</v>
      </c>
      <c r="J6" s="511"/>
      <c r="K6" s="28"/>
      <c r="N6" s="1165"/>
      <c r="O6" s="1164" t="s">
        <v>655</v>
      </c>
      <c r="P6" s="1163" t="s">
        <v>7</v>
      </c>
      <c r="Q6" s="1162">
        <v>0</v>
      </c>
    </row>
    <row r="7" spans="2:17" ht="15" customHeight="1" thickBot="1" x14ac:dyDescent="0.3">
      <c r="B7" s="1143" t="s">
        <v>427</v>
      </c>
      <c r="C7" s="1144"/>
      <c r="D7" s="1143" t="s">
        <v>1533</v>
      </c>
      <c r="E7" s="1142"/>
      <c r="G7" s="1143" t="s">
        <v>427</v>
      </c>
      <c r="H7" s="1144"/>
      <c r="I7" s="1143" t="s">
        <v>1533</v>
      </c>
      <c r="J7" s="1142"/>
      <c r="K7" s="28"/>
      <c r="N7" s="1161" t="s">
        <v>427</v>
      </c>
      <c r="O7" s="1160">
        <f>+SUM(O3:O6)</f>
        <v>63000</v>
      </c>
      <c r="P7" s="1159" t="s">
        <v>1533</v>
      </c>
      <c r="Q7" s="1158">
        <f>+SUM(Q3:Q6)</f>
        <v>63000</v>
      </c>
    </row>
    <row r="8" spans="2:17" ht="26.25" customHeight="1" x14ac:dyDescent="0.25">
      <c r="B8" s="1157"/>
      <c r="C8" s="1156"/>
      <c r="D8" s="1157"/>
      <c r="E8" s="1156"/>
      <c r="G8" s="1157"/>
      <c r="H8" s="1156"/>
      <c r="I8" s="1157"/>
      <c r="J8" s="1156"/>
      <c r="K8" s="439"/>
      <c r="L8" s="1146"/>
      <c r="M8" s="1145"/>
    </row>
    <row r="9" spans="2:17" x14ac:dyDescent="0.25">
      <c r="B9" s="2175" t="s">
        <v>1553</v>
      </c>
      <c r="C9" s="2175"/>
      <c r="D9" s="2175"/>
      <c r="E9" s="2175"/>
      <c r="G9" s="2175" t="s">
        <v>1551</v>
      </c>
      <c r="H9" s="2175"/>
      <c r="I9" s="2175"/>
      <c r="J9" s="2175"/>
      <c r="K9" s="439"/>
      <c r="L9" s="1146"/>
      <c r="M9" s="1145"/>
    </row>
    <row r="10" spans="2:17" x14ac:dyDescent="0.25">
      <c r="B10" s="1152" t="s">
        <v>397</v>
      </c>
      <c r="C10" s="1153"/>
      <c r="D10" s="1152" t="s">
        <v>404</v>
      </c>
      <c r="E10" s="638"/>
      <c r="G10" s="1152" t="s">
        <v>397</v>
      </c>
      <c r="H10" s="1153"/>
      <c r="I10" s="1152" t="s">
        <v>404</v>
      </c>
      <c r="J10" s="638"/>
      <c r="K10" s="439"/>
      <c r="L10" s="1146"/>
      <c r="M10" s="1145"/>
    </row>
    <row r="11" spans="2:17" x14ac:dyDescent="0.25">
      <c r="B11" s="1149" t="s">
        <v>403</v>
      </c>
      <c r="C11" s="1023"/>
      <c r="D11" s="1147" t="s">
        <v>399</v>
      </c>
      <c r="E11" s="511"/>
      <c r="G11" s="1149" t="s">
        <v>403</v>
      </c>
      <c r="H11" s="1023"/>
      <c r="I11" s="1147" t="s">
        <v>399</v>
      </c>
      <c r="J11" s="511"/>
    </row>
    <row r="12" spans="2:17" x14ac:dyDescent="0.25">
      <c r="B12" s="1149" t="s">
        <v>19</v>
      </c>
      <c r="C12" s="1023"/>
      <c r="D12" s="1152" t="s">
        <v>506</v>
      </c>
      <c r="E12" s="638"/>
      <c r="G12" s="1149" t="s">
        <v>19</v>
      </c>
      <c r="H12" s="1023"/>
      <c r="I12" s="1152" t="s">
        <v>506</v>
      </c>
      <c r="J12" s="638"/>
      <c r="K12" s="439"/>
      <c r="L12" s="1146"/>
      <c r="M12" s="1146"/>
    </row>
    <row r="13" spans="2:17" x14ac:dyDescent="0.25">
      <c r="B13" s="1149"/>
      <c r="C13" s="1148"/>
      <c r="D13" s="1147" t="s">
        <v>7</v>
      </c>
      <c r="E13" s="511"/>
      <c r="G13" s="1149"/>
      <c r="H13" s="1148"/>
      <c r="I13" s="1147" t="s">
        <v>7</v>
      </c>
      <c r="J13" s="511"/>
      <c r="K13" s="28"/>
      <c r="L13" s="1151"/>
      <c r="M13" s="1145"/>
    </row>
    <row r="14" spans="2:17" ht="17.25" x14ac:dyDescent="0.25">
      <c r="B14" s="1143" t="s">
        <v>427</v>
      </c>
      <c r="C14" s="1144"/>
      <c r="D14" s="1143" t="s">
        <v>1533</v>
      </c>
      <c r="E14" s="1142"/>
      <c r="G14" s="1143" t="s">
        <v>427</v>
      </c>
      <c r="H14" s="1144"/>
      <c r="I14" s="1143" t="s">
        <v>1533</v>
      </c>
      <c r="J14" s="1142"/>
      <c r="K14" s="28"/>
      <c r="L14" s="1151"/>
      <c r="M14" s="1150"/>
    </row>
    <row r="15" spans="2:17" ht="26.25" customHeight="1" x14ac:dyDescent="0.25">
      <c r="B15" s="28"/>
      <c r="C15" s="1154"/>
      <c r="D15" s="439"/>
      <c r="E15" s="1154"/>
      <c r="G15" s="28"/>
      <c r="H15" s="1154"/>
      <c r="I15" s="439"/>
      <c r="J15" s="1154"/>
      <c r="K15" s="439"/>
      <c r="L15" s="1146"/>
      <c r="M15" s="1145"/>
    </row>
    <row r="16" spans="2:17" x14ac:dyDescent="0.25">
      <c r="B16" s="2175" t="s">
        <v>1550</v>
      </c>
      <c r="C16" s="2175"/>
      <c r="D16" s="2175"/>
      <c r="E16" s="2175"/>
      <c r="G16" s="2175" t="s">
        <v>1547</v>
      </c>
      <c r="H16" s="2175"/>
      <c r="I16" s="2175"/>
      <c r="J16" s="2175"/>
      <c r="K16" s="28"/>
      <c r="L16" s="1151"/>
      <c r="M16" s="1145"/>
    </row>
    <row r="17" spans="2:13" ht="17.25" x14ac:dyDescent="0.25">
      <c r="B17" s="1152" t="s">
        <v>397</v>
      </c>
      <c r="C17" s="1153"/>
      <c r="D17" s="1152" t="s">
        <v>404</v>
      </c>
      <c r="E17" s="638"/>
      <c r="G17" s="1152" t="s">
        <v>397</v>
      </c>
      <c r="H17" s="1153"/>
      <c r="I17" s="1152" t="s">
        <v>404</v>
      </c>
      <c r="J17" s="638"/>
      <c r="K17" s="28"/>
      <c r="L17" s="1151"/>
      <c r="M17" s="1150"/>
    </row>
    <row r="18" spans="2:13" x14ac:dyDescent="0.25">
      <c r="B18" s="1149" t="s">
        <v>403</v>
      </c>
      <c r="C18" s="1023"/>
      <c r="D18" s="1147" t="s">
        <v>399</v>
      </c>
      <c r="E18" s="511"/>
      <c r="G18" s="1149" t="s">
        <v>403</v>
      </c>
      <c r="H18" s="1023"/>
      <c r="I18" s="1147" t="s">
        <v>399</v>
      </c>
      <c r="J18" s="511"/>
      <c r="K18" s="439"/>
      <c r="L18" s="1146"/>
      <c r="M18" s="1145"/>
    </row>
    <row r="19" spans="2:13" x14ac:dyDescent="0.25">
      <c r="B19" s="1149" t="s">
        <v>19</v>
      </c>
      <c r="C19" s="1023"/>
      <c r="D19" s="1152" t="s">
        <v>506</v>
      </c>
      <c r="E19" s="638"/>
      <c r="G19" s="1149" t="s">
        <v>19</v>
      </c>
      <c r="H19" s="1023"/>
      <c r="I19" s="1152" t="s">
        <v>506</v>
      </c>
      <c r="J19" s="638"/>
    </row>
    <row r="20" spans="2:13" x14ac:dyDescent="0.25">
      <c r="B20" s="1149"/>
      <c r="C20" s="1148"/>
      <c r="D20" s="1147" t="s">
        <v>7</v>
      </c>
      <c r="E20" s="511"/>
      <c r="G20" s="1149"/>
      <c r="H20" s="1148"/>
      <c r="I20" s="1147" t="s">
        <v>7</v>
      </c>
      <c r="J20" s="511"/>
      <c r="K20" s="439"/>
      <c r="L20" s="1146"/>
      <c r="M20" s="1146"/>
    </row>
    <row r="21" spans="2:13" x14ac:dyDescent="0.25">
      <c r="B21" s="1143" t="s">
        <v>427</v>
      </c>
      <c r="C21" s="1144"/>
      <c r="D21" s="1143" t="s">
        <v>1533</v>
      </c>
      <c r="E21" s="1142"/>
      <c r="G21" s="1143" t="s">
        <v>427</v>
      </c>
      <c r="H21" s="1144"/>
      <c r="I21" s="1143" t="s">
        <v>1533</v>
      </c>
      <c r="J21" s="1142"/>
      <c r="K21" s="28"/>
      <c r="L21" s="1151"/>
      <c r="M21" s="1145"/>
    </row>
    <row r="22" spans="2:13" ht="26.25" customHeight="1" x14ac:dyDescent="0.25">
      <c r="B22" s="28"/>
      <c r="C22" s="1154"/>
      <c r="D22" s="28"/>
      <c r="E22" s="1155"/>
      <c r="G22" s="28"/>
      <c r="H22" s="1154"/>
      <c r="I22" s="28"/>
      <c r="J22" s="1155"/>
      <c r="K22" s="28"/>
      <c r="L22" s="1151"/>
      <c r="M22" s="1150"/>
    </row>
    <row r="23" spans="2:13" x14ac:dyDescent="0.25">
      <c r="B23" s="2175" t="s">
        <v>1545</v>
      </c>
      <c r="C23" s="2175"/>
      <c r="D23" s="2175"/>
      <c r="E23" s="2175"/>
      <c r="G23" s="2175" t="s">
        <v>1541</v>
      </c>
      <c r="H23" s="2175"/>
      <c r="I23" s="2175"/>
      <c r="J23" s="2175"/>
      <c r="K23" s="439"/>
      <c r="L23" s="1146"/>
      <c r="M23" s="1145"/>
    </row>
    <row r="24" spans="2:13" x14ac:dyDescent="0.25">
      <c r="B24" s="1152" t="s">
        <v>397</v>
      </c>
      <c r="C24" s="1153"/>
      <c r="D24" s="1152" t="s">
        <v>404</v>
      </c>
      <c r="E24" s="638"/>
      <c r="G24" s="1152" t="s">
        <v>397</v>
      </c>
      <c r="H24" s="1153"/>
      <c r="I24" s="1152" t="s">
        <v>404</v>
      </c>
      <c r="J24" s="638"/>
      <c r="K24" s="28"/>
      <c r="L24" s="1151"/>
      <c r="M24" s="1145"/>
    </row>
    <row r="25" spans="2:13" ht="17.25" x14ac:dyDescent="0.25">
      <c r="B25" s="1149" t="s">
        <v>403</v>
      </c>
      <c r="C25" s="1023"/>
      <c r="D25" s="1147" t="s">
        <v>399</v>
      </c>
      <c r="E25" s="511"/>
      <c r="G25" s="1149" t="s">
        <v>403</v>
      </c>
      <c r="H25" s="1023"/>
      <c r="I25" s="1147" t="s">
        <v>399</v>
      </c>
      <c r="J25" s="511"/>
      <c r="K25" s="28"/>
      <c r="L25" s="1151"/>
      <c r="M25" s="1150"/>
    </row>
    <row r="26" spans="2:13" x14ac:dyDescent="0.25">
      <c r="B26" s="1149" t="s">
        <v>19</v>
      </c>
      <c r="C26" s="1023"/>
      <c r="D26" s="1152" t="s">
        <v>506</v>
      </c>
      <c r="E26" s="638"/>
      <c r="G26" s="1149" t="s">
        <v>19</v>
      </c>
      <c r="H26" s="1023"/>
      <c r="I26" s="1152" t="s">
        <v>506</v>
      </c>
      <c r="J26" s="638"/>
      <c r="K26" s="439"/>
      <c r="L26" s="1146"/>
      <c r="M26" s="1145"/>
    </row>
    <row r="27" spans="2:13" x14ac:dyDescent="0.25">
      <c r="B27" s="1149"/>
      <c r="C27" s="1148"/>
      <c r="D27" s="1147" t="s">
        <v>7</v>
      </c>
      <c r="E27" s="511"/>
      <c r="G27" s="1149"/>
      <c r="H27" s="1148"/>
      <c r="I27" s="1147" t="s">
        <v>7</v>
      </c>
      <c r="J27" s="511"/>
    </row>
    <row r="28" spans="2:13" x14ac:dyDescent="0.25">
      <c r="B28" s="1143" t="s">
        <v>427</v>
      </c>
      <c r="C28" s="1144"/>
      <c r="D28" s="1143" t="s">
        <v>1533</v>
      </c>
      <c r="E28" s="1142"/>
      <c r="G28" s="1143" t="s">
        <v>427</v>
      </c>
      <c r="H28" s="1144"/>
      <c r="I28" s="1143" t="s">
        <v>1533</v>
      </c>
      <c r="J28" s="1142"/>
      <c r="K28" s="439"/>
      <c r="L28" s="1146"/>
      <c r="M28" s="1146"/>
    </row>
    <row r="29" spans="2:13" ht="26.25" customHeight="1" x14ac:dyDescent="0.25">
      <c r="B29" s="28"/>
      <c r="C29" s="1154"/>
      <c r="D29" s="28"/>
      <c r="E29" s="1154"/>
      <c r="G29" s="28"/>
      <c r="H29" s="1154"/>
      <c r="I29" s="28"/>
      <c r="J29" s="1154"/>
      <c r="K29" s="28"/>
      <c r="L29" s="1151"/>
      <c r="M29" s="1145"/>
    </row>
    <row r="30" spans="2:13" ht="17.25" x14ac:dyDescent="0.25">
      <c r="B30" s="2175" t="s">
        <v>1538</v>
      </c>
      <c r="C30" s="2175"/>
      <c r="D30" s="2175"/>
      <c r="E30" s="2175"/>
      <c r="G30" s="2175" t="s">
        <v>1536</v>
      </c>
      <c r="H30" s="2175"/>
      <c r="I30" s="2175"/>
      <c r="J30" s="2175"/>
      <c r="K30" s="28"/>
      <c r="L30" s="1151"/>
      <c r="M30" s="1150"/>
    </row>
    <row r="31" spans="2:13" x14ac:dyDescent="0.25">
      <c r="B31" s="1152" t="s">
        <v>397</v>
      </c>
      <c r="C31" s="1153"/>
      <c r="D31" s="1152" t="s">
        <v>404</v>
      </c>
      <c r="E31" s="638"/>
      <c r="G31" s="1152" t="s">
        <v>397</v>
      </c>
      <c r="H31" s="1153"/>
      <c r="I31" s="1152" t="s">
        <v>404</v>
      </c>
      <c r="J31" s="638"/>
      <c r="K31" s="439"/>
      <c r="L31" s="1146"/>
      <c r="M31" s="1145"/>
    </row>
    <row r="32" spans="2:13" x14ac:dyDescent="0.25">
      <c r="B32" s="1149" t="s">
        <v>403</v>
      </c>
      <c r="C32" s="1023"/>
      <c r="D32" s="1147" t="s">
        <v>399</v>
      </c>
      <c r="E32" s="511"/>
      <c r="G32" s="1149" t="s">
        <v>403</v>
      </c>
      <c r="H32" s="1023"/>
      <c r="I32" s="1147" t="s">
        <v>399</v>
      </c>
      <c r="J32" s="511"/>
      <c r="K32" s="28"/>
      <c r="L32" s="1151"/>
      <c r="M32" s="1145"/>
    </row>
    <row r="33" spans="2:13" ht="17.25" x14ac:dyDescent="0.25">
      <c r="B33" s="1149" t="s">
        <v>19</v>
      </c>
      <c r="C33" s="1023"/>
      <c r="D33" s="1152" t="s">
        <v>506</v>
      </c>
      <c r="E33" s="638"/>
      <c r="G33" s="1149" t="s">
        <v>19</v>
      </c>
      <c r="H33" s="1023"/>
      <c r="I33" s="1152" t="s">
        <v>506</v>
      </c>
      <c r="J33" s="638"/>
      <c r="K33" s="28"/>
      <c r="L33" s="1151"/>
      <c r="M33" s="1150"/>
    </row>
    <row r="34" spans="2:13" x14ac:dyDescent="0.25">
      <c r="B34" s="1149"/>
      <c r="C34" s="1148"/>
      <c r="D34" s="1147" t="s">
        <v>7</v>
      </c>
      <c r="E34" s="511"/>
      <c r="G34" s="1149"/>
      <c r="H34" s="1148"/>
      <c r="I34" s="1147" t="s">
        <v>7</v>
      </c>
      <c r="J34" s="511"/>
      <c r="K34" s="439"/>
      <c r="L34" s="1146"/>
      <c r="M34" s="1145"/>
    </row>
    <row r="35" spans="2:13" x14ac:dyDescent="0.25">
      <c r="B35" s="1143" t="s">
        <v>427</v>
      </c>
      <c r="C35" s="1144"/>
      <c r="D35" s="1143" t="s">
        <v>1533</v>
      </c>
      <c r="E35" s="1142"/>
      <c r="G35" s="1143" t="s">
        <v>427</v>
      </c>
      <c r="H35" s="1144"/>
      <c r="I35" s="1143" t="s">
        <v>1533</v>
      </c>
      <c r="J35" s="1142"/>
    </row>
  </sheetData>
  <mergeCells count="11">
    <mergeCell ref="N2:Q2"/>
    <mergeCell ref="B9:E9"/>
    <mergeCell ref="G9:J9"/>
    <mergeCell ref="B16:E16"/>
    <mergeCell ref="G16:J16"/>
    <mergeCell ref="B23:E23"/>
    <mergeCell ref="G23:J23"/>
    <mergeCell ref="B30:E30"/>
    <mergeCell ref="G30:J30"/>
    <mergeCell ref="B2:E2"/>
    <mergeCell ref="G2:J2"/>
  </mergeCells>
  <printOptions horizontalCentered="1"/>
  <pageMargins left="0.51181102362204722" right="1.0629921259842521" top="0.74803149606299213" bottom="0.74803149606299213" header="0.31496062992125984" footer="0.31496062992125984"/>
  <pageSetup paperSize="9" scale="80" orientation="portrait" r:id="rId1"/>
  <headerFooter>
    <oddHeader>&amp;L&amp;"Garamond,Normal"Universidad de San Andrés
Fundamentos de Contabilidad&amp;C&amp;"Garamond,Normal"&amp;12
  &amp;"-,Regular"&amp;11
&amp;R&amp;"Garamond,Negrita"Solución Adicionales&amp;"Garamond,Normal"
&amp;"Garamond,Cursiva"Unidad 3: Introducción a los Estados Contables básicos</oddHeader>
    <oddFooter xml:space="preserve">&amp;R&amp;"Garamond,Normal"Página | &amp;"Garamond,Negrita"&amp;P </oddFoot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30EAB-850C-6E42-B8EA-208C3D3FCA11}">
  <dimension ref="B2:AC136"/>
  <sheetViews>
    <sheetView showGridLines="0" topLeftCell="A13" workbookViewId="0">
      <selection activeCell="N71" sqref="N71"/>
    </sheetView>
  </sheetViews>
  <sheetFormatPr baseColWidth="10" defaultColWidth="8.7109375" defaultRowHeight="11.25" x14ac:dyDescent="0.2"/>
  <cols>
    <col min="1" max="1" width="4.7109375" style="1759" customWidth="1"/>
    <col min="2" max="16384" width="8.7109375" style="1759"/>
  </cols>
  <sheetData>
    <row r="2" spans="2:8" x14ac:dyDescent="0.2">
      <c r="B2" s="1758" t="s">
        <v>2428</v>
      </c>
    </row>
    <row r="3" spans="2:8" ht="12" thickBot="1" x14ac:dyDescent="0.25"/>
    <row r="4" spans="2:8" ht="12" thickBot="1" x14ac:dyDescent="0.25">
      <c r="B4" s="1760" t="s">
        <v>2429</v>
      </c>
      <c r="C4" s="1761"/>
      <c r="D4" s="1761"/>
      <c r="E4" s="1761"/>
      <c r="F4" s="1761"/>
      <c r="G4" s="1761"/>
      <c r="H4" s="1762"/>
    </row>
    <row r="6" spans="2:8" x14ac:dyDescent="0.2">
      <c r="B6" s="1763" t="s">
        <v>2430</v>
      </c>
    </row>
    <row r="7" spans="2:8" x14ac:dyDescent="0.2">
      <c r="B7" s="2178" t="s">
        <v>2431</v>
      </c>
      <c r="C7" s="2179"/>
      <c r="D7" s="2182" t="s">
        <v>2432</v>
      </c>
      <c r="E7" s="2183"/>
    </row>
    <row r="8" spans="2:8" ht="22.5" x14ac:dyDescent="0.2">
      <c r="B8" s="2180"/>
      <c r="C8" s="2181"/>
      <c r="D8" s="1764" t="s">
        <v>2433</v>
      </c>
      <c r="E8" s="1764" t="s">
        <v>2434</v>
      </c>
    </row>
    <row r="9" spans="2:8" ht="22.5" x14ac:dyDescent="0.2">
      <c r="B9" s="2184" t="s">
        <v>2435</v>
      </c>
      <c r="C9" s="1765" t="s">
        <v>2436</v>
      </c>
      <c r="D9" s="1766" t="s">
        <v>2437</v>
      </c>
      <c r="E9" s="1766" t="s">
        <v>370</v>
      </c>
    </row>
    <row r="10" spans="2:8" ht="22.5" x14ac:dyDescent="0.2">
      <c r="B10" s="2185"/>
      <c r="C10" s="1765" t="s">
        <v>2438</v>
      </c>
      <c r="D10" s="1766" t="s">
        <v>2439</v>
      </c>
      <c r="E10" s="1766" t="s">
        <v>2440</v>
      </c>
    </row>
    <row r="12" spans="2:8" x14ac:dyDescent="0.2">
      <c r="B12" s="1763" t="s">
        <v>2441</v>
      </c>
    </row>
    <row r="13" spans="2:8" x14ac:dyDescent="0.2">
      <c r="B13" s="1767" t="s">
        <v>589</v>
      </c>
      <c r="C13" s="1759" t="s">
        <v>2442</v>
      </c>
    </row>
    <row r="14" spans="2:8" x14ac:dyDescent="0.2">
      <c r="C14" s="1759" t="s">
        <v>2443</v>
      </c>
    </row>
    <row r="15" spans="2:8" x14ac:dyDescent="0.2">
      <c r="C15" s="1759" t="s">
        <v>2444</v>
      </c>
    </row>
    <row r="16" spans="2:8" x14ac:dyDescent="0.2">
      <c r="C16" s="1768" t="s">
        <v>2445</v>
      </c>
      <c r="D16" s="1769">
        <f>100000*1.1</f>
        <v>110000.00000000001</v>
      </c>
      <c r="E16" s="1770"/>
    </row>
    <row r="18" spans="2:8" x14ac:dyDescent="0.2">
      <c r="B18" s="1767" t="s">
        <v>594</v>
      </c>
      <c r="C18" s="1759" t="s">
        <v>2442</v>
      </c>
    </row>
    <row r="19" spans="2:8" x14ac:dyDescent="0.2">
      <c r="C19" s="1759" t="s">
        <v>2446</v>
      </c>
    </row>
    <row r="20" spans="2:8" x14ac:dyDescent="0.2">
      <c r="C20" s="1759" t="s">
        <v>2447</v>
      </c>
    </row>
    <row r="21" spans="2:8" x14ac:dyDescent="0.2">
      <c r="C21" s="1768" t="s">
        <v>2448</v>
      </c>
      <c r="D21" s="1771">
        <f>100000/1.1</f>
        <v>90909.090909090897</v>
      </c>
      <c r="E21" s="1770"/>
    </row>
    <row r="23" spans="2:8" x14ac:dyDescent="0.2">
      <c r="B23" s="1767" t="s">
        <v>591</v>
      </c>
      <c r="C23" s="1759" t="s">
        <v>2449</v>
      </c>
    </row>
    <row r="24" spans="2:8" x14ac:dyDescent="0.2">
      <c r="C24" s="1759" t="s">
        <v>2450</v>
      </c>
    </row>
    <row r="25" spans="2:8" x14ac:dyDescent="0.2">
      <c r="C25" s="1759" t="s">
        <v>2451</v>
      </c>
    </row>
    <row r="27" spans="2:8" ht="12" thickBot="1" x14ac:dyDescent="0.25"/>
    <row r="28" spans="2:8" ht="12" thickBot="1" x14ac:dyDescent="0.25">
      <c r="B28" s="1760" t="s">
        <v>2452</v>
      </c>
      <c r="C28" s="1761"/>
      <c r="D28" s="1761"/>
      <c r="E28" s="1761"/>
      <c r="F28" s="1761"/>
      <c r="G28" s="1761"/>
      <c r="H28" s="1762"/>
    </row>
    <row r="30" spans="2:8" x14ac:dyDescent="0.2">
      <c r="B30" s="1772" t="s">
        <v>2430</v>
      </c>
      <c r="C30" s="1759" t="s">
        <v>2453</v>
      </c>
    </row>
    <row r="31" spans="2:8" x14ac:dyDescent="0.2">
      <c r="B31" s="1772" t="s">
        <v>2441</v>
      </c>
      <c r="C31" s="2186" t="s">
        <v>2454</v>
      </c>
      <c r="D31" s="2186"/>
      <c r="E31" s="2186"/>
      <c r="F31" s="2186"/>
      <c r="G31" s="2186"/>
      <c r="H31" s="2186"/>
    </row>
    <row r="32" spans="2:8" x14ac:dyDescent="0.2">
      <c r="C32" s="2186"/>
      <c r="D32" s="2186"/>
      <c r="E32" s="2186"/>
      <c r="F32" s="2186"/>
      <c r="G32" s="2186"/>
      <c r="H32" s="2186"/>
    </row>
    <row r="33" spans="2:15" x14ac:dyDescent="0.2">
      <c r="C33" s="2186"/>
      <c r="D33" s="2186"/>
      <c r="E33" s="2186"/>
      <c r="F33" s="2186"/>
      <c r="G33" s="2186"/>
      <c r="H33" s="2186"/>
    </row>
    <row r="34" spans="2:15" x14ac:dyDescent="0.2">
      <c r="B34" s="1772" t="s">
        <v>2455</v>
      </c>
      <c r="C34" s="1759" t="s">
        <v>2456</v>
      </c>
    </row>
    <row r="35" spans="2:15" x14ac:dyDescent="0.2">
      <c r="B35" s="1772" t="s">
        <v>2457</v>
      </c>
      <c r="C35" s="1759" t="s">
        <v>2456</v>
      </c>
    </row>
    <row r="36" spans="2:15" x14ac:dyDescent="0.2">
      <c r="B36" s="1772" t="s">
        <v>2458</v>
      </c>
      <c r="C36" s="2186" t="s">
        <v>2459</v>
      </c>
      <c r="D36" s="2186"/>
      <c r="E36" s="2186"/>
      <c r="F36" s="2186"/>
      <c r="G36" s="2186"/>
      <c r="H36" s="2186"/>
    </row>
    <row r="37" spans="2:15" x14ac:dyDescent="0.2">
      <c r="B37" s="1772"/>
      <c r="C37" s="2186"/>
      <c r="D37" s="2186"/>
      <c r="E37" s="2186"/>
      <c r="F37" s="2186"/>
      <c r="G37" s="2186"/>
      <c r="H37" s="2186"/>
    </row>
    <row r="38" spans="2:15" x14ac:dyDescent="0.2">
      <c r="C38" s="2186"/>
      <c r="D38" s="2186"/>
      <c r="E38" s="2186"/>
      <c r="F38" s="2186"/>
      <c r="G38" s="2186"/>
      <c r="H38" s="2186"/>
    </row>
    <row r="39" spans="2:15" x14ac:dyDescent="0.2">
      <c r="C39" s="2186"/>
      <c r="D39" s="2186"/>
      <c r="E39" s="2186"/>
      <c r="F39" s="2186"/>
      <c r="G39" s="2186"/>
      <c r="H39" s="2186"/>
    </row>
    <row r="41" spans="2:15" x14ac:dyDescent="0.2">
      <c r="B41" s="2177"/>
      <c r="C41" s="2177"/>
      <c r="D41" s="2177"/>
      <c r="E41" s="1773" t="s">
        <v>2460</v>
      </c>
      <c r="F41" s="1773" t="s">
        <v>2461</v>
      </c>
      <c r="G41" s="1773" t="s">
        <v>2462</v>
      </c>
      <c r="H41" s="1773" t="s">
        <v>2463</v>
      </c>
      <c r="I41" s="2177"/>
      <c r="J41" s="2177"/>
      <c r="K41" s="2177"/>
      <c r="L41" s="1773" t="s">
        <v>2460</v>
      </c>
      <c r="M41" s="1773" t="s">
        <v>2461</v>
      </c>
      <c r="N41" s="1773" t="s">
        <v>2462</v>
      </c>
      <c r="O41" s="1773" t="s">
        <v>2463</v>
      </c>
    </row>
    <row r="42" spans="2:15" x14ac:dyDescent="0.2">
      <c r="B42" s="1774" t="s">
        <v>2437</v>
      </c>
      <c r="C42" s="1775"/>
      <c r="D42" s="1775"/>
      <c r="E42" s="1776">
        <v>100000</v>
      </c>
      <c r="F42" s="1776">
        <v>100000</v>
      </c>
      <c r="G42" s="1776">
        <v>100000</v>
      </c>
      <c r="H42" s="1776">
        <v>100000</v>
      </c>
      <c r="I42" s="1774" t="s">
        <v>2437</v>
      </c>
      <c r="J42" s="1775"/>
      <c r="K42" s="1775"/>
      <c r="L42" s="1776">
        <v>100000</v>
      </c>
      <c r="M42" s="1776">
        <v>100000</v>
      </c>
      <c r="N42" s="1776">
        <v>100000</v>
      </c>
      <c r="O42" s="1776">
        <v>100000</v>
      </c>
    </row>
    <row r="43" spans="2:15" x14ac:dyDescent="0.2">
      <c r="B43" s="1774" t="s">
        <v>2439</v>
      </c>
      <c r="C43" s="1775"/>
      <c r="D43" s="1775"/>
      <c r="E43" s="1776">
        <v>120000</v>
      </c>
      <c r="F43" s="1776">
        <v>120000</v>
      </c>
      <c r="G43" s="1776">
        <v>120000</v>
      </c>
      <c r="H43" s="1776">
        <v>80000</v>
      </c>
      <c r="I43" s="1774" t="s">
        <v>2439</v>
      </c>
      <c r="J43" s="1775"/>
      <c r="K43" s="1775"/>
      <c r="L43" s="1776">
        <v>120000</v>
      </c>
      <c r="M43" s="1776">
        <v>120000</v>
      </c>
      <c r="N43" s="1776">
        <v>120000</v>
      </c>
      <c r="O43" s="1776">
        <v>80000</v>
      </c>
    </row>
    <row r="44" spans="2:15" x14ac:dyDescent="0.2">
      <c r="B44" s="1774" t="s">
        <v>2464</v>
      </c>
      <c r="C44" s="1775"/>
      <c r="D44" s="1775"/>
      <c r="E44" s="1776">
        <v>150000</v>
      </c>
      <c r="F44" s="1776">
        <v>80000</v>
      </c>
      <c r="G44" s="1776">
        <v>80000</v>
      </c>
      <c r="H44" s="1776">
        <v>80000</v>
      </c>
      <c r="I44" s="1774" t="s">
        <v>2464</v>
      </c>
      <c r="J44" s="1775"/>
      <c r="K44" s="1775"/>
      <c r="L44" s="1776">
        <v>150000</v>
      </c>
      <c r="M44" s="1776">
        <v>80000</v>
      </c>
      <c r="N44" s="1776">
        <v>80000</v>
      </c>
      <c r="O44" s="1776">
        <v>80000</v>
      </c>
    </row>
    <row r="45" spans="2:15" x14ac:dyDescent="0.2">
      <c r="B45" s="1774" t="s">
        <v>2465</v>
      </c>
      <c r="C45" s="1775"/>
      <c r="D45" s="1775"/>
      <c r="E45" s="1776">
        <v>150000</v>
      </c>
      <c r="F45" s="1776">
        <v>150000</v>
      </c>
      <c r="G45" s="1776">
        <v>90000</v>
      </c>
      <c r="H45" s="1776">
        <v>150000</v>
      </c>
      <c r="I45" s="1774" t="s">
        <v>2465</v>
      </c>
      <c r="J45" s="1775"/>
      <c r="K45" s="1775"/>
      <c r="L45" s="1776">
        <v>150000</v>
      </c>
      <c r="M45" s="1776">
        <v>150000</v>
      </c>
      <c r="N45" s="1776">
        <v>90000</v>
      </c>
      <c r="O45" s="1776">
        <v>150000</v>
      </c>
    </row>
    <row r="46" spans="2:15" x14ac:dyDescent="0.2">
      <c r="B46" s="1777" t="s">
        <v>253</v>
      </c>
      <c r="C46" s="1778"/>
      <c r="D46" s="1778"/>
      <c r="E46" s="1779">
        <f>+MAX(E44,E45)</f>
        <v>150000</v>
      </c>
      <c r="F46" s="1779">
        <f>+MAX(F44,F45)</f>
        <v>150000</v>
      </c>
      <c r="G46" s="1779">
        <f>+MAX(G44,G45)</f>
        <v>90000</v>
      </c>
      <c r="H46" s="1779">
        <f>+MAX(H44,H45)</f>
        <v>150000</v>
      </c>
      <c r="I46" s="1777" t="s">
        <v>253</v>
      </c>
      <c r="J46" s="1778"/>
      <c r="K46" s="1778"/>
      <c r="L46" s="1779">
        <v>15</v>
      </c>
      <c r="M46" s="1779">
        <v>15</v>
      </c>
      <c r="N46" s="1779">
        <v>90</v>
      </c>
      <c r="O46" s="1779">
        <v>150</v>
      </c>
    </row>
    <row r="47" spans="2:15" x14ac:dyDescent="0.2">
      <c r="B47" s="1777" t="s">
        <v>2466</v>
      </c>
      <c r="C47" s="1778"/>
      <c r="D47" s="1778"/>
      <c r="E47" s="1780" t="str">
        <f>+IF(E42&lt;E46,"No","Sí")</f>
        <v>No</v>
      </c>
      <c r="F47" s="1780" t="str">
        <f>+IF(F42&lt;F46,"No","Sí")</f>
        <v>No</v>
      </c>
      <c r="G47" s="1780" t="str">
        <f>+IF(G42&lt;G46,"No","Sí")</f>
        <v>Sí</v>
      </c>
      <c r="H47" s="1780" t="str">
        <f>+IF(H42&lt;H46,"No","Sí")</f>
        <v>No</v>
      </c>
      <c r="I47" s="1777" t="s">
        <v>2466</v>
      </c>
      <c r="J47" s="1778"/>
      <c r="K47" s="1778"/>
      <c r="L47" s="1780">
        <v>0</v>
      </c>
      <c r="M47" s="1780">
        <v>0</v>
      </c>
      <c r="N47" s="1780">
        <v>1</v>
      </c>
      <c r="O47" s="1780">
        <v>0</v>
      </c>
    </row>
    <row r="48" spans="2:15" x14ac:dyDescent="0.2">
      <c r="B48" s="1777" t="s">
        <v>2467</v>
      </c>
      <c r="C48" s="1778"/>
      <c r="D48" s="1778"/>
      <c r="E48" s="1779">
        <f>+MIN(E46,E42)</f>
        <v>100000</v>
      </c>
      <c r="F48" s="1779">
        <f>+MIN(F46,F42)</f>
        <v>100000</v>
      </c>
      <c r="G48" s="1779">
        <f>+MIN(G46,G42)</f>
        <v>90000</v>
      </c>
      <c r="H48" s="1779">
        <f>+MIN(H46,H42)</f>
        <v>100000</v>
      </c>
      <c r="I48" s="1777" t="s">
        <v>2467</v>
      </c>
      <c r="J48" s="1778"/>
      <c r="K48" s="1778"/>
      <c r="L48" s="1779">
        <v>100000</v>
      </c>
      <c r="M48" s="1779">
        <v>100000</v>
      </c>
      <c r="N48" s="1779">
        <v>9000</v>
      </c>
      <c r="O48" s="1779">
        <v>10000</v>
      </c>
    </row>
    <row r="51" spans="2:16" ht="12" thickBot="1" x14ac:dyDescent="0.25"/>
    <row r="52" spans="2:16" ht="12" thickBot="1" x14ac:dyDescent="0.25">
      <c r="B52" s="1760" t="s">
        <v>2468</v>
      </c>
      <c r="C52" s="1761"/>
      <c r="D52" s="1761"/>
      <c r="E52" s="1761"/>
      <c r="F52" s="1761"/>
      <c r="G52" s="1761"/>
      <c r="H52" s="1762"/>
    </row>
    <row r="54" spans="2:16" x14ac:dyDescent="0.2">
      <c r="B54" s="1781" t="s">
        <v>362</v>
      </c>
      <c r="C54" s="1782"/>
      <c r="D54" s="1783"/>
      <c r="E54" s="1781" t="s">
        <v>2469</v>
      </c>
      <c r="F54" s="1783"/>
    </row>
    <row r="55" spans="2:16" x14ac:dyDescent="0.2">
      <c r="B55" s="1774" t="s">
        <v>2470</v>
      </c>
      <c r="C55" s="1775"/>
      <c r="D55" s="1784"/>
      <c r="E55" s="1774" t="s">
        <v>2471</v>
      </c>
      <c r="F55" s="1837"/>
    </row>
    <row r="56" spans="2:16" x14ac:dyDescent="0.2">
      <c r="B56" s="1774" t="s">
        <v>2472</v>
      </c>
      <c r="C56" s="1775"/>
      <c r="D56" s="1784"/>
      <c r="E56" s="1774" t="s">
        <v>2473</v>
      </c>
      <c r="F56" s="1837"/>
    </row>
    <row r="57" spans="2:16" x14ac:dyDescent="0.2">
      <c r="B57" s="1774" t="s">
        <v>2474</v>
      </c>
      <c r="C57" s="1775"/>
      <c r="D57" s="1784"/>
      <c r="E57" s="1774" t="s">
        <v>2475</v>
      </c>
      <c r="F57" s="1784"/>
    </row>
    <row r="58" spans="2:16" x14ac:dyDescent="0.2">
      <c r="B58" s="1774" t="s">
        <v>2476</v>
      </c>
      <c r="C58" s="1775"/>
      <c r="D58" s="1784"/>
      <c r="E58" s="1774" t="s">
        <v>2477</v>
      </c>
      <c r="F58" s="1784"/>
    </row>
    <row r="59" spans="2:16" x14ac:dyDescent="0.2">
      <c r="B59" s="1774" t="s">
        <v>2478</v>
      </c>
      <c r="C59" s="1775"/>
      <c r="D59" s="1784"/>
      <c r="E59" s="1774" t="s">
        <v>2479</v>
      </c>
      <c r="F59" s="1784"/>
    </row>
    <row r="63" spans="2:16" ht="12" thickBot="1" x14ac:dyDescent="0.25">
      <c r="N63" s="1759">
        <f>100000*1</f>
        <v>100000</v>
      </c>
      <c r="O63" s="1759">
        <f>100000</f>
        <v>100000</v>
      </c>
      <c r="P63" s="1759">
        <v>0</v>
      </c>
    </row>
    <row r="64" spans="2:16" ht="12" thickBot="1" x14ac:dyDescent="0.25">
      <c r="B64" s="1760" t="s">
        <v>2480</v>
      </c>
      <c r="C64" s="1761"/>
      <c r="D64" s="1761"/>
      <c r="E64" s="1761"/>
      <c r="F64" s="1761"/>
      <c r="G64" s="1761"/>
      <c r="H64" s="1762"/>
    </row>
    <row r="65" spans="2:16" x14ac:dyDescent="0.2">
      <c r="N65" s="1759">
        <v>100000</v>
      </c>
      <c r="O65" s="1759">
        <f>100000+P65</f>
        <v>110000</v>
      </c>
      <c r="P65" s="1759">
        <f>100000*0.1</f>
        <v>10000</v>
      </c>
    </row>
    <row r="66" spans="2:16" x14ac:dyDescent="0.2">
      <c r="B66" s="1772" t="s">
        <v>2430</v>
      </c>
      <c r="C66" s="1759" t="s">
        <v>2481</v>
      </c>
    </row>
    <row r="67" spans="2:16" x14ac:dyDescent="0.2">
      <c r="B67" s="1772"/>
      <c r="C67" s="1759" t="s">
        <v>2482</v>
      </c>
    </row>
    <row r="68" spans="2:16" x14ac:dyDescent="0.2">
      <c r="K68" s="1759" t="s">
        <v>2513</v>
      </c>
      <c r="N68" s="1759">
        <v>100000</v>
      </c>
      <c r="O68" s="1759">
        <v>100000</v>
      </c>
      <c r="P68" s="1759">
        <v>10000</v>
      </c>
    </row>
    <row r="69" spans="2:16" x14ac:dyDescent="0.2">
      <c r="B69" s="1772" t="s">
        <v>2441</v>
      </c>
      <c r="C69" s="1759" t="s">
        <v>2483</v>
      </c>
    </row>
    <row r="70" spans="2:16" x14ac:dyDescent="0.2">
      <c r="C70" s="1838" t="s">
        <v>2484</v>
      </c>
    </row>
    <row r="71" spans="2:16" x14ac:dyDescent="0.2">
      <c r="N71" s="1759">
        <v>100000</v>
      </c>
      <c r="O71" s="1759">
        <v>100000</v>
      </c>
      <c r="P71" s="1759">
        <f>+O71*0.1</f>
        <v>10000</v>
      </c>
    </row>
    <row r="72" spans="2:16" x14ac:dyDescent="0.2">
      <c r="B72" s="1772" t="s">
        <v>2485</v>
      </c>
      <c r="C72" s="1785" t="s">
        <v>2486</v>
      </c>
    </row>
    <row r="73" spans="2:16" x14ac:dyDescent="0.2">
      <c r="C73" s="1786" t="s">
        <v>2487</v>
      </c>
      <c r="D73" s="1787" t="s">
        <v>1814</v>
      </c>
      <c r="E73" s="1788">
        <v>110000</v>
      </c>
      <c r="F73" s="1787" t="s">
        <v>502</v>
      </c>
      <c r="G73" s="1788">
        <v>110000</v>
      </c>
    </row>
    <row r="74" spans="2:16" x14ac:dyDescent="0.2">
      <c r="C74" s="1786"/>
      <c r="D74" s="1789"/>
      <c r="E74" s="1790"/>
      <c r="F74" s="1789" t="s">
        <v>1373</v>
      </c>
      <c r="G74" s="1791">
        <v>0</v>
      </c>
    </row>
    <row r="75" spans="2:16" x14ac:dyDescent="0.2">
      <c r="C75" s="1786"/>
    </row>
    <row r="76" spans="2:16" x14ac:dyDescent="0.2">
      <c r="C76" s="1786" t="s">
        <v>2488</v>
      </c>
      <c r="D76" s="1787" t="s">
        <v>10</v>
      </c>
      <c r="E76" s="1788">
        <v>100000</v>
      </c>
      <c r="F76" s="1787" t="s">
        <v>502</v>
      </c>
      <c r="G76" s="1788">
        <v>110000</v>
      </c>
    </row>
    <row r="77" spans="2:16" x14ac:dyDescent="0.2">
      <c r="C77" s="1786"/>
      <c r="D77" s="1789"/>
      <c r="E77" s="1790"/>
      <c r="F77" s="1789" t="s">
        <v>1373</v>
      </c>
      <c r="G77" s="1791">
        <v>-10000</v>
      </c>
    </row>
    <row r="78" spans="2:16" x14ac:dyDescent="0.2">
      <c r="C78" s="1786"/>
    </row>
    <row r="79" spans="2:16" x14ac:dyDescent="0.2">
      <c r="C79" s="1786" t="s">
        <v>2489</v>
      </c>
      <c r="D79" s="1787" t="s">
        <v>1814</v>
      </c>
      <c r="E79" s="1788">
        <v>110000</v>
      </c>
      <c r="F79" s="1787" t="s">
        <v>2490</v>
      </c>
      <c r="G79" s="1788">
        <v>100000</v>
      </c>
    </row>
    <row r="80" spans="2:16" x14ac:dyDescent="0.2">
      <c r="C80" s="1786"/>
      <c r="D80" s="1789"/>
      <c r="E80" s="1790"/>
      <c r="F80" s="1789" t="s">
        <v>1373</v>
      </c>
      <c r="G80" s="1791">
        <v>10000</v>
      </c>
    </row>
    <row r="81" spans="2:8" x14ac:dyDescent="0.2">
      <c r="C81" s="1786"/>
    </row>
    <row r="82" spans="2:8" x14ac:dyDescent="0.2">
      <c r="C82" s="1786" t="s">
        <v>2491</v>
      </c>
      <c r="D82" s="1787" t="s">
        <v>10</v>
      </c>
      <c r="E82" s="1788">
        <v>100000</v>
      </c>
      <c r="F82" s="1787" t="s">
        <v>2490</v>
      </c>
      <c r="G82" s="1788">
        <v>100000</v>
      </c>
    </row>
    <row r="83" spans="2:8" x14ac:dyDescent="0.2">
      <c r="D83" s="1789"/>
      <c r="E83" s="1790"/>
      <c r="F83" s="1789" t="s">
        <v>1373</v>
      </c>
      <c r="G83" s="1791">
        <v>0</v>
      </c>
    </row>
    <row r="85" spans="2:8" ht="12" thickBot="1" x14ac:dyDescent="0.25"/>
    <row r="86" spans="2:8" ht="12" thickBot="1" x14ac:dyDescent="0.25">
      <c r="B86" s="1760" t="s">
        <v>2492</v>
      </c>
      <c r="C86" s="1761"/>
      <c r="D86" s="1761"/>
      <c r="E86" s="1761"/>
      <c r="F86" s="1761"/>
      <c r="G86" s="1761"/>
      <c r="H86" s="1762"/>
    </row>
    <row r="88" spans="2:8" x14ac:dyDescent="0.2">
      <c r="B88" s="1772" t="s">
        <v>2430</v>
      </c>
      <c r="C88" s="1759" t="s">
        <v>2493</v>
      </c>
      <c r="E88" s="1759" t="s">
        <v>2494</v>
      </c>
    </row>
    <row r="89" spans="2:8" x14ac:dyDescent="0.2">
      <c r="C89" s="1759" t="s">
        <v>2495</v>
      </c>
      <c r="E89" s="1759" t="s">
        <v>2496</v>
      </c>
    </row>
    <row r="90" spans="2:8" x14ac:dyDescent="0.2">
      <c r="B90" s="1772" t="s">
        <v>2441</v>
      </c>
      <c r="C90" s="1759" t="s">
        <v>2493</v>
      </c>
      <c r="E90" s="1759" t="s">
        <v>2497</v>
      </c>
    </row>
    <row r="91" spans="2:8" x14ac:dyDescent="0.2">
      <c r="B91" s="1772" t="s">
        <v>2485</v>
      </c>
      <c r="C91" s="1759" t="s">
        <v>2493</v>
      </c>
      <c r="E91" s="1759" t="s">
        <v>2498</v>
      </c>
    </row>
    <row r="92" spans="2:8" x14ac:dyDescent="0.2">
      <c r="C92" s="1759" t="s">
        <v>2495</v>
      </c>
      <c r="E92" s="1759" t="s">
        <v>2499</v>
      </c>
    </row>
    <row r="93" spans="2:8" x14ac:dyDescent="0.2">
      <c r="B93" s="1772" t="s">
        <v>2500</v>
      </c>
      <c r="C93" s="1759" t="s">
        <v>2493</v>
      </c>
      <c r="E93" s="1759" t="s">
        <v>2501</v>
      </c>
    </row>
    <row r="98" spans="2:29" x14ac:dyDescent="0.2">
      <c r="B98" s="1758" t="s">
        <v>2502</v>
      </c>
    </row>
    <row r="99" spans="2:29" ht="12" thickBot="1" x14ac:dyDescent="0.25"/>
    <row r="100" spans="2:29" ht="12" thickBot="1" x14ac:dyDescent="0.25">
      <c r="D100" s="2189" t="s">
        <v>2503</v>
      </c>
      <c r="E100" s="2190"/>
      <c r="F100" s="2190"/>
      <c r="G100" s="2191"/>
      <c r="I100" s="2189" t="s">
        <v>2504</v>
      </c>
      <c r="J100" s="2190"/>
      <c r="K100" s="2190"/>
      <c r="L100" s="2191"/>
      <c r="N100" s="2189" t="s">
        <v>2505</v>
      </c>
      <c r="O100" s="2190"/>
      <c r="P100" s="2190"/>
      <c r="Q100" s="2191"/>
      <c r="S100" s="2189" t="s">
        <v>2506</v>
      </c>
      <c r="T100" s="2190"/>
      <c r="U100" s="2190"/>
      <c r="V100" s="2191"/>
    </row>
    <row r="103" spans="2:29" x14ac:dyDescent="0.2">
      <c r="B103" s="2187">
        <v>43466</v>
      </c>
      <c r="D103" s="1792" t="s">
        <v>10</v>
      </c>
      <c r="E103" s="1793">
        <v>100000</v>
      </c>
      <c r="F103" s="1792" t="s">
        <v>502</v>
      </c>
      <c r="G103" s="1793">
        <v>200000</v>
      </c>
      <c r="H103" s="1794"/>
      <c r="I103" s="1792" t="s">
        <v>10</v>
      </c>
      <c r="J103" s="1793">
        <v>100000</v>
      </c>
      <c r="K103" s="1792" t="s">
        <v>502</v>
      </c>
      <c r="L103" s="1793">
        <v>200000</v>
      </c>
      <c r="M103" s="1794"/>
      <c r="N103" s="1792" t="s">
        <v>10</v>
      </c>
      <c r="O103" s="1793">
        <v>100000</v>
      </c>
      <c r="P103" s="1792" t="s">
        <v>502</v>
      </c>
      <c r="Q103" s="1793">
        <v>200000</v>
      </c>
      <c r="R103" s="1794"/>
      <c r="S103" s="1792" t="s">
        <v>10</v>
      </c>
      <c r="T103" s="1793">
        <v>100000</v>
      </c>
      <c r="U103" s="1792" t="s">
        <v>502</v>
      </c>
      <c r="V103" s="1793">
        <v>200000</v>
      </c>
      <c r="W103" s="1794"/>
      <c r="X103" s="1794"/>
      <c r="Y103" s="1794"/>
      <c r="Z103" s="1794"/>
      <c r="AA103" s="1794"/>
      <c r="AB103" s="1794"/>
      <c r="AC103" s="1794"/>
    </row>
    <row r="104" spans="2:29" ht="33.75" x14ac:dyDescent="0.2">
      <c r="B104" s="2188"/>
      <c r="D104" s="1795" t="s">
        <v>5</v>
      </c>
      <c r="E104" s="1796">
        <v>100000</v>
      </c>
      <c r="F104" s="1795"/>
      <c r="G104" s="1796"/>
      <c r="H104" s="1794"/>
      <c r="I104" s="1795" t="s">
        <v>5</v>
      </c>
      <c r="J104" s="1796">
        <v>100000</v>
      </c>
      <c r="K104" s="1795"/>
      <c r="L104" s="1796"/>
      <c r="M104" s="1794"/>
      <c r="N104" s="1795" t="s">
        <v>5</v>
      </c>
      <c r="O104" s="1796">
        <v>100000</v>
      </c>
      <c r="P104" s="1795"/>
      <c r="Q104" s="1796"/>
      <c r="R104" s="1794"/>
      <c r="S104" s="1795" t="s">
        <v>5</v>
      </c>
      <c r="T104" s="1796">
        <v>100000</v>
      </c>
      <c r="U104" s="1795"/>
      <c r="V104" s="1796"/>
      <c r="W104" s="1794"/>
      <c r="X104" s="1794"/>
      <c r="Y104" s="1794"/>
      <c r="Z104" s="1794"/>
      <c r="AA104" s="1794"/>
      <c r="AB104" s="1794"/>
      <c r="AC104" s="1794"/>
    </row>
    <row r="105" spans="2:29" ht="12" thickBot="1" x14ac:dyDescent="0.25">
      <c r="B105" s="1797"/>
      <c r="D105" s="1798"/>
      <c r="E105" s="1799">
        <f>SUM(E103:E104)</f>
        <v>200000</v>
      </c>
      <c r="F105" s="1798"/>
      <c r="G105" s="1799">
        <f>SUM(G103:G104)</f>
        <v>200000</v>
      </c>
      <c r="H105" s="1794"/>
      <c r="I105" s="1798"/>
      <c r="J105" s="1799">
        <f>SUM(J103:J104)</f>
        <v>200000</v>
      </c>
      <c r="K105" s="1798"/>
      <c r="L105" s="1799">
        <f>SUM(L103:L104)</f>
        <v>200000</v>
      </c>
      <c r="M105" s="1794"/>
      <c r="N105" s="1798"/>
      <c r="O105" s="1799">
        <f>SUM(O103:O104)</f>
        <v>200000</v>
      </c>
      <c r="P105" s="1798"/>
      <c r="Q105" s="1799">
        <f>SUM(Q103:Q104)</f>
        <v>200000</v>
      </c>
      <c r="R105" s="1794"/>
      <c r="S105" s="1800"/>
      <c r="T105" s="1799">
        <f>SUM(T103:T104)</f>
        <v>200000</v>
      </c>
      <c r="U105" s="1798"/>
      <c r="V105" s="1799">
        <f>SUM(V103:V104)</f>
        <v>200000</v>
      </c>
      <c r="W105" s="1794"/>
      <c r="X105" s="1794"/>
      <c r="Y105" s="1794"/>
      <c r="Z105" s="1794"/>
      <c r="AA105" s="1794"/>
      <c r="AB105" s="1794"/>
      <c r="AC105" s="1794"/>
    </row>
    <row r="106" spans="2:29" x14ac:dyDescent="0.2">
      <c r="D106" s="1794"/>
      <c r="E106" s="1794"/>
      <c r="F106" s="1794"/>
      <c r="G106" s="1794"/>
      <c r="H106" s="1794"/>
      <c r="I106" s="1794"/>
      <c r="J106" s="1794"/>
      <c r="K106" s="1794"/>
      <c r="L106" s="1794"/>
      <c r="M106" s="1794"/>
      <c r="N106" s="1794"/>
      <c r="O106" s="1794"/>
      <c r="P106" s="1794"/>
      <c r="Q106" s="1794"/>
      <c r="R106" s="1794"/>
      <c r="S106" s="1794"/>
      <c r="T106" s="1794"/>
      <c r="U106" s="1794"/>
      <c r="V106" s="1794"/>
      <c r="W106" s="1794"/>
      <c r="X106" s="1794"/>
      <c r="Y106" s="1794"/>
      <c r="Z106" s="1794"/>
      <c r="AA106" s="1794"/>
      <c r="AB106" s="1794"/>
      <c r="AC106" s="1794"/>
    </row>
    <row r="107" spans="2:29" x14ac:dyDescent="0.2">
      <c r="D107" s="1794"/>
      <c r="E107" s="1794"/>
      <c r="F107" s="1794"/>
      <c r="G107" s="1794"/>
      <c r="H107" s="1794"/>
      <c r="I107" s="1794"/>
      <c r="J107" s="1794"/>
      <c r="K107" s="1794"/>
      <c r="L107" s="1794"/>
      <c r="M107" s="1794"/>
      <c r="N107" s="1794"/>
      <c r="O107" s="1794"/>
      <c r="P107" s="1794"/>
      <c r="Q107" s="1794"/>
      <c r="R107" s="1794"/>
      <c r="S107" s="1794"/>
      <c r="T107" s="1794"/>
      <c r="U107" s="1794"/>
      <c r="V107" s="1794"/>
      <c r="W107" s="1794"/>
      <c r="X107" s="1794"/>
      <c r="Y107" s="1794"/>
      <c r="Z107" s="1794"/>
      <c r="AA107" s="1794"/>
      <c r="AB107" s="1794"/>
      <c r="AC107" s="1794"/>
    </row>
    <row r="108" spans="2:29" x14ac:dyDescent="0.2">
      <c r="B108" s="2187">
        <v>43617</v>
      </c>
      <c r="D108" s="1792" t="s">
        <v>10</v>
      </c>
      <c r="E108" s="1793">
        <f>100000+(6000*30)</f>
        <v>280000</v>
      </c>
      <c r="F108" s="1792" t="s">
        <v>502</v>
      </c>
      <c r="G108" s="1793">
        <v>200000</v>
      </c>
      <c r="H108" s="1794"/>
      <c r="I108" s="1792" t="s">
        <v>10</v>
      </c>
      <c r="J108" s="1793">
        <f>100000+(6000*30)</f>
        <v>280000</v>
      </c>
      <c r="K108" s="1792" t="s">
        <v>502</v>
      </c>
      <c r="L108" s="1793">
        <f>200000*1.1</f>
        <v>220000.00000000003</v>
      </c>
      <c r="M108" s="1794"/>
      <c r="N108" s="1792" t="s">
        <v>10</v>
      </c>
      <c r="O108" s="1793">
        <f>100000+(6000*30)</f>
        <v>280000</v>
      </c>
      <c r="P108" s="1792" t="s">
        <v>502</v>
      </c>
      <c r="Q108" s="1793">
        <v>200000</v>
      </c>
      <c r="R108" s="1794"/>
      <c r="S108" s="1792" t="s">
        <v>10</v>
      </c>
      <c r="T108" s="1793">
        <f>100000+(6000*30)</f>
        <v>280000</v>
      </c>
      <c r="U108" s="1792" t="s">
        <v>502</v>
      </c>
      <c r="V108" s="1793">
        <f>200000*1.1</f>
        <v>220000.00000000003</v>
      </c>
      <c r="W108" s="1794"/>
      <c r="X108" s="1794"/>
      <c r="Y108" s="1794"/>
      <c r="Z108" s="1794"/>
      <c r="AA108" s="1794"/>
      <c r="AB108" s="1794"/>
      <c r="AC108" s="1794"/>
    </row>
    <row r="109" spans="2:29" ht="33.75" x14ac:dyDescent="0.2">
      <c r="B109" s="2188"/>
      <c r="D109" s="1795" t="s">
        <v>5</v>
      </c>
      <c r="E109" s="1796">
        <f>4000*10</f>
        <v>40000</v>
      </c>
      <c r="F109" s="1795" t="s">
        <v>1373</v>
      </c>
      <c r="G109" s="1796">
        <f>+G117</f>
        <v>120000</v>
      </c>
      <c r="H109" s="1794"/>
      <c r="I109" s="1795" t="s">
        <v>5</v>
      </c>
      <c r="J109" s="1796">
        <f>4000*10*1.1</f>
        <v>44000</v>
      </c>
      <c r="K109" s="1795" t="s">
        <v>1373</v>
      </c>
      <c r="L109" s="1796">
        <f>+L117</f>
        <v>104000</v>
      </c>
      <c r="M109" s="1794"/>
      <c r="N109" s="1795" t="s">
        <v>5</v>
      </c>
      <c r="O109" s="1796">
        <f>4000*15</f>
        <v>60000</v>
      </c>
      <c r="P109" s="1795" t="s">
        <v>1373</v>
      </c>
      <c r="Q109" s="1796">
        <f>+Q117</f>
        <v>140000</v>
      </c>
      <c r="R109" s="1794"/>
      <c r="S109" s="1795" t="s">
        <v>5</v>
      </c>
      <c r="T109" s="1796">
        <f>4000*15</f>
        <v>60000</v>
      </c>
      <c r="U109" s="1795" t="s">
        <v>1373</v>
      </c>
      <c r="V109" s="1796">
        <f>+V117</f>
        <v>120000</v>
      </c>
      <c r="W109" s="1794"/>
      <c r="X109" s="1794"/>
      <c r="Y109" s="1794"/>
      <c r="Z109" s="1794"/>
      <c r="AA109" s="1794"/>
      <c r="AB109" s="1794"/>
      <c r="AC109" s="1794"/>
    </row>
    <row r="110" spans="2:29" ht="12" thickBot="1" x14ac:dyDescent="0.25">
      <c r="D110" s="1794"/>
      <c r="E110" s="1799">
        <f>SUM(E108:E109)</f>
        <v>320000</v>
      </c>
      <c r="F110" s="1794"/>
      <c r="G110" s="1799">
        <f>SUM(G108:G109)</f>
        <v>320000</v>
      </c>
      <c r="H110" s="1794"/>
      <c r="I110" s="1794"/>
      <c r="J110" s="1799">
        <f>SUM(J108:J109)</f>
        <v>324000</v>
      </c>
      <c r="K110" s="1794"/>
      <c r="L110" s="1799">
        <f>SUM(L108:L109)</f>
        <v>324000</v>
      </c>
      <c r="M110" s="1794"/>
      <c r="N110" s="1794"/>
      <c r="O110" s="1799">
        <f>SUM(O108:O109)</f>
        <v>340000</v>
      </c>
      <c r="P110" s="1794"/>
      <c r="Q110" s="1799">
        <f>SUM(Q108:Q109)</f>
        <v>340000</v>
      </c>
      <c r="R110" s="1794"/>
      <c r="S110" s="1794"/>
      <c r="T110" s="1799">
        <f>SUM(T108:T109)</f>
        <v>340000</v>
      </c>
      <c r="U110" s="1794"/>
      <c r="V110" s="1799">
        <f>SUM(V108:V109)</f>
        <v>340000</v>
      </c>
      <c r="W110" s="1794"/>
      <c r="X110" s="1794"/>
      <c r="Y110" s="1794"/>
      <c r="Z110" s="1794"/>
      <c r="AA110" s="1794"/>
      <c r="AB110" s="1794"/>
      <c r="AC110" s="1794"/>
    </row>
    <row r="111" spans="2:29" x14ac:dyDescent="0.2">
      <c r="D111" s="1794"/>
      <c r="E111" s="1801"/>
      <c r="F111" s="1794"/>
      <c r="G111" s="1801"/>
      <c r="H111" s="1794"/>
      <c r="I111" s="1794"/>
      <c r="J111" s="1794"/>
      <c r="K111" s="1794"/>
      <c r="L111" s="1794"/>
      <c r="M111" s="1794"/>
      <c r="N111" s="1794"/>
      <c r="O111" s="1794"/>
      <c r="P111" s="1794"/>
      <c r="Q111" s="1794"/>
      <c r="R111" s="1794"/>
      <c r="S111" s="1794"/>
      <c r="T111" s="1794"/>
      <c r="U111" s="1794"/>
      <c r="V111" s="1794"/>
      <c r="W111" s="1794"/>
      <c r="X111" s="1794"/>
      <c r="Y111" s="1794"/>
      <c r="Z111" s="1794"/>
      <c r="AA111" s="1794"/>
      <c r="AB111" s="1794"/>
      <c r="AC111" s="1794"/>
    </row>
    <row r="112" spans="2:29" x14ac:dyDescent="0.2">
      <c r="D112" s="1794"/>
      <c r="E112" s="1794"/>
      <c r="F112" s="1802" t="s">
        <v>1871</v>
      </c>
      <c r="G112" s="1802">
        <f>6000*30</f>
        <v>180000</v>
      </c>
      <c r="H112" s="1794"/>
      <c r="I112" s="1794"/>
      <c r="J112" s="1794"/>
      <c r="K112" s="1802" t="s">
        <v>1871</v>
      </c>
      <c r="L112" s="1802">
        <f>6000*30</f>
        <v>180000</v>
      </c>
      <c r="M112" s="1794"/>
      <c r="N112" s="1794"/>
      <c r="O112" s="1794"/>
      <c r="P112" s="1802" t="s">
        <v>1871</v>
      </c>
      <c r="Q112" s="1802">
        <f>6000*30</f>
        <v>180000</v>
      </c>
      <c r="R112" s="1794"/>
      <c r="S112" s="1794"/>
      <c r="T112" s="1794"/>
      <c r="U112" s="1802" t="s">
        <v>1871</v>
      </c>
      <c r="V112" s="1802">
        <f>6000*30</f>
        <v>180000</v>
      </c>
      <c r="W112" s="1794"/>
      <c r="X112" s="1794"/>
      <c r="Y112" s="1794"/>
      <c r="Z112" s="1794"/>
      <c r="AA112" s="1794"/>
      <c r="AB112" s="1794"/>
      <c r="AC112" s="1794"/>
    </row>
    <row r="113" spans="2:29" ht="22.5" x14ac:dyDescent="0.2">
      <c r="D113" s="1794"/>
      <c r="E113" s="1794"/>
      <c r="F113" s="1802" t="s">
        <v>2507</v>
      </c>
      <c r="G113" s="1803">
        <f>6000*10</f>
        <v>60000</v>
      </c>
      <c r="H113" s="1794"/>
      <c r="I113" s="1794"/>
      <c r="J113" s="1794"/>
      <c r="K113" s="1802" t="s">
        <v>2507</v>
      </c>
      <c r="L113" s="1803">
        <f>6000*10*1.1</f>
        <v>66000</v>
      </c>
      <c r="M113" s="1794"/>
      <c r="N113" s="1794"/>
      <c r="O113" s="1794"/>
      <c r="P113" s="1802" t="s">
        <v>2507</v>
      </c>
      <c r="Q113" s="1803">
        <f>6000*15</f>
        <v>90000</v>
      </c>
      <c r="R113" s="1794"/>
      <c r="S113" s="1794"/>
      <c r="T113" s="1794"/>
      <c r="U113" s="1802" t="s">
        <v>2507</v>
      </c>
      <c r="V113" s="1803">
        <f>6000*15</f>
        <v>90000</v>
      </c>
      <c r="W113" s="1794"/>
      <c r="X113" s="1794"/>
      <c r="Y113" s="1794"/>
      <c r="Z113" s="1794"/>
      <c r="AA113" s="1794"/>
      <c r="AB113" s="1794"/>
      <c r="AC113" s="1794"/>
    </row>
    <row r="114" spans="2:29" x14ac:dyDescent="0.2">
      <c r="D114" s="1794"/>
      <c r="E114" s="1794"/>
      <c r="F114" s="1802" t="s">
        <v>2508</v>
      </c>
      <c r="G114" s="1804">
        <f>+G112-G113</f>
        <v>120000</v>
      </c>
      <c r="H114" s="1794"/>
      <c r="I114" s="1794"/>
      <c r="J114" s="1794"/>
      <c r="K114" s="1802" t="s">
        <v>2508</v>
      </c>
      <c r="L114" s="1804">
        <f>+L112-L113</f>
        <v>114000</v>
      </c>
      <c r="M114" s="1794"/>
      <c r="N114" s="1794"/>
      <c r="O114" s="1794"/>
      <c r="P114" s="1802" t="s">
        <v>2508</v>
      </c>
      <c r="Q114" s="1804">
        <f>+Q112-Q113</f>
        <v>90000</v>
      </c>
      <c r="R114" s="1794"/>
      <c r="S114" s="1794"/>
      <c r="T114" s="1794"/>
      <c r="U114" s="1802" t="s">
        <v>2508</v>
      </c>
      <c r="V114" s="1804">
        <f>+V112-V113</f>
        <v>90000</v>
      </c>
      <c r="W114" s="1794"/>
      <c r="X114" s="1794"/>
      <c r="Y114" s="1794"/>
      <c r="Z114" s="1794"/>
      <c r="AA114" s="1794"/>
      <c r="AB114" s="1794"/>
      <c r="AC114" s="1794"/>
    </row>
    <row r="115" spans="2:29" x14ac:dyDescent="0.2">
      <c r="D115" s="1794"/>
      <c r="E115" s="1794"/>
      <c r="F115" s="1802" t="s">
        <v>2509</v>
      </c>
      <c r="G115" s="1802">
        <v>0</v>
      </c>
      <c r="H115" s="1794"/>
      <c r="I115" s="1794"/>
      <c r="J115" s="1794"/>
      <c r="K115" s="1802" t="s">
        <v>2509</v>
      </c>
      <c r="L115" s="1802">
        <v>0</v>
      </c>
      <c r="M115" s="1794"/>
      <c r="N115" s="1794"/>
      <c r="O115" s="1794"/>
      <c r="P115" s="1802" t="s">
        <v>2509</v>
      </c>
      <c r="Q115" s="1802">
        <f>10000*(15-10)</f>
        <v>50000</v>
      </c>
      <c r="R115" s="1794"/>
      <c r="S115" s="1794"/>
      <c r="T115" s="1794"/>
      <c r="U115" s="1802" t="s">
        <v>2509</v>
      </c>
      <c r="V115" s="1802">
        <f>10000*(15-11)</f>
        <v>40000</v>
      </c>
      <c r="W115" s="1794"/>
      <c r="X115" s="1794"/>
      <c r="Y115" s="1794"/>
      <c r="Z115" s="1794"/>
      <c r="AA115" s="1794"/>
      <c r="AB115" s="1794"/>
      <c r="AC115" s="1794"/>
    </row>
    <row r="116" spans="2:29" x14ac:dyDescent="0.2">
      <c r="D116" s="1794"/>
      <c r="E116" s="1794"/>
      <c r="F116" s="1802" t="s">
        <v>2510</v>
      </c>
      <c r="G116" s="1802">
        <v>0</v>
      </c>
      <c r="H116" s="1794"/>
      <c r="I116" s="1794"/>
      <c r="J116" s="1794"/>
      <c r="K116" s="1802" t="s">
        <v>2510</v>
      </c>
      <c r="L116" s="1802">
        <f>-100000*10%</f>
        <v>-10000</v>
      </c>
      <c r="M116" s="1794"/>
      <c r="N116" s="1794"/>
      <c r="O116" s="1794"/>
      <c r="P116" s="1802" t="s">
        <v>2510</v>
      </c>
      <c r="Q116" s="1802">
        <v>0</v>
      </c>
      <c r="R116" s="1794"/>
      <c r="S116" s="1794"/>
      <c r="T116" s="1794"/>
      <c r="U116" s="1802" t="s">
        <v>2510</v>
      </c>
      <c r="V116" s="1802">
        <f>-100000*10%</f>
        <v>-10000</v>
      </c>
      <c r="W116" s="1794"/>
      <c r="X116" s="1794"/>
      <c r="Y116" s="1794"/>
      <c r="Z116" s="1794"/>
      <c r="AA116" s="1794"/>
      <c r="AB116" s="1794"/>
      <c r="AC116" s="1794"/>
    </row>
    <row r="117" spans="2:29" ht="12" thickBot="1" x14ac:dyDescent="0.25">
      <c r="D117" s="1794"/>
      <c r="E117" s="1794"/>
      <c r="F117" s="1802" t="s">
        <v>2511</v>
      </c>
      <c r="G117" s="1805">
        <f>SUM(G114:G116)</f>
        <v>120000</v>
      </c>
      <c r="H117" s="1794"/>
      <c r="I117" s="1794"/>
      <c r="J117" s="1794"/>
      <c r="K117" s="1802" t="s">
        <v>2511</v>
      </c>
      <c r="L117" s="1805">
        <f>SUM(L114:L116)</f>
        <v>104000</v>
      </c>
      <c r="M117" s="1794"/>
      <c r="N117" s="1794"/>
      <c r="O117" s="1794"/>
      <c r="P117" s="1802" t="s">
        <v>2511</v>
      </c>
      <c r="Q117" s="1805">
        <f>SUM(Q114:Q116)</f>
        <v>140000</v>
      </c>
      <c r="R117" s="1794"/>
      <c r="S117" s="1794"/>
      <c r="T117" s="1794"/>
      <c r="U117" s="1802" t="s">
        <v>2511</v>
      </c>
      <c r="V117" s="1805">
        <f>SUM(V114:V116)</f>
        <v>120000</v>
      </c>
      <c r="W117" s="1794"/>
      <c r="X117" s="1794"/>
      <c r="Y117" s="1794"/>
      <c r="Z117" s="1794"/>
      <c r="AA117" s="1794"/>
      <c r="AB117" s="1794"/>
      <c r="AC117" s="1794"/>
    </row>
    <row r="118" spans="2:29" ht="12" thickTop="1" x14ac:dyDescent="0.2">
      <c r="D118" s="1794"/>
      <c r="E118" s="1794"/>
      <c r="F118" s="1794"/>
      <c r="G118" s="1794"/>
      <c r="H118" s="1794"/>
      <c r="I118" s="1794"/>
      <c r="J118" s="1794"/>
      <c r="K118" s="1794"/>
      <c r="L118" s="1794"/>
      <c r="M118" s="1794"/>
      <c r="N118" s="1794"/>
      <c r="O118" s="1794"/>
      <c r="P118" s="1794"/>
      <c r="Q118" s="1794"/>
      <c r="R118" s="1794"/>
      <c r="S118" s="1794"/>
      <c r="T118" s="1794"/>
      <c r="U118" s="1794"/>
      <c r="V118" s="1794"/>
      <c r="W118" s="1794"/>
      <c r="X118" s="1794"/>
      <c r="Y118" s="1794"/>
      <c r="Z118" s="1794"/>
      <c r="AA118" s="1794"/>
      <c r="AB118" s="1794"/>
      <c r="AC118" s="1794"/>
    </row>
    <row r="119" spans="2:29" x14ac:dyDescent="0.2">
      <c r="B119" s="2187">
        <v>43830</v>
      </c>
      <c r="D119" s="1792" t="s">
        <v>10</v>
      </c>
      <c r="E119" s="1793">
        <f>+E108</f>
        <v>280000</v>
      </c>
      <c r="F119" s="1792" t="s">
        <v>502</v>
      </c>
      <c r="G119" s="1793">
        <f>+G108</f>
        <v>200000</v>
      </c>
      <c r="H119" s="1794"/>
      <c r="I119" s="1792" t="s">
        <v>10</v>
      </c>
      <c r="J119" s="1793">
        <f>+J108</f>
        <v>280000</v>
      </c>
      <c r="K119" s="1792" t="s">
        <v>502</v>
      </c>
      <c r="L119" s="1793">
        <f>+L108*1.2</f>
        <v>264000</v>
      </c>
      <c r="M119" s="1806"/>
      <c r="N119" s="1792" t="s">
        <v>10</v>
      </c>
      <c r="O119" s="1793">
        <f>+O108</f>
        <v>280000</v>
      </c>
      <c r="P119" s="1792" t="s">
        <v>502</v>
      </c>
      <c r="Q119" s="1793">
        <f>+Q108</f>
        <v>200000</v>
      </c>
      <c r="R119" s="1794"/>
      <c r="S119" s="1792" t="s">
        <v>10</v>
      </c>
      <c r="T119" s="1793">
        <f>+T108</f>
        <v>280000</v>
      </c>
      <c r="U119" s="1792" t="s">
        <v>502</v>
      </c>
      <c r="V119" s="1793">
        <f>+V108*1.2</f>
        <v>264000</v>
      </c>
      <c r="W119" s="1794"/>
      <c r="X119" s="1794"/>
      <c r="Y119" s="1794"/>
      <c r="Z119" s="1794"/>
      <c r="AA119" s="1794"/>
      <c r="AB119" s="1794"/>
      <c r="AC119" s="1794"/>
    </row>
    <row r="120" spans="2:29" ht="33.75" x14ac:dyDescent="0.2">
      <c r="B120" s="2188"/>
      <c r="D120" s="1795" t="s">
        <v>5</v>
      </c>
      <c r="E120" s="1796">
        <f>4000*10</f>
        <v>40000</v>
      </c>
      <c r="F120" s="1795" t="s">
        <v>1373</v>
      </c>
      <c r="G120" s="1796">
        <f>+G128</f>
        <v>120000</v>
      </c>
      <c r="H120" s="1794"/>
      <c r="I120" s="1795" t="s">
        <v>5</v>
      </c>
      <c r="J120" s="1796">
        <f>4000*10*1.1*1.2</f>
        <v>52800</v>
      </c>
      <c r="K120" s="1795" t="s">
        <v>1373</v>
      </c>
      <c r="L120" s="1796">
        <f>+L128</f>
        <v>68800</v>
      </c>
      <c r="M120" s="1794"/>
      <c r="N120" s="1795" t="s">
        <v>5</v>
      </c>
      <c r="O120" s="1796">
        <f>4000*18</f>
        <v>72000</v>
      </c>
      <c r="P120" s="1795" t="s">
        <v>1373</v>
      </c>
      <c r="Q120" s="1796">
        <f>+Q128</f>
        <v>152000</v>
      </c>
      <c r="R120" s="1794"/>
      <c r="S120" s="1795" t="s">
        <v>5</v>
      </c>
      <c r="T120" s="1796">
        <f>4000*18</f>
        <v>72000</v>
      </c>
      <c r="U120" s="1795" t="s">
        <v>1373</v>
      </c>
      <c r="V120" s="1796">
        <f>+V128</f>
        <v>88000</v>
      </c>
      <c r="W120" s="1794"/>
      <c r="X120" s="1794"/>
      <c r="Y120" s="1794"/>
      <c r="Z120" s="1794"/>
      <c r="AA120" s="1794"/>
      <c r="AB120" s="1794"/>
      <c r="AC120" s="1794"/>
    </row>
    <row r="121" spans="2:29" ht="12" thickBot="1" x14ac:dyDescent="0.25">
      <c r="D121" s="1794"/>
      <c r="E121" s="1799">
        <f>SUM(E119:E120)</f>
        <v>320000</v>
      </c>
      <c r="F121" s="1794"/>
      <c r="G121" s="1799">
        <f>SUM(G119:G120)</f>
        <v>320000</v>
      </c>
      <c r="H121" s="1794"/>
      <c r="I121" s="1794"/>
      <c r="J121" s="1799">
        <f>SUM(J119:J120)</f>
        <v>332800</v>
      </c>
      <c r="K121" s="1794"/>
      <c r="L121" s="1799">
        <f>SUM(L119:L120)</f>
        <v>332800</v>
      </c>
      <c r="M121" s="1794"/>
      <c r="N121" s="1794"/>
      <c r="O121" s="1799">
        <f>SUM(O119:O120)</f>
        <v>352000</v>
      </c>
      <c r="P121" s="1794"/>
      <c r="Q121" s="1799">
        <f>SUM(Q119:Q120)</f>
        <v>352000</v>
      </c>
      <c r="R121" s="1794"/>
      <c r="S121" s="1794"/>
      <c r="T121" s="1799">
        <f>SUM(T119:T120)</f>
        <v>352000</v>
      </c>
      <c r="U121" s="1794"/>
      <c r="V121" s="1799">
        <f>SUM(V119:V120)</f>
        <v>352000</v>
      </c>
      <c r="W121" s="1794"/>
      <c r="X121" s="1794"/>
      <c r="Y121" s="1794"/>
      <c r="Z121" s="1794"/>
      <c r="AA121" s="1794"/>
      <c r="AB121" s="1794"/>
      <c r="AC121" s="1794"/>
    </row>
    <row r="122" spans="2:29" x14ac:dyDescent="0.2">
      <c r="D122" s="1794"/>
      <c r="E122" s="1801"/>
      <c r="F122" s="1794"/>
      <c r="G122" s="1801"/>
      <c r="H122" s="1794"/>
      <c r="I122" s="1794"/>
      <c r="J122" s="1794"/>
      <c r="K122" s="1794"/>
      <c r="L122" s="1794"/>
      <c r="M122" s="1794"/>
      <c r="N122" s="1794"/>
      <c r="O122" s="1794"/>
      <c r="P122" s="1794"/>
      <c r="Q122" s="1794"/>
      <c r="R122" s="1794"/>
      <c r="S122" s="1794"/>
      <c r="T122" s="1794"/>
      <c r="U122" s="1794"/>
      <c r="V122" s="1794"/>
      <c r="W122" s="1794"/>
      <c r="X122" s="1794"/>
      <c r="Y122" s="1794"/>
      <c r="Z122" s="1794"/>
      <c r="AA122" s="1794"/>
      <c r="AB122" s="1794"/>
      <c r="AC122" s="1794"/>
    </row>
    <row r="123" spans="2:29" x14ac:dyDescent="0.2">
      <c r="D123" s="1794"/>
      <c r="E123" s="1794"/>
      <c r="F123" s="1802" t="s">
        <v>1871</v>
      </c>
      <c r="G123" s="1802">
        <f>+G112</f>
        <v>180000</v>
      </c>
      <c r="H123" s="1794"/>
      <c r="I123" s="1794"/>
      <c r="J123" s="1794"/>
      <c r="K123" s="1802" t="s">
        <v>1871</v>
      </c>
      <c r="L123" s="1802">
        <f>+L112*1.2</f>
        <v>216000</v>
      </c>
      <c r="M123" s="1794"/>
      <c r="N123" s="1794"/>
      <c r="O123" s="1794"/>
      <c r="P123" s="1802" t="s">
        <v>1871</v>
      </c>
      <c r="Q123" s="1802">
        <f>6000*30</f>
        <v>180000</v>
      </c>
      <c r="R123" s="1794"/>
      <c r="S123" s="1794"/>
      <c r="T123" s="1794"/>
      <c r="U123" s="1802" t="s">
        <v>1871</v>
      </c>
      <c r="V123" s="1802">
        <f>+V112*1.2</f>
        <v>216000</v>
      </c>
      <c r="W123" s="1794"/>
      <c r="X123" s="1794"/>
      <c r="Y123" s="1794"/>
      <c r="Z123" s="1794"/>
      <c r="AA123" s="1794"/>
      <c r="AB123" s="1794"/>
      <c r="AC123" s="1794"/>
    </row>
    <row r="124" spans="2:29" ht="22.5" x14ac:dyDescent="0.2">
      <c r="D124" s="1794"/>
      <c r="E124" s="1794"/>
      <c r="F124" s="1802" t="s">
        <v>2507</v>
      </c>
      <c r="G124" s="1803">
        <f>+G113</f>
        <v>60000</v>
      </c>
      <c r="H124" s="1794"/>
      <c r="I124" s="1794"/>
      <c r="J124" s="1794"/>
      <c r="K124" s="1802" t="s">
        <v>2507</v>
      </c>
      <c r="L124" s="1803">
        <f>+L113*1.2</f>
        <v>79200</v>
      </c>
      <c r="M124" s="1794"/>
      <c r="N124" s="1794"/>
      <c r="O124" s="1794"/>
      <c r="P124" s="1802" t="s">
        <v>2507</v>
      </c>
      <c r="Q124" s="1803">
        <f>6000*15</f>
        <v>90000</v>
      </c>
      <c r="R124" s="1794"/>
      <c r="S124" s="1794"/>
      <c r="T124" s="1794"/>
      <c r="U124" s="1802" t="s">
        <v>2507</v>
      </c>
      <c r="V124" s="1803">
        <f>+V113*1.2</f>
        <v>108000</v>
      </c>
      <c r="W124" s="1794"/>
      <c r="X124" s="1794"/>
      <c r="Y124" s="1794"/>
      <c r="Z124" s="1794"/>
      <c r="AA124" s="1794"/>
      <c r="AB124" s="1794"/>
      <c r="AC124" s="1794"/>
    </row>
    <row r="125" spans="2:29" x14ac:dyDescent="0.2">
      <c r="D125" s="1794"/>
      <c r="E125" s="1794"/>
      <c r="F125" s="1802" t="s">
        <v>2508</v>
      </c>
      <c r="G125" s="1804">
        <f>+G123-G124</f>
        <v>120000</v>
      </c>
      <c r="H125" s="1794"/>
      <c r="I125" s="1794"/>
      <c r="J125" s="1794"/>
      <c r="K125" s="1802" t="s">
        <v>2508</v>
      </c>
      <c r="L125" s="1804">
        <f>+L123-L124</f>
        <v>136800</v>
      </c>
      <c r="M125" s="1794"/>
      <c r="N125" s="1794"/>
      <c r="O125" s="1794"/>
      <c r="P125" s="1802" t="s">
        <v>2508</v>
      </c>
      <c r="Q125" s="1804">
        <f>+Q123-Q124</f>
        <v>90000</v>
      </c>
      <c r="R125" s="1794"/>
      <c r="S125" s="1794"/>
      <c r="T125" s="1794"/>
      <c r="U125" s="1802" t="s">
        <v>2508</v>
      </c>
      <c r="V125" s="1804">
        <f>+V123-V124</f>
        <v>108000</v>
      </c>
      <c r="W125" s="1794"/>
      <c r="X125" s="1794"/>
      <c r="Y125" s="1794"/>
      <c r="Z125" s="1794"/>
      <c r="AA125" s="1794"/>
      <c r="AB125" s="1794"/>
      <c r="AC125" s="1794"/>
    </row>
    <row r="126" spans="2:29" x14ac:dyDescent="0.2">
      <c r="D126" s="1794"/>
      <c r="E126" s="1794"/>
      <c r="F126" s="1802" t="s">
        <v>2509</v>
      </c>
      <c r="G126" s="1802">
        <v>0</v>
      </c>
      <c r="H126" s="1794"/>
      <c r="I126" s="1794"/>
      <c r="J126" s="1794"/>
      <c r="K126" s="1802" t="s">
        <v>2509</v>
      </c>
      <c r="L126" s="1802">
        <v>0</v>
      </c>
      <c r="M126" s="1794"/>
      <c r="N126" s="1794"/>
      <c r="O126" s="1794"/>
      <c r="P126" s="1802" t="s">
        <v>2509</v>
      </c>
      <c r="Q126" s="1802">
        <f>(6000*(15-10))+(4000*(18-10))</f>
        <v>62000</v>
      </c>
      <c r="R126" s="1794"/>
      <c r="S126" s="1794"/>
      <c r="T126" s="1794"/>
      <c r="U126" s="1802" t="s">
        <v>2509</v>
      </c>
      <c r="V126" s="1802">
        <f>(6000*(15-11))*1.2+(4000*(18-(10*1.32)))</f>
        <v>48000</v>
      </c>
      <c r="W126" s="1794"/>
      <c r="X126" s="1794"/>
      <c r="Y126" s="1794"/>
      <c r="Z126" s="1794"/>
      <c r="AA126" s="1794"/>
      <c r="AB126" s="1794"/>
      <c r="AC126" s="1794"/>
    </row>
    <row r="127" spans="2:29" x14ac:dyDescent="0.2">
      <c r="D127" s="1794"/>
      <c r="E127" s="1794"/>
      <c r="F127" s="1802" t="s">
        <v>2510</v>
      </c>
      <c r="G127" s="1802">
        <v>0</v>
      </c>
      <c r="H127" s="1794"/>
      <c r="I127" s="1794"/>
      <c r="J127" s="1794"/>
      <c r="K127" s="1802" t="s">
        <v>2510</v>
      </c>
      <c r="L127" s="1802">
        <f>-(100000*32%)-(180000*20%)</f>
        <v>-68000</v>
      </c>
      <c r="M127" s="1794"/>
      <c r="N127" s="1794"/>
      <c r="O127" s="1794"/>
      <c r="P127" s="1802" t="s">
        <v>2510</v>
      </c>
      <c r="Q127" s="1802">
        <v>0</v>
      </c>
      <c r="R127" s="1794"/>
      <c r="S127" s="1794"/>
      <c r="T127" s="1794"/>
      <c r="U127" s="1802" t="s">
        <v>2510</v>
      </c>
      <c r="V127" s="1802">
        <f>-(100000*32%)-(180000*20%)</f>
        <v>-68000</v>
      </c>
      <c r="W127" s="1794"/>
      <c r="X127" s="1794"/>
      <c r="Y127" s="1794"/>
      <c r="Z127" s="1794"/>
      <c r="AA127" s="1794"/>
      <c r="AB127" s="1794"/>
      <c r="AC127" s="1794"/>
    </row>
    <row r="128" spans="2:29" ht="12" thickBot="1" x14ac:dyDescent="0.25">
      <c r="D128" s="1794"/>
      <c r="E128" s="1794"/>
      <c r="F128" s="1802" t="s">
        <v>2511</v>
      </c>
      <c r="G128" s="1805">
        <f>SUM(G125:G127)</f>
        <v>120000</v>
      </c>
      <c r="H128" s="1794"/>
      <c r="I128" s="1794"/>
      <c r="J128" s="1794"/>
      <c r="K128" s="1802" t="s">
        <v>2511</v>
      </c>
      <c r="L128" s="1805">
        <f>SUM(L125:L127)</f>
        <v>68800</v>
      </c>
      <c r="M128" s="1794"/>
      <c r="N128" s="1794"/>
      <c r="O128" s="1794"/>
      <c r="P128" s="1802" t="s">
        <v>2511</v>
      </c>
      <c r="Q128" s="1805">
        <f>SUM(Q125:Q127)</f>
        <v>152000</v>
      </c>
      <c r="R128" s="1794"/>
      <c r="S128" s="1794"/>
      <c r="T128" s="1794"/>
      <c r="U128" s="1802" t="s">
        <v>2511</v>
      </c>
      <c r="V128" s="1805">
        <f>SUM(V125:V127)</f>
        <v>88000</v>
      </c>
      <c r="W128" s="1794"/>
      <c r="X128" s="1794"/>
      <c r="Y128" s="1794"/>
      <c r="Z128" s="1794"/>
      <c r="AA128" s="1794"/>
      <c r="AB128" s="1794"/>
      <c r="AC128" s="1794"/>
    </row>
    <row r="129" spans="4:29" ht="12" thickTop="1" x14ac:dyDescent="0.2">
      <c r="D129" s="1794"/>
      <c r="E129" s="1794"/>
      <c r="F129" s="1794"/>
      <c r="G129" s="1794"/>
      <c r="H129" s="1794"/>
      <c r="I129" s="1794"/>
      <c r="J129" s="1794"/>
      <c r="K129" s="1794"/>
      <c r="L129" s="1794"/>
      <c r="M129" s="1794"/>
      <c r="N129" s="1794"/>
      <c r="O129" s="1794"/>
      <c r="P129" s="1794"/>
      <c r="Q129" s="1794"/>
      <c r="R129" s="1794"/>
      <c r="S129" s="1794"/>
      <c r="T129" s="1794"/>
      <c r="U129" s="1794"/>
      <c r="V129" s="1794"/>
      <c r="W129" s="1794"/>
      <c r="X129" s="1794"/>
      <c r="Y129" s="1794"/>
      <c r="Z129" s="1794"/>
      <c r="AA129" s="1794"/>
      <c r="AB129" s="1794"/>
      <c r="AC129" s="1794"/>
    </row>
    <row r="130" spans="4:29" x14ac:dyDescent="0.2">
      <c r="D130" s="1807"/>
      <c r="E130" s="1807"/>
      <c r="F130" s="1807"/>
      <c r="G130" s="1807"/>
      <c r="H130" s="1807"/>
      <c r="I130" s="1807"/>
      <c r="J130" s="1807"/>
      <c r="K130" s="1807"/>
      <c r="L130" s="1807"/>
      <c r="M130" s="1807"/>
      <c r="N130" s="1807"/>
      <c r="O130" s="1807"/>
      <c r="P130" s="1807"/>
      <c r="Q130" s="1807"/>
      <c r="R130" s="1807"/>
      <c r="S130" s="1807"/>
      <c r="T130" s="1807"/>
      <c r="U130" s="1807"/>
      <c r="V130" s="1807"/>
      <c r="W130" s="1807"/>
      <c r="X130" s="1807"/>
      <c r="Y130" s="1807"/>
      <c r="Z130" s="1807"/>
      <c r="AA130" s="1807"/>
      <c r="AB130" s="1807"/>
      <c r="AC130" s="1807"/>
    </row>
    <row r="131" spans="4:29" x14ac:dyDescent="0.2">
      <c r="D131" s="1807"/>
      <c r="E131" s="1807"/>
      <c r="F131" s="1807"/>
      <c r="G131" s="1807"/>
      <c r="H131" s="1807"/>
      <c r="I131" s="1807"/>
      <c r="J131" s="1807"/>
      <c r="K131" s="1807"/>
      <c r="L131" s="1807"/>
      <c r="M131" s="1807"/>
      <c r="N131" s="1807"/>
      <c r="O131" s="1807"/>
      <c r="P131" s="1807"/>
      <c r="Q131" s="1807"/>
      <c r="R131" s="1807"/>
      <c r="S131" s="1807"/>
      <c r="T131" s="1807"/>
      <c r="U131" s="1807"/>
      <c r="V131" s="1807"/>
      <c r="W131" s="1807"/>
      <c r="X131" s="1807"/>
      <c r="Y131" s="1807"/>
      <c r="Z131" s="1807"/>
      <c r="AA131" s="1807"/>
      <c r="AB131" s="1807"/>
      <c r="AC131" s="1807"/>
    </row>
    <row r="132" spans="4:29" x14ac:dyDescent="0.2">
      <c r="D132" s="1807"/>
      <c r="E132" s="1807"/>
      <c r="F132" s="1807"/>
      <c r="G132" s="1807"/>
      <c r="H132" s="1807"/>
      <c r="I132" s="1807"/>
      <c r="J132" s="1807"/>
      <c r="K132" s="1807"/>
      <c r="L132" s="1807"/>
      <c r="M132" s="1807"/>
      <c r="N132" s="1807"/>
      <c r="O132" s="1807"/>
      <c r="P132" s="1807"/>
      <c r="Q132" s="1807"/>
      <c r="R132" s="1807"/>
      <c r="S132" s="1807"/>
      <c r="T132" s="1807"/>
      <c r="U132" s="1807"/>
      <c r="V132" s="1807"/>
      <c r="W132" s="1807"/>
      <c r="X132" s="1807"/>
      <c r="Y132" s="1807"/>
      <c r="Z132" s="1807"/>
      <c r="AA132" s="1807"/>
      <c r="AB132" s="1807"/>
      <c r="AC132" s="1807"/>
    </row>
    <row r="133" spans="4:29" x14ac:dyDescent="0.2">
      <c r="D133" s="1807"/>
      <c r="E133" s="1807"/>
      <c r="F133" s="1807"/>
      <c r="G133" s="1807"/>
      <c r="H133" s="1807"/>
      <c r="I133" s="1807"/>
      <c r="J133" s="1807"/>
      <c r="K133" s="1807"/>
      <c r="L133" s="1807"/>
      <c r="M133" s="1807"/>
      <c r="N133" s="1807"/>
      <c r="O133" s="1807"/>
      <c r="P133" s="1807"/>
      <c r="Q133" s="1807"/>
      <c r="R133" s="1807"/>
      <c r="S133" s="1807"/>
      <c r="T133" s="1807"/>
      <c r="U133" s="1807"/>
      <c r="V133" s="1807"/>
      <c r="W133" s="1807"/>
      <c r="X133" s="1807"/>
      <c r="Y133" s="1807"/>
      <c r="Z133" s="1807"/>
      <c r="AA133" s="1807"/>
      <c r="AB133" s="1807"/>
      <c r="AC133" s="1807"/>
    </row>
    <row r="134" spans="4:29" x14ac:dyDescent="0.2">
      <c r="D134" s="1807"/>
      <c r="E134" s="1807"/>
      <c r="F134" s="1807"/>
      <c r="G134" s="1807"/>
      <c r="H134" s="1807"/>
      <c r="I134" s="1807"/>
      <c r="J134" s="1807"/>
      <c r="K134" s="1807"/>
      <c r="L134" s="1807"/>
      <c r="M134" s="1807"/>
      <c r="N134" s="1807"/>
      <c r="O134" s="1807"/>
      <c r="P134" s="1807"/>
      <c r="Q134" s="1807"/>
      <c r="R134" s="1807"/>
      <c r="S134" s="1807"/>
      <c r="T134" s="1807"/>
      <c r="U134" s="1807"/>
      <c r="V134" s="1807"/>
      <c r="W134" s="1807"/>
      <c r="X134" s="1807"/>
      <c r="Y134" s="1807"/>
      <c r="Z134" s="1807"/>
      <c r="AA134" s="1807"/>
      <c r="AB134" s="1807"/>
      <c r="AC134" s="1807"/>
    </row>
    <row r="135" spans="4:29" x14ac:dyDescent="0.2">
      <c r="D135" s="1807"/>
      <c r="E135" s="1807"/>
      <c r="F135" s="1807"/>
      <c r="G135" s="1807"/>
      <c r="H135" s="1807"/>
      <c r="I135" s="1807"/>
      <c r="J135" s="1807"/>
      <c r="K135" s="1807"/>
      <c r="L135" s="1807"/>
      <c r="M135" s="1807"/>
      <c r="N135" s="1807"/>
      <c r="O135" s="1807"/>
      <c r="P135" s="1807"/>
      <c r="Q135" s="1807"/>
      <c r="R135" s="1807"/>
      <c r="S135" s="1807"/>
      <c r="T135" s="1807"/>
      <c r="U135" s="1807"/>
      <c r="V135" s="1807"/>
      <c r="W135" s="1807"/>
      <c r="X135" s="1807"/>
      <c r="Y135" s="1807"/>
      <c r="Z135" s="1807"/>
      <c r="AA135" s="1807"/>
      <c r="AB135" s="1807"/>
      <c r="AC135" s="1807"/>
    </row>
    <row r="136" spans="4:29" x14ac:dyDescent="0.2">
      <c r="D136" s="1807"/>
      <c r="E136" s="1807"/>
      <c r="F136" s="1807"/>
      <c r="G136" s="1807"/>
      <c r="H136" s="1807"/>
      <c r="I136" s="1807"/>
      <c r="J136" s="1807"/>
      <c r="K136" s="1807"/>
      <c r="L136" s="1807"/>
      <c r="M136" s="1807"/>
      <c r="N136" s="1807"/>
      <c r="O136" s="1807"/>
      <c r="P136" s="1807"/>
      <c r="Q136" s="1807"/>
      <c r="R136" s="1807"/>
      <c r="S136" s="1807"/>
      <c r="T136" s="1807"/>
      <c r="U136" s="1807"/>
      <c r="V136" s="1807"/>
      <c r="W136" s="1807"/>
      <c r="X136" s="1807"/>
      <c r="Y136" s="1807"/>
      <c r="Z136" s="1807"/>
      <c r="AA136" s="1807"/>
      <c r="AB136" s="1807"/>
      <c r="AC136" s="1807"/>
    </row>
  </sheetData>
  <mergeCells count="14">
    <mergeCell ref="B119:B120"/>
    <mergeCell ref="D100:G100"/>
    <mergeCell ref="I100:L100"/>
    <mergeCell ref="N100:Q100"/>
    <mergeCell ref="S100:V100"/>
    <mergeCell ref="B103:B104"/>
    <mergeCell ref="B108:B109"/>
    <mergeCell ref="I41:K41"/>
    <mergeCell ref="B41:D41"/>
    <mergeCell ref="B7:C8"/>
    <mergeCell ref="D7:E7"/>
    <mergeCell ref="B9:B10"/>
    <mergeCell ref="C31:H33"/>
    <mergeCell ref="C36:H3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36193-703E-449E-83D7-9B3013950078}">
  <dimension ref="A1"/>
  <sheetViews>
    <sheetView workbookViewId="0"/>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Q566"/>
  <sheetViews>
    <sheetView showGridLines="0" view="pageLayout" topLeftCell="A164" zoomScaleNormal="89" zoomScaleSheetLayoutView="50" workbookViewId="0">
      <selection activeCell="G181" sqref="G181"/>
    </sheetView>
  </sheetViews>
  <sheetFormatPr baseColWidth="10" defaultColWidth="9.140625" defaultRowHeight="15" x14ac:dyDescent="0.25"/>
  <cols>
    <col min="1" max="1" width="0.7109375" style="2" customWidth="1"/>
    <col min="2" max="2" width="5.28515625" style="1009" customWidth="1"/>
    <col min="3" max="6" width="5.42578125" style="12" customWidth="1"/>
    <col min="7" max="8" width="5.42578125" style="27" customWidth="1"/>
    <col min="9" max="12" width="5.42578125" style="2" customWidth="1"/>
    <col min="13" max="16" width="5.28515625" style="10" customWidth="1"/>
    <col min="17" max="17" width="0.42578125" style="2" customWidth="1"/>
    <col min="18" max="16384" width="9.140625" style="2"/>
  </cols>
  <sheetData>
    <row r="1" spans="1:17" x14ac:dyDescent="0.25">
      <c r="A1" s="5"/>
      <c r="B1" s="1008"/>
      <c r="C1" s="37"/>
      <c r="D1" s="37"/>
      <c r="E1" s="37"/>
      <c r="F1" s="37"/>
      <c r="G1" s="1219"/>
      <c r="H1" s="1219"/>
      <c r="I1" s="5"/>
      <c r="J1" s="5"/>
      <c r="K1" s="5"/>
      <c r="L1" s="5"/>
      <c r="M1" s="25"/>
      <c r="N1" s="25"/>
      <c r="O1" s="25"/>
      <c r="P1" s="25"/>
      <c r="Q1" s="5"/>
    </row>
    <row r="2" spans="1:17" x14ac:dyDescent="0.25">
      <c r="A2" s="1844" t="s">
        <v>20</v>
      </c>
      <c r="B2" s="1845"/>
      <c r="C2" s="1845"/>
      <c r="D2" s="1845"/>
      <c r="E2" s="1845"/>
      <c r="F2" s="1845"/>
      <c r="G2" s="1845"/>
      <c r="H2" s="1845"/>
      <c r="I2" s="1845"/>
      <c r="J2" s="1845"/>
      <c r="K2" s="1845"/>
      <c r="L2" s="1845"/>
      <c r="M2" s="1845"/>
      <c r="N2" s="1845"/>
      <c r="O2" s="1845"/>
      <c r="P2" s="1845"/>
      <c r="Q2" s="1846"/>
    </row>
    <row r="3" spans="1:17" x14ac:dyDescent="0.25">
      <c r="A3" s="1847" t="s">
        <v>1879</v>
      </c>
      <c r="B3" s="1848"/>
      <c r="C3" s="1848"/>
      <c r="D3" s="1848"/>
      <c r="E3" s="1848"/>
      <c r="F3" s="1848"/>
      <c r="G3" s="1848"/>
      <c r="H3" s="1848"/>
      <c r="I3" s="1848"/>
      <c r="J3" s="1848"/>
      <c r="K3" s="1848"/>
      <c r="L3" s="1848"/>
      <c r="M3" s="1848"/>
      <c r="N3" s="1848"/>
      <c r="O3" s="1848"/>
      <c r="P3" s="1848"/>
      <c r="Q3" s="1849"/>
    </row>
    <row r="5" spans="1:17" x14ac:dyDescent="0.25">
      <c r="B5" s="2258" t="s">
        <v>1878</v>
      </c>
      <c r="C5" s="2259"/>
      <c r="D5" s="2259"/>
      <c r="E5" s="2259"/>
      <c r="F5" s="2259"/>
      <c r="G5" s="2259"/>
      <c r="H5" s="2260"/>
      <c r="J5" s="2258" t="s">
        <v>1877</v>
      </c>
      <c r="K5" s="2259"/>
      <c r="L5" s="2259"/>
      <c r="M5" s="2259"/>
      <c r="N5" s="2259"/>
      <c r="O5" s="2259"/>
      <c r="P5" s="2260"/>
    </row>
    <row r="6" spans="1:17" x14ac:dyDescent="0.25">
      <c r="M6" s="2"/>
    </row>
    <row r="7" spans="1:17" x14ac:dyDescent="0.25">
      <c r="B7" s="108">
        <v>1</v>
      </c>
      <c r="M7" s="2"/>
    </row>
    <row r="8" spans="1:17" x14ac:dyDescent="0.25">
      <c r="B8" s="4"/>
      <c r="D8" s="2261" t="s">
        <v>1876</v>
      </c>
      <c r="E8" s="2261"/>
      <c r="F8" s="4"/>
      <c r="G8" s="1218"/>
      <c r="H8" s="1217"/>
      <c r="K8" s="4"/>
      <c r="L8" s="2261" t="s">
        <v>1876</v>
      </c>
      <c r="M8" s="2261"/>
      <c r="N8" s="18"/>
      <c r="O8" s="1216"/>
      <c r="P8" s="1216"/>
    </row>
    <row r="9" spans="1:17" ht="15" customHeight="1" x14ac:dyDescent="0.25">
      <c r="C9" s="2252" t="s">
        <v>1858</v>
      </c>
      <c r="D9" s="2253"/>
      <c r="E9" s="2253"/>
      <c r="F9" s="2253"/>
      <c r="G9" s="2253"/>
      <c r="H9" s="2254"/>
      <c r="I9" s="8"/>
      <c r="K9" s="2252" t="s">
        <v>1858</v>
      </c>
      <c r="L9" s="2253"/>
      <c r="M9" s="2253"/>
      <c r="N9" s="2253"/>
      <c r="O9" s="2253"/>
      <c r="P9" s="2254"/>
    </row>
    <row r="10" spans="1:17" x14ac:dyDescent="0.25">
      <c r="C10" s="2255"/>
      <c r="D10" s="2256"/>
      <c r="E10" s="2256"/>
      <c r="F10" s="2256"/>
      <c r="G10" s="2256"/>
      <c r="H10" s="2257"/>
      <c r="I10" s="8"/>
      <c r="K10" s="2255"/>
      <c r="L10" s="2256"/>
      <c r="M10" s="2256"/>
      <c r="N10" s="2256"/>
      <c r="O10" s="2256"/>
      <c r="P10" s="2257"/>
    </row>
    <row r="11" spans="1:17" s="4" customFormat="1" x14ac:dyDescent="0.25">
      <c r="B11" s="1004"/>
      <c r="C11" s="991"/>
      <c r="D11" s="641"/>
      <c r="E11" s="641"/>
      <c r="F11" s="991"/>
      <c r="G11" s="1000"/>
      <c r="H11" s="1000"/>
      <c r="K11" s="991"/>
      <c r="L11" s="641"/>
      <c r="M11" s="641"/>
      <c r="N11" s="991"/>
      <c r="O11" s="51"/>
      <c r="P11" s="51"/>
    </row>
    <row r="12" spans="1:17" s="4" customFormat="1" x14ac:dyDescent="0.25">
      <c r="B12" s="1004"/>
      <c r="C12" s="370" t="s">
        <v>129</v>
      </c>
      <c r="D12" s="641"/>
      <c r="E12" s="641"/>
      <c r="F12" s="991"/>
      <c r="G12" s="1000"/>
      <c r="H12" s="1000"/>
      <c r="K12" s="991"/>
      <c r="L12" s="641"/>
      <c r="M12" s="641"/>
      <c r="N12" s="991"/>
      <c r="O12" s="51"/>
      <c r="P12" s="51"/>
    </row>
    <row r="13" spans="1:17" x14ac:dyDescent="0.25">
      <c r="C13" s="1993" t="s">
        <v>1875</v>
      </c>
      <c r="D13" s="1993"/>
      <c r="E13" s="1004" t="s">
        <v>18</v>
      </c>
      <c r="F13" s="4" t="s">
        <v>1874</v>
      </c>
      <c r="G13" s="1000"/>
      <c r="H13" s="1000"/>
      <c r="I13" s="4"/>
      <c r="K13" s="12"/>
      <c r="L13" s="12"/>
      <c r="M13" s="12"/>
      <c r="N13" s="12"/>
      <c r="O13" s="51"/>
      <c r="P13" s="51"/>
    </row>
    <row r="14" spans="1:17" x14ac:dyDescent="0.25">
      <c r="C14" s="1993">
        <v>0.5</v>
      </c>
      <c r="D14" s="1993"/>
      <c r="E14" s="1004" t="s">
        <v>18</v>
      </c>
      <c r="F14" s="4" t="s">
        <v>1873</v>
      </c>
      <c r="G14" s="1000"/>
      <c r="H14" s="1000"/>
      <c r="I14" s="4"/>
      <c r="K14" s="12"/>
      <c r="L14" s="12"/>
      <c r="M14" s="12"/>
      <c r="N14" s="12"/>
      <c r="O14" s="51"/>
      <c r="P14" s="51"/>
    </row>
    <row r="15" spans="1:17" x14ac:dyDescent="0.25">
      <c r="C15" s="1993" t="s">
        <v>3</v>
      </c>
      <c r="D15" s="1993"/>
      <c r="E15" s="1004" t="s">
        <v>18</v>
      </c>
      <c r="F15" s="4" t="s">
        <v>1872</v>
      </c>
      <c r="G15" s="1000"/>
      <c r="H15" s="1000"/>
      <c r="I15" s="4"/>
      <c r="K15" s="12"/>
      <c r="L15" s="12"/>
      <c r="M15" s="12"/>
      <c r="N15" s="12"/>
      <c r="O15" s="51"/>
      <c r="P15" s="51"/>
    </row>
    <row r="16" spans="1:17" x14ac:dyDescent="0.25">
      <c r="C16" s="1993" t="s">
        <v>3</v>
      </c>
      <c r="D16" s="1993"/>
      <c r="E16" s="1004" t="s">
        <v>18</v>
      </c>
      <c r="F16" s="2262">
        <f>1000/0.5</f>
        <v>2000</v>
      </c>
      <c r="G16" s="2262"/>
      <c r="H16" s="1000"/>
      <c r="I16" s="4"/>
      <c r="K16" s="12"/>
      <c r="L16" s="12"/>
      <c r="M16" s="12"/>
      <c r="N16" s="12"/>
      <c r="O16" s="51"/>
      <c r="P16" s="51"/>
    </row>
    <row r="17" spans="1:16" x14ac:dyDescent="0.25">
      <c r="C17" s="1004"/>
      <c r="D17" s="1004"/>
      <c r="E17" s="1004"/>
      <c r="F17" s="1215"/>
      <c r="G17" s="1215"/>
      <c r="H17" s="1000"/>
      <c r="I17" s="4"/>
      <c r="K17" s="12"/>
      <c r="L17" s="12"/>
      <c r="M17" s="12"/>
      <c r="N17" s="12"/>
      <c r="O17" s="51"/>
      <c r="P17" s="51"/>
    </row>
    <row r="18" spans="1:16" x14ac:dyDescent="0.25">
      <c r="B18" s="108">
        <v>2</v>
      </c>
      <c r="C18" s="2249" t="s">
        <v>1871</v>
      </c>
      <c r="D18" s="2250"/>
      <c r="E18" s="2250"/>
      <c r="F18" s="2250"/>
      <c r="G18" s="2250"/>
      <c r="H18" s="2251"/>
      <c r="I18" s="4"/>
      <c r="J18" s="1009"/>
      <c r="K18" s="2249" t="s">
        <v>1870</v>
      </c>
      <c r="L18" s="2250"/>
      <c r="M18" s="2250"/>
      <c r="N18" s="2250"/>
      <c r="O18" s="2250"/>
      <c r="P18" s="2251"/>
    </row>
    <row r="19" spans="1:16" s="4" customFormat="1" x14ac:dyDescent="0.25">
      <c r="C19" s="991"/>
      <c r="D19" s="2248" t="s">
        <v>1869</v>
      </c>
      <c r="E19" s="2248"/>
      <c r="F19" s="991"/>
      <c r="G19" s="1000"/>
      <c r="H19" s="1000"/>
      <c r="J19" s="1004"/>
      <c r="K19" s="991"/>
      <c r="L19" s="2248" t="s">
        <v>1869</v>
      </c>
      <c r="M19" s="2248"/>
      <c r="N19" s="991"/>
      <c r="O19" s="1000"/>
      <c r="P19" s="1000"/>
    </row>
    <row r="20" spans="1:16" s="4" customFormat="1" x14ac:dyDescent="0.25">
      <c r="B20" s="1004" t="s">
        <v>11</v>
      </c>
      <c r="C20" s="353" t="s">
        <v>0</v>
      </c>
      <c r="D20" s="1210"/>
      <c r="E20" s="1210"/>
      <c r="F20" s="1209"/>
      <c r="G20" s="1208">
        <f>+H21+H22</f>
        <v>2420</v>
      </c>
      <c r="H20" s="1207"/>
      <c r="J20" s="1004" t="s">
        <v>11</v>
      </c>
      <c r="K20" s="353" t="s">
        <v>5</v>
      </c>
      <c r="L20" s="1210"/>
      <c r="M20" s="1210"/>
      <c r="N20" s="1209"/>
      <c r="O20" s="1208">
        <f>+H21</f>
        <v>2000</v>
      </c>
      <c r="P20" s="1207"/>
    </row>
    <row r="21" spans="1:16" s="4" customFormat="1" x14ac:dyDescent="0.25">
      <c r="B21" s="1004" t="s">
        <v>16</v>
      </c>
      <c r="C21" s="990"/>
      <c r="D21" s="20" t="s">
        <v>1</v>
      </c>
      <c r="E21" s="1020" t="s">
        <v>3</v>
      </c>
      <c r="F21" s="1004"/>
      <c r="G21" s="1214"/>
      <c r="H21" s="1213">
        <v>2000</v>
      </c>
      <c r="J21" s="1004" t="s">
        <v>11</v>
      </c>
      <c r="K21" s="1015" t="s">
        <v>13</v>
      </c>
      <c r="L21" s="641"/>
      <c r="M21" s="1020"/>
      <c r="N21" s="1004"/>
      <c r="O21" s="1214">
        <f>+H22</f>
        <v>420</v>
      </c>
      <c r="P21" s="1213"/>
    </row>
    <row r="22" spans="1:16" x14ac:dyDescent="0.25">
      <c r="B22" s="1009" t="s">
        <v>17</v>
      </c>
      <c r="C22" s="1212"/>
      <c r="D22" s="35" t="s">
        <v>1</v>
      </c>
      <c r="E22" s="1022" t="s">
        <v>12</v>
      </c>
      <c r="F22" s="11"/>
      <c r="G22" s="1205"/>
      <c r="H22" s="1204">
        <f>+H21*0.21</f>
        <v>420</v>
      </c>
      <c r="I22" s="4"/>
      <c r="J22" s="1009" t="s">
        <v>17</v>
      </c>
      <c r="K22" s="1212"/>
      <c r="L22" s="35" t="s">
        <v>1</v>
      </c>
      <c r="M22" s="1022" t="s">
        <v>2</v>
      </c>
      <c r="N22" s="11"/>
      <c r="O22" s="1205"/>
      <c r="P22" s="1204">
        <f>+G20</f>
        <v>2420</v>
      </c>
    </row>
    <row r="23" spans="1:16" x14ac:dyDescent="0.25">
      <c r="B23" s="1009" t="s">
        <v>15</v>
      </c>
      <c r="C23" s="353" t="s">
        <v>1088</v>
      </c>
      <c r="D23" s="139"/>
      <c r="E23" s="139"/>
      <c r="F23" s="139"/>
      <c r="G23" s="1208">
        <v>1000</v>
      </c>
      <c r="H23" s="1208"/>
      <c r="I23" s="8"/>
      <c r="J23" s="1009"/>
      <c r="K23" s="28" t="s">
        <v>1868</v>
      </c>
      <c r="L23" s="12"/>
      <c r="M23" s="12"/>
      <c r="N23" s="12"/>
      <c r="O23" s="51"/>
      <c r="P23" s="51"/>
    </row>
    <row r="24" spans="1:16" x14ac:dyDescent="0.25">
      <c r="B24" s="1009" t="s">
        <v>14</v>
      </c>
      <c r="C24" s="1212"/>
      <c r="D24" s="35" t="s">
        <v>1</v>
      </c>
      <c r="E24" s="1022" t="s">
        <v>5</v>
      </c>
      <c r="F24" s="11"/>
      <c r="G24" s="1205"/>
      <c r="H24" s="1205">
        <v>1000</v>
      </c>
      <c r="I24" s="8"/>
      <c r="J24" s="1009"/>
      <c r="K24" s="12"/>
      <c r="L24" s="12"/>
      <c r="M24" s="12"/>
      <c r="N24" s="12"/>
      <c r="O24" s="51"/>
      <c r="P24" s="51"/>
    </row>
    <row r="25" spans="1:16" x14ac:dyDescent="0.25">
      <c r="A25" s="4"/>
      <c r="C25" s="28" t="s">
        <v>1867</v>
      </c>
      <c r="D25" s="20"/>
      <c r="E25" s="1020"/>
      <c r="G25" s="1000"/>
      <c r="H25" s="1000"/>
      <c r="I25" s="4"/>
      <c r="J25" s="1009"/>
      <c r="K25" s="12"/>
      <c r="L25" s="12"/>
      <c r="M25" s="12"/>
      <c r="N25" s="12"/>
      <c r="O25" s="51"/>
      <c r="P25" s="51"/>
    </row>
    <row r="26" spans="1:16" x14ac:dyDescent="0.25">
      <c r="A26" s="4"/>
      <c r="C26" s="28"/>
      <c r="D26" s="20"/>
      <c r="E26" s="1020"/>
      <c r="G26" s="1000"/>
      <c r="H26" s="1000"/>
      <c r="I26" s="4"/>
      <c r="J26" s="1009"/>
      <c r="K26" s="12"/>
      <c r="L26" s="12"/>
      <c r="M26" s="12"/>
      <c r="N26" s="12"/>
      <c r="O26" s="51"/>
      <c r="P26" s="51"/>
    </row>
    <row r="27" spans="1:16" x14ac:dyDescent="0.25">
      <c r="A27" s="4"/>
      <c r="B27" s="108">
        <v>3</v>
      </c>
      <c r="C27" s="2249" t="s">
        <v>1866</v>
      </c>
      <c r="D27" s="2250"/>
      <c r="E27" s="2250"/>
      <c r="F27" s="2250"/>
      <c r="G27" s="2250"/>
      <c r="H27" s="2251"/>
      <c r="I27" s="4"/>
      <c r="J27" s="1009"/>
      <c r="K27" s="2249" t="s">
        <v>1865</v>
      </c>
      <c r="L27" s="2250"/>
      <c r="M27" s="2250"/>
      <c r="N27" s="2250"/>
      <c r="O27" s="2250"/>
      <c r="P27" s="2251"/>
    </row>
    <row r="28" spans="1:16" x14ac:dyDescent="0.25">
      <c r="B28" s="2"/>
      <c r="C28" s="991"/>
      <c r="D28" s="2248" t="s">
        <v>1864</v>
      </c>
      <c r="E28" s="2248"/>
      <c r="F28" s="991"/>
      <c r="G28" s="1000"/>
      <c r="H28" s="1000"/>
      <c r="I28" s="4"/>
      <c r="J28" s="1009"/>
      <c r="K28" s="991"/>
      <c r="L28" s="2248" t="s">
        <v>1864</v>
      </c>
      <c r="M28" s="2248"/>
      <c r="N28" s="991"/>
      <c r="O28" s="1000"/>
      <c r="P28" s="1000"/>
    </row>
    <row r="29" spans="1:16" x14ac:dyDescent="0.25">
      <c r="B29" s="1009" t="s">
        <v>11</v>
      </c>
      <c r="C29" s="353" t="s">
        <v>227</v>
      </c>
      <c r="D29" s="1210"/>
      <c r="E29" s="1210"/>
      <c r="F29" s="1209"/>
      <c r="G29" s="1208">
        <f>+G20</f>
        <v>2420</v>
      </c>
      <c r="H29" s="1207"/>
      <c r="I29" s="4"/>
      <c r="J29" s="1009" t="s">
        <v>207</v>
      </c>
      <c r="K29" s="353" t="s">
        <v>2</v>
      </c>
      <c r="L29" s="1210"/>
      <c r="M29" s="1210"/>
      <c r="N29" s="1209"/>
      <c r="O29" s="1208">
        <f>+P22</f>
        <v>2420</v>
      </c>
      <c r="P29" s="1207"/>
    </row>
    <row r="30" spans="1:16" x14ac:dyDescent="0.25">
      <c r="B30" s="1009" t="s">
        <v>14</v>
      </c>
      <c r="C30" s="1211" t="s">
        <v>931</v>
      </c>
      <c r="D30" s="3"/>
      <c r="E30" s="1022"/>
      <c r="F30" s="11"/>
      <c r="G30" s="1205"/>
      <c r="H30" s="1204">
        <f>+G29</f>
        <v>2420</v>
      </c>
      <c r="I30" s="4"/>
      <c r="J30" s="1009" t="s">
        <v>14</v>
      </c>
      <c r="K30" s="1017" t="s">
        <v>1863</v>
      </c>
      <c r="L30" s="3"/>
      <c r="M30" s="1022"/>
      <c r="N30" s="11"/>
      <c r="O30" s="1205"/>
      <c r="P30" s="1204">
        <f>+O29</f>
        <v>2420</v>
      </c>
    </row>
    <row r="31" spans="1:16" x14ac:dyDescent="0.25">
      <c r="C31" s="28" t="s">
        <v>1862</v>
      </c>
      <c r="G31" s="1000"/>
      <c r="H31" s="1000"/>
      <c r="I31" s="4"/>
      <c r="J31" s="1009"/>
      <c r="K31" s="28" t="s">
        <v>1861</v>
      </c>
      <c r="O31" s="996"/>
      <c r="P31" s="996"/>
    </row>
    <row r="32" spans="1:16" x14ac:dyDescent="0.25">
      <c r="C32" s="28"/>
      <c r="G32" s="1000"/>
      <c r="H32" s="1000"/>
      <c r="I32" s="4"/>
      <c r="J32" s="1009"/>
      <c r="K32" s="28"/>
      <c r="O32" s="996"/>
      <c r="P32" s="996"/>
    </row>
    <row r="33" spans="2:16" x14ac:dyDescent="0.25">
      <c r="B33" s="108">
        <v>4</v>
      </c>
      <c r="C33" s="2249" t="s">
        <v>1025</v>
      </c>
      <c r="D33" s="2250"/>
      <c r="E33" s="2250"/>
      <c r="F33" s="2250"/>
      <c r="G33" s="2250"/>
      <c r="H33" s="2251"/>
      <c r="I33" s="4"/>
      <c r="J33" s="1009"/>
      <c r="O33" s="996"/>
      <c r="P33" s="996"/>
    </row>
    <row r="34" spans="2:16" x14ac:dyDescent="0.25">
      <c r="B34" s="2"/>
      <c r="C34" s="991"/>
      <c r="D34" s="2248" t="s">
        <v>1860</v>
      </c>
      <c r="E34" s="2248"/>
      <c r="F34" s="991"/>
      <c r="G34" s="1000"/>
      <c r="H34" s="1000"/>
      <c r="J34" s="1009"/>
      <c r="L34" s="2248" t="s">
        <v>1860</v>
      </c>
      <c r="M34" s="2248"/>
      <c r="O34" s="996"/>
      <c r="P34" s="996"/>
    </row>
    <row r="35" spans="2:16" ht="15" customHeight="1" x14ac:dyDescent="0.25">
      <c r="B35" s="1009" t="s">
        <v>11</v>
      </c>
      <c r="C35" s="156" t="s">
        <v>1859</v>
      </c>
      <c r="D35" s="1210"/>
      <c r="E35" s="1210"/>
      <c r="F35" s="1209"/>
      <c r="G35" s="1208">
        <f>+H30</f>
        <v>2420</v>
      </c>
      <c r="H35" s="1207"/>
      <c r="J35" s="1009"/>
      <c r="K35" s="2252" t="s">
        <v>1858</v>
      </c>
      <c r="L35" s="2253"/>
      <c r="M35" s="2253"/>
      <c r="N35" s="2253"/>
      <c r="O35" s="2253"/>
      <c r="P35" s="2254"/>
    </row>
    <row r="36" spans="2:16" x14ac:dyDescent="0.25">
      <c r="B36" s="1009" t="s">
        <v>14</v>
      </c>
      <c r="C36" s="1206" t="s">
        <v>1</v>
      </c>
      <c r="D36" s="3" t="s">
        <v>227</v>
      </c>
      <c r="E36" s="1022"/>
      <c r="F36" s="11"/>
      <c r="G36" s="1205"/>
      <c r="H36" s="1204">
        <f>+G35</f>
        <v>2420</v>
      </c>
      <c r="J36" s="1009"/>
      <c r="K36" s="2255"/>
      <c r="L36" s="2256"/>
      <c r="M36" s="2256"/>
      <c r="N36" s="2256"/>
      <c r="O36" s="2256"/>
      <c r="P36" s="2257"/>
    </row>
    <row r="37" spans="2:16" x14ac:dyDescent="0.25">
      <c r="C37" s="28" t="s">
        <v>1857</v>
      </c>
      <c r="J37" s="1009"/>
    </row>
    <row r="51" spans="1:17" s="4" customFormat="1" ht="15.75" customHeight="1" x14ac:dyDescent="0.25">
      <c r="B51" s="1004"/>
      <c r="C51" s="12"/>
      <c r="D51" s="12"/>
      <c r="E51" s="12"/>
      <c r="F51" s="12"/>
      <c r="G51" s="51"/>
      <c r="H51" s="51"/>
      <c r="M51" s="18"/>
      <c r="N51" s="18"/>
      <c r="O51" s="18"/>
      <c r="P51" s="18"/>
    </row>
    <row r="52" spans="1:17" x14ac:dyDescent="0.25">
      <c r="A52" s="3"/>
      <c r="B52" s="1007"/>
      <c r="C52" s="11"/>
      <c r="D52" s="11"/>
      <c r="E52" s="11"/>
      <c r="F52" s="11"/>
      <c r="G52" s="24"/>
      <c r="H52" s="24"/>
      <c r="I52" s="3"/>
      <c r="J52" s="3"/>
      <c r="K52" s="3"/>
      <c r="L52" s="3"/>
      <c r="M52" s="22"/>
      <c r="N52" s="22"/>
      <c r="O52" s="22"/>
      <c r="P52" s="22"/>
      <c r="Q52" s="3"/>
    </row>
    <row r="53" spans="1:17" x14ac:dyDescent="0.25">
      <c r="A53" s="1844" t="s">
        <v>20</v>
      </c>
      <c r="B53" s="1845"/>
      <c r="C53" s="1845"/>
      <c r="D53" s="1845"/>
      <c r="E53" s="1845"/>
      <c r="F53" s="1845"/>
      <c r="G53" s="1845"/>
      <c r="H53" s="1845"/>
      <c r="I53" s="1845"/>
      <c r="J53" s="1845"/>
      <c r="K53" s="1845"/>
      <c r="L53" s="1845"/>
      <c r="M53" s="1845"/>
      <c r="N53" s="1845"/>
      <c r="O53" s="1845"/>
      <c r="P53" s="1845"/>
      <c r="Q53" s="1846"/>
    </row>
    <row r="54" spans="1:17" x14ac:dyDescent="0.25">
      <c r="A54" s="1847" t="s">
        <v>1856</v>
      </c>
      <c r="B54" s="1848"/>
      <c r="C54" s="1848"/>
      <c r="D54" s="1848"/>
      <c r="E54" s="1848"/>
      <c r="F54" s="1848"/>
      <c r="G54" s="1848"/>
      <c r="H54" s="1848"/>
      <c r="I54" s="1848"/>
      <c r="J54" s="1848"/>
      <c r="K54" s="1848"/>
      <c r="L54" s="1848"/>
      <c r="M54" s="1848"/>
      <c r="N54" s="1848"/>
      <c r="O54" s="1848"/>
      <c r="P54" s="1848"/>
      <c r="Q54" s="1849"/>
    </row>
    <row r="56" spans="1:17" x14ac:dyDescent="0.25">
      <c r="B56" s="6" t="s">
        <v>307</v>
      </c>
      <c r="C56" s="21" t="s">
        <v>308</v>
      </c>
    </row>
    <row r="57" spans="1:17" x14ac:dyDescent="0.25">
      <c r="B57" s="6"/>
      <c r="C57" s="439"/>
    </row>
    <row r="58" spans="1:17" x14ac:dyDescent="0.25">
      <c r="B58" s="111">
        <v>1</v>
      </c>
      <c r="C58" s="17"/>
      <c r="D58" s="991"/>
      <c r="E58" s="1013"/>
      <c r="F58" s="1013"/>
      <c r="G58" s="2094"/>
      <c r="H58" s="2094"/>
      <c r="I58" s="29"/>
      <c r="J58" s="29"/>
      <c r="K58" s="29"/>
      <c r="L58" s="1013"/>
      <c r="M58" s="2103" t="s">
        <v>9</v>
      </c>
      <c r="N58" s="2103"/>
      <c r="O58" s="2103" t="s">
        <v>8</v>
      </c>
      <c r="P58" s="2103"/>
    </row>
    <row r="59" spans="1:17" x14ac:dyDescent="0.25">
      <c r="B59" s="30" t="s">
        <v>11</v>
      </c>
      <c r="C59" s="1015" t="s">
        <v>227</v>
      </c>
      <c r="D59" s="31"/>
      <c r="E59" s="1016"/>
      <c r="F59" s="991"/>
      <c r="G59" s="51"/>
      <c r="H59" s="51"/>
      <c r="I59" s="4"/>
      <c r="J59" s="4"/>
      <c r="K59" s="4"/>
      <c r="L59" s="991"/>
      <c r="M59" s="2008">
        <v>100000</v>
      </c>
      <c r="N59" s="2009"/>
      <c r="O59" s="2012"/>
      <c r="P59" s="2009"/>
    </row>
    <row r="60" spans="1:17" x14ac:dyDescent="0.25">
      <c r="B60" s="1009" t="s">
        <v>11</v>
      </c>
      <c r="C60" s="1015" t="s">
        <v>10</v>
      </c>
      <c r="D60" s="1016"/>
      <c r="E60" s="1016"/>
      <c r="F60" s="1016"/>
      <c r="G60" s="51"/>
      <c r="H60" s="51"/>
      <c r="I60" s="4"/>
      <c r="J60" s="4"/>
      <c r="K60" s="4"/>
      <c r="L60" s="4"/>
      <c r="M60" s="2008">
        <v>80000</v>
      </c>
      <c r="N60" s="2009"/>
      <c r="O60" s="2008"/>
      <c r="P60" s="2009"/>
    </row>
    <row r="61" spans="1:17" x14ac:dyDescent="0.25">
      <c r="B61" s="1009" t="s">
        <v>11</v>
      </c>
      <c r="C61" s="1015" t="s">
        <v>26</v>
      </c>
      <c r="D61" s="1016"/>
      <c r="E61" s="1016"/>
      <c r="F61" s="1016"/>
      <c r="G61" s="51"/>
      <c r="H61" s="51"/>
      <c r="I61" s="4"/>
      <c r="J61" s="4"/>
      <c r="K61" s="4"/>
      <c r="L61" s="4"/>
      <c r="M61" s="2008">
        <v>140000</v>
      </c>
      <c r="N61" s="2009"/>
      <c r="O61" s="2008"/>
      <c r="P61" s="2009"/>
    </row>
    <row r="62" spans="1:17" x14ac:dyDescent="0.25">
      <c r="B62" s="1009" t="s">
        <v>17</v>
      </c>
      <c r="C62" s="1015"/>
      <c r="D62" s="1016"/>
      <c r="E62" s="1016"/>
      <c r="F62" s="20" t="s">
        <v>1</v>
      </c>
      <c r="G62" s="1020" t="s">
        <v>124</v>
      </c>
      <c r="H62" s="51"/>
      <c r="I62" s="4"/>
      <c r="J62" s="4"/>
      <c r="K62" s="4"/>
      <c r="L62" s="4"/>
      <c r="M62" s="2008"/>
      <c r="N62" s="2009"/>
      <c r="O62" s="2008">
        <v>20000</v>
      </c>
      <c r="P62" s="2009"/>
    </row>
    <row r="63" spans="1:17" x14ac:dyDescent="0.25">
      <c r="B63" s="1009" t="s">
        <v>458</v>
      </c>
      <c r="C63" s="1015"/>
      <c r="D63" s="1016"/>
      <c r="E63" s="1016"/>
      <c r="F63" s="20" t="s">
        <v>1</v>
      </c>
      <c r="G63" s="1020" t="s">
        <v>435</v>
      </c>
      <c r="H63" s="1020"/>
      <c r="I63" s="4"/>
      <c r="J63" s="4"/>
      <c r="K63" s="4"/>
      <c r="L63" s="4"/>
      <c r="M63" s="2008"/>
      <c r="N63" s="2012"/>
      <c r="O63" s="2008">
        <v>300000</v>
      </c>
      <c r="P63" s="2009"/>
    </row>
    <row r="64" spans="1:17" x14ac:dyDescent="0.25">
      <c r="B64" s="111">
        <v>2</v>
      </c>
      <c r="C64" s="2110" t="s">
        <v>21</v>
      </c>
      <c r="D64" s="2090"/>
      <c r="E64" s="2090"/>
      <c r="F64" s="2090"/>
      <c r="G64" s="2096"/>
      <c r="H64" s="2096"/>
      <c r="I64" s="2090" t="s">
        <v>21</v>
      </c>
      <c r="J64" s="2090"/>
      <c r="K64" s="2090"/>
      <c r="L64" s="2092"/>
      <c r="M64" s="2008"/>
      <c r="N64" s="2009"/>
      <c r="O64" s="2008"/>
      <c r="P64" s="2009"/>
    </row>
    <row r="65" spans="2:16" x14ac:dyDescent="0.25">
      <c r="B65" s="30" t="s">
        <v>11</v>
      </c>
      <c r="C65" s="1015" t="s">
        <v>23</v>
      </c>
      <c r="D65" s="1016"/>
      <c r="E65" s="1016"/>
      <c r="F65" s="991"/>
      <c r="G65" s="51"/>
      <c r="H65" s="51"/>
      <c r="I65" s="4"/>
      <c r="J65" s="4"/>
      <c r="K65" s="4"/>
      <c r="L65" s="991"/>
      <c r="M65" s="2008">
        <f>+M59</f>
        <v>100000</v>
      </c>
      <c r="N65" s="2009"/>
      <c r="O65" s="2012"/>
      <c r="P65" s="2009"/>
    </row>
    <row r="66" spans="2:16" x14ac:dyDescent="0.25">
      <c r="B66" s="1009" t="s">
        <v>14</v>
      </c>
      <c r="C66" s="1015"/>
      <c r="D66" s="1016"/>
      <c r="E66" s="1016"/>
      <c r="F66" s="20" t="s">
        <v>1</v>
      </c>
      <c r="G66" s="1020" t="s">
        <v>227</v>
      </c>
      <c r="H66" s="1020"/>
      <c r="I66" s="4"/>
      <c r="J66" s="4"/>
      <c r="K66" s="4"/>
      <c r="L66" s="4"/>
      <c r="M66" s="2008"/>
      <c r="N66" s="2012"/>
      <c r="O66" s="2008">
        <f>+M65</f>
        <v>100000</v>
      </c>
      <c r="P66" s="2009"/>
    </row>
    <row r="67" spans="2:16" x14ac:dyDescent="0.25">
      <c r="B67" s="111">
        <v>3</v>
      </c>
      <c r="C67" s="2110" t="s">
        <v>21</v>
      </c>
      <c r="D67" s="2090"/>
      <c r="E67" s="2090"/>
      <c r="F67" s="2090"/>
      <c r="G67" s="2096"/>
      <c r="H67" s="2096"/>
      <c r="I67" s="2090" t="s">
        <v>21</v>
      </c>
      <c r="J67" s="2090"/>
      <c r="K67" s="2090"/>
      <c r="L67" s="2092"/>
      <c r="M67" s="2008"/>
      <c r="N67" s="2009"/>
      <c r="O67" s="2008"/>
      <c r="P67" s="2009"/>
    </row>
    <row r="68" spans="2:16" x14ac:dyDescent="0.25">
      <c r="B68" s="30" t="s">
        <v>11</v>
      </c>
      <c r="C68" s="1015" t="s">
        <v>5</v>
      </c>
      <c r="D68" s="1016"/>
      <c r="E68" s="1016"/>
      <c r="F68" s="991"/>
      <c r="G68" s="51"/>
      <c r="H68" s="51"/>
      <c r="I68" s="4"/>
      <c r="J68" s="4"/>
      <c r="K68" s="4"/>
      <c r="L68" s="991"/>
      <c r="M68" s="2008">
        <f>+(6*2000)+(3*6000)+(7*4000)</f>
        <v>58000</v>
      </c>
      <c r="N68" s="2009"/>
      <c r="O68" s="2008"/>
      <c r="P68" s="2009"/>
    </row>
    <row r="69" spans="2:16" x14ac:dyDescent="0.25">
      <c r="B69" s="38" t="s">
        <v>11</v>
      </c>
      <c r="C69" s="1015" t="s">
        <v>13</v>
      </c>
      <c r="D69" s="1016"/>
      <c r="E69" s="1016"/>
      <c r="F69" s="991"/>
      <c r="G69" s="51"/>
      <c r="H69" s="51"/>
      <c r="I69" s="4"/>
      <c r="J69" s="4"/>
      <c r="K69" s="4"/>
      <c r="L69" s="991"/>
      <c r="M69" s="2008">
        <f>+M68*0.21</f>
        <v>12180</v>
      </c>
      <c r="N69" s="2009"/>
      <c r="O69" s="2008"/>
      <c r="P69" s="2009"/>
    </row>
    <row r="70" spans="2:16" x14ac:dyDescent="0.25">
      <c r="B70" s="1009" t="s">
        <v>17</v>
      </c>
      <c r="C70" s="1015"/>
      <c r="D70" s="1016"/>
      <c r="E70" s="1016"/>
      <c r="F70" s="20" t="s">
        <v>1</v>
      </c>
      <c r="G70" s="1020" t="s">
        <v>2</v>
      </c>
      <c r="H70" s="1020"/>
      <c r="I70" s="4"/>
      <c r="J70" s="4"/>
      <c r="K70" s="4"/>
      <c r="L70" s="4"/>
      <c r="M70" s="2008"/>
      <c r="N70" s="2012"/>
      <c r="O70" s="2008">
        <f>+M68+M69</f>
        <v>70180</v>
      </c>
      <c r="P70" s="2009"/>
    </row>
    <row r="71" spans="2:16" x14ac:dyDescent="0.25">
      <c r="B71" s="111">
        <v>4</v>
      </c>
      <c r="C71" s="2110" t="s">
        <v>21</v>
      </c>
      <c r="D71" s="2090"/>
      <c r="E71" s="2090"/>
      <c r="F71" s="2090"/>
      <c r="G71" s="2096"/>
      <c r="H71" s="2096"/>
      <c r="I71" s="2090" t="s">
        <v>21</v>
      </c>
      <c r="J71" s="2090"/>
      <c r="K71" s="2090"/>
      <c r="L71" s="2092"/>
      <c r="M71" s="2008"/>
      <c r="N71" s="2009"/>
      <c r="O71" s="2008"/>
      <c r="P71" s="2009"/>
    </row>
    <row r="72" spans="2:16" x14ac:dyDescent="0.25">
      <c r="B72" s="30" t="s">
        <v>11</v>
      </c>
      <c r="C72" s="1015" t="s">
        <v>0</v>
      </c>
      <c r="D72" s="1016"/>
      <c r="E72" s="1016"/>
      <c r="F72" s="991"/>
      <c r="G72" s="51"/>
      <c r="H72" s="51"/>
      <c r="I72" s="4"/>
      <c r="J72" s="4"/>
      <c r="K72" s="4"/>
      <c r="L72" s="991"/>
      <c r="M72" s="2008">
        <f>+M73</f>
        <v>8470</v>
      </c>
      <c r="N72" s="2009"/>
      <c r="O72" s="2008"/>
      <c r="P72" s="2009"/>
    </row>
    <row r="73" spans="2:16" x14ac:dyDescent="0.25">
      <c r="B73" s="38" t="s">
        <v>11</v>
      </c>
      <c r="C73" s="1015" t="s">
        <v>478</v>
      </c>
      <c r="D73" s="1016"/>
      <c r="E73" s="1016"/>
      <c r="F73" s="991"/>
      <c r="G73" s="51"/>
      <c r="H73" s="51"/>
      <c r="I73" s="4"/>
      <c r="J73" s="4"/>
      <c r="K73" s="4"/>
      <c r="L73" s="991"/>
      <c r="M73" s="2008">
        <f>+(O74+O75)/2</f>
        <v>8470</v>
      </c>
      <c r="N73" s="2009"/>
      <c r="O73" s="993"/>
      <c r="P73" s="995"/>
    </row>
    <row r="74" spans="2:16" x14ac:dyDescent="0.25">
      <c r="B74" s="38" t="s">
        <v>16</v>
      </c>
      <c r="C74" s="1015"/>
      <c r="D74" s="1016"/>
      <c r="E74" s="1016"/>
      <c r="F74" s="20" t="s">
        <v>1</v>
      </c>
      <c r="G74" s="1020" t="s">
        <v>3</v>
      </c>
      <c r="H74" s="51"/>
      <c r="I74" s="4"/>
      <c r="J74" s="4"/>
      <c r="K74" s="4"/>
      <c r="L74" s="991"/>
      <c r="M74" s="2008"/>
      <c r="N74" s="2009"/>
      <c r="O74" s="2008">
        <f>8000+6000</f>
        <v>14000</v>
      </c>
      <c r="P74" s="2009"/>
    </row>
    <row r="75" spans="2:16" x14ac:dyDescent="0.25">
      <c r="B75" s="1009" t="s">
        <v>17</v>
      </c>
      <c r="C75" s="1015"/>
      <c r="D75" s="1016"/>
      <c r="E75" s="1016"/>
      <c r="F75" s="20" t="s">
        <v>1</v>
      </c>
      <c r="G75" s="1020" t="s">
        <v>12</v>
      </c>
      <c r="H75" s="1020"/>
      <c r="I75" s="4"/>
      <c r="J75" s="4"/>
      <c r="K75" s="4"/>
      <c r="L75" s="4"/>
      <c r="M75" s="2008"/>
      <c r="N75" s="2012"/>
      <c r="O75" s="2008">
        <f>+O74*0.21</f>
        <v>2940</v>
      </c>
      <c r="P75" s="2009"/>
    </row>
    <row r="76" spans="2:16" x14ac:dyDescent="0.25">
      <c r="B76" s="1203"/>
      <c r="C76" s="2110" t="s">
        <v>21</v>
      </c>
      <c r="D76" s="2090"/>
      <c r="E76" s="2090"/>
      <c r="F76" s="2090"/>
      <c r="G76" s="2096"/>
      <c r="H76" s="2096"/>
      <c r="I76" s="2090" t="s">
        <v>21</v>
      </c>
      <c r="J76" s="2090"/>
      <c r="K76" s="2090"/>
      <c r="L76" s="2092"/>
      <c r="M76" s="2008"/>
      <c r="N76" s="2009"/>
      <c r="O76" s="2008"/>
      <c r="P76" s="2009"/>
    </row>
    <row r="77" spans="2:16" x14ac:dyDescent="0.25">
      <c r="B77" s="102" t="s">
        <v>15</v>
      </c>
      <c r="C77" s="1015" t="s">
        <v>120</v>
      </c>
      <c r="D77" s="1016"/>
      <c r="E77" s="1016"/>
      <c r="F77" s="991"/>
      <c r="G77" s="51"/>
      <c r="H77" s="51"/>
      <c r="I77" s="4"/>
      <c r="J77" s="4"/>
      <c r="K77" s="4"/>
      <c r="L77" s="991"/>
      <c r="M77" s="2008">
        <f>6000+2000+2000</f>
        <v>10000</v>
      </c>
      <c r="N77" s="2009"/>
      <c r="O77" s="2008"/>
      <c r="P77" s="2009"/>
    </row>
    <row r="78" spans="2:16" x14ac:dyDescent="0.25">
      <c r="B78" s="1009" t="s">
        <v>14</v>
      </c>
      <c r="C78" s="1015"/>
      <c r="D78" s="1016"/>
      <c r="E78" s="1016"/>
      <c r="F78" s="20" t="s">
        <v>1</v>
      </c>
      <c r="G78" s="1020" t="s">
        <v>5</v>
      </c>
      <c r="H78" s="1020"/>
      <c r="I78" s="4"/>
      <c r="J78" s="4"/>
      <c r="K78" s="4"/>
      <c r="L78" s="4"/>
      <c r="M78" s="2008"/>
      <c r="N78" s="2012"/>
      <c r="O78" s="2008">
        <f>+M77</f>
        <v>10000</v>
      </c>
      <c r="P78" s="2009"/>
    </row>
    <row r="79" spans="2:16" x14ac:dyDescent="0.25">
      <c r="B79" s="111">
        <v>5</v>
      </c>
      <c r="C79" s="2110" t="s">
        <v>21</v>
      </c>
      <c r="D79" s="2090"/>
      <c r="E79" s="2090"/>
      <c r="F79" s="2090"/>
      <c r="G79" s="2096"/>
      <c r="H79" s="2096"/>
      <c r="I79" s="2090" t="s">
        <v>21</v>
      </c>
      <c r="J79" s="2090"/>
      <c r="K79" s="2090"/>
      <c r="L79" s="2092"/>
      <c r="M79" s="2008"/>
      <c r="N79" s="2009"/>
      <c r="O79" s="2008"/>
      <c r="P79" s="2009"/>
    </row>
    <row r="80" spans="2:16" x14ac:dyDescent="0.25">
      <c r="B80" s="30" t="s">
        <v>15</v>
      </c>
      <c r="C80" s="1015" t="s">
        <v>874</v>
      </c>
      <c r="D80" s="1016"/>
      <c r="E80" s="1016"/>
      <c r="F80" s="991"/>
      <c r="G80" s="51"/>
      <c r="H80" s="51"/>
      <c r="I80" s="4"/>
      <c r="J80" s="4"/>
      <c r="K80" s="4"/>
      <c r="L80" s="991"/>
      <c r="M80" s="2008">
        <v>500</v>
      </c>
      <c r="N80" s="2009"/>
      <c r="O80" s="2008"/>
      <c r="P80" s="2009"/>
    </row>
    <row r="81" spans="2:16" x14ac:dyDescent="0.25">
      <c r="B81" s="38" t="s">
        <v>11</v>
      </c>
      <c r="C81" s="1015" t="s">
        <v>13</v>
      </c>
      <c r="D81" s="1016"/>
      <c r="E81" s="1016"/>
      <c r="F81" s="991"/>
      <c r="G81" s="51"/>
      <c r="H81" s="51"/>
      <c r="I81" s="4"/>
      <c r="J81" s="4"/>
      <c r="K81" s="4"/>
      <c r="L81" s="991"/>
      <c r="M81" s="2008">
        <f>+M80*0.21</f>
        <v>105</v>
      </c>
      <c r="N81" s="2009"/>
      <c r="O81" s="2008"/>
      <c r="P81" s="2009"/>
    </row>
    <row r="82" spans="2:16" x14ac:dyDescent="0.25">
      <c r="B82" s="1009" t="s">
        <v>14</v>
      </c>
      <c r="C82" s="1015"/>
      <c r="D82" s="1016"/>
      <c r="E82" s="1016"/>
      <c r="F82" s="20" t="s">
        <v>1</v>
      </c>
      <c r="G82" s="1020" t="s">
        <v>23</v>
      </c>
      <c r="H82" s="1020"/>
      <c r="I82" s="4"/>
      <c r="J82" s="4"/>
      <c r="K82" s="4"/>
      <c r="L82" s="4"/>
      <c r="M82" s="2008"/>
      <c r="N82" s="2012"/>
      <c r="O82" s="2008">
        <f>+M80+M81</f>
        <v>605</v>
      </c>
      <c r="P82" s="2009"/>
    </row>
    <row r="83" spans="2:16" x14ac:dyDescent="0.25">
      <c r="B83" s="111">
        <v>6</v>
      </c>
      <c r="C83" s="2110" t="s">
        <v>21</v>
      </c>
      <c r="D83" s="2090"/>
      <c r="E83" s="2090"/>
      <c r="F83" s="2090"/>
      <c r="G83" s="2096"/>
      <c r="H83" s="2096"/>
      <c r="I83" s="2090" t="s">
        <v>21</v>
      </c>
      <c r="J83" s="2090"/>
      <c r="K83" s="2090"/>
      <c r="L83" s="2092"/>
      <c r="M83" s="2008"/>
      <c r="N83" s="2009"/>
      <c r="O83" s="2008"/>
      <c r="P83" s="2009"/>
    </row>
    <row r="84" spans="2:16" x14ac:dyDescent="0.25">
      <c r="B84" s="30" t="s">
        <v>11</v>
      </c>
      <c r="C84" s="1015" t="s">
        <v>25</v>
      </c>
      <c r="D84" s="1016"/>
      <c r="E84" s="1016"/>
      <c r="F84" s="991"/>
      <c r="G84" s="51"/>
      <c r="H84" s="51"/>
      <c r="I84" s="4"/>
      <c r="J84" s="4"/>
      <c r="K84" s="4"/>
      <c r="L84" s="991"/>
      <c r="M84" s="2008">
        <v>7000</v>
      </c>
      <c r="N84" s="2009"/>
      <c r="O84" s="2008"/>
      <c r="P84" s="2009"/>
    </row>
    <row r="85" spans="2:16" x14ac:dyDescent="0.25">
      <c r="B85" s="38" t="s">
        <v>11</v>
      </c>
      <c r="C85" s="1015" t="s">
        <v>13</v>
      </c>
      <c r="D85" s="1016"/>
      <c r="E85" s="1016"/>
      <c r="F85" s="991"/>
      <c r="G85" s="51"/>
      <c r="H85" s="51"/>
      <c r="I85" s="4"/>
      <c r="J85" s="4"/>
      <c r="K85" s="4"/>
      <c r="L85" s="991"/>
      <c r="M85" s="2008">
        <f>+M84*0.21</f>
        <v>1470</v>
      </c>
      <c r="N85" s="2009"/>
      <c r="O85" s="2008"/>
      <c r="P85" s="2009"/>
    </row>
    <row r="86" spans="2:16" x14ac:dyDescent="0.25">
      <c r="B86" s="1009" t="s">
        <v>17</v>
      </c>
      <c r="C86" s="1015"/>
      <c r="D86" s="1016"/>
      <c r="E86" s="1016"/>
      <c r="F86" s="20" t="s">
        <v>1</v>
      </c>
      <c r="G86" s="1020" t="s">
        <v>6</v>
      </c>
      <c r="H86" s="1020"/>
      <c r="I86" s="4"/>
      <c r="J86" s="4"/>
      <c r="K86" s="4"/>
      <c r="L86" s="4"/>
      <c r="M86" s="2008"/>
      <c r="N86" s="2012"/>
      <c r="O86" s="2008">
        <f>+M84+M85</f>
        <v>8470</v>
      </c>
      <c r="P86" s="2009"/>
    </row>
    <row r="87" spans="2:16" x14ac:dyDescent="0.25">
      <c r="B87" s="111">
        <v>7</v>
      </c>
      <c r="C87" s="2110" t="s">
        <v>21</v>
      </c>
      <c r="D87" s="2090"/>
      <c r="E87" s="2090"/>
      <c r="F87" s="2090"/>
      <c r="G87" s="2096"/>
      <c r="H87" s="2096"/>
      <c r="I87" s="2090" t="s">
        <v>21</v>
      </c>
      <c r="J87" s="2090"/>
      <c r="K87" s="2090"/>
      <c r="L87" s="2092"/>
      <c r="M87" s="2008"/>
      <c r="N87" s="2009"/>
      <c r="O87" s="2008"/>
      <c r="P87" s="2009"/>
    </row>
    <row r="88" spans="2:16" x14ac:dyDescent="0.25">
      <c r="B88" s="30" t="s">
        <v>15</v>
      </c>
      <c r="C88" s="1015" t="s">
        <v>3</v>
      </c>
      <c r="D88" s="1016"/>
      <c r="E88" s="1016"/>
      <c r="F88" s="991"/>
      <c r="G88" s="51"/>
      <c r="H88" s="51"/>
      <c r="I88" s="4"/>
      <c r="J88" s="4"/>
      <c r="K88" s="4"/>
      <c r="L88" s="991"/>
      <c r="M88" s="2008">
        <f>+O90/1.21</f>
        <v>700</v>
      </c>
      <c r="N88" s="2009"/>
      <c r="O88" s="2008"/>
      <c r="P88" s="2009"/>
    </row>
    <row r="89" spans="2:16" x14ac:dyDescent="0.25">
      <c r="B89" s="38" t="s">
        <v>207</v>
      </c>
      <c r="C89" s="1015" t="s">
        <v>12</v>
      </c>
      <c r="D89" s="1016"/>
      <c r="E89" s="1016"/>
      <c r="F89" s="991"/>
      <c r="G89" s="51"/>
      <c r="H89" s="51"/>
      <c r="I89" s="4"/>
      <c r="J89" s="4"/>
      <c r="K89" s="4"/>
      <c r="L89" s="991"/>
      <c r="M89" s="2008">
        <f>+M88*0.21</f>
        <v>147</v>
      </c>
      <c r="N89" s="2009"/>
      <c r="O89" s="2008"/>
      <c r="P89" s="2009"/>
    </row>
    <row r="90" spans="2:16" x14ac:dyDescent="0.25">
      <c r="B90" s="1009" t="s">
        <v>14</v>
      </c>
      <c r="C90" s="1015"/>
      <c r="D90" s="1016"/>
      <c r="E90" s="1016"/>
      <c r="F90" s="20" t="s">
        <v>1</v>
      </c>
      <c r="G90" s="1020" t="s">
        <v>0</v>
      </c>
      <c r="H90" s="1020"/>
      <c r="I90" s="4"/>
      <c r="J90" s="4"/>
      <c r="K90" s="4"/>
      <c r="L90" s="4"/>
      <c r="M90" s="2008"/>
      <c r="N90" s="2012"/>
      <c r="O90" s="2008">
        <f>0.1*M72</f>
        <v>847</v>
      </c>
      <c r="P90" s="2009"/>
    </row>
    <row r="91" spans="2:16" x14ac:dyDescent="0.25">
      <c r="B91" s="111">
        <v>8</v>
      </c>
      <c r="C91" s="2110" t="s">
        <v>21</v>
      </c>
      <c r="D91" s="2090"/>
      <c r="E91" s="2090"/>
      <c r="F91" s="2090"/>
      <c r="G91" s="2096"/>
      <c r="H91" s="2096"/>
      <c r="I91" s="2090" t="s">
        <v>21</v>
      </c>
      <c r="J91" s="2090"/>
      <c r="K91" s="2090"/>
      <c r="L91" s="2092"/>
      <c r="M91" s="2008"/>
      <c r="N91" s="2009"/>
      <c r="O91" s="2008"/>
      <c r="P91" s="2009"/>
    </row>
    <row r="92" spans="2:16" x14ac:dyDescent="0.25">
      <c r="B92" s="30" t="s">
        <v>207</v>
      </c>
      <c r="C92" s="1015" t="s">
        <v>2</v>
      </c>
      <c r="D92" s="1016"/>
      <c r="E92" s="1016"/>
      <c r="F92" s="991"/>
      <c r="G92" s="51"/>
      <c r="H92" s="51"/>
      <c r="I92" s="4"/>
      <c r="J92" s="4"/>
      <c r="K92" s="4"/>
      <c r="L92" s="991"/>
      <c r="M92" s="2008">
        <f>+O70</f>
        <v>70180</v>
      </c>
      <c r="N92" s="2009"/>
      <c r="O92" s="2008"/>
      <c r="P92" s="2009"/>
    </row>
    <row r="93" spans="2:16" x14ac:dyDescent="0.25">
      <c r="B93" s="1009" t="s">
        <v>14</v>
      </c>
      <c r="C93" s="1015"/>
      <c r="D93" s="1016"/>
      <c r="E93" s="1016"/>
      <c r="F93" s="20" t="s">
        <v>1</v>
      </c>
      <c r="G93" s="1020" t="s">
        <v>23</v>
      </c>
      <c r="H93" s="1020"/>
      <c r="I93" s="4"/>
      <c r="J93" s="4"/>
      <c r="K93" s="4"/>
      <c r="L93" s="4"/>
      <c r="M93" s="2008"/>
      <c r="N93" s="2012"/>
      <c r="O93" s="2008">
        <f>+M92</f>
        <v>70180</v>
      </c>
      <c r="P93" s="2009"/>
    </row>
    <row r="94" spans="2:16" x14ac:dyDescent="0.25">
      <c r="B94" s="111">
        <v>9</v>
      </c>
      <c r="C94" s="2110" t="s">
        <v>21</v>
      </c>
      <c r="D94" s="2090"/>
      <c r="E94" s="2090"/>
      <c r="F94" s="2090"/>
      <c r="G94" s="2096"/>
      <c r="H94" s="2096"/>
      <c r="I94" s="2090" t="s">
        <v>21</v>
      </c>
      <c r="J94" s="2090"/>
      <c r="K94" s="2090"/>
      <c r="L94" s="2092"/>
      <c r="M94" s="2008"/>
      <c r="N94" s="2009"/>
      <c r="O94" s="2008"/>
      <c r="P94" s="2009"/>
    </row>
    <row r="95" spans="2:16" x14ac:dyDescent="0.25">
      <c r="B95" s="30" t="s">
        <v>11</v>
      </c>
      <c r="C95" s="1015" t="s">
        <v>227</v>
      </c>
      <c r="D95" s="1016"/>
      <c r="E95" s="1016"/>
      <c r="F95" s="991"/>
      <c r="G95" s="51"/>
      <c r="H95" s="51"/>
      <c r="I95" s="4"/>
      <c r="J95" s="4"/>
      <c r="K95" s="4"/>
      <c r="L95" s="991"/>
      <c r="M95" s="2008">
        <f>+M72-O90</f>
        <v>7623</v>
      </c>
      <c r="N95" s="2009"/>
      <c r="O95" s="2008"/>
      <c r="P95" s="2009"/>
    </row>
    <row r="96" spans="2:16" x14ac:dyDescent="0.25">
      <c r="B96" s="1009" t="s">
        <v>14</v>
      </c>
      <c r="C96" s="1015"/>
      <c r="D96" s="1016"/>
      <c r="E96" s="1016"/>
      <c r="F96" s="20" t="s">
        <v>1</v>
      </c>
      <c r="G96" s="1020" t="s">
        <v>0</v>
      </c>
      <c r="H96" s="1020"/>
      <c r="I96" s="4"/>
      <c r="J96" s="4"/>
      <c r="K96" s="4"/>
      <c r="L96" s="4"/>
      <c r="M96" s="2008"/>
      <c r="N96" s="2012"/>
      <c r="O96" s="2008">
        <f>+M95</f>
        <v>7623</v>
      </c>
      <c r="P96" s="2009"/>
    </row>
    <row r="97" spans="1:17" x14ac:dyDescent="0.25">
      <c r="B97" s="111">
        <v>10</v>
      </c>
      <c r="C97" s="2110" t="s">
        <v>21</v>
      </c>
      <c r="D97" s="2090"/>
      <c r="E97" s="2090"/>
      <c r="F97" s="2090"/>
      <c r="G97" s="2096"/>
      <c r="H97" s="2096"/>
      <c r="I97" s="2090" t="s">
        <v>21</v>
      </c>
      <c r="J97" s="2090"/>
      <c r="K97" s="2090"/>
      <c r="L97" s="2092"/>
      <c r="M97" s="2008"/>
      <c r="N97" s="2009"/>
      <c r="O97" s="2008"/>
      <c r="P97" s="2009"/>
    </row>
    <row r="98" spans="1:17" x14ac:dyDescent="0.25">
      <c r="B98" s="30" t="s">
        <v>207</v>
      </c>
      <c r="C98" s="1015" t="s">
        <v>6</v>
      </c>
      <c r="D98" s="1016"/>
      <c r="E98" s="1016"/>
      <c r="F98" s="991"/>
      <c r="G98" s="51"/>
      <c r="H98" s="51"/>
      <c r="I98" s="4"/>
      <c r="J98" s="4"/>
      <c r="K98" s="4"/>
      <c r="L98" s="991"/>
      <c r="M98" s="2008">
        <f>+O86</f>
        <v>8470</v>
      </c>
      <c r="N98" s="2009"/>
      <c r="O98" s="2008"/>
      <c r="P98" s="2009"/>
    </row>
    <row r="99" spans="1:17" x14ac:dyDescent="0.25">
      <c r="B99" s="38" t="s">
        <v>14</v>
      </c>
      <c r="C99" s="1015"/>
      <c r="D99" s="1016"/>
      <c r="E99" s="1016"/>
      <c r="F99" s="20" t="s">
        <v>1</v>
      </c>
      <c r="G99" s="1020" t="s">
        <v>227</v>
      </c>
      <c r="H99" s="51"/>
      <c r="I99" s="4"/>
      <c r="J99" s="4"/>
      <c r="K99" s="4"/>
      <c r="L99" s="991"/>
      <c r="M99" s="993"/>
      <c r="N99" s="994"/>
      <c r="O99" s="2008">
        <f>+M95</f>
        <v>7623</v>
      </c>
      <c r="P99" s="2009"/>
    </row>
    <row r="100" spans="1:17" x14ac:dyDescent="0.25">
      <c r="A100" s="4"/>
      <c r="B100" s="1004" t="s">
        <v>14</v>
      </c>
      <c r="C100" s="1017"/>
      <c r="D100" s="1018"/>
      <c r="E100" s="1018"/>
      <c r="F100" s="35" t="s">
        <v>1</v>
      </c>
      <c r="G100" s="1022" t="s">
        <v>23</v>
      </c>
      <c r="H100" s="24"/>
      <c r="I100" s="3"/>
      <c r="J100" s="3"/>
      <c r="K100" s="3"/>
      <c r="L100" s="1013"/>
      <c r="M100" s="983"/>
      <c r="N100" s="985"/>
      <c r="O100" s="2006">
        <f>+M98-O99</f>
        <v>847</v>
      </c>
      <c r="P100" s="2007"/>
      <c r="Q100" s="4"/>
    </row>
    <row r="101" spans="1:17" s="4" customFormat="1" x14ac:dyDescent="0.25">
      <c r="B101" s="1004"/>
      <c r="C101" s="12"/>
      <c r="D101" s="12"/>
      <c r="E101" s="12"/>
      <c r="F101" s="12"/>
      <c r="G101" s="51"/>
      <c r="H101" s="51"/>
      <c r="M101" s="18"/>
      <c r="N101" s="18"/>
      <c r="O101" s="18"/>
      <c r="P101" s="18"/>
    </row>
    <row r="102" spans="1:17" s="4" customFormat="1" x14ac:dyDescent="0.25">
      <c r="B102" s="1004"/>
      <c r="C102" s="12"/>
      <c r="D102" s="12"/>
      <c r="E102" s="12"/>
      <c r="F102" s="12"/>
      <c r="G102" s="51"/>
      <c r="H102" s="51"/>
      <c r="M102" s="18"/>
      <c r="N102" s="18"/>
      <c r="O102" s="18"/>
      <c r="P102" s="18"/>
    </row>
    <row r="103" spans="1:17" s="4" customFormat="1" x14ac:dyDescent="0.25">
      <c r="B103" s="1004"/>
      <c r="C103" s="12"/>
      <c r="D103" s="12"/>
      <c r="E103" s="12"/>
      <c r="F103" s="12"/>
      <c r="G103" s="51"/>
      <c r="H103" s="51"/>
      <c r="M103" s="18"/>
      <c r="N103" s="18"/>
      <c r="O103" s="18"/>
      <c r="P103" s="18"/>
    </row>
    <row r="104" spans="1:17" x14ac:dyDescent="0.25">
      <c r="A104" s="4"/>
      <c r="B104" s="6" t="s">
        <v>1653</v>
      </c>
      <c r="C104" s="21" t="s">
        <v>1680</v>
      </c>
      <c r="G104" s="51"/>
      <c r="H104" s="51"/>
      <c r="I104" s="4"/>
      <c r="J104" s="4"/>
      <c r="K104" s="4"/>
      <c r="L104" s="4"/>
      <c r="M104" s="18"/>
      <c r="N104" s="18"/>
      <c r="O104" s="18"/>
      <c r="P104" s="18"/>
      <c r="Q104" s="4"/>
    </row>
    <row r="105" spans="1:17" x14ac:dyDescent="0.25">
      <c r="A105" s="4"/>
      <c r="B105" s="1004"/>
      <c r="G105" s="51"/>
      <c r="H105" s="51"/>
      <c r="I105" s="4"/>
      <c r="J105" s="4"/>
      <c r="K105" s="4"/>
      <c r="L105" s="4"/>
      <c r="M105" s="18"/>
      <c r="N105" s="18"/>
      <c r="O105" s="18"/>
      <c r="P105" s="18"/>
      <c r="Q105" s="4"/>
    </row>
    <row r="106" spans="1:17" x14ac:dyDescent="0.25">
      <c r="A106" s="4"/>
      <c r="B106" s="1004"/>
      <c r="C106" s="2028" t="s">
        <v>952</v>
      </c>
      <c r="D106" s="2029"/>
      <c r="E106" s="2029"/>
      <c r="F106" s="2029"/>
      <c r="G106" s="2139"/>
      <c r="H106" s="2032" t="s">
        <v>9</v>
      </c>
      <c r="I106" s="2031"/>
      <c r="J106" s="2032" t="s">
        <v>8</v>
      </c>
      <c r="K106" s="2031"/>
      <c r="L106" s="2032" t="s">
        <v>1164</v>
      </c>
      <c r="M106" s="2031"/>
      <c r="N106" s="2142" t="s">
        <v>1165</v>
      </c>
      <c r="O106" s="2104"/>
      <c r="P106" s="18"/>
      <c r="Q106" s="4"/>
    </row>
    <row r="107" spans="1:17" x14ac:dyDescent="0.25">
      <c r="C107" s="8" t="s">
        <v>23</v>
      </c>
      <c r="D107" s="4"/>
      <c r="E107" s="4"/>
      <c r="F107" s="4"/>
      <c r="G107" s="1202"/>
      <c r="H107" s="2008">
        <f t="shared" ref="H107:H123" si="0">+SUMIF($C$59:$C$100,C107,$M$59:$M$100)</f>
        <v>100000</v>
      </c>
      <c r="I107" s="2012"/>
      <c r="J107" s="2106">
        <f t="shared" ref="J107:J123" si="1">+SUMIF($G$59:$G$100,C107,$O$59:$O$100)</f>
        <v>71632</v>
      </c>
      <c r="K107" s="2107"/>
      <c r="L107" s="2008">
        <f t="shared" ref="L107:L123" si="2">+IF(H107&gt;J107,H107-J107,0)</f>
        <v>28368</v>
      </c>
      <c r="M107" s="2012"/>
      <c r="N107" s="2008">
        <f t="shared" ref="N107:N123" si="3">+IF(J107&gt;H107,J107-H107,0)</f>
        <v>0</v>
      </c>
      <c r="O107" s="2009"/>
    </row>
    <row r="108" spans="1:17" x14ac:dyDescent="0.25">
      <c r="C108" s="8" t="s">
        <v>10</v>
      </c>
      <c r="D108" s="4"/>
      <c r="E108" s="4"/>
      <c r="F108" s="4"/>
      <c r="G108" s="1202"/>
      <c r="H108" s="2008">
        <f t="shared" si="0"/>
        <v>80000</v>
      </c>
      <c r="I108" s="2012"/>
      <c r="J108" s="2008">
        <f t="shared" si="1"/>
        <v>0</v>
      </c>
      <c r="K108" s="2009"/>
      <c r="L108" s="2008">
        <f t="shared" si="2"/>
        <v>80000</v>
      </c>
      <c r="M108" s="2012"/>
      <c r="N108" s="2008">
        <f t="shared" si="3"/>
        <v>0</v>
      </c>
      <c r="O108" s="2009"/>
    </row>
    <row r="109" spans="1:17" x14ac:dyDescent="0.25">
      <c r="C109" s="8" t="s">
        <v>435</v>
      </c>
      <c r="D109" s="4"/>
      <c r="E109" s="4"/>
      <c r="F109" s="4"/>
      <c r="G109" s="1202"/>
      <c r="H109" s="2008">
        <f t="shared" si="0"/>
        <v>0</v>
      </c>
      <c r="I109" s="2012"/>
      <c r="J109" s="2008">
        <f t="shared" si="1"/>
        <v>300000</v>
      </c>
      <c r="K109" s="2009"/>
      <c r="L109" s="2008">
        <f t="shared" si="2"/>
        <v>0</v>
      </c>
      <c r="M109" s="2012"/>
      <c r="N109" s="2008">
        <f t="shared" si="3"/>
        <v>300000</v>
      </c>
      <c r="O109" s="2009"/>
    </row>
    <row r="110" spans="1:17" x14ac:dyDescent="0.25">
      <c r="C110" s="8" t="s">
        <v>120</v>
      </c>
      <c r="D110" s="4"/>
      <c r="E110" s="4"/>
      <c r="F110" s="4"/>
      <c r="G110" s="1202"/>
      <c r="H110" s="2008">
        <f t="shared" si="0"/>
        <v>10000</v>
      </c>
      <c r="I110" s="2012"/>
      <c r="J110" s="2008">
        <f t="shared" si="1"/>
        <v>0</v>
      </c>
      <c r="K110" s="2009"/>
      <c r="L110" s="2008">
        <f t="shared" si="2"/>
        <v>10000</v>
      </c>
      <c r="M110" s="2012"/>
      <c r="N110" s="2008">
        <f t="shared" si="3"/>
        <v>0</v>
      </c>
      <c r="O110" s="2009"/>
    </row>
    <row r="111" spans="1:17" x14ac:dyDescent="0.25">
      <c r="C111" s="8" t="s">
        <v>0</v>
      </c>
      <c r="D111" s="4"/>
      <c r="E111" s="4"/>
      <c r="F111" s="4"/>
      <c r="G111" s="1202"/>
      <c r="H111" s="2008">
        <f t="shared" si="0"/>
        <v>8470</v>
      </c>
      <c r="I111" s="2012"/>
      <c r="J111" s="2008">
        <f t="shared" si="1"/>
        <v>8470</v>
      </c>
      <c r="K111" s="2009"/>
      <c r="L111" s="2008">
        <f t="shared" si="2"/>
        <v>0</v>
      </c>
      <c r="M111" s="2012"/>
      <c r="N111" s="2008">
        <f t="shared" si="3"/>
        <v>0</v>
      </c>
      <c r="O111" s="2009"/>
    </row>
    <row r="112" spans="1:17" x14ac:dyDescent="0.25">
      <c r="C112" s="8" t="s">
        <v>478</v>
      </c>
      <c r="D112" s="4"/>
      <c r="E112" s="4"/>
      <c r="F112" s="4"/>
      <c r="G112" s="1202"/>
      <c r="H112" s="2008">
        <f t="shared" si="0"/>
        <v>8470</v>
      </c>
      <c r="I112" s="2012"/>
      <c r="J112" s="2008">
        <f t="shared" si="1"/>
        <v>0</v>
      </c>
      <c r="K112" s="2009"/>
      <c r="L112" s="2008">
        <f t="shared" si="2"/>
        <v>8470</v>
      </c>
      <c r="M112" s="2012"/>
      <c r="N112" s="2008">
        <f t="shared" si="3"/>
        <v>0</v>
      </c>
      <c r="O112" s="2009"/>
    </row>
    <row r="113" spans="1:17" x14ac:dyDescent="0.25">
      <c r="C113" s="8" t="s">
        <v>6</v>
      </c>
      <c r="D113" s="4"/>
      <c r="E113" s="4"/>
      <c r="F113" s="4"/>
      <c r="G113" s="1202"/>
      <c r="H113" s="2008">
        <f t="shared" si="0"/>
        <v>8470</v>
      </c>
      <c r="I113" s="2012"/>
      <c r="J113" s="2008">
        <f t="shared" si="1"/>
        <v>8470</v>
      </c>
      <c r="K113" s="2009"/>
      <c r="L113" s="2008">
        <f t="shared" si="2"/>
        <v>0</v>
      </c>
      <c r="M113" s="2012"/>
      <c r="N113" s="2008">
        <f t="shared" si="3"/>
        <v>0</v>
      </c>
      <c r="O113" s="2009"/>
    </row>
    <row r="114" spans="1:17" x14ac:dyDescent="0.25">
      <c r="C114" s="8" t="s">
        <v>874</v>
      </c>
      <c r="D114" s="4"/>
      <c r="E114" s="4"/>
      <c r="F114" s="4"/>
      <c r="G114" s="1202"/>
      <c r="H114" s="2008">
        <f t="shared" si="0"/>
        <v>500</v>
      </c>
      <c r="I114" s="2012"/>
      <c r="J114" s="2008">
        <f t="shared" si="1"/>
        <v>0</v>
      </c>
      <c r="K114" s="2009"/>
      <c r="L114" s="2008">
        <f t="shared" si="2"/>
        <v>500</v>
      </c>
      <c r="M114" s="2012"/>
      <c r="N114" s="2008">
        <f t="shared" si="3"/>
        <v>0</v>
      </c>
      <c r="O114" s="2009"/>
    </row>
    <row r="115" spans="1:17" x14ac:dyDescent="0.25">
      <c r="C115" s="8" t="s">
        <v>13</v>
      </c>
      <c r="D115" s="4"/>
      <c r="E115" s="4"/>
      <c r="F115" s="4"/>
      <c r="G115" s="1202"/>
      <c r="H115" s="2008">
        <f t="shared" si="0"/>
        <v>13755</v>
      </c>
      <c r="I115" s="2012"/>
      <c r="J115" s="2008">
        <f t="shared" si="1"/>
        <v>0</v>
      </c>
      <c r="K115" s="2009"/>
      <c r="L115" s="2008">
        <f t="shared" si="2"/>
        <v>13755</v>
      </c>
      <c r="M115" s="2012"/>
      <c r="N115" s="2008">
        <f t="shared" si="3"/>
        <v>0</v>
      </c>
      <c r="O115" s="2009"/>
    </row>
    <row r="116" spans="1:17" x14ac:dyDescent="0.25">
      <c r="C116" s="8" t="s">
        <v>12</v>
      </c>
      <c r="D116" s="4"/>
      <c r="E116" s="4"/>
      <c r="F116" s="4"/>
      <c r="G116" s="1202"/>
      <c r="H116" s="2008">
        <f t="shared" si="0"/>
        <v>147</v>
      </c>
      <c r="I116" s="2012"/>
      <c r="J116" s="2008">
        <f t="shared" si="1"/>
        <v>2940</v>
      </c>
      <c r="K116" s="2009"/>
      <c r="L116" s="2008">
        <f t="shared" si="2"/>
        <v>0</v>
      </c>
      <c r="M116" s="2012"/>
      <c r="N116" s="2008">
        <f t="shared" si="3"/>
        <v>2793</v>
      </c>
      <c r="O116" s="2009"/>
    </row>
    <row r="117" spans="1:17" s="10" customFormat="1" x14ac:dyDescent="0.25">
      <c r="A117" s="2"/>
      <c r="B117" s="1009"/>
      <c r="C117" s="8" t="s">
        <v>5</v>
      </c>
      <c r="D117" s="4"/>
      <c r="E117" s="4"/>
      <c r="F117" s="4"/>
      <c r="G117" s="1202"/>
      <c r="H117" s="2008">
        <f t="shared" si="0"/>
        <v>58000</v>
      </c>
      <c r="I117" s="2012"/>
      <c r="J117" s="2008">
        <f t="shared" si="1"/>
        <v>10000</v>
      </c>
      <c r="K117" s="2009"/>
      <c r="L117" s="2008">
        <f t="shared" si="2"/>
        <v>48000</v>
      </c>
      <c r="M117" s="2012"/>
      <c r="N117" s="2008">
        <f t="shared" si="3"/>
        <v>0</v>
      </c>
      <c r="O117" s="2009"/>
      <c r="Q117" s="2"/>
    </row>
    <row r="118" spans="1:17" s="10" customFormat="1" x14ac:dyDescent="0.25">
      <c r="A118" s="2"/>
      <c r="B118" s="1009"/>
      <c r="C118" s="8" t="s">
        <v>25</v>
      </c>
      <c r="D118" s="4"/>
      <c r="E118" s="4"/>
      <c r="F118" s="4"/>
      <c r="G118" s="1202"/>
      <c r="H118" s="2008">
        <f t="shared" si="0"/>
        <v>7000</v>
      </c>
      <c r="I118" s="2012"/>
      <c r="J118" s="2008">
        <f t="shared" si="1"/>
        <v>0</v>
      </c>
      <c r="K118" s="2009"/>
      <c r="L118" s="2008">
        <f t="shared" si="2"/>
        <v>7000</v>
      </c>
      <c r="M118" s="2012"/>
      <c r="N118" s="2008">
        <f t="shared" si="3"/>
        <v>0</v>
      </c>
      <c r="O118" s="2009"/>
      <c r="Q118" s="2"/>
    </row>
    <row r="119" spans="1:17" s="10" customFormat="1" x14ac:dyDescent="0.25">
      <c r="A119" s="2"/>
      <c r="B119" s="1009"/>
      <c r="C119" s="8" t="s">
        <v>124</v>
      </c>
      <c r="D119" s="4"/>
      <c r="E119" s="4"/>
      <c r="F119" s="4"/>
      <c r="G119" s="1202"/>
      <c r="H119" s="2008">
        <f t="shared" si="0"/>
        <v>0</v>
      </c>
      <c r="I119" s="2012"/>
      <c r="J119" s="2008">
        <f t="shared" si="1"/>
        <v>20000</v>
      </c>
      <c r="K119" s="2009"/>
      <c r="L119" s="2008">
        <f t="shared" si="2"/>
        <v>0</v>
      </c>
      <c r="M119" s="2012"/>
      <c r="N119" s="2008">
        <f t="shared" si="3"/>
        <v>20000</v>
      </c>
      <c r="O119" s="2009"/>
      <c r="Q119" s="2"/>
    </row>
    <row r="120" spans="1:17" s="10" customFormat="1" x14ac:dyDescent="0.25">
      <c r="A120" s="2"/>
      <c r="B120" s="1009"/>
      <c r="C120" s="8" t="s">
        <v>2</v>
      </c>
      <c r="D120" s="4"/>
      <c r="E120" s="4"/>
      <c r="F120" s="4"/>
      <c r="G120" s="1202"/>
      <c r="H120" s="2008">
        <f t="shared" si="0"/>
        <v>70180</v>
      </c>
      <c r="I120" s="2012"/>
      <c r="J120" s="2008">
        <f t="shared" si="1"/>
        <v>70180</v>
      </c>
      <c r="K120" s="2009"/>
      <c r="L120" s="2008">
        <f t="shared" si="2"/>
        <v>0</v>
      </c>
      <c r="M120" s="2012"/>
      <c r="N120" s="2008">
        <f t="shared" si="3"/>
        <v>0</v>
      </c>
      <c r="O120" s="2009"/>
      <c r="Q120" s="2"/>
    </row>
    <row r="121" spans="1:17" s="10" customFormat="1" x14ac:dyDescent="0.25">
      <c r="A121" s="2"/>
      <c r="B121" s="1009"/>
      <c r="C121" s="8" t="s">
        <v>26</v>
      </c>
      <c r="D121" s="4"/>
      <c r="E121" s="4"/>
      <c r="F121" s="4"/>
      <c r="G121" s="1202"/>
      <c r="H121" s="2008">
        <f t="shared" si="0"/>
        <v>140000</v>
      </c>
      <c r="I121" s="2012"/>
      <c r="J121" s="2008">
        <f t="shared" si="1"/>
        <v>0</v>
      </c>
      <c r="K121" s="2009"/>
      <c r="L121" s="2008">
        <f t="shared" si="2"/>
        <v>140000</v>
      </c>
      <c r="M121" s="2012"/>
      <c r="N121" s="2008">
        <f t="shared" si="3"/>
        <v>0</v>
      </c>
      <c r="O121" s="2009"/>
      <c r="Q121" s="2"/>
    </row>
    <row r="122" spans="1:17" s="10" customFormat="1" x14ac:dyDescent="0.25">
      <c r="A122" s="2"/>
      <c r="B122" s="1009"/>
      <c r="C122" s="8" t="s">
        <v>227</v>
      </c>
      <c r="D122" s="4"/>
      <c r="E122" s="4"/>
      <c r="F122" s="4"/>
      <c r="G122" s="1202"/>
      <c r="H122" s="2008">
        <f t="shared" si="0"/>
        <v>107623</v>
      </c>
      <c r="I122" s="2012"/>
      <c r="J122" s="2008">
        <f t="shared" si="1"/>
        <v>107623</v>
      </c>
      <c r="K122" s="2009"/>
      <c r="L122" s="2008">
        <f t="shared" si="2"/>
        <v>0</v>
      </c>
      <c r="M122" s="2012"/>
      <c r="N122" s="2008">
        <f t="shared" si="3"/>
        <v>0</v>
      </c>
      <c r="O122" s="2009"/>
      <c r="Q122" s="2"/>
    </row>
    <row r="123" spans="1:17" s="10" customFormat="1" x14ac:dyDescent="0.25">
      <c r="A123" s="2"/>
      <c r="B123" s="1009"/>
      <c r="C123" s="158" t="s">
        <v>3</v>
      </c>
      <c r="D123" s="3"/>
      <c r="E123" s="3"/>
      <c r="F123" s="3"/>
      <c r="G123" s="1201"/>
      <c r="H123" s="2006">
        <f t="shared" si="0"/>
        <v>700</v>
      </c>
      <c r="I123" s="2100"/>
      <c r="J123" s="2006">
        <f t="shared" si="1"/>
        <v>14000</v>
      </c>
      <c r="K123" s="2007"/>
      <c r="L123" s="2006">
        <f t="shared" si="2"/>
        <v>0</v>
      </c>
      <c r="M123" s="2100"/>
      <c r="N123" s="2006">
        <f t="shared" si="3"/>
        <v>13300</v>
      </c>
      <c r="O123" s="2007"/>
      <c r="Q123" s="2"/>
    </row>
    <row r="125" spans="1:17" s="10" customFormat="1" x14ac:dyDescent="0.25">
      <c r="A125" s="2"/>
      <c r="B125" s="1009"/>
      <c r="C125" s="1195" t="s">
        <v>410</v>
      </c>
      <c r="D125" s="227"/>
      <c r="E125" s="227"/>
      <c r="F125" s="227"/>
      <c r="G125" s="1003"/>
      <c r="H125" s="2245">
        <f>+SUM(H107:I123)</f>
        <v>613315</v>
      </c>
      <c r="I125" s="2246"/>
      <c r="J125" s="2245">
        <f>+SUM(J107:K123)</f>
        <v>613315</v>
      </c>
      <c r="K125" s="2247"/>
      <c r="L125" s="2245">
        <f>+SUM(L107:M123)</f>
        <v>336093</v>
      </c>
      <c r="M125" s="2246"/>
      <c r="N125" s="2245">
        <f>+SUM(N107:O123)</f>
        <v>336093</v>
      </c>
      <c r="O125" s="2246"/>
      <c r="Q125" s="2"/>
    </row>
    <row r="154" spans="1:17" x14ac:dyDescent="0.25">
      <c r="A154" s="3"/>
      <c r="B154" s="1007"/>
      <c r="C154" s="11"/>
      <c r="D154" s="11"/>
      <c r="E154" s="11"/>
      <c r="F154" s="11"/>
      <c r="G154" s="24"/>
      <c r="H154" s="24"/>
      <c r="I154" s="3"/>
      <c r="J154" s="3"/>
      <c r="K154" s="3"/>
      <c r="L154" s="3"/>
      <c r="M154" s="22"/>
      <c r="N154" s="22"/>
      <c r="O154" s="22"/>
      <c r="P154" s="22"/>
      <c r="Q154" s="3"/>
    </row>
    <row r="155" spans="1:17" x14ac:dyDescent="0.25">
      <c r="A155" s="1844" t="s">
        <v>20</v>
      </c>
      <c r="B155" s="1845"/>
      <c r="C155" s="1845"/>
      <c r="D155" s="1845"/>
      <c r="E155" s="1845"/>
      <c r="F155" s="1845"/>
      <c r="G155" s="1845"/>
      <c r="H155" s="1845"/>
      <c r="I155" s="1845"/>
      <c r="J155" s="1845"/>
      <c r="K155" s="1845"/>
      <c r="L155" s="1845"/>
      <c r="M155" s="1845"/>
      <c r="N155" s="1845"/>
      <c r="O155" s="1845"/>
      <c r="P155" s="1845"/>
      <c r="Q155" s="1846"/>
    </row>
    <row r="156" spans="1:17" x14ac:dyDescent="0.25">
      <c r="A156" s="1847" t="s">
        <v>1855</v>
      </c>
      <c r="B156" s="1848"/>
      <c r="C156" s="1848"/>
      <c r="D156" s="1848"/>
      <c r="E156" s="1848"/>
      <c r="F156" s="1848"/>
      <c r="G156" s="1848"/>
      <c r="H156" s="1848"/>
      <c r="I156" s="1848"/>
      <c r="J156" s="1848"/>
      <c r="K156" s="1848"/>
      <c r="L156" s="1848"/>
      <c r="M156" s="1848"/>
      <c r="N156" s="1848"/>
      <c r="O156" s="1848"/>
      <c r="P156" s="1848"/>
      <c r="Q156" s="1849"/>
    </row>
    <row r="157" spans="1:17" s="437" customFormat="1" ht="7.5" customHeight="1" x14ac:dyDescent="0.25">
      <c r="B157" s="435"/>
      <c r="C157" s="1177"/>
      <c r="D157" s="1177"/>
      <c r="E157" s="1177"/>
      <c r="F157" s="1177"/>
      <c r="G157" s="435"/>
      <c r="H157" s="435"/>
      <c r="M157" s="436"/>
      <c r="N157" s="436"/>
      <c r="O157" s="436"/>
      <c r="P157" s="436"/>
    </row>
    <row r="158" spans="1:17" x14ac:dyDescent="0.25">
      <c r="B158" s="6" t="s">
        <v>307</v>
      </c>
      <c r="C158" s="21" t="s">
        <v>308</v>
      </c>
    </row>
    <row r="159" spans="1:17" s="437" customFormat="1" ht="7.5" customHeight="1" x14ac:dyDescent="0.25">
      <c r="B159" s="1179"/>
      <c r="C159" s="1178"/>
      <c r="D159" s="1177"/>
      <c r="E159" s="1177"/>
      <c r="F159" s="1177"/>
      <c r="G159" s="435"/>
      <c r="H159" s="435"/>
      <c r="M159" s="2102" t="s">
        <v>9</v>
      </c>
      <c r="N159" s="2102"/>
      <c r="O159" s="2102" t="s">
        <v>8</v>
      </c>
      <c r="P159" s="2102"/>
    </row>
    <row r="160" spans="1:17" s="437" customFormat="1" ht="7.5" customHeight="1" x14ac:dyDescent="0.25">
      <c r="B160" s="207">
        <v>1</v>
      </c>
      <c r="C160" s="1188"/>
      <c r="D160" s="1175"/>
      <c r="E160" s="1173"/>
      <c r="F160" s="1173"/>
      <c r="G160" s="2224"/>
      <c r="H160" s="2224"/>
      <c r="I160" s="1174"/>
      <c r="J160" s="1174"/>
      <c r="K160" s="1174"/>
      <c r="L160" s="1173"/>
      <c r="M160" s="2103"/>
      <c r="N160" s="2103"/>
      <c r="O160" s="2103" t="s">
        <v>8</v>
      </c>
      <c r="P160" s="2103"/>
    </row>
    <row r="161" spans="2:16" x14ac:dyDescent="0.25">
      <c r="B161" s="30" t="s">
        <v>11</v>
      </c>
      <c r="C161" s="1015" t="s">
        <v>10</v>
      </c>
      <c r="D161" s="31"/>
      <c r="E161" s="1016"/>
      <c r="F161" s="991"/>
      <c r="G161" s="51"/>
      <c r="H161" s="51"/>
      <c r="I161" s="4"/>
      <c r="J161" s="4"/>
      <c r="K161" s="4"/>
      <c r="L161" s="991"/>
      <c r="M161" s="2008">
        <v>100000</v>
      </c>
      <c r="N161" s="2009"/>
      <c r="O161" s="2012"/>
      <c r="P161" s="2009"/>
    </row>
    <row r="162" spans="2:16" x14ac:dyDescent="0.25">
      <c r="B162" s="1009" t="s">
        <v>11</v>
      </c>
      <c r="C162" s="1015" t="s">
        <v>1840</v>
      </c>
      <c r="D162" s="1016"/>
      <c r="E162" s="1016"/>
      <c r="F162" s="1016"/>
      <c r="G162" s="51"/>
      <c r="H162" s="51"/>
      <c r="I162" s="4"/>
      <c r="J162" s="4"/>
      <c r="K162" s="4"/>
      <c r="L162" s="4"/>
      <c r="M162" s="2008">
        <f>+M161</f>
        <v>100000</v>
      </c>
      <c r="N162" s="2009"/>
      <c r="O162" s="2008"/>
      <c r="P162" s="2009"/>
    </row>
    <row r="163" spans="2:16" x14ac:dyDescent="0.25">
      <c r="B163" s="1009" t="s">
        <v>458</v>
      </c>
      <c r="C163" s="1015"/>
      <c r="D163" s="1016"/>
      <c r="E163" s="1016"/>
      <c r="F163" s="20" t="s">
        <v>1</v>
      </c>
      <c r="G163" s="1020" t="s">
        <v>435</v>
      </c>
      <c r="H163" s="1020"/>
      <c r="I163" s="4"/>
      <c r="J163" s="4"/>
      <c r="K163" s="4"/>
      <c r="L163" s="4"/>
      <c r="M163" s="2008"/>
      <c r="N163" s="2012"/>
      <c r="O163" s="2008">
        <v>200000</v>
      </c>
      <c r="P163" s="2009"/>
    </row>
    <row r="164" spans="2:16" x14ac:dyDescent="0.25">
      <c r="C164" s="987" t="s">
        <v>1815</v>
      </c>
      <c r="D164" s="1016"/>
      <c r="E164" s="1016"/>
      <c r="F164" s="20"/>
      <c r="G164" s="1020"/>
      <c r="H164" s="1020"/>
      <c r="I164" s="4"/>
      <c r="J164" s="4"/>
      <c r="K164" s="4"/>
      <c r="L164" s="4"/>
      <c r="M164" s="993"/>
      <c r="N164" s="994"/>
      <c r="O164" s="993"/>
      <c r="P164" s="995"/>
    </row>
    <row r="165" spans="2:16" s="437" customFormat="1" ht="7.5" customHeight="1" x14ac:dyDescent="0.25">
      <c r="B165" s="207">
        <v>2</v>
      </c>
      <c r="C165" s="2198" t="s">
        <v>21</v>
      </c>
      <c r="D165" s="2199"/>
      <c r="E165" s="2199"/>
      <c r="F165" s="2199"/>
      <c r="G165" s="2220"/>
      <c r="H165" s="2220"/>
      <c r="I165" s="2199" t="s">
        <v>21</v>
      </c>
      <c r="J165" s="2199"/>
      <c r="K165" s="2199"/>
      <c r="L165" s="2221"/>
      <c r="M165" s="2227"/>
      <c r="N165" s="2228"/>
      <c r="O165" s="2227"/>
      <c r="P165" s="2228"/>
    </row>
    <row r="166" spans="2:16" x14ac:dyDescent="0.25">
      <c r="B166" s="30" t="s">
        <v>11</v>
      </c>
      <c r="C166" s="1015" t="s">
        <v>29</v>
      </c>
      <c r="D166" s="1016"/>
      <c r="E166" s="1016"/>
      <c r="F166" s="991"/>
      <c r="G166" s="51"/>
      <c r="H166" s="51"/>
      <c r="I166" s="4"/>
      <c r="J166" s="4"/>
      <c r="K166" s="4"/>
      <c r="L166" s="991"/>
      <c r="M166" s="2008">
        <v>30000</v>
      </c>
      <c r="N166" s="2009"/>
      <c r="O166" s="2012"/>
      <c r="P166" s="2009"/>
    </row>
    <row r="167" spans="2:16" x14ac:dyDescent="0.25">
      <c r="B167" s="38" t="s">
        <v>11</v>
      </c>
      <c r="C167" s="1015" t="s">
        <v>13</v>
      </c>
      <c r="D167" s="1016"/>
      <c r="E167" s="1016"/>
      <c r="F167" s="991"/>
      <c r="G167" s="51"/>
      <c r="H167" s="51"/>
      <c r="I167" s="4"/>
      <c r="J167" s="4"/>
      <c r="K167" s="4"/>
      <c r="L167" s="991"/>
      <c r="M167" s="2008">
        <f>+M166*0.21</f>
        <v>6300</v>
      </c>
      <c r="N167" s="2009"/>
      <c r="O167" s="994"/>
      <c r="P167" s="995"/>
    </row>
    <row r="168" spans="2:16" x14ac:dyDescent="0.25">
      <c r="B168" s="1009" t="s">
        <v>17</v>
      </c>
      <c r="C168" s="1015"/>
      <c r="D168" s="1016"/>
      <c r="E168" s="1016"/>
      <c r="F168" s="20" t="s">
        <v>1</v>
      </c>
      <c r="G168" s="1020" t="s">
        <v>235</v>
      </c>
      <c r="H168" s="1020"/>
      <c r="I168" s="4"/>
      <c r="J168" s="4"/>
      <c r="K168" s="4"/>
      <c r="L168" s="4"/>
      <c r="M168" s="2008"/>
      <c r="N168" s="2012"/>
      <c r="O168" s="2008">
        <f>+M166+M167</f>
        <v>36300</v>
      </c>
      <c r="P168" s="2009"/>
    </row>
    <row r="169" spans="2:16" x14ac:dyDescent="0.25">
      <c r="C169" s="987" t="s">
        <v>1854</v>
      </c>
      <c r="D169" s="1016"/>
      <c r="E169" s="1016"/>
      <c r="F169" s="20"/>
      <c r="G169" s="1020"/>
      <c r="H169" s="1020"/>
      <c r="I169" s="4"/>
      <c r="J169" s="4"/>
      <c r="K169" s="4"/>
      <c r="L169" s="4"/>
      <c r="M169" s="993"/>
      <c r="N169" s="994"/>
      <c r="O169" s="993"/>
      <c r="P169" s="995"/>
    </row>
    <row r="170" spans="2:16" s="437" customFormat="1" ht="7.5" customHeight="1" x14ac:dyDescent="0.25">
      <c r="B170" s="207">
        <v>3</v>
      </c>
      <c r="C170" s="2198" t="s">
        <v>21</v>
      </c>
      <c r="D170" s="2199"/>
      <c r="E170" s="2199"/>
      <c r="F170" s="2199"/>
      <c r="G170" s="2220"/>
      <c r="H170" s="2220"/>
      <c r="I170" s="2199" t="s">
        <v>21</v>
      </c>
      <c r="J170" s="2199"/>
      <c r="K170" s="2199"/>
      <c r="L170" s="2221"/>
      <c r="M170" s="2227"/>
      <c r="N170" s="2228"/>
      <c r="O170" s="2227"/>
      <c r="P170" s="2228"/>
    </row>
    <row r="171" spans="2:16" x14ac:dyDescent="0.25">
      <c r="B171" s="30" t="s">
        <v>11</v>
      </c>
      <c r="C171" s="1015" t="s">
        <v>1841</v>
      </c>
      <c r="D171" s="1016"/>
      <c r="E171" s="1016"/>
      <c r="F171" s="991"/>
      <c r="G171" s="51"/>
      <c r="H171" s="51"/>
      <c r="I171" s="4"/>
      <c r="J171" s="4"/>
      <c r="K171" s="4"/>
      <c r="L171" s="991"/>
      <c r="M171" s="2008">
        <v>10500</v>
      </c>
      <c r="N171" s="2009"/>
      <c r="O171" s="2012"/>
      <c r="P171" s="2009"/>
    </row>
    <row r="172" spans="2:16" x14ac:dyDescent="0.25">
      <c r="B172" s="1009" t="s">
        <v>14</v>
      </c>
      <c r="C172" s="1015"/>
      <c r="D172" s="1016"/>
      <c r="E172" s="1016"/>
      <c r="F172" s="20" t="s">
        <v>1</v>
      </c>
      <c r="G172" s="1020" t="s">
        <v>10</v>
      </c>
      <c r="H172" s="1020"/>
      <c r="I172" s="4"/>
      <c r="J172" s="4"/>
      <c r="K172" s="4"/>
      <c r="L172" s="4"/>
      <c r="M172" s="2008"/>
      <c r="N172" s="2012"/>
      <c r="O172" s="2008">
        <f>+M171</f>
        <v>10500</v>
      </c>
      <c r="P172" s="2009"/>
    </row>
    <row r="173" spans="2:16" x14ac:dyDescent="0.25">
      <c r="C173" s="987" t="s">
        <v>1853</v>
      </c>
      <c r="D173" s="1016"/>
      <c r="E173" s="1016"/>
      <c r="F173" s="20"/>
      <c r="G173" s="1020"/>
      <c r="H173" s="1020"/>
      <c r="I173" s="4"/>
      <c r="J173" s="4"/>
      <c r="K173" s="4"/>
      <c r="L173" s="4"/>
      <c r="M173" s="993"/>
      <c r="N173" s="994"/>
      <c r="O173" s="993"/>
      <c r="P173" s="995"/>
    </row>
    <row r="174" spans="2:16" s="437" customFormat="1" ht="7.5" customHeight="1" x14ac:dyDescent="0.25">
      <c r="B174" s="207">
        <v>4</v>
      </c>
      <c r="C174" s="2198" t="s">
        <v>21</v>
      </c>
      <c r="D174" s="2199"/>
      <c r="E174" s="2199"/>
      <c r="F174" s="2199"/>
      <c r="G174" s="2220"/>
      <c r="H174" s="2220"/>
      <c r="I174" s="2199" t="s">
        <v>21</v>
      </c>
      <c r="J174" s="2199"/>
      <c r="K174" s="2199"/>
      <c r="L174" s="2221"/>
      <c r="M174" s="2227"/>
      <c r="N174" s="2228"/>
      <c r="O174" s="2227"/>
      <c r="P174" s="2228"/>
    </row>
    <row r="175" spans="2:16" x14ac:dyDescent="0.25">
      <c r="B175" s="30" t="s">
        <v>11</v>
      </c>
      <c r="C175" s="1015" t="s">
        <v>1841</v>
      </c>
      <c r="D175" s="1016"/>
      <c r="E175" s="1016"/>
      <c r="F175" s="991"/>
      <c r="G175" s="51"/>
      <c r="H175" s="51"/>
      <c r="I175" s="4"/>
      <c r="J175" s="4"/>
      <c r="K175" s="4"/>
      <c r="L175" s="991"/>
      <c r="M175" s="2008">
        <v>200000</v>
      </c>
      <c r="N175" s="2009"/>
      <c r="O175" s="2012"/>
      <c r="P175" s="2009"/>
    </row>
    <row r="176" spans="2:16" x14ac:dyDescent="0.25">
      <c r="B176" s="1009" t="s">
        <v>17</v>
      </c>
      <c r="C176" s="1015"/>
      <c r="D176" s="1016"/>
      <c r="E176" s="1016"/>
      <c r="F176" s="20" t="s">
        <v>1</v>
      </c>
      <c r="G176" s="1020" t="s">
        <v>1839</v>
      </c>
      <c r="H176" s="1020"/>
      <c r="I176" s="4"/>
      <c r="J176" s="4"/>
      <c r="K176" s="4"/>
      <c r="L176" s="4"/>
      <c r="M176" s="2008"/>
      <c r="N176" s="2012"/>
      <c r="O176" s="2008">
        <f>+M175</f>
        <v>200000</v>
      </c>
      <c r="P176" s="2009"/>
    </row>
    <row r="177" spans="2:16" x14ac:dyDescent="0.25">
      <c r="C177" s="987" t="s">
        <v>1852</v>
      </c>
      <c r="D177" s="1016"/>
      <c r="E177" s="1016"/>
      <c r="F177" s="20"/>
      <c r="G177" s="1020"/>
      <c r="H177" s="1020"/>
      <c r="I177" s="4"/>
      <c r="J177" s="4"/>
      <c r="K177" s="4"/>
      <c r="L177" s="4"/>
      <c r="M177" s="993"/>
      <c r="N177" s="994"/>
      <c r="O177" s="993"/>
      <c r="P177" s="995"/>
    </row>
    <row r="178" spans="2:16" s="437" customFormat="1" ht="7.5" customHeight="1" x14ac:dyDescent="0.25">
      <c r="B178" s="207">
        <v>5</v>
      </c>
      <c r="C178" s="2198" t="s">
        <v>21</v>
      </c>
      <c r="D178" s="2199"/>
      <c r="E178" s="2199"/>
      <c r="F178" s="2199"/>
      <c r="G178" s="2220"/>
      <c r="H178" s="2220"/>
      <c r="I178" s="2199" t="s">
        <v>21</v>
      </c>
      <c r="J178" s="2199"/>
      <c r="K178" s="2199"/>
      <c r="L178" s="2221"/>
      <c r="M178" s="2227"/>
      <c r="N178" s="2228"/>
      <c r="O178" s="2227"/>
      <c r="P178" s="2228"/>
    </row>
    <row r="179" spans="2:16" x14ac:dyDescent="0.25">
      <c r="B179" s="30" t="s">
        <v>15</v>
      </c>
      <c r="C179" s="1015" t="s">
        <v>1081</v>
      </c>
      <c r="D179" s="1016"/>
      <c r="E179" s="1016"/>
      <c r="F179" s="991"/>
      <c r="G179" s="51"/>
      <c r="H179" s="51"/>
      <c r="I179" s="4"/>
      <c r="J179" s="4"/>
      <c r="K179" s="4"/>
      <c r="L179" s="991"/>
      <c r="M179" s="2008">
        <v>5000</v>
      </c>
      <c r="N179" s="2009"/>
      <c r="O179" s="2012"/>
      <c r="P179" s="2009"/>
    </row>
    <row r="180" spans="2:16" x14ac:dyDescent="0.25">
      <c r="B180" s="38" t="s">
        <v>11</v>
      </c>
      <c r="C180" s="1015" t="s">
        <v>13</v>
      </c>
      <c r="D180" s="1016"/>
      <c r="E180" s="1016"/>
      <c r="F180" s="991"/>
      <c r="G180" s="51"/>
      <c r="H180" s="51"/>
      <c r="I180" s="4"/>
      <c r="J180" s="4"/>
      <c r="K180" s="4"/>
      <c r="L180" s="991"/>
      <c r="M180" s="2008">
        <f>+M179*0.21</f>
        <v>1050</v>
      </c>
      <c r="N180" s="2009"/>
      <c r="O180" s="994"/>
      <c r="P180" s="995"/>
    </row>
    <row r="181" spans="2:16" x14ac:dyDescent="0.25">
      <c r="B181" s="1009" t="s">
        <v>14</v>
      </c>
      <c r="C181" s="1015"/>
      <c r="D181" s="1016"/>
      <c r="E181" s="1016"/>
      <c r="F181" s="20" t="s">
        <v>1</v>
      </c>
      <c r="G181" s="1020" t="s">
        <v>10</v>
      </c>
      <c r="H181" s="1020"/>
      <c r="I181" s="4"/>
      <c r="J181" s="4"/>
      <c r="K181" s="4"/>
      <c r="L181" s="4"/>
      <c r="M181" s="2008"/>
      <c r="N181" s="2012"/>
      <c r="O181" s="2008">
        <f>+M179+M180</f>
        <v>6050</v>
      </c>
      <c r="P181" s="2009"/>
    </row>
    <row r="182" spans="2:16" x14ac:dyDescent="0.25">
      <c r="C182" s="987" t="s">
        <v>1851</v>
      </c>
      <c r="D182" s="1016"/>
      <c r="E182" s="1016"/>
      <c r="F182" s="20"/>
      <c r="G182" s="1020"/>
      <c r="H182" s="1020"/>
      <c r="I182" s="4"/>
      <c r="J182" s="4"/>
      <c r="K182" s="4"/>
      <c r="L182" s="4"/>
      <c r="M182" s="993"/>
      <c r="N182" s="994"/>
      <c r="O182" s="993"/>
      <c r="P182" s="995"/>
    </row>
    <row r="183" spans="2:16" s="437" customFormat="1" ht="7.5" customHeight="1" x14ac:dyDescent="0.25">
      <c r="B183" s="207">
        <v>6</v>
      </c>
      <c r="C183" s="2198" t="s">
        <v>21</v>
      </c>
      <c r="D183" s="2199"/>
      <c r="E183" s="2199"/>
      <c r="F183" s="2199"/>
      <c r="G183" s="2220"/>
      <c r="H183" s="2220"/>
      <c r="I183" s="2199" t="s">
        <v>21</v>
      </c>
      <c r="J183" s="2199"/>
      <c r="K183" s="2199"/>
      <c r="L183" s="2221"/>
      <c r="M183" s="2227"/>
      <c r="N183" s="2228"/>
      <c r="O183" s="2227"/>
      <c r="P183" s="2228"/>
    </row>
    <row r="184" spans="2:16" x14ac:dyDescent="0.25">
      <c r="B184" s="30" t="s">
        <v>15</v>
      </c>
      <c r="C184" s="1015" t="s">
        <v>493</v>
      </c>
      <c r="D184" s="1016"/>
      <c r="E184" s="1016"/>
      <c r="F184" s="991"/>
      <c r="G184" s="51"/>
      <c r="H184" s="51"/>
      <c r="I184" s="4"/>
      <c r="J184" s="4"/>
      <c r="K184" s="4"/>
      <c r="L184" s="991"/>
      <c r="M184" s="2008">
        <f>2420/1.21</f>
        <v>2000</v>
      </c>
      <c r="N184" s="2009"/>
      <c r="O184" s="2012"/>
      <c r="P184" s="2009"/>
    </row>
    <row r="185" spans="2:16" x14ac:dyDescent="0.25">
      <c r="B185" s="38" t="s">
        <v>11</v>
      </c>
      <c r="C185" s="1015" t="s">
        <v>13</v>
      </c>
      <c r="D185" s="1016"/>
      <c r="E185" s="1016"/>
      <c r="F185" s="991"/>
      <c r="G185" s="51"/>
      <c r="H185" s="51"/>
      <c r="I185" s="4"/>
      <c r="J185" s="4"/>
      <c r="K185" s="4"/>
      <c r="L185" s="991"/>
      <c r="M185" s="2008">
        <f>+M184*0.21</f>
        <v>420</v>
      </c>
      <c r="N185" s="2009"/>
      <c r="O185" s="994"/>
      <c r="P185" s="995"/>
    </row>
    <row r="186" spans="2:16" x14ac:dyDescent="0.25">
      <c r="B186" s="1009" t="s">
        <v>14</v>
      </c>
      <c r="C186" s="1015"/>
      <c r="D186" s="1016"/>
      <c r="E186" s="1016"/>
      <c r="F186" s="20" t="s">
        <v>1</v>
      </c>
      <c r="G186" s="1020" t="s">
        <v>1841</v>
      </c>
      <c r="H186" s="1020"/>
      <c r="I186" s="4"/>
      <c r="J186" s="4"/>
      <c r="K186" s="4"/>
      <c r="L186" s="4"/>
      <c r="M186" s="2008"/>
      <c r="N186" s="2012"/>
      <c r="O186" s="2008">
        <f>+M184+M185</f>
        <v>2420</v>
      </c>
      <c r="P186" s="2009"/>
    </row>
    <row r="187" spans="2:16" x14ac:dyDescent="0.25">
      <c r="C187" s="987" t="s">
        <v>1847</v>
      </c>
      <c r="D187" s="1016"/>
      <c r="E187" s="1016"/>
      <c r="F187" s="20"/>
      <c r="G187" s="1020"/>
      <c r="H187" s="1020"/>
      <c r="I187" s="4"/>
      <c r="J187" s="4"/>
      <c r="K187" s="4"/>
      <c r="L187" s="4"/>
      <c r="M187" s="993"/>
      <c r="N187" s="994"/>
      <c r="O187" s="993"/>
      <c r="P187" s="995"/>
    </row>
    <row r="188" spans="2:16" s="437" customFormat="1" ht="7.5" customHeight="1" x14ac:dyDescent="0.25">
      <c r="B188" s="207">
        <v>7</v>
      </c>
      <c r="C188" s="2198" t="s">
        <v>21</v>
      </c>
      <c r="D188" s="2199"/>
      <c r="E188" s="2199"/>
      <c r="F188" s="2199"/>
      <c r="G188" s="2220"/>
      <c r="H188" s="2220"/>
      <c r="I188" s="2199" t="s">
        <v>21</v>
      </c>
      <c r="J188" s="2199"/>
      <c r="K188" s="2199"/>
      <c r="L188" s="2221"/>
      <c r="M188" s="2227"/>
      <c r="N188" s="2228"/>
      <c r="O188" s="2227"/>
      <c r="P188" s="2228"/>
    </row>
    <row r="189" spans="2:16" x14ac:dyDescent="0.25">
      <c r="B189" s="30" t="s">
        <v>207</v>
      </c>
      <c r="C189" s="1015" t="s">
        <v>235</v>
      </c>
      <c r="D189" s="1016"/>
      <c r="E189" s="1016"/>
      <c r="F189" s="991"/>
      <c r="G189" s="51"/>
      <c r="H189" s="51"/>
      <c r="I189" s="4"/>
      <c r="J189" s="4"/>
      <c r="K189" s="4"/>
      <c r="L189" s="991"/>
      <c r="M189" s="2008">
        <f>+O168</f>
        <v>36300</v>
      </c>
      <c r="N189" s="2009"/>
      <c r="O189" s="2012"/>
      <c r="P189" s="2009"/>
    </row>
    <row r="190" spans="2:16" x14ac:dyDescent="0.25">
      <c r="B190" s="1009" t="s">
        <v>14</v>
      </c>
      <c r="C190" s="1015"/>
      <c r="D190" s="1016"/>
      <c r="E190" s="1016"/>
      <c r="F190" s="20" t="s">
        <v>1</v>
      </c>
      <c r="G190" s="1020" t="s">
        <v>1841</v>
      </c>
      <c r="H190" s="1020"/>
      <c r="I190" s="4"/>
      <c r="J190" s="4"/>
      <c r="K190" s="4"/>
      <c r="L190" s="4"/>
      <c r="M190" s="2008"/>
      <c r="N190" s="2012"/>
      <c r="O190" s="2008">
        <f>+M189</f>
        <v>36300</v>
      </c>
      <c r="P190" s="2009"/>
    </row>
    <row r="191" spans="2:16" x14ac:dyDescent="0.25">
      <c r="C191" s="987" t="s">
        <v>1850</v>
      </c>
      <c r="D191" s="1016"/>
      <c r="E191" s="1016"/>
      <c r="F191" s="20"/>
      <c r="G191" s="1020"/>
      <c r="H191" s="1020"/>
      <c r="I191" s="4"/>
      <c r="J191" s="4"/>
      <c r="K191" s="4"/>
      <c r="L191" s="4"/>
      <c r="M191" s="993"/>
      <c r="N191" s="994"/>
      <c r="O191" s="993"/>
      <c r="P191" s="995"/>
    </row>
    <row r="192" spans="2:16" s="437" customFormat="1" ht="7.5" customHeight="1" x14ac:dyDescent="0.25">
      <c r="B192" s="207">
        <v>8</v>
      </c>
      <c r="C192" s="2198" t="s">
        <v>21</v>
      </c>
      <c r="D192" s="2199"/>
      <c r="E192" s="2199"/>
      <c r="F192" s="2199"/>
      <c r="G192" s="2220"/>
      <c r="H192" s="2220"/>
      <c r="I192" s="2199" t="s">
        <v>21</v>
      </c>
      <c r="J192" s="2199"/>
      <c r="K192" s="2199"/>
      <c r="L192" s="2221"/>
      <c r="M192" s="2227"/>
      <c r="N192" s="2228"/>
      <c r="O192" s="2227"/>
      <c r="P192" s="2228"/>
    </row>
    <row r="193" spans="2:16" x14ac:dyDescent="0.25">
      <c r="B193" s="30" t="s">
        <v>11</v>
      </c>
      <c r="C193" s="1015" t="s">
        <v>5</v>
      </c>
      <c r="D193" s="1016"/>
      <c r="E193" s="1016"/>
      <c r="F193" s="991"/>
      <c r="G193" s="51"/>
      <c r="H193" s="51"/>
      <c r="I193" s="4"/>
      <c r="J193" s="4"/>
      <c r="K193" s="4"/>
      <c r="L193" s="991"/>
      <c r="M193" s="2008">
        <v>40000</v>
      </c>
      <c r="N193" s="2009"/>
      <c r="O193" s="2012"/>
      <c r="P193" s="2009"/>
    </row>
    <row r="194" spans="2:16" x14ac:dyDescent="0.25">
      <c r="B194" s="38" t="s">
        <v>11</v>
      </c>
      <c r="C194" s="1015" t="s">
        <v>13</v>
      </c>
      <c r="D194" s="1016"/>
      <c r="E194" s="1016"/>
      <c r="F194" s="991"/>
      <c r="G194" s="51"/>
      <c r="H194" s="51"/>
      <c r="I194" s="4"/>
      <c r="J194" s="4"/>
      <c r="K194" s="4"/>
      <c r="L194" s="991"/>
      <c r="M194" s="2008">
        <f>+M193*0.21</f>
        <v>8400</v>
      </c>
      <c r="N194" s="2009"/>
      <c r="O194" s="994"/>
      <c r="P194" s="995"/>
    </row>
    <row r="195" spans="2:16" x14ac:dyDescent="0.25">
      <c r="B195" s="1009" t="s">
        <v>14</v>
      </c>
      <c r="C195" s="1015"/>
      <c r="D195" s="1016"/>
      <c r="E195" s="1016"/>
      <c r="F195" s="20" t="s">
        <v>1</v>
      </c>
      <c r="G195" s="1020" t="s">
        <v>1841</v>
      </c>
      <c r="H195" s="1020"/>
      <c r="I195" s="4"/>
      <c r="J195" s="4"/>
      <c r="K195" s="4"/>
      <c r="L195" s="4"/>
      <c r="M195" s="2008"/>
      <c r="N195" s="2012"/>
      <c r="O195" s="2008">
        <f>+M193+M194</f>
        <v>48400</v>
      </c>
      <c r="P195" s="2009"/>
    </row>
    <row r="196" spans="2:16" x14ac:dyDescent="0.25">
      <c r="C196" s="987" t="s">
        <v>1849</v>
      </c>
      <c r="D196" s="1016"/>
      <c r="E196" s="1016"/>
      <c r="F196" s="20"/>
      <c r="G196" s="1020"/>
      <c r="H196" s="1020"/>
      <c r="I196" s="4"/>
      <c r="J196" s="4"/>
      <c r="K196" s="4"/>
      <c r="L196" s="4"/>
      <c r="M196" s="993"/>
      <c r="N196" s="994"/>
      <c r="O196" s="993"/>
      <c r="P196" s="995"/>
    </row>
    <row r="197" spans="2:16" s="437" customFormat="1" ht="7.5" customHeight="1" x14ac:dyDescent="0.25">
      <c r="B197" s="207">
        <v>9</v>
      </c>
      <c r="C197" s="2198" t="s">
        <v>21</v>
      </c>
      <c r="D197" s="2199"/>
      <c r="E197" s="2199"/>
      <c r="F197" s="2199"/>
      <c r="G197" s="2220"/>
      <c r="H197" s="2220"/>
      <c r="I197" s="2199" t="s">
        <v>21</v>
      </c>
      <c r="J197" s="2199"/>
      <c r="K197" s="2199"/>
      <c r="L197" s="2221"/>
      <c r="M197" s="2227"/>
      <c r="N197" s="2228"/>
      <c r="O197" s="2227"/>
      <c r="P197" s="2228"/>
    </row>
    <row r="198" spans="2:16" x14ac:dyDescent="0.25">
      <c r="B198" s="30" t="s">
        <v>15</v>
      </c>
      <c r="C198" s="1015" t="s">
        <v>1081</v>
      </c>
      <c r="D198" s="1016"/>
      <c r="E198" s="1016"/>
      <c r="F198" s="991"/>
      <c r="G198" s="51"/>
      <c r="H198" s="51"/>
      <c r="I198" s="4"/>
      <c r="J198" s="4"/>
      <c r="K198" s="4"/>
      <c r="L198" s="991"/>
      <c r="M198" s="2008">
        <v>5000</v>
      </c>
      <c r="N198" s="2009"/>
      <c r="O198" s="2012"/>
      <c r="P198" s="2009"/>
    </row>
    <row r="199" spans="2:16" x14ac:dyDescent="0.25">
      <c r="B199" s="38" t="s">
        <v>11</v>
      </c>
      <c r="C199" s="1015" t="s">
        <v>13</v>
      </c>
      <c r="D199" s="1016"/>
      <c r="E199" s="1016"/>
      <c r="F199" s="991"/>
      <c r="G199" s="51"/>
      <c r="H199" s="51"/>
      <c r="I199" s="4"/>
      <c r="J199" s="4"/>
      <c r="K199" s="4"/>
      <c r="L199" s="991"/>
      <c r="M199" s="2008">
        <f>+M198*0.21</f>
        <v>1050</v>
      </c>
      <c r="N199" s="2009"/>
      <c r="O199" s="994"/>
      <c r="P199" s="995"/>
    </row>
    <row r="200" spans="2:16" x14ac:dyDescent="0.25">
      <c r="B200" s="1009" t="s">
        <v>17</v>
      </c>
      <c r="C200" s="1015"/>
      <c r="D200" s="1016"/>
      <c r="E200" s="1016"/>
      <c r="F200" s="20" t="s">
        <v>1</v>
      </c>
      <c r="G200" s="1020" t="s">
        <v>1677</v>
      </c>
      <c r="H200" s="1020"/>
      <c r="I200" s="4"/>
      <c r="J200" s="4"/>
      <c r="K200" s="4"/>
      <c r="L200" s="4"/>
      <c r="M200" s="2008"/>
      <c r="N200" s="2012"/>
      <c r="O200" s="2008">
        <f>+M198+M199</f>
        <v>6050</v>
      </c>
      <c r="P200" s="2009"/>
    </row>
    <row r="201" spans="2:16" x14ac:dyDescent="0.25">
      <c r="C201" s="987" t="s">
        <v>1848</v>
      </c>
      <c r="D201" s="1016"/>
      <c r="E201" s="1016"/>
      <c r="F201" s="20"/>
      <c r="G201" s="1020"/>
      <c r="H201" s="1020"/>
      <c r="I201" s="4"/>
      <c r="J201" s="4"/>
      <c r="K201" s="4"/>
      <c r="L201" s="4"/>
      <c r="M201" s="993"/>
      <c r="N201" s="994"/>
      <c r="O201" s="993"/>
      <c r="P201" s="995"/>
    </row>
    <row r="202" spans="2:16" s="437" customFormat="1" ht="7.5" customHeight="1" x14ac:dyDescent="0.25">
      <c r="B202" s="207">
        <v>10</v>
      </c>
      <c r="C202" s="2198" t="s">
        <v>21</v>
      </c>
      <c r="D202" s="2199"/>
      <c r="E202" s="2199"/>
      <c r="F202" s="2199"/>
      <c r="G202" s="2220"/>
      <c r="H202" s="2220"/>
      <c r="I202" s="2199" t="s">
        <v>21</v>
      </c>
      <c r="J202" s="2199"/>
      <c r="K202" s="2199"/>
      <c r="L202" s="2221"/>
      <c r="M202" s="2227"/>
      <c r="N202" s="2228"/>
      <c r="O202" s="2227"/>
      <c r="P202" s="2228"/>
    </row>
    <row r="203" spans="2:16" x14ac:dyDescent="0.25">
      <c r="B203" s="30" t="s">
        <v>15</v>
      </c>
      <c r="C203" s="1015" t="s">
        <v>493</v>
      </c>
      <c r="D203" s="1016"/>
      <c r="E203" s="1016"/>
      <c r="F203" s="991"/>
      <c r="G203" s="51"/>
      <c r="H203" s="51"/>
      <c r="I203" s="4"/>
      <c r="J203" s="4"/>
      <c r="K203" s="4"/>
      <c r="L203" s="991"/>
      <c r="M203" s="2008">
        <f>4840/1.21</f>
        <v>4000</v>
      </c>
      <c r="N203" s="2009"/>
      <c r="O203" s="2012"/>
      <c r="P203" s="2009"/>
    </row>
    <row r="204" spans="2:16" x14ac:dyDescent="0.25">
      <c r="B204" s="38" t="s">
        <v>11</v>
      </c>
      <c r="C204" s="1015" t="s">
        <v>13</v>
      </c>
      <c r="D204" s="1016"/>
      <c r="E204" s="1016"/>
      <c r="F204" s="991"/>
      <c r="G204" s="51"/>
      <c r="H204" s="51"/>
      <c r="I204" s="4"/>
      <c r="J204" s="4"/>
      <c r="K204" s="4"/>
      <c r="L204" s="991"/>
      <c r="M204" s="2008">
        <f>+M203*0.21</f>
        <v>840</v>
      </c>
      <c r="N204" s="2009"/>
      <c r="O204" s="994"/>
      <c r="P204" s="995"/>
    </row>
    <row r="205" spans="2:16" x14ac:dyDescent="0.25">
      <c r="B205" s="1009" t="s">
        <v>14</v>
      </c>
      <c r="C205" s="1015"/>
      <c r="D205" s="1016"/>
      <c r="E205" s="1016"/>
      <c r="F205" s="20" t="s">
        <v>1</v>
      </c>
      <c r="G205" s="1020" t="s">
        <v>1841</v>
      </c>
      <c r="H205" s="1020"/>
      <c r="I205" s="4"/>
      <c r="J205" s="4"/>
      <c r="K205" s="4"/>
      <c r="L205" s="4"/>
      <c r="M205" s="2008"/>
      <c r="N205" s="2012"/>
      <c r="O205" s="2008">
        <f>+M203+M204</f>
        <v>4840</v>
      </c>
      <c r="P205" s="2009"/>
    </row>
    <row r="206" spans="2:16" x14ac:dyDescent="0.25">
      <c r="C206" s="987" t="s">
        <v>1847</v>
      </c>
      <c r="D206" s="1016"/>
      <c r="E206" s="1016"/>
      <c r="F206" s="20"/>
      <c r="G206" s="1020"/>
      <c r="H206" s="1020"/>
      <c r="I206" s="4"/>
      <c r="J206" s="4"/>
      <c r="K206" s="4"/>
      <c r="L206" s="4"/>
      <c r="M206" s="993"/>
      <c r="N206" s="994"/>
      <c r="O206" s="993"/>
      <c r="P206" s="995"/>
    </row>
    <row r="207" spans="2:16" x14ac:dyDescent="0.25">
      <c r="C207" s="2110" t="s">
        <v>21</v>
      </c>
      <c r="D207" s="2090"/>
      <c r="E207" s="2090"/>
      <c r="F207" s="2090"/>
      <c r="G207" s="2096" t="s">
        <v>222</v>
      </c>
      <c r="H207" s="2096"/>
      <c r="I207" s="2090" t="s">
        <v>21</v>
      </c>
      <c r="J207" s="2090"/>
      <c r="K207" s="2090"/>
      <c r="L207" s="2092"/>
      <c r="M207" s="993"/>
      <c r="N207" s="994"/>
      <c r="O207" s="993"/>
      <c r="P207" s="995"/>
    </row>
    <row r="208" spans="2:16" x14ac:dyDescent="0.25">
      <c r="C208" s="991"/>
      <c r="D208" s="991"/>
      <c r="E208" s="991"/>
      <c r="F208" s="991"/>
      <c r="G208" s="992"/>
      <c r="H208" s="992"/>
      <c r="I208" s="991"/>
      <c r="J208" s="991"/>
      <c r="K208" s="991"/>
      <c r="L208" s="991"/>
      <c r="M208" s="994"/>
      <c r="N208" s="994"/>
      <c r="O208" s="994"/>
      <c r="P208" s="994"/>
    </row>
    <row r="209" spans="1:17" x14ac:dyDescent="0.25">
      <c r="C209" s="991"/>
      <c r="D209" s="991"/>
      <c r="E209" s="991"/>
      <c r="F209" s="991"/>
      <c r="G209" s="992"/>
      <c r="H209" s="992"/>
      <c r="I209" s="991"/>
      <c r="J209" s="991"/>
      <c r="K209" s="991"/>
      <c r="L209" s="991"/>
      <c r="M209" s="994"/>
      <c r="N209" s="994"/>
      <c r="O209" s="994"/>
      <c r="P209" s="994"/>
    </row>
    <row r="210" spans="1:17" s="4" customFormat="1" x14ac:dyDescent="0.25">
      <c r="B210" s="1004"/>
      <c r="C210" s="12"/>
      <c r="D210" s="12"/>
      <c r="E210" s="12"/>
      <c r="F210" s="12"/>
      <c r="G210" s="51"/>
      <c r="H210" s="51"/>
      <c r="M210" s="18"/>
      <c r="N210" s="18"/>
      <c r="O210" s="18"/>
      <c r="P210" s="18"/>
    </row>
    <row r="211" spans="1:17" x14ac:dyDescent="0.25">
      <c r="A211" s="4"/>
      <c r="B211" s="1004"/>
      <c r="G211" s="51"/>
      <c r="H211" s="51"/>
      <c r="I211" s="4"/>
      <c r="J211" s="4"/>
      <c r="K211" s="4"/>
      <c r="L211" s="4"/>
      <c r="M211" s="18"/>
      <c r="N211" s="18"/>
      <c r="O211" s="18"/>
      <c r="P211" s="18"/>
      <c r="Q211" s="4"/>
    </row>
    <row r="212" spans="1:17" s="437" customFormat="1" ht="7.5" customHeight="1" x14ac:dyDescent="0.25">
      <c r="B212" s="207">
        <v>11</v>
      </c>
      <c r="C212" s="2198" t="s">
        <v>21</v>
      </c>
      <c r="D212" s="2199"/>
      <c r="E212" s="2199"/>
      <c r="F212" s="2199"/>
      <c r="G212" s="2220"/>
      <c r="H212" s="2220"/>
      <c r="I212" s="2199" t="s">
        <v>21</v>
      </c>
      <c r="J212" s="2199"/>
      <c r="K212" s="2199"/>
      <c r="L212" s="2221"/>
      <c r="M212" s="2227"/>
      <c r="N212" s="2228"/>
      <c r="O212" s="2227"/>
      <c r="P212" s="2228"/>
    </row>
    <row r="213" spans="1:17" x14ac:dyDescent="0.25">
      <c r="B213" s="30" t="s">
        <v>11</v>
      </c>
      <c r="C213" s="1015" t="s">
        <v>1841</v>
      </c>
      <c r="D213" s="1016"/>
      <c r="E213" s="1016"/>
      <c r="F213" s="991"/>
      <c r="G213" s="51"/>
      <c r="H213" s="51"/>
      <c r="I213" s="4"/>
      <c r="J213" s="4"/>
      <c r="K213" s="4"/>
      <c r="L213" s="991"/>
      <c r="M213" s="2008">
        <f>+M162</f>
        <v>100000</v>
      </c>
      <c r="N213" s="2009"/>
      <c r="O213" s="2012"/>
      <c r="P213" s="2009"/>
    </row>
    <row r="214" spans="1:17" x14ac:dyDescent="0.25">
      <c r="B214" s="1009" t="s">
        <v>14</v>
      </c>
      <c r="C214" s="1015"/>
      <c r="D214" s="1016"/>
      <c r="E214" s="1016"/>
      <c r="F214" s="20" t="s">
        <v>1</v>
      </c>
      <c r="G214" s="1020" t="s">
        <v>1840</v>
      </c>
      <c r="H214" s="1020"/>
      <c r="I214" s="4"/>
      <c r="J214" s="4"/>
      <c r="K214" s="4"/>
      <c r="L214" s="4"/>
      <c r="M214" s="2008"/>
      <c r="N214" s="2012"/>
      <c r="O214" s="2008">
        <f>+M213</f>
        <v>100000</v>
      </c>
      <c r="P214" s="2009"/>
    </row>
    <row r="215" spans="1:17" x14ac:dyDescent="0.25">
      <c r="C215" s="987" t="s">
        <v>1844</v>
      </c>
      <c r="D215" s="1016"/>
      <c r="E215" s="1016"/>
      <c r="F215" s="20"/>
      <c r="G215" s="1020"/>
      <c r="H215" s="1020"/>
      <c r="I215" s="4"/>
      <c r="J215" s="4"/>
      <c r="K215" s="4"/>
      <c r="L215" s="4"/>
      <c r="M215" s="993"/>
      <c r="N215" s="994"/>
      <c r="O215" s="993"/>
      <c r="P215" s="995"/>
    </row>
    <row r="216" spans="1:17" s="437" customFormat="1" ht="7.5" customHeight="1" x14ac:dyDescent="0.25">
      <c r="B216" s="207">
        <v>12</v>
      </c>
      <c r="C216" s="2198" t="s">
        <v>21</v>
      </c>
      <c r="D216" s="2199"/>
      <c r="E216" s="2199"/>
      <c r="F216" s="2199"/>
      <c r="G216" s="2220"/>
      <c r="H216" s="2220"/>
      <c r="I216" s="2199" t="s">
        <v>21</v>
      </c>
      <c r="J216" s="2199"/>
      <c r="K216" s="2199"/>
      <c r="L216" s="2221"/>
      <c r="M216" s="2227"/>
      <c r="N216" s="2228"/>
      <c r="O216" s="2227"/>
      <c r="P216" s="2228"/>
    </row>
    <row r="217" spans="1:17" x14ac:dyDescent="0.25">
      <c r="B217" s="30" t="s">
        <v>11</v>
      </c>
      <c r="C217" s="1089" t="s">
        <v>10</v>
      </c>
      <c r="D217" s="1088"/>
      <c r="E217" s="1088"/>
      <c r="F217" s="320"/>
      <c r="G217" s="1087"/>
      <c r="H217" s="51"/>
      <c r="I217" s="4"/>
      <c r="J217" s="4"/>
      <c r="K217" s="4"/>
      <c r="L217" s="991"/>
      <c r="M217" s="2008">
        <v>70000</v>
      </c>
      <c r="N217" s="2009"/>
      <c r="O217" s="2012"/>
      <c r="P217" s="2009"/>
    </row>
    <row r="218" spans="1:17" x14ac:dyDescent="0.25">
      <c r="B218" s="38" t="s">
        <v>11</v>
      </c>
      <c r="C218" s="1015" t="s">
        <v>227</v>
      </c>
      <c r="D218" s="1016"/>
      <c r="E218" s="1016"/>
      <c r="F218" s="991"/>
      <c r="G218" s="51"/>
      <c r="H218" s="51"/>
      <c r="I218" s="4"/>
      <c r="J218" s="4"/>
      <c r="K218" s="4"/>
      <c r="L218" s="991"/>
      <c r="M218" s="2008">
        <f>+O219+O220-M217</f>
        <v>38900</v>
      </c>
      <c r="N218" s="2009"/>
      <c r="O218" s="994"/>
      <c r="P218" s="995"/>
    </row>
    <row r="219" spans="1:17" x14ac:dyDescent="0.25">
      <c r="B219" s="38" t="s">
        <v>16</v>
      </c>
      <c r="C219" s="1015"/>
      <c r="D219" s="1016"/>
      <c r="E219" s="1016"/>
      <c r="F219" s="20" t="s">
        <v>1</v>
      </c>
      <c r="G219" s="1020" t="s">
        <v>3</v>
      </c>
      <c r="H219" s="51"/>
      <c r="I219" s="4"/>
      <c r="J219" s="4"/>
      <c r="K219" s="4"/>
      <c r="L219" s="991"/>
      <c r="M219" s="993"/>
      <c r="N219" s="994"/>
      <c r="O219" s="2008">
        <v>90000</v>
      </c>
      <c r="P219" s="2009"/>
    </row>
    <row r="220" spans="1:17" x14ac:dyDescent="0.25">
      <c r="B220" s="1009" t="s">
        <v>17</v>
      </c>
      <c r="C220" s="1015"/>
      <c r="D220" s="1016"/>
      <c r="E220" s="1016"/>
      <c r="F220" s="20" t="s">
        <v>1</v>
      </c>
      <c r="G220" s="1020" t="s">
        <v>12</v>
      </c>
      <c r="H220" s="1020"/>
      <c r="I220" s="4"/>
      <c r="J220" s="4"/>
      <c r="K220" s="4"/>
      <c r="L220" s="4"/>
      <c r="M220" s="2008"/>
      <c r="N220" s="2012"/>
      <c r="O220" s="2008">
        <f>+O219*0.21</f>
        <v>18900</v>
      </c>
      <c r="P220" s="2009"/>
    </row>
    <row r="221" spans="1:17" x14ac:dyDescent="0.25">
      <c r="C221" s="987" t="s">
        <v>1846</v>
      </c>
      <c r="D221" s="1016"/>
      <c r="E221" s="1016"/>
      <c r="F221" s="20"/>
      <c r="G221" s="1020"/>
      <c r="H221" s="1020"/>
      <c r="I221" s="4"/>
      <c r="J221" s="4"/>
      <c r="K221" s="4"/>
      <c r="L221" s="4"/>
      <c r="M221" s="993"/>
      <c r="N221" s="994"/>
      <c r="O221" s="993"/>
      <c r="P221" s="995"/>
    </row>
    <row r="222" spans="1:17" x14ac:dyDescent="0.25">
      <c r="C222" s="2198" t="s">
        <v>21</v>
      </c>
      <c r="D222" s="2199"/>
      <c r="E222" s="2199"/>
      <c r="F222" s="2199"/>
      <c r="G222" s="2096"/>
      <c r="H222" s="2096"/>
      <c r="I222" s="2199" t="s">
        <v>21</v>
      </c>
      <c r="J222" s="2199"/>
      <c r="K222" s="2199"/>
      <c r="L222" s="2199"/>
      <c r="M222" s="2008"/>
      <c r="N222" s="2009"/>
      <c r="O222" s="2008"/>
      <c r="P222" s="2009"/>
    </row>
    <row r="223" spans="1:17" x14ac:dyDescent="0.25">
      <c r="B223" s="1009" t="s">
        <v>15</v>
      </c>
      <c r="C223" s="1015" t="s">
        <v>1057</v>
      </c>
      <c r="D223" s="1016"/>
      <c r="E223" s="1016"/>
      <c r="F223" s="991"/>
      <c r="G223" s="51"/>
      <c r="H223" s="51"/>
      <c r="I223" s="4"/>
      <c r="J223" s="4"/>
      <c r="K223" s="4"/>
      <c r="L223" s="991"/>
      <c r="M223" s="2008">
        <f>+M193</f>
        <v>40000</v>
      </c>
      <c r="N223" s="2009"/>
      <c r="O223" s="2012"/>
      <c r="P223" s="2009"/>
    </row>
    <row r="224" spans="1:17" x14ac:dyDescent="0.25">
      <c r="B224" s="1009" t="s">
        <v>14</v>
      </c>
      <c r="C224" s="1015"/>
      <c r="D224" s="1016"/>
      <c r="E224" s="1016"/>
      <c r="F224" s="20" t="s">
        <v>1</v>
      </c>
      <c r="G224" s="1020" t="s">
        <v>5</v>
      </c>
      <c r="H224" s="51"/>
      <c r="I224" s="4"/>
      <c r="J224" s="4"/>
      <c r="K224" s="4"/>
      <c r="L224" s="991"/>
      <c r="M224" s="993"/>
      <c r="N224" s="994"/>
      <c r="O224" s="2008">
        <f>+M223</f>
        <v>40000</v>
      </c>
      <c r="P224" s="2009"/>
    </row>
    <row r="225" spans="2:16" x14ac:dyDescent="0.25">
      <c r="C225" s="987" t="s">
        <v>1845</v>
      </c>
      <c r="D225" s="1016"/>
      <c r="E225" s="1016"/>
      <c r="F225" s="20"/>
      <c r="G225" s="1020"/>
      <c r="H225" s="1020"/>
      <c r="I225" s="4"/>
      <c r="J225" s="4"/>
      <c r="K225" s="4"/>
      <c r="L225" s="4"/>
      <c r="M225" s="993"/>
      <c r="N225" s="994"/>
      <c r="O225" s="993"/>
      <c r="P225" s="995"/>
    </row>
    <row r="226" spans="2:16" s="437" customFormat="1" ht="7.5" customHeight="1" x14ac:dyDescent="0.25">
      <c r="B226" s="207">
        <v>13</v>
      </c>
      <c r="C226" s="2198" t="s">
        <v>21</v>
      </c>
      <c r="D226" s="2199"/>
      <c r="E226" s="2199"/>
      <c r="F226" s="2199"/>
      <c r="G226" s="2220"/>
      <c r="H226" s="2220"/>
      <c r="I226" s="2199" t="s">
        <v>21</v>
      </c>
      <c r="J226" s="2199"/>
      <c r="K226" s="2199"/>
      <c r="L226" s="2221"/>
      <c r="M226" s="2227"/>
      <c r="N226" s="2228"/>
      <c r="O226" s="2227"/>
      <c r="P226" s="2228"/>
    </row>
    <row r="227" spans="2:16" x14ac:dyDescent="0.25">
      <c r="B227" s="30" t="s">
        <v>11</v>
      </c>
      <c r="C227" s="1015" t="s">
        <v>1841</v>
      </c>
      <c r="D227" s="1016"/>
      <c r="E227" s="1016"/>
      <c r="F227" s="991"/>
      <c r="G227" s="51"/>
      <c r="H227" s="51"/>
      <c r="I227" s="4"/>
      <c r="J227" s="4"/>
      <c r="K227" s="4"/>
      <c r="L227" s="991"/>
      <c r="M227" s="2222">
        <f>+M218+M217</f>
        <v>108900</v>
      </c>
      <c r="N227" s="2223"/>
      <c r="O227" s="2012"/>
      <c r="P227" s="2009"/>
    </row>
    <row r="228" spans="2:16" x14ac:dyDescent="0.25">
      <c r="B228" s="38" t="s">
        <v>14</v>
      </c>
      <c r="C228" s="1015"/>
      <c r="D228" s="1016"/>
      <c r="E228" s="1016"/>
      <c r="F228" s="20" t="s">
        <v>1</v>
      </c>
      <c r="G228" s="1020" t="str">
        <f>+C217</f>
        <v>Caja</v>
      </c>
      <c r="H228" s="51"/>
      <c r="I228" s="4"/>
      <c r="J228" s="4"/>
      <c r="K228" s="4"/>
      <c r="L228" s="991"/>
      <c r="M228" s="998"/>
      <c r="N228" s="999"/>
      <c r="O228" s="2008">
        <f>+M217</f>
        <v>70000</v>
      </c>
      <c r="P228" s="2009"/>
    </row>
    <row r="229" spans="2:16" x14ac:dyDescent="0.25">
      <c r="B229" s="38" t="s">
        <v>14</v>
      </c>
      <c r="C229" s="1015"/>
      <c r="D229" s="1016"/>
      <c r="E229" s="1016"/>
      <c r="F229" s="20" t="s">
        <v>1</v>
      </c>
      <c r="G229" s="1020" t="s">
        <v>227</v>
      </c>
      <c r="H229" s="51"/>
      <c r="I229" s="4"/>
      <c r="J229" s="4"/>
      <c r="K229" s="4"/>
      <c r="L229" s="991"/>
      <c r="M229" s="993"/>
      <c r="N229" s="994"/>
      <c r="O229" s="2008">
        <f>+M218</f>
        <v>38900</v>
      </c>
      <c r="P229" s="2009"/>
    </row>
    <row r="230" spans="2:16" x14ac:dyDescent="0.25">
      <c r="C230" s="987" t="s">
        <v>1844</v>
      </c>
      <c r="D230" s="1016"/>
      <c r="E230" s="1016"/>
      <c r="F230" s="20"/>
      <c r="G230" s="1020"/>
      <c r="H230" s="1020"/>
      <c r="I230" s="4"/>
      <c r="J230" s="4"/>
      <c r="K230" s="4"/>
      <c r="L230" s="4"/>
      <c r="M230" s="993"/>
      <c r="N230" s="994"/>
      <c r="O230" s="993"/>
      <c r="P230" s="995"/>
    </row>
    <row r="231" spans="2:16" s="437" customFormat="1" ht="7.5" customHeight="1" x14ac:dyDescent="0.25">
      <c r="B231" s="207">
        <v>14</v>
      </c>
      <c r="C231" s="2198" t="s">
        <v>21</v>
      </c>
      <c r="D231" s="2199"/>
      <c r="E231" s="2199"/>
      <c r="F231" s="2199"/>
      <c r="G231" s="2220"/>
      <c r="H231" s="2220"/>
      <c r="I231" s="2199" t="s">
        <v>21</v>
      </c>
      <c r="J231" s="2199"/>
      <c r="K231" s="2199"/>
      <c r="L231" s="2221"/>
      <c r="M231" s="2227"/>
      <c r="N231" s="2228"/>
      <c r="O231" s="2227"/>
      <c r="P231" s="2228"/>
    </row>
    <row r="232" spans="2:16" x14ac:dyDescent="0.25">
      <c r="B232" s="38" t="s">
        <v>207</v>
      </c>
      <c r="C232" s="1015" t="s">
        <v>1839</v>
      </c>
      <c r="D232" s="991"/>
      <c r="E232" s="991"/>
      <c r="F232" s="991"/>
      <c r="G232" s="992"/>
      <c r="H232" s="992"/>
      <c r="I232" s="991"/>
      <c r="J232" s="991"/>
      <c r="K232" s="991"/>
      <c r="L232" s="991"/>
      <c r="M232" s="2008">
        <f>+O176</f>
        <v>200000</v>
      </c>
      <c r="N232" s="2009"/>
      <c r="O232" s="994"/>
      <c r="P232" s="995"/>
    </row>
    <row r="233" spans="2:16" x14ac:dyDescent="0.25">
      <c r="B233" s="38" t="s">
        <v>15</v>
      </c>
      <c r="C233" s="1015" t="s">
        <v>493</v>
      </c>
      <c r="D233" s="1016"/>
      <c r="E233" s="1016"/>
      <c r="F233" s="991"/>
      <c r="G233" s="51"/>
      <c r="H233" s="51"/>
      <c r="I233" s="4"/>
      <c r="J233" s="4"/>
      <c r="K233" s="4"/>
      <c r="L233" s="991"/>
      <c r="M233" s="2008">
        <f>3630/1.21</f>
        <v>3000</v>
      </c>
      <c r="N233" s="2009"/>
      <c r="O233" s="2012"/>
      <c r="P233" s="2009"/>
    </row>
    <row r="234" spans="2:16" x14ac:dyDescent="0.25">
      <c r="B234" s="38" t="s">
        <v>11</v>
      </c>
      <c r="C234" s="1015" t="s">
        <v>13</v>
      </c>
      <c r="D234" s="1016"/>
      <c r="E234" s="1016"/>
      <c r="F234" s="991"/>
      <c r="G234" s="51"/>
      <c r="H234" s="51"/>
      <c r="I234" s="4"/>
      <c r="J234" s="4"/>
      <c r="K234" s="4"/>
      <c r="L234" s="991"/>
      <c r="M234" s="2008">
        <f>+M233*0.21</f>
        <v>630</v>
      </c>
      <c r="N234" s="2009"/>
      <c r="O234" s="994"/>
      <c r="P234" s="995"/>
    </row>
    <row r="235" spans="2:16" x14ac:dyDescent="0.25">
      <c r="B235" s="1009" t="s">
        <v>14</v>
      </c>
      <c r="C235" s="1015"/>
      <c r="D235" s="1016"/>
      <c r="E235" s="1016"/>
      <c r="F235" s="20" t="s">
        <v>1</v>
      </c>
      <c r="G235" s="1020" t="s">
        <v>1841</v>
      </c>
      <c r="H235" s="1020"/>
      <c r="I235" s="4"/>
      <c r="J235" s="4"/>
      <c r="K235" s="4"/>
      <c r="L235" s="4"/>
      <c r="M235" s="2008"/>
      <c r="N235" s="2012"/>
      <c r="O235" s="2008">
        <f>+M232+M233+M234</f>
        <v>203630</v>
      </c>
      <c r="P235" s="2009"/>
    </row>
    <row r="236" spans="2:16" x14ac:dyDescent="0.25">
      <c r="C236" s="206" t="s">
        <v>1843</v>
      </c>
      <c r="D236" s="1018"/>
      <c r="E236" s="1018"/>
      <c r="F236" s="35"/>
      <c r="G236" s="1022"/>
      <c r="H236" s="1022"/>
      <c r="I236" s="3"/>
      <c r="J236" s="3"/>
      <c r="K236" s="3"/>
      <c r="L236" s="3"/>
      <c r="M236" s="983"/>
      <c r="N236" s="985"/>
      <c r="O236" s="983"/>
      <c r="P236" s="984"/>
    </row>
    <row r="237" spans="2:16" x14ac:dyDescent="0.25">
      <c r="C237" s="988"/>
      <c r="D237" s="1016"/>
      <c r="E237" s="1016"/>
      <c r="F237" s="20"/>
      <c r="G237" s="1020"/>
      <c r="H237" s="1020"/>
      <c r="I237" s="4"/>
      <c r="J237" s="4"/>
      <c r="K237" s="4"/>
      <c r="L237" s="4"/>
      <c r="M237" s="2243"/>
      <c r="N237" s="2243"/>
      <c r="O237" s="2243"/>
      <c r="P237" s="2243"/>
    </row>
    <row r="238" spans="2:16" x14ac:dyDescent="0.25">
      <c r="B238" s="6" t="s">
        <v>389</v>
      </c>
      <c r="C238" s="21" t="s">
        <v>1842</v>
      </c>
      <c r="G238" s="51"/>
      <c r="H238" s="51"/>
      <c r="I238" s="4"/>
      <c r="J238" s="4"/>
      <c r="K238" s="4"/>
      <c r="L238" s="50" t="s">
        <v>411</v>
      </c>
      <c r="M238" s="1200" t="s">
        <v>413</v>
      </c>
      <c r="N238" s="1199"/>
      <c r="O238" s="18"/>
      <c r="P238" s="18"/>
    </row>
    <row r="239" spans="2:16" x14ac:dyDescent="0.25">
      <c r="B239" s="1004"/>
      <c r="G239" s="51"/>
      <c r="H239" s="51"/>
      <c r="I239" s="4"/>
      <c r="J239" s="4"/>
      <c r="K239" s="4"/>
      <c r="L239" s="4"/>
      <c r="M239" s="18"/>
      <c r="N239" s="18"/>
      <c r="O239" s="18"/>
      <c r="P239" s="18"/>
    </row>
    <row r="240" spans="2:16" x14ac:dyDescent="0.25">
      <c r="B240" s="1004"/>
      <c r="C240" s="2028" t="s">
        <v>952</v>
      </c>
      <c r="D240" s="2029"/>
      <c r="E240" s="2029"/>
      <c r="F240" s="2029"/>
      <c r="G240" s="2139"/>
      <c r="H240" s="2032" t="s">
        <v>1164</v>
      </c>
      <c r="I240" s="2031"/>
      <c r="J240" s="2142" t="s">
        <v>1165</v>
      </c>
      <c r="K240" s="2104"/>
      <c r="L240" s="18"/>
      <c r="M240" s="2"/>
      <c r="N240" s="2"/>
      <c r="O240" s="2"/>
      <c r="P240" s="2"/>
    </row>
    <row r="241" spans="3:16" ht="15" customHeight="1" x14ac:dyDescent="0.25">
      <c r="C241" s="1015" t="s">
        <v>1677</v>
      </c>
      <c r="G241" s="1198"/>
      <c r="H241" s="1925">
        <f t="shared" ref="H241:H256" si="4">+IF(SUMIF($C$161:$C$236,C241,$M$161:$M$236)&gt;+SUMIF($G$161:$G$236,C241,$O$161:$O$236),SUMIF($C$161:$C$236,C241,$M$161:$M$236)-+SUMIF($G$161:$G$236,C241,$O$161:$O$236),0)</f>
        <v>0</v>
      </c>
      <c r="I241" s="1940"/>
      <c r="J241" s="2155">
        <f t="shared" ref="J241:J256" si="5">+IF(+SUMIF($G$161:$G$236,C241,$O$161:$O$236)&gt;+SUMIF($C$161:$C$236,C241,$M$161:$M$236),+SUMIF($G$161:$G$236,C241,$O$161:$O$236)-+SUMIF($C$161:$C$236,C241,$M$161:$M$236),0)</f>
        <v>6050</v>
      </c>
      <c r="K241" s="2156"/>
      <c r="L241" s="2192" t="s">
        <v>1055</v>
      </c>
      <c r="M241" s="2193"/>
      <c r="N241" s="2193"/>
      <c r="O241" s="2244">
        <f>+J256</f>
        <v>90000</v>
      </c>
      <c r="P241" s="2244"/>
    </row>
    <row r="242" spans="3:16" ht="15" customHeight="1" x14ac:dyDescent="0.25">
      <c r="C242" s="1015" t="s">
        <v>1841</v>
      </c>
      <c r="G242" s="1198"/>
      <c r="H242" s="1925">
        <f t="shared" si="4"/>
        <v>123810</v>
      </c>
      <c r="I242" s="1940"/>
      <c r="J242" s="1925">
        <f t="shared" si="5"/>
        <v>0</v>
      </c>
      <c r="K242" s="1926"/>
      <c r="L242" s="2192" t="s">
        <v>400</v>
      </c>
      <c r="M242" s="2193"/>
      <c r="N242" s="2193"/>
      <c r="O242" s="2194">
        <f>-H245</f>
        <v>-40000</v>
      </c>
      <c r="P242" s="2194"/>
    </row>
    <row r="243" spans="3:16" ht="15" customHeight="1" x14ac:dyDescent="0.25">
      <c r="C243" s="1015" t="s">
        <v>10</v>
      </c>
      <c r="G243" s="1198"/>
      <c r="H243" s="1925">
        <f t="shared" si="4"/>
        <v>83450</v>
      </c>
      <c r="I243" s="1940"/>
      <c r="J243" s="1925">
        <f t="shared" si="5"/>
        <v>0</v>
      </c>
      <c r="K243" s="1926"/>
      <c r="L243" s="2192" t="s">
        <v>414</v>
      </c>
      <c r="M243" s="2193"/>
      <c r="N243" s="2193"/>
      <c r="O243" s="2197">
        <f>+O241+O242</f>
        <v>50000</v>
      </c>
      <c r="P243" s="2197"/>
    </row>
    <row r="244" spans="3:16" ht="15" customHeight="1" x14ac:dyDescent="0.25">
      <c r="C244" s="1015" t="s">
        <v>435</v>
      </c>
      <c r="G244" s="1198"/>
      <c r="H244" s="1925">
        <f t="shared" si="4"/>
        <v>0</v>
      </c>
      <c r="I244" s="1940"/>
      <c r="J244" s="1925">
        <f t="shared" si="5"/>
        <v>200000</v>
      </c>
      <c r="K244" s="1926"/>
      <c r="L244" s="2192" t="s">
        <v>417</v>
      </c>
      <c r="M244" s="2193"/>
      <c r="N244" s="2193"/>
      <c r="O244" s="2194">
        <f>-H247</f>
        <v>-10000</v>
      </c>
      <c r="P244" s="2194"/>
    </row>
    <row r="245" spans="3:16" ht="15" customHeight="1" x14ac:dyDescent="0.25">
      <c r="C245" s="1015" t="s">
        <v>1057</v>
      </c>
      <c r="G245" s="1198"/>
      <c r="H245" s="1925">
        <f t="shared" si="4"/>
        <v>40000</v>
      </c>
      <c r="I245" s="1940"/>
      <c r="J245" s="1925">
        <f t="shared" si="5"/>
        <v>0</v>
      </c>
      <c r="K245" s="1926"/>
      <c r="L245" s="2192" t="s">
        <v>418</v>
      </c>
      <c r="M245" s="2193"/>
      <c r="N245" s="2193"/>
      <c r="O245" s="2197">
        <f>+O243+O244</f>
        <v>40000</v>
      </c>
      <c r="P245" s="2197"/>
    </row>
    <row r="246" spans="3:16" ht="15" customHeight="1" x14ac:dyDescent="0.25">
      <c r="C246" s="1015" t="s">
        <v>1840</v>
      </c>
      <c r="G246" s="1198"/>
      <c r="H246" s="1925">
        <f t="shared" si="4"/>
        <v>0</v>
      </c>
      <c r="I246" s="1940"/>
      <c r="J246" s="1925">
        <f t="shared" si="5"/>
        <v>0</v>
      </c>
      <c r="K246" s="1926"/>
      <c r="L246" s="2192" t="s">
        <v>493</v>
      </c>
      <c r="M246" s="2193"/>
      <c r="N246" s="2193"/>
      <c r="O246" s="2194">
        <f>-H248</f>
        <v>-9000</v>
      </c>
      <c r="P246" s="2194"/>
    </row>
    <row r="247" spans="3:16" ht="15.75" thickBot="1" x14ac:dyDescent="0.3">
      <c r="C247" s="1015" t="s">
        <v>1081</v>
      </c>
      <c r="G247" s="1198"/>
      <c r="H247" s="1925">
        <f t="shared" si="4"/>
        <v>10000</v>
      </c>
      <c r="I247" s="1940"/>
      <c r="J247" s="1925">
        <f t="shared" si="5"/>
        <v>0</v>
      </c>
      <c r="K247" s="1926"/>
      <c r="L247" s="2192" t="s">
        <v>421</v>
      </c>
      <c r="M247" s="2193"/>
      <c r="N247" s="2193"/>
      <c r="O247" s="2202">
        <f>+O245+O246</f>
        <v>31000</v>
      </c>
      <c r="P247" s="2202"/>
    </row>
    <row r="248" spans="3:16" ht="15" customHeight="1" thickTop="1" x14ac:dyDescent="0.25">
      <c r="C248" s="1015" t="s">
        <v>493</v>
      </c>
      <c r="G248" s="1198"/>
      <c r="H248" s="1925">
        <f t="shared" si="4"/>
        <v>9000</v>
      </c>
      <c r="I248" s="1940"/>
      <c r="J248" s="1925">
        <f t="shared" si="5"/>
        <v>0</v>
      </c>
      <c r="K248" s="1926"/>
      <c r="M248" s="2"/>
      <c r="N248" s="2"/>
      <c r="O248" s="2"/>
      <c r="P248" s="2"/>
    </row>
    <row r="249" spans="3:16" x14ac:dyDescent="0.25">
      <c r="C249" s="1015" t="s">
        <v>13</v>
      </c>
      <c r="G249" s="1198"/>
      <c r="H249" s="1925">
        <f t="shared" si="4"/>
        <v>18690</v>
      </c>
      <c r="I249" s="1940"/>
      <c r="J249" s="1925">
        <f t="shared" si="5"/>
        <v>0</v>
      </c>
      <c r="K249" s="1926"/>
      <c r="L249" s="2195"/>
      <c r="M249" s="2196"/>
      <c r="N249" s="2196"/>
      <c r="O249" s="2242"/>
      <c r="P249" s="2242"/>
    </row>
    <row r="250" spans="3:16" ht="15" customHeight="1" x14ac:dyDescent="0.25">
      <c r="C250" s="1015" t="s">
        <v>12</v>
      </c>
      <c r="G250" s="1198"/>
      <c r="H250" s="1925">
        <f t="shared" si="4"/>
        <v>0</v>
      </c>
      <c r="I250" s="1940"/>
      <c r="J250" s="1925">
        <f t="shared" si="5"/>
        <v>18900</v>
      </c>
      <c r="K250" s="1926"/>
      <c r="M250" s="2"/>
      <c r="N250" s="2"/>
      <c r="O250" s="4"/>
      <c r="P250" s="4"/>
    </row>
    <row r="251" spans="3:16" x14ac:dyDescent="0.25">
      <c r="C251" s="1015" t="s">
        <v>29</v>
      </c>
      <c r="G251" s="1198"/>
      <c r="H251" s="1925">
        <f t="shared" si="4"/>
        <v>30000</v>
      </c>
      <c r="I251" s="1940"/>
      <c r="J251" s="1925">
        <f t="shared" si="5"/>
        <v>0</v>
      </c>
      <c r="K251" s="1926"/>
      <c r="L251" s="2195"/>
      <c r="M251" s="2196"/>
      <c r="N251" s="2196"/>
      <c r="O251" s="2240"/>
      <c r="P251" s="2240"/>
    </row>
    <row r="252" spans="3:16" x14ac:dyDescent="0.25">
      <c r="C252" s="1015" t="s">
        <v>5</v>
      </c>
      <c r="G252" s="1198"/>
      <c r="H252" s="1925">
        <f t="shared" si="4"/>
        <v>0</v>
      </c>
      <c r="I252" s="1940"/>
      <c r="J252" s="1925">
        <f t="shared" si="5"/>
        <v>0</v>
      </c>
      <c r="K252" s="1926"/>
      <c r="L252" s="2195"/>
      <c r="M252" s="2196"/>
      <c r="N252" s="2196"/>
      <c r="O252" s="2241"/>
      <c r="P252" s="2241"/>
    </row>
    <row r="253" spans="3:16" ht="15" customHeight="1" x14ac:dyDescent="0.25">
      <c r="C253" s="1015" t="s">
        <v>1839</v>
      </c>
      <c r="G253" s="1198"/>
      <c r="H253" s="1925">
        <f t="shared" si="4"/>
        <v>0</v>
      </c>
      <c r="I253" s="1940"/>
      <c r="J253" s="1925">
        <f t="shared" si="5"/>
        <v>0</v>
      </c>
      <c r="K253" s="1926"/>
      <c r="M253" s="2"/>
      <c r="N253" s="2"/>
      <c r="O253" s="2"/>
      <c r="P253" s="2"/>
    </row>
    <row r="254" spans="3:16" x14ac:dyDescent="0.25">
      <c r="C254" s="1015" t="s">
        <v>235</v>
      </c>
      <c r="G254" s="1198"/>
      <c r="H254" s="1925">
        <f t="shared" si="4"/>
        <v>0</v>
      </c>
      <c r="I254" s="1940"/>
      <c r="J254" s="1925">
        <f t="shared" si="5"/>
        <v>0</v>
      </c>
      <c r="K254" s="1926"/>
      <c r="L254" s="2195"/>
      <c r="M254" s="2196"/>
      <c r="N254" s="2196"/>
      <c r="O254" s="2242"/>
      <c r="P254" s="2242"/>
    </row>
    <row r="255" spans="3:16" ht="15" customHeight="1" x14ac:dyDescent="0.25">
      <c r="C255" s="1015" t="s">
        <v>227</v>
      </c>
      <c r="G255" s="1198"/>
      <c r="H255" s="1925">
        <f t="shared" si="4"/>
        <v>0</v>
      </c>
      <c r="I255" s="1940"/>
      <c r="J255" s="1925">
        <f t="shared" si="5"/>
        <v>0</v>
      </c>
      <c r="K255" s="1926"/>
      <c r="M255" s="2"/>
      <c r="N255" s="2"/>
      <c r="O255" s="4"/>
      <c r="P255" s="4"/>
    </row>
    <row r="256" spans="3:16" x14ac:dyDescent="0.25">
      <c r="C256" s="1017" t="s">
        <v>3</v>
      </c>
      <c r="D256" s="11"/>
      <c r="E256" s="11"/>
      <c r="F256" s="11"/>
      <c r="G256" s="1197"/>
      <c r="H256" s="1925">
        <f t="shared" si="4"/>
        <v>0</v>
      </c>
      <c r="I256" s="1940"/>
      <c r="J256" s="2084">
        <f t="shared" si="5"/>
        <v>90000</v>
      </c>
      <c r="K256" s="2085"/>
      <c r="L256" s="1196"/>
      <c r="M256" s="1196"/>
      <c r="N256" s="70"/>
      <c r="O256" s="2240"/>
      <c r="P256" s="2240"/>
    </row>
    <row r="257" spans="1:17" x14ac:dyDescent="0.25">
      <c r="B257" s="2"/>
      <c r="C257" s="1195" t="s">
        <v>410</v>
      </c>
      <c r="D257" s="227"/>
      <c r="E257" s="227"/>
      <c r="F257" s="227"/>
      <c r="G257" s="1003"/>
      <c r="H257" s="2235">
        <f>+SUM(H241:I256)</f>
        <v>314950</v>
      </c>
      <c r="I257" s="2236"/>
      <c r="J257" s="2235">
        <f>+SUM(J241:K256)</f>
        <v>314950</v>
      </c>
      <c r="K257" s="2236"/>
      <c r="L257" s="70"/>
      <c r="M257" s="70"/>
      <c r="N257" s="70"/>
      <c r="O257" s="4"/>
      <c r="P257" s="4"/>
    </row>
    <row r="258" spans="1:17" x14ac:dyDescent="0.25">
      <c r="B258" s="2"/>
      <c r="C258" s="2"/>
      <c r="D258" s="2"/>
      <c r="E258" s="2"/>
      <c r="F258" s="2"/>
      <c r="G258" s="2"/>
      <c r="H258" s="2"/>
      <c r="M258" s="2"/>
      <c r="N258" s="2"/>
      <c r="O258" s="2"/>
      <c r="P258" s="2"/>
    </row>
    <row r="259" spans="1:17" x14ac:dyDescent="0.25">
      <c r="B259" s="239" t="s">
        <v>1633</v>
      </c>
      <c r="C259" s="1051" t="s">
        <v>775</v>
      </c>
      <c r="D259" s="2"/>
      <c r="E259" s="2"/>
      <c r="F259" s="2"/>
      <c r="G259" s="2"/>
      <c r="H259" s="2"/>
      <c r="M259" s="2"/>
      <c r="N259" s="2"/>
      <c r="O259" s="2"/>
      <c r="P259" s="2"/>
    </row>
    <row r="260" spans="1:17" x14ac:dyDescent="0.25">
      <c r="M260" s="2"/>
      <c r="N260" s="2"/>
      <c r="O260" s="2"/>
      <c r="P260" s="2"/>
    </row>
    <row r="261" spans="1:17" x14ac:dyDescent="0.25">
      <c r="C261" s="1016" t="s">
        <v>1676</v>
      </c>
      <c r="F261" s="1194">
        <f>+O243/O241</f>
        <v>0.55555555555555558</v>
      </c>
      <c r="G261" s="1016" t="s">
        <v>1838</v>
      </c>
      <c r="H261" s="2"/>
      <c r="I261" s="12"/>
      <c r="J261" s="1194">
        <f>+O245/O241</f>
        <v>0.44444444444444442</v>
      </c>
      <c r="K261" s="1012" t="s">
        <v>1630</v>
      </c>
      <c r="M261" s="2"/>
      <c r="N261" s="1194">
        <f>+O247/O241</f>
        <v>0.34444444444444444</v>
      </c>
      <c r="O261" s="1193"/>
      <c r="P261" s="2"/>
    </row>
    <row r="262" spans="1:17" x14ac:dyDescent="0.25">
      <c r="A262" s="4"/>
      <c r="B262" s="1004"/>
      <c r="G262" s="51"/>
      <c r="H262" s="51"/>
      <c r="I262" s="4"/>
      <c r="J262" s="4"/>
      <c r="K262" s="4"/>
      <c r="L262" s="4"/>
      <c r="M262" s="4"/>
      <c r="N262" s="4"/>
      <c r="O262" s="4"/>
      <c r="P262" s="4"/>
      <c r="Q262" s="4"/>
    </row>
    <row r="263" spans="1:17" x14ac:dyDescent="0.25">
      <c r="A263" s="4"/>
      <c r="B263" s="1004"/>
      <c r="G263" s="51"/>
      <c r="H263" s="51"/>
      <c r="I263" s="4"/>
      <c r="J263" s="4"/>
      <c r="K263" s="4"/>
      <c r="L263" s="4"/>
      <c r="M263" s="4"/>
      <c r="N263" s="4"/>
      <c r="O263" s="4"/>
      <c r="P263" s="4"/>
      <c r="Q263" s="4"/>
    </row>
    <row r="264" spans="1:17" s="4" customFormat="1" x14ac:dyDescent="0.25">
      <c r="B264" s="1004"/>
      <c r="C264" s="12"/>
      <c r="D264" s="12"/>
      <c r="E264" s="12"/>
      <c r="F264" s="12"/>
      <c r="G264" s="51"/>
      <c r="H264" s="51"/>
      <c r="M264" s="18"/>
      <c r="N264" s="18"/>
      <c r="O264" s="18"/>
      <c r="P264" s="18"/>
    </row>
    <row r="265" spans="1:17" x14ac:dyDescent="0.25">
      <c r="A265" s="1844" t="s">
        <v>20</v>
      </c>
      <c r="B265" s="1845"/>
      <c r="C265" s="1845"/>
      <c r="D265" s="1845"/>
      <c r="E265" s="1845"/>
      <c r="F265" s="1845"/>
      <c r="G265" s="1845"/>
      <c r="H265" s="1845"/>
      <c r="I265" s="1845"/>
      <c r="J265" s="1845"/>
      <c r="K265" s="1845"/>
      <c r="L265" s="1845"/>
      <c r="M265" s="1845"/>
      <c r="N265" s="1845"/>
      <c r="O265" s="1845"/>
      <c r="P265" s="1845"/>
      <c r="Q265" s="1846"/>
    </row>
    <row r="266" spans="1:17" x14ac:dyDescent="0.25">
      <c r="A266" s="1847" t="s">
        <v>1837</v>
      </c>
      <c r="B266" s="1848"/>
      <c r="C266" s="1848"/>
      <c r="D266" s="1848"/>
      <c r="E266" s="1848"/>
      <c r="F266" s="1848"/>
      <c r="G266" s="1848"/>
      <c r="H266" s="1848"/>
      <c r="I266" s="1848"/>
      <c r="J266" s="1848"/>
      <c r="K266" s="1848"/>
      <c r="L266" s="1848"/>
      <c r="M266" s="1848"/>
      <c r="N266" s="1848"/>
      <c r="O266" s="1848"/>
      <c r="P266" s="1848"/>
      <c r="Q266" s="1849"/>
    </row>
    <row r="267" spans="1:17" s="437" customFormat="1" ht="7.5" customHeight="1" x14ac:dyDescent="0.25">
      <c r="B267" s="435"/>
      <c r="C267" s="1177"/>
      <c r="D267" s="1177"/>
      <c r="E267" s="1177"/>
      <c r="F267" s="1177"/>
      <c r="G267" s="435"/>
      <c r="H267" s="435"/>
      <c r="M267" s="436"/>
      <c r="N267" s="436"/>
      <c r="O267" s="436"/>
      <c r="P267" s="436"/>
    </row>
    <row r="268" spans="1:17" x14ac:dyDescent="0.25">
      <c r="B268" s="6" t="s">
        <v>307</v>
      </c>
      <c r="C268" s="21" t="s">
        <v>308</v>
      </c>
    </row>
    <row r="269" spans="1:17" s="437" customFormat="1" ht="7.5" customHeight="1" x14ac:dyDescent="0.25">
      <c r="B269" s="1179"/>
      <c r="C269" s="1178"/>
      <c r="D269" s="1177"/>
      <c r="E269" s="1177"/>
      <c r="F269" s="1177"/>
      <c r="G269" s="435"/>
      <c r="H269" s="435"/>
      <c r="M269" s="2102" t="s">
        <v>9</v>
      </c>
      <c r="N269" s="2102"/>
      <c r="O269" s="2102" t="s">
        <v>8</v>
      </c>
      <c r="P269" s="2102"/>
    </row>
    <row r="270" spans="1:17" s="437" customFormat="1" ht="7.5" customHeight="1" x14ac:dyDescent="0.25">
      <c r="B270" s="207">
        <v>1</v>
      </c>
      <c r="C270" s="1188"/>
      <c r="D270" s="1173"/>
      <c r="E270" s="1173"/>
      <c r="F270" s="1173"/>
      <c r="G270" s="2224"/>
      <c r="H270" s="2224"/>
      <c r="I270" s="1174"/>
      <c r="J270" s="1174"/>
      <c r="K270" s="1174"/>
      <c r="L270" s="1173"/>
      <c r="M270" s="2103"/>
      <c r="N270" s="2103"/>
      <c r="O270" s="2103"/>
      <c r="P270" s="2103"/>
    </row>
    <row r="271" spans="1:17" x14ac:dyDescent="0.25">
      <c r="B271" s="30"/>
      <c r="C271" s="2237" t="s">
        <v>1836</v>
      </c>
      <c r="D271" s="2238"/>
      <c r="E271" s="2238"/>
      <c r="F271" s="2238"/>
      <c r="G271" s="2238"/>
      <c r="H271" s="2238"/>
      <c r="I271" s="2238"/>
      <c r="J271" s="2238"/>
      <c r="K271" s="2238"/>
      <c r="L271" s="2239"/>
      <c r="M271" s="2008"/>
      <c r="N271" s="2009"/>
      <c r="O271" s="2012"/>
      <c r="P271" s="2009"/>
    </row>
    <row r="272" spans="1:17" x14ac:dyDescent="0.25">
      <c r="C272" s="2237"/>
      <c r="D272" s="2238"/>
      <c r="E272" s="2238"/>
      <c r="F272" s="2238"/>
      <c r="G272" s="2238"/>
      <c r="H272" s="2238"/>
      <c r="I272" s="2238"/>
      <c r="J272" s="2238"/>
      <c r="K272" s="2238"/>
      <c r="L272" s="2239"/>
      <c r="M272" s="2008"/>
      <c r="N272" s="2009"/>
      <c r="O272" s="2008"/>
      <c r="P272" s="2009"/>
    </row>
    <row r="273" spans="2:17" s="437" customFormat="1" ht="7.5" customHeight="1" x14ac:dyDescent="0.25">
      <c r="B273" s="207">
        <v>2</v>
      </c>
      <c r="C273" s="2198" t="s">
        <v>21</v>
      </c>
      <c r="D273" s="2199"/>
      <c r="E273" s="2199"/>
      <c r="F273" s="2199"/>
      <c r="G273" s="2220"/>
      <c r="H273" s="2220"/>
      <c r="I273" s="2199" t="s">
        <v>21</v>
      </c>
      <c r="J273" s="2199"/>
      <c r="K273" s="2199"/>
      <c r="L273" s="2221"/>
      <c r="M273" s="2227"/>
      <c r="N273" s="2228"/>
      <c r="O273" s="2227"/>
      <c r="P273" s="2228"/>
    </row>
    <row r="274" spans="2:17" x14ac:dyDescent="0.25">
      <c r="B274" s="30" t="s">
        <v>11</v>
      </c>
      <c r="C274" s="1015" t="s">
        <v>140</v>
      </c>
      <c r="D274" s="1016"/>
      <c r="E274" s="1016"/>
      <c r="F274" s="991"/>
      <c r="G274" s="51"/>
      <c r="H274" s="51"/>
      <c r="I274" s="4"/>
      <c r="J274" s="4"/>
      <c r="K274" s="4"/>
      <c r="L274" s="991"/>
      <c r="M274" s="2008">
        <v>8000</v>
      </c>
      <c r="N274" s="2009"/>
      <c r="O274" s="2012"/>
      <c r="P274" s="2009"/>
    </row>
    <row r="275" spans="2:17" x14ac:dyDescent="0.25">
      <c r="B275" s="1009" t="s">
        <v>17</v>
      </c>
      <c r="C275" s="1015"/>
      <c r="D275" s="1016"/>
      <c r="E275" s="1016"/>
      <c r="F275" s="20" t="s">
        <v>1</v>
      </c>
      <c r="G275" s="1020" t="s">
        <v>1835</v>
      </c>
      <c r="H275" s="1020"/>
      <c r="I275" s="4"/>
      <c r="J275" s="4"/>
      <c r="K275" s="4"/>
      <c r="L275" s="4"/>
      <c r="M275" s="2008"/>
      <c r="N275" s="2012"/>
      <c r="O275" s="2008">
        <f>+M274</f>
        <v>8000</v>
      </c>
      <c r="P275" s="2009"/>
    </row>
    <row r="276" spans="2:17" x14ac:dyDescent="0.25">
      <c r="C276" s="987" t="s">
        <v>1834</v>
      </c>
      <c r="M276" s="504"/>
      <c r="O276" s="504"/>
      <c r="Q276" s="8"/>
    </row>
    <row r="277" spans="2:17" s="437" customFormat="1" ht="7.5" customHeight="1" x14ac:dyDescent="0.25">
      <c r="B277" s="207">
        <v>3</v>
      </c>
      <c r="C277" s="2198" t="s">
        <v>21</v>
      </c>
      <c r="D277" s="2199"/>
      <c r="E277" s="2199"/>
      <c r="F277" s="2199"/>
      <c r="G277" s="2220"/>
      <c r="H277" s="2220"/>
      <c r="I277" s="2199" t="s">
        <v>21</v>
      </c>
      <c r="J277" s="2199"/>
      <c r="K277" s="2199"/>
      <c r="L277" s="2221"/>
      <c r="M277" s="2227"/>
      <c r="N277" s="2228"/>
      <c r="O277" s="2227"/>
      <c r="P277" s="2228"/>
    </row>
    <row r="278" spans="2:17" x14ac:dyDescent="0.25">
      <c r="B278" s="30" t="s">
        <v>11</v>
      </c>
      <c r="C278" s="1015" t="s">
        <v>140</v>
      </c>
      <c r="D278" s="1016"/>
      <c r="E278" s="1016"/>
      <c r="F278" s="991"/>
      <c r="G278" s="51"/>
      <c r="H278" s="51"/>
      <c r="I278" s="4"/>
      <c r="J278" s="4"/>
      <c r="K278" s="4"/>
      <c r="L278" s="991"/>
      <c r="M278" s="2008">
        <v>200</v>
      </c>
      <c r="N278" s="2009"/>
      <c r="O278" s="2012"/>
      <c r="P278" s="2009"/>
    </row>
    <row r="279" spans="2:17" x14ac:dyDescent="0.25">
      <c r="B279" s="38" t="s">
        <v>11</v>
      </c>
      <c r="C279" s="1015" t="s">
        <v>13</v>
      </c>
      <c r="D279" s="1016"/>
      <c r="E279" s="1016"/>
      <c r="F279" s="991"/>
      <c r="G279" s="51"/>
      <c r="H279" s="51"/>
      <c r="I279" s="4"/>
      <c r="J279" s="4"/>
      <c r="K279" s="4"/>
      <c r="L279" s="991"/>
      <c r="M279" s="2008">
        <f>+M278*0.21</f>
        <v>42</v>
      </c>
      <c r="N279" s="2009"/>
      <c r="O279" s="994"/>
      <c r="P279" s="995"/>
    </row>
    <row r="280" spans="2:17" x14ac:dyDescent="0.25">
      <c r="B280" s="1009" t="s">
        <v>14</v>
      </c>
      <c r="C280" s="1015"/>
      <c r="D280" s="1016"/>
      <c r="E280" s="1016"/>
      <c r="F280" s="20" t="s">
        <v>1</v>
      </c>
      <c r="G280" s="1020" t="s">
        <v>282</v>
      </c>
      <c r="H280" s="1020"/>
      <c r="I280" s="4"/>
      <c r="J280" s="4"/>
      <c r="K280" s="4"/>
      <c r="L280" s="4"/>
      <c r="M280" s="2008"/>
      <c r="N280" s="2012"/>
      <c r="O280" s="2008">
        <f>+M278+M279</f>
        <v>242</v>
      </c>
      <c r="P280" s="2009"/>
    </row>
    <row r="281" spans="2:17" x14ac:dyDescent="0.25">
      <c r="C281" s="987" t="s">
        <v>1833</v>
      </c>
      <c r="M281" s="504"/>
      <c r="O281" s="504"/>
      <c r="Q281" s="8"/>
    </row>
    <row r="282" spans="2:17" s="437" customFormat="1" ht="7.5" customHeight="1" x14ac:dyDescent="0.25">
      <c r="B282" s="207">
        <v>4</v>
      </c>
      <c r="C282" s="2198" t="s">
        <v>21</v>
      </c>
      <c r="D282" s="2199"/>
      <c r="E282" s="2199"/>
      <c r="F282" s="2199"/>
      <c r="G282" s="2220"/>
      <c r="H282" s="2220"/>
      <c r="I282" s="2199" t="s">
        <v>21</v>
      </c>
      <c r="J282" s="2199"/>
      <c r="K282" s="2199"/>
      <c r="L282" s="2221"/>
      <c r="M282" s="2227"/>
      <c r="N282" s="2228"/>
      <c r="O282" s="2227"/>
      <c r="P282" s="2228"/>
    </row>
    <row r="283" spans="2:17" x14ac:dyDescent="0.25">
      <c r="B283" s="30" t="s">
        <v>11</v>
      </c>
      <c r="C283" s="1015" t="s">
        <v>5</v>
      </c>
      <c r="D283" s="1016"/>
      <c r="E283" s="1016"/>
      <c r="F283" s="991"/>
      <c r="G283" s="51"/>
      <c r="H283" s="51"/>
      <c r="I283" s="4"/>
      <c r="J283" s="4"/>
      <c r="K283" s="4"/>
      <c r="L283" s="991"/>
      <c r="M283" s="2008">
        <f>+O284</f>
        <v>8200</v>
      </c>
      <c r="N283" s="2009"/>
      <c r="O283" s="2012"/>
      <c r="P283" s="2009"/>
    </row>
    <row r="284" spans="2:17" x14ac:dyDescent="0.25">
      <c r="B284" s="1009" t="s">
        <v>14</v>
      </c>
      <c r="C284" s="1015"/>
      <c r="D284" s="1016"/>
      <c r="E284" s="1016"/>
      <c r="F284" s="20" t="s">
        <v>1</v>
      </c>
      <c r="G284" s="1020" t="s">
        <v>140</v>
      </c>
      <c r="H284" s="1020"/>
      <c r="I284" s="4"/>
      <c r="J284" s="4"/>
      <c r="K284" s="4"/>
      <c r="L284" s="4"/>
      <c r="M284" s="2008"/>
      <c r="N284" s="2012"/>
      <c r="O284" s="2008">
        <f>+M274+M278</f>
        <v>8200</v>
      </c>
      <c r="P284" s="2009"/>
    </row>
    <row r="285" spans="2:17" x14ac:dyDescent="0.25">
      <c r="C285" s="987" t="s">
        <v>1832</v>
      </c>
      <c r="M285" s="504"/>
      <c r="O285" s="504"/>
      <c r="Q285" s="8"/>
    </row>
    <row r="286" spans="2:17" s="437" customFormat="1" ht="7.5" customHeight="1" x14ac:dyDescent="0.25">
      <c r="B286" s="207">
        <v>5</v>
      </c>
      <c r="C286" s="2198" t="s">
        <v>21</v>
      </c>
      <c r="D286" s="2199"/>
      <c r="E286" s="2199"/>
      <c r="F286" s="2199"/>
      <c r="G286" s="2220"/>
      <c r="H286" s="2220"/>
      <c r="I286" s="2199" t="s">
        <v>21</v>
      </c>
      <c r="J286" s="2199"/>
      <c r="K286" s="2199"/>
      <c r="L286" s="2221"/>
      <c r="M286" s="2227"/>
      <c r="N286" s="2228"/>
      <c r="O286" s="2227"/>
      <c r="P286" s="2228"/>
    </row>
    <row r="287" spans="2:17" x14ac:dyDescent="0.25">
      <c r="B287" s="30" t="s">
        <v>15</v>
      </c>
      <c r="C287" s="1015" t="s">
        <v>194</v>
      </c>
      <c r="D287" s="1016"/>
      <c r="E287" s="1016"/>
      <c r="F287" s="991"/>
      <c r="G287" s="51"/>
      <c r="H287" s="51"/>
      <c r="I287" s="4"/>
      <c r="J287" s="4"/>
      <c r="K287" s="4"/>
      <c r="L287" s="991"/>
      <c r="M287" s="2008">
        <v>100</v>
      </c>
      <c r="N287" s="2009"/>
      <c r="O287" s="2012"/>
      <c r="P287" s="2009"/>
    </row>
    <row r="288" spans="2:17" x14ac:dyDescent="0.25">
      <c r="B288" s="38" t="s">
        <v>11</v>
      </c>
      <c r="C288" s="1015" t="s">
        <v>5</v>
      </c>
      <c r="D288" s="1016"/>
      <c r="E288" s="1016"/>
      <c r="F288" s="991"/>
      <c r="G288" s="51"/>
      <c r="H288" s="51"/>
      <c r="I288" s="4"/>
      <c r="J288" s="4"/>
      <c r="K288" s="4"/>
      <c r="L288" s="991"/>
      <c r="M288" s="2008">
        <v>300</v>
      </c>
      <c r="N288" s="2009"/>
      <c r="O288" s="994"/>
      <c r="P288" s="995"/>
    </row>
    <row r="289" spans="2:17" x14ac:dyDescent="0.25">
      <c r="B289" s="38" t="s">
        <v>11</v>
      </c>
      <c r="C289" s="1015" t="s">
        <v>13</v>
      </c>
      <c r="D289" s="1016"/>
      <c r="E289" s="1016"/>
      <c r="F289" s="991"/>
      <c r="G289" s="51"/>
      <c r="H289" s="51"/>
      <c r="I289" s="4"/>
      <c r="J289" s="4"/>
      <c r="K289" s="4"/>
      <c r="L289" s="991"/>
      <c r="M289" s="2008">
        <f>+M288*0.21</f>
        <v>63</v>
      </c>
      <c r="N289" s="2009"/>
      <c r="O289" s="994"/>
      <c r="P289" s="995"/>
    </row>
    <row r="290" spans="2:17" x14ac:dyDescent="0.25">
      <c r="B290" s="1009" t="s">
        <v>14</v>
      </c>
      <c r="C290" s="1015"/>
      <c r="D290" s="1016"/>
      <c r="E290" s="1016"/>
      <c r="F290" s="20" t="s">
        <v>1</v>
      </c>
      <c r="G290" s="1020" t="s">
        <v>282</v>
      </c>
      <c r="H290" s="1020"/>
      <c r="I290" s="4"/>
      <c r="J290" s="4"/>
      <c r="K290" s="4"/>
      <c r="L290" s="4"/>
      <c r="M290" s="2008"/>
      <c r="N290" s="2012"/>
      <c r="O290" s="2008">
        <f>+M287+M288+M289</f>
        <v>463</v>
      </c>
      <c r="P290" s="2009"/>
    </row>
    <row r="291" spans="2:17" x14ac:dyDescent="0.25">
      <c r="C291" s="987" t="s">
        <v>1831</v>
      </c>
      <c r="M291" s="504"/>
      <c r="O291" s="504"/>
      <c r="Q291" s="8"/>
    </row>
    <row r="292" spans="2:17" s="437" customFormat="1" ht="7.5" customHeight="1" x14ac:dyDescent="0.25">
      <c r="B292" s="207">
        <v>6</v>
      </c>
      <c r="C292" s="2198" t="s">
        <v>21</v>
      </c>
      <c r="D292" s="2199"/>
      <c r="E292" s="2199"/>
      <c r="F292" s="2199"/>
      <c r="G292" s="2220"/>
      <c r="H292" s="2220"/>
      <c r="I292" s="2199" t="s">
        <v>21</v>
      </c>
      <c r="J292" s="2199"/>
      <c r="K292" s="2199"/>
      <c r="L292" s="2221"/>
      <c r="M292" s="2227"/>
      <c r="N292" s="2228"/>
      <c r="O292" s="2227"/>
      <c r="P292" s="2228"/>
      <c r="Q292" s="1192"/>
    </row>
    <row r="293" spans="2:17" x14ac:dyDescent="0.25">
      <c r="B293" s="30" t="s">
        <v>11</v>
      </c>
      <c r="C293" s="1015" t="s">
        <v>5</v>
      </c>
      <c r="D293" s="1016"/>
      <c r="E293" s="1016"/>
      <c r="F293" s="991"/>
      <c r="G293" s="51"/>
      <c r="H293" s="51"/>
      <c r="I293" s="4"/>
      <c r="J293" s="4"/>
      <c r="K293" s="4"/>
      <c r="L293" s="991"/>
      <c r="M293" s="2008">
        <v>100</v>
      </c>
      <c r="N293" s="2009"/>
      <c r="O293" s="2008"/>
      <c r="P293" s="2009"/>
      <c r="Q293" s="4"/>
    </row>
    <row r="294" spans="2:17" x14ac:dyDescent="0.25">
      <c r="B294" s="102" t="s">
        <v>14</v>
      </c>
      <c r="C294" s="1016"/>
      <c r="D294" s="1016"/>
      <c r="E294" s="1016"/>
      <c r="F294" s="20" t="s">
        <v>1</v>
      </c>
      <c r="G294" s="1020" t="s">
        <v>10</v>
      </c>
      <c r="H294" s="51"/>
      <c r="I294" s="4"/>
      <c r="J294" s="4"/>
      <c r="K294" s="4"/>
      <c r="L294" s="991"/>
      <c r="M294" s="2008"/>
      <c r="N294" s="2009"/>
      <c r="O294" s="2012">
        <v>100</v>
      </c>
      <c r="P294" s="2009"/>
      <c r="Q294" s="4"/>
    </row>
    <row r="295" spans="2:17" x14ac:dyDescent="0.25">
      <c r="C295" s="987" t="s">
        <v>1830</v>
      </c>
      <c r="M295" s="504"/>
      <c r="N295" s="505"/>
      <c r="O295" s="2012"/>
      <c r="P295" s="2009"/>
      <c r="Q295" s="4"/>
    </row>
    <row r="296" spans="2:17" s="437" customFormat="1" ht="7.5" customHeight="1" x14ac:dyDescent="0.25">
      <c r="B296" s="207">
        <v>7</v>
      </c>
      <c r="C296" s="2198" t="s">
        <v>21</v>
      </c>
      <c r="D296" s="2199"/>
      <c r="E296" s="2199"/>
      <c r="F296" s="2199"/>
      <c r="G296" s="2220"/>
      <c r="H296" s="2220"/>
      <c r="I296" s="2199" t="s">
        <v>21</v>
      </c>
      <c r="J296" s="2199"/>
      <c r="K296" s="2199"/>
      <c r="L296" s="2221"/>
      <c r="M296" s="2227"/>
      <c r="N296" s="2228"/>
      <c r="O296" s="2227"/>
      <c r="P296" s="2228"/>
    </row>
    <row r="297" spans="2:17" x14ac:dyDescent="0.25">
      <c r="B297" s="30" t="s">
        <v>207</v>
      </c>
      <c r="C297" s="1015" t="str">
        <f>+G275</f>
        <v>Provisión de compras</v>
      </c>
      <c r="D297" s="1016"/>
      <c r="E297" s="1016"/>
      <c r="F297" s="991"/>
      <c r="G297" s="51"/>
      <c r="H297" s="51"/>
      <c r="I297" s="4"/>
      <c r="J297" s="4"/>
      <c r="K297" s="4"/>
      <c r="L297" s="991"/>
      <c r="M297" s="2008">
        <f>+O275</f>
        <v>8000</v>
      </c>
      <c r="N297" s="2009"/>
      <c r="O297" s="2008"/>
      <c r="P297" s="2009"/>
    </row>
    <row r="298" spans="2:17" x14ac:dyDescent="0.25">
      <c r="B298" s="102" t="s">
        <v>11</v>
      </c>
      <c r="C298" s="1016" t="s">
        <v>5</v>
      </c>
      <c r="D298" s="1016"/>
      <c r="E298" s="1016"/>
      <c r="F298" s="991"/>
      <c r="G298" s="51"/>
      <c r="H298" s="51"/>
      <c r="I298" s="4"/>
      <c r="J298" s="4"/>
      <c r="K298" s="4"/>
      <c r="L298" s="991"/>
      <c r="M298" s="2008">
        <f>+K309</f>
        <v>75</v>
      </c>
      <c r="N298" s="2009"/>
      <c r="O298" s="2012"/>
      <c r="P298" s="2009"/>
    </row>
    <row r="299" spans="2:17" x14ac:dyDescent="0.25">
      <c r="B299" s="38" t="s">
        <v>142</v>
      </c>
      <c r="C299" s="1015" t="s">
        <v>1829</v>
      </c>
      <c r="D299" s="1016"/>
      <c r="E299" s="1016"/>
      <c r="F299" s="991"/>
      <c r="G299" s="51"/>
      <c r="H299" s="51"/>
      <c r="I299" s="4"/>
      <c r="J299" s="4"/>
      <c r="K299" s="4"/>
      <c r="L299" s="991"/>
      <c r="M299" s="2008">
        <f>+K308</f>
        <v>425</v>
      </c>
      <c r="N299" s="2009"/>
      <c r="O299" s="994"/>
      <c r="P299" s="995"/>
    </row>
    <row r="300" spans="2:17" x14ac:dyDescent="0.25">
      <c r="B300" s="38" t="s">
        <v>11</v>
      </c>
      <c r="C300" s="1015" t="s">
        <v>13</v>
      </c>
      <c r="D300" s="1016"/>
      <c r="E300" s="1016"/>
      <c r="F300" s="991"/>
      <c r="G300" s="51"/>
      <c r="H300" s="51"/>
      <c r="I300" s="4"/>
      <c r="J300" s="4"/>
      <c r="K300" s="4"/>
      <c r="L300" s="991"/>
      <c r="M300" s="2008">
        <f>0.21*8500</f>
        <v>1785</v>
      </c>
      <c r="N300" s="2009"/>
      <c r="O300" s="994"/>
      <c r="P300" s="995"/>
    </row>
    <row r="301" spans="2:17" x14ac:dyDescent="0.25">
      <c r="B301" s="1009" t="s">
        <v>17</v>
      </c>
      <c r="C301" s="1015"/>
      <c r="D301" s="1016"/>
      <c r="E301" s="1016"/>
      <c r="F301" s="20" t="s">
        <v>1</v>
      </c>
      <c r="G301" s="1020" t="s">
        <v>2</v>
      </c>
      <c r="H301" s="1020"/>
      <c r="I301" s="4"/>
      <c r="J301" s="4"/>
      <c r="K301" s="4"/>
      <c r="L301" s="4"/>
      <c r="M301" s="2008"/>
      <c r="N301" s="2012"/>
      <c r="O301" s="2008">
        <f>+M297+M298+M299+M300</f>
        <v>10285</v>
      </c>
      <c r="P301" s="2009"/>
    </row>
    <row r="302" spans="2:17" x14ac:dyDescent="0.25">
      <c r="C302" s="206" t="s">
        <v>1828</v>
      </c>
      <c r="D302" s="11"/>
      <c r="E302" s="11"/>
      <c r="F302" s="11"/>
      <c r="G302" s="24"/>
      <c r="H302" s="24"/>
      <c r="I302" s="3"/>
      <c r="J302" s="3"/>
      <c r="K302" s="3"/>
      <c r="L302" s="3"/>
      <c r="M302" s="510"/>
      <c r="N302" s="22"/>
      <c r="O302" s="510"/>
      <c r="P302" s="511"/>
      <c r="Q302" s="8"/>
    </row>
    <row r="303" spans="2:17" x14ac:dyDescent="0.25">
      <c r="M303" s="2012"/>
      <c r="N303" s="2012"/>
      <c r="O303" s="2012"/>
      <c r="P303" s="2012"/>
    </row>
    <row r="304" spans="2:17" x14ac:dyDescent="0.25">
      <c r="C304" s="2234" t="s">
        <v>129</v>
      </c>
      <c r="D304" s="2234"/>
      <c r="E304" s="2234"/>
    </row>
    <row r="305" spans="1:17" x14ac:dyDescent="0.25">
      <c r="C305" s="1191" t="s">
        <v>1827</v>
      </c>
      <c r="K305" s="2230">
        <v>8000</v>
      </c>
      <c r="L305" s="2230"/>
    </row>
    <row r="306" spans="1:17" x14ac:dyDescent="0.25">
      <c r="C306" s="1191" t="s">
        <v>1826</v>
      </c>
      <c r="K306" s="2167">
        <v>8500</v>
      </c>
      <c r="L306" s="2167"/>
    </row>
    <row r="307" spans="1:17" x14ac:dyDescent="0.25">
      <c r="C307" s="1191" t="s">
        <v>1825</v>
      </c>
      <c r="K307" s="2230">
        <f>+K306-K305</f>
        <v>500</v>
      </c>
      <c r="L307" s="2230"/>
    </row>
    <row r="308" spans="1:17" x14ac:dyDescent="0.25">
      <c r="C308" s="668" t="s">
        <v>1824</v>
      </c>
      <c r="K308" s="2155">
        <f>8500*0.05</f>
        <v>425</v>
      </c>
      <c r="L308" s="2156"/>
    </row>
    <row r="309" spans="1:17" x14ac:dyDescent="0.25">
      <c r="C309" s="1191" t="s">
        <v>1823</v>
      </c>
      <c r="K309" s="2084">
        <f>+K307-K308</f>
        <v>75</v>
      </c>
      <c r="L309" s="2085"/>
    </row>
    <row r="310" spans="1:17" x14ac:dyDescent="0.25">
      <c r="C310" s="1191" t="s">
        <v>1822</v>
      </c>
      <c r="K310" s="2230">
        <f>0.21*8500</f>
        <v>1785</v>
      </c>
      <c r="L310" s="2230"/>
    </row>
    <row r="312" spans="1:17" x14ac:dyDescent="0.25">
      <c r="B312" s="6" t="s">
        <v>389</v>
      </c>
      <c r="C312" s="21" t="s">
        <v>1821</v>
      </c>
    </row>
    <row r="313" spans="1:17" x14ac:dyDescent="0.25">
      <c r="C313" s="1016" t="s">
        <v>1820</v>
      </c>
    </row>
    <row r="314" spans="1:17" x14ac:dyDescent="0.25">
      <c r="C314" s="1016" t="s">
        <v>1819</v>
      </c>
    </row>
    <row r="315" spans="1:17" x14ac:dyDescent="0.25">
      <c r="C315" s="1016" t="s">
        <v>1818</v>
      </c>
      <c r="E315" s="2231">
        <f>8000+75-0+200+300+100</f>
        <v>8675</v>
      </c>
      <c r="F315" s="2231"/>
      <c r="H315" s="2"/>
      <c r="M315" s="2"/>
      <c r="N315" s="2"/>
    </row>
    <row r="316" spans="1:17" x14ac:dyDescent="0.25">
      <c r="A316" s="4"/>
      <c r="B316" s="1004"/>
      <c r="C316" s="440" t="s">
        <v>1817</v>
      </c>
      <c r="D316" s="2"/>
      <c r="E316" s="2"/>
      <c r="F316" s="2"/>
      <c r="G316" s="2"/>
      <c r="H316" s="2"/>
      <c r="J316" s="6" t="s">
        <v>18</v>
      </c>
      <c r="K316" s="2232">
        <f>+E315/100</f>
        <v>86.75</v>
      </c>
      <c r="L316" s="2233"/>
      <c r="M316" s="18"/>
      <c r="N316" s="18"/>
      <c r="O316" s="18"/>
      <c r="P316" s="18"/>
      <c r="Q316" s="4"/>
    </row>
    <row r="317" spans="1:17" x14ac:dyDescent="0.25">
      <c r="A317" s="4"/>
      <c r="B317" s="1004"/>
      <c r="G317" s="51"/>
      <c r="H317" s="51"/>
      <c r="I317" s="4"/>
      <c r="J317" s="4"/>
      <c r="K317" s="4"/>
      <c r="L317" s="4"/>
      <c r="M317" s="18"/>
      <c r="N317" s="18"/>
      <c r="O317" s="18"/>
      <c r="P317" s="18"/>
      <c r="Q317" s="4"/>
    </row>
    <row r="318" spans="1:17" x14ac:dyDescent="0.25">
      <c r="A318" s="4"/>
      <c r="B318" s="1004"/>
      <c r="G318" s="51"/>
      <c r="H318" s="51"/>
      <c r="I318" s="4"/>
      <c r="J318" s="4"/>
      <c r="K318" s="4"/>
      <c r="L318" s="4"/>
      <c r="M318" s="18"/>
      <c r="N318" s="18"/>
      <c r="O318" s="18"/>
      <c r="P318" s="18"/>
      <c r="Q318" s="4"/>
    </row>
    <row r="319" spans="1:17" s="4" customFormat="1" x14ac:dyDescent="0.25">
      <c r="B319" s="1004"/>
      <c r="C319" s="12"/>
      <c r="D319" s="12"/>
      <c r="E319" s="12"/>
      <c r="F319" s="12"/>
      <c r="G319" s="51"/>
      <c r="H319" s="51"/>
      <c r="M319" s="18"/>
      <c r="N319" s="18"/>
      <c r="O319" s="18"/>
      <c r="P319" s="18"/>
    </row>
    <row r="320" spans="1:17" s="4" customFormat="1" x14ac:dyDescent="0.25">
      <c r="A320" s="1844" t="s">
        <v>20</v>
      </c>
      <c r="B320" s="1845"/>
      <c r="C320" s="1845"/>
      <c r="D320" s="1845"/>
      <c r="E320" s="1845"/>
      <c r="F320" s="1845"/>
      <c r="G320" s="1845"/>
      <c r="H320" s="1845"/>
      <c r="I320" s="1845"/>
      <c r="J320" s="1845"/>
      <c r="K320" s="1845"/>
      <c r="L320" s="1845"/>
      <c r="M320" s="1845"/>
      <c r="N320" s="1845"/>
      <c r="O320" s="1845"/>
      <c r="P320" s="1845"/>
      <c r="Q320" s="1846"/>
    </row>
    <row r="321" spans="1:17" s="4" customFormat="1" x14ac:dyDescent="0.25">
      <c r="A321" s="1847" t="s">
        <v>1816</v>
      </c>
      <c r="B321" s="1848"/>
      <c r="C321" s="1848"/>
      <c r="D321" s="1848"/>
      <c r="E321" s="1848"/>
      <c r="F321" s="1848"/>
      <c r="G321" s="1848"/>
      <c r="H321" s="1848"/>
      <c r="I321" s="1848"/>
      <c r="J321" s="1848"/>
      <c r="K321" s="1848"/>
      <c r="L321" s="1848"/>
      <c r="M321" s="1848"/>
      <c r="N321" s="1848"/>
      <c r="O321" s="1848"/>
      <c r="P321" s="1848"/>
      <c r="Q321" s="1849"/>
    </row>
    <row r="322" spans="1:17" s="4" customFormat="1" x14ac:dyDescent="0.25">
      <c r="B322" s="1004"/>
      <c r="C322" s="12"/>
      <c r="D322" s="12"/>
      <c r="E322" s="12"/>
      <c r="F322" s="12"/>
      <c r="G322" s="51"/>
      <c r="H322" s="51"/>
      <c r="M322" s="18"/>
      <c r="N322" s="18"/>
      <c r="O322" s="18"/>
      <c r="P322" s="18"/>
    </row>
    <row r="323" spans="1:17" x14ac:dyDescent="0.25">
      <c r="B323" s="6" t="s">
        <v>307</v>
      </c>
      <c r="C323" s="21" t="s">
        <v>308</v>
      </c>
    </row>
    <row r="324" spans="1:17" s="437" customFormat="1" ht="7.5" customHeight="1" x14ac:dyDescent="0.25">
      <c r="B324" s="1179"/>
      <c r="C324" s="1178"/>
      <c r="D324" s="1177"/>
      <c r="E324" s="1177"/>
      <c r="F324" s="1177"/>
      <c r="G324" s="435"/>
      <c r="H324" s="435"/>
      <c r="M324" s="2102" t="s">
        <v>9</v>
      </c>
      <c r="N324" s="2102"/>
      <c r="O324" s="2102" t="s">
        <v>8</v>
      </c>
      <c r="P324" s="2102"/>
    </row>
    <row r="325" spans="1:17" s="437" customFormat="1" ht="11.25" customHeight="1" x14ac:dyDescent="0.25">
      <c r="B325" s="207">
        <v>1</v>
      </c>
      <c r="C325" s="1188"/>
      <c r="D325" s="1175"/>
      <c r="E325" s="1173"/>
      <c r="F325" s="1173"/>
      <c r="G325" s="2224"/>
      <c r="H325" s="2224"/>
      <c r="I325" s="1174"/>
      <c r="J325" s="1174"/>
      <c r="K325" s="1174"/>
      <c r="L325" s="1173"/>
      <c r="M325" s="2103"/>
      <c r="N325" s="2103"/>
      <c r="O325" s="2103" t="s">
        <v>8</v>
      </c>
      <c r="P325" s="2103"/>
    </row>
    <row r="326" spans="1:17" x14ac:dyDescent="0.25">
      <c r="B326" s="30" t="s">
        <v>11</v>
      </c>
      <c r="C326" s="1015" t="s">
        <v>10</v>
      </c>
      <c r="D326" s="31"/>
      <c r="E326" s="1016"/>
      <c r="F326" s="991"/>
      <c r="G326" s="51"/>
      <c r="H326" s="51"/>
      <c r="I326" s="4"/>
      <c r="J326" s="4"/>
      <c r="K326" s="4"/>
      <c r="L326" s="991"/>
      <c r="M326" s="2008">
        <v>200000</v>
      </c>
      <c r="N326" s="2009"/>
      <c r="O326" s="2012"/>
      <c r="P326" s="2009"/>
    </row>
    <row r="327" spans="1:17" x14ac:dyDescent="0.25">
      <c r="B327" s="1009" t="s">
        <v>11</v>
      </c>
      <c r="C327" s="1015" t="s">
        <v>1814</v>
      </c>
      <c r="D327" s="1016"/>
      <c r="E327" s="1016"/>
      <c r="F327" s="1016"/>
      <c r="G327" s="51"/>
      <c r="H327" s="51"/>
      <c r="I327" s="4"/>
      <c r="J327" s="4"/>
      <c r="K327" s="4"/>
      <c r="L327" s="4"/>
      <c r="M327" s="2008">
        <v>100000</v>
      </c>
      <c r="N327" s="2009"/>
      <c r="O327" s="2008"/>
      <c r="P327" s="2009"/>
    </row>
    <row r="328" spans="1:17" x14ac:dyDescent="0.25">
      <c r="B328" s="1009" t="s">
        <v>458</v>
      </c>
      <c r="C328" s="1015"/>
      <c r="D328" s="1016"/>
      <c r="E328" s="1016"/>
      <c r="F328" s="20" t="s">
        <v>1</v>
      </c>
      <c r="G328" s="1020" t="s">
        <v>435</v>
      </c>
      <c r="H328" s="1020"/>
      <c r="I328" s="4"/>
      <c r="J328" s="4"/>
      <c r="K328" s="4"/>
      <c r="L328" s="4"/>
      <c r="M328" s="2008"/>
      <c r="N328" s="2012"/>
      <c r="O328" s="2222">
        <f>+M326+M327</f>
        <v>300000</v>
      </c>
      <c r="P328" s="2223"/>
    </row>
    <row r="329" spans="1:17" x14ac:dyDescent="0.25">
      <c r="C329" s="987" t="s">
        <v>1815</v>
      </c>
      <c r="D329" s="1016"/>
      <c r="E329" s="1016"/>
      <c r="F329" s="20"/>
      <c r="G329" s="1020"/>
      <c r="H329" s="1020"/>
      <c r="I329" s="4"/>
      <c r="J329" s="4"/>
      <c r="K329" s="4"/>
      <c r="L329" s="4"/>
      <c r="M329" s="993"/>
      <c r="N329" s="994"/>
      <c r="O329" s="993"/>
      <c r="P329" s="995"/>
    </row>
    <row r="330" spans="1:17" s="437" customFormat="1" ht="11.25" customHeight="1" x14ac:dyDescent="0.25">
      <c r="B330" s="207">
        <v>2</v>
      </c>
      <c r="C330" s="2198" t="s">
        <v>1784</v>
      </c>
      <c r="D330" s="2199"/>
      <c r="E330" s="2199"/>
      <c r="F330" s="2199"/>
      <c r="G330" s="2220"/>
      <c r="H330" s="2220"/>
      <c r="I330" s="2199" t="s">
        <v>1784</v>
      </c>
      <c r="J330" s="2199"/>
      <c r="K330" s="2199"/>
      <c r="L330" s="2199"/>
      <c r="M330" s="2227"/>
      <c r="N330" s="2228"/>
      <c r="O330" s="2227"/>
      <c r="P330" s="2228"/>
    </row>
    <row r="331" spans="1:17" x14ac:dyDescent="0.25">
      <c r="B331" s="30" t="s">
        <v>11</v>
      </c>
      <c r="C331" s="1015" t="s">
        <v>29</v>
      </c>
      <c r="D331" s="1016"/>
      <c r="E331" s="1016"/>
      <c r="F331" s="991"/>
      <c r="G331" s="51"/>
      <c r="H331" s="51"/>
      <c r="I331" s="4"/>
      <c r="J331" s="4"/>
      <c r="K331" s="4"/>
      <c r="L331" s="991"/>
      <c r="M331" s="2008">
        <v>135000</v>
      </c>
      <c r="N331" s="2009"/>
      <c r="O331" s="2012"/>
      <c r="P331" s="2009"/>
    </row>
    <row r="332" spans="1:17" x14ac:dyDescent="0.25">
      <c r="B332" s="38" t="s">
        <v>14</v>
      </c>
      <c r="C332" s="1015"/>
      <c r="D332" s="1016"/>
      <c r="E332" s="1016"/>
      <c r="F332" s="20" t="s">
        <v>1</v>
      </c>
      <c r="G332" s="1020" t="s">
        <v>1814</v>
      </c>
      <c r="H332" s="51"/>
      <c r="I332" s="4"/>
      <c r="J332" s="4"/>
      <c r="K332" s="4"/>
      <c r="L332" s="991"/>
      <c r="M332" s="2008"/>
      <c r="N332" s="2009"/>
      <c r="O332" s="2008">
        <v>100000</v>
      </c>
      <c r="P332" s="2009"/>
    </row>
    <row r="333" spans="1:17" x14ac:dyDescent="0.25">
      <c r="B333" s="1009" t="s">
        <v>16</v>
      </c>
      <c r="C333" s="1015"/>
      <c r="D333" s="1016"/>
      <c r="E333" s="1016"/>
      <c r="F333" s="20" t="s">
        <v>1</v>
      </c>
      <c r="G333" s="1020" t="s">
        <v>144</v>
      </c>
      <c r="H333" s="1020"/>
      <c r="I333" s="4"/>
      <c r="J333" s="4"/>
      <c r="K333" s="4"/>
      <c r="L333" s="4"/>
      <c r="M333" s="2008"/>
      <c r="N333" s="2012"/>
      <c r="O333" s="2008">
        <f>+M331-O332</f>
        <v>35000</v>
      </c>
      <c r="P333" s="2009"/>
    </row>
    <row r="334" spans="1:17" x14ac:dyDescent="0.25">
      <c r="C334" s="987" t="s">
        <v>1813</v>
      </c>
      <c r="D334" s="1016"/>
      <c r="E334" s="1016"/>
      <c r="F334" s="20"/>
      <c r="G334" s="1020"/>
      <c r="H334" s="1020"/>
      <c r="I334" s="4"/>
      <c r="J334" s="4"/>
      <c r="K334" s="4"/>
      <c r="L334" s="4"/>
      <c r="M334" s="993"/>
      <c r="N334" s="994"/>
      <c r="O334" s="993"/>
      <c r="P334" s="995"/>
    </row>
    <row r="335" spans="1:17" s="437" customFormat="1" ht="11.25" customHeight="1" x14ac:dyDescent="0.25">
      <c r="B335" s="207">
        <v>3</v>
      </c>
      <c r="C335" s="2198" t="s">
        <v>1784</v>
      </c>
      <c r="D335" s="2199"/>
      <c r="E335" s="2199"/>
      <c r="F335" s="2199"/>
      <c r="G335" s="2220"/>
      <c r="H335" s="2220"/>
      <c r="I335" s="2199" t="s">
        <v>1784</v>
      </c>
      <c r="J335" s="2199"/>
      <c r="K335" s="2199"/>
      <c r="L335" s="2199"/>
      <c r="M335" s="2227"/>
      <c r="N335" s="2228"/>
      <c r="O335" s="2227"/>
      <c r="P335" s="2228"/>
    </row>
    <row r="336" spans="1:17" x14ac:dyDescent="0.25">
      <c r="B336" s="30" t="s">
        <v>15</v>
      </c>
      <c r="C336" s="1015" t="s">
        <v>1812</v>
      </c>
      <c r="D336" s="1016"/>
      <c r="E336" s="1016"/>
      <c r="F336" s="991"/>
      <c r="G336" s="51"/>
      <c r="H336" s="51"/>
      <c r="I336" s="4"/>
      <c r="J336" s="4"/>
      <c r="K336" s="4"/>
      <c r="L336" s="991"/>
      <c r="M336" s="2222">
        <v>800</v>
      </c>
      <c r="N336" s="2223"/>
      <c r="O336" s="2229"/>
      <c r="P336" s="2223"/>
    </row>
    <row r="337" spans="2:16" x14ac:dyDescent="0.25">
      <c r="B337" s="38" t="s">
        <v>14</v>
      </c>
      <c r="C337" s="1015"/>
      <c r="D337" s="1016"/>
      <c r="E337" s="1016"/>
      <c r="F337" s="20" t="s">
        <v>1</v>
      </c>
      <c r="G337" s="1020" t="s">
        <v>10</v>
      </c>
      <c r="H337" s="51"/>
      <c r="I337" s="4"/>
      <c r="J337" s="4"/>
      <c r="K337" s="4"/>
      <c r="L337" s="991"/>
      <c r="M337" s="2222"/>
      <c r="N337" s="2223"/>
      <c r="O337" s="2222">
        <f>+M336</f>
        <v>800</v>
      </c>
      <c r="P337" s="2223"/>
    </row>
    <row r="338" spans="2:16" x14ac:dyDescent="0.25">
      <c r="C338" s="987" t="s">
        <v>1811</v>
      </c>
      <c r="D338" s="1016"/>
      <c r="E338" s="1016"/>
      <c r="F338" s="20"/>
      <c r="G338" s="1020"/>
      <c r="H338" s="1020"/>
      <c r="I338" s="4"/>
      <c r="J338" s="4"/>
      <c r="K338" s="4"/>
      <c r="L338" s="4"/>
      <c r="M338" s="993"/>
      <c r="N338" s="994"/>
      <c r="O338" s="993"/>
      <c r="P338" s="995"/>
    </row>
    <row r="339" spans="2:16" s="437" customFormat="1" ht="11.25" customHeight="1" x14ac:dyDescent="0.25">
      <c r="B339" s="207">
        <v>4</v>
      </c>
      <c r="C339" s="2198" t="s">
        <v>1784</v>
      </c>
      <c r="D339" s="2199"/>
      <c r="E339" s="2199"/>
      <c r="F339" s="2199"/>
      <c r="G339" s="2220"/>
      <c r="H339" s="2220"/>
      <c r="I339" s="2199" t="s">
        <v>1784</v>
      </c>
      <c r="J339" s="2199"/>
      <c r="K339" s="2199"/>
      <c r="L339" s="2199"/>
      <c r="M339" s="2227"/>
      <c r="N339" s="2228"/>
      <c r="O339" s="2227"/>
      <c r="P339" s="2228"/>
    </row>
    <row r="340" spans="2:16" x14ac:dyDescent="0.25">
      <c r="B340" s="30" t="s">
        <v>11</v>
      </c>
      <c r="C340" s="1015" t="s">
        <v>29</v>
      </c>
      <c r="D340" s="1016"/>
      <c r="E340" s="1016"/>
      <c r="F340" s="991"/>
      <c r="G340" s="51"/>
      <c r="H340" s="51"/>
      <c r="I340" s="4"/>
      <c r="J340" s="4"/>
      <c r="K340" s="4"/>
      <c r="L340" s="991"/>
      <c r="M340" s="2008">
        <v>2000</v>
      </c>
      <c r="N340" s="2009"/>
      <c r="O340" s="2012"/>
      <c r="P340" s="2009"/>
    </row>
    <row r="341" spans="2:16" x14ac:dyDescent="0.25">
      <c r="B341" s="38" t="s">
        <v>11</v>
      </c>
      <c r="C341" s="1015" t="s">
        <v>13</v>
      </c>
      <c r="D341" s="1016"/>
      <c r="E341" s="1016"/>
      <c r="F341" s="991"/>
      <c r="G341" s="51"/>
      <c r="H341" s="51"/>
      <c r="I341" s="4"/>
      <c r="J341" s="4"/>
      <c r="K341" s="4"/>
      <c r="L341" s="991"/>
      <c r="M341" s="2008">
        <f>+M340*0.21</f>
        <v>420</v>
      </c>
      <c r="N341" s="2009"/>
      <c r="O341" s="994"/>
      <c r="P341" s="995"/>
    </row>
    <row r="342" spans="2:16" x14ac:dyDescent="0.25">
      <c r="B342" s="38" t="s">
        <v>17</v>
      </c>
      <c r="C342" s="1015"/>
      <c r="D342" s="1016"/>
      <c r="E342" s="1016"/>
      <c r="F342" s="20" t="s">
        <v>1</v>
      </c>
      <c r="G342" s="1020" t="s">
        <v>235</v>
      </c>
      <c r="H342" s="51"/>
      <c r="I342" s="4"/>
      <c r="J342" s="4"/>
      <c r="K342" s="4"/>
      <c r="L342" s="991"/>
      <c r="M342" s="2008"/>
      <c r="N342" s="2009"/>
      <c r="O342" s="2008">
        <f>+M340+M341</f>
        <v>2420</v>
      </c>
      <c r="P342" s="2009"/>
    </row>
    <row r="343" spans="2:16" x14ac:dyDescent="0.25">
      <c r="C343" s="987" t="s">
        <v>1810</v>
      </c>
      <c r="D343" s="1016"/>
      <c r="E343" s="1016"/>
      <c r="F343" s="20"/>
      <c r="G343" s="1020"/>
      <c r="H343" s="1020"/>
      <c r="I343" s="4"/>
      <c r="J343" s="4"/>
      <c r="K343" s="4"/>
      <c r="L343" s="4"/>
      <c r="M343" s="993"/>
      <c r="N343" s="994"/>
      <c r="O343" s="993"/>
      <c r="P343" s="995"/>
    </row>
    <row r="344" spans="2:16" x14ac:dyDescent="0.25">
      <c r="C344" s="987"/>
      <c r="D344" s="1016"/>
      <c r="E344" s="1016"/>
      <c r="F344" s="20"/>
      <c r="G344" s="1020"/>
      <c r="H344" s="1020"/>
      <c r="I344" s="4"/>
      <c r="J344" s="4"/>
      <c r="K344" s="4"/>
      <c r="L344" s="4"/>
      <c r="M344" s="993"/>
      <c r="N344" s="994"/>
      <c r="O344" s="993"/>
      <c r="P344" s="995"/>
    </row>
    <row r="345" spans="2:16" s="437" customFormat="1" ht="11.25" customHeight="1" x14ac:dyDescent="0.25">
      <c r="B345" s="207">
        <v>5</v>
      </c>
      <c r="C345" s="2198" t="s">
        <v>1784</v>
      </c>
      <c r="D345" s="2199"/>
      <c r="E345" s="2199"/>
      <c r="F345" s="2199"/>
      <c r="G345" s="2220"/>
      <c r="H345" s="2220"/>
      <c r="I345" s="2199" t="s">
        <v>1784</v>
      </c>
      <c r="J345" s="2199"/>
      <c r="K345" s="2199"/>
      <c r="L345" s="2199"/>
      <c r="M345" s="2227"/>
      <c r="N345" s="2228"/>
      <c r="O345" s="2227"/>
      <c r="P345" s="2228"/>
    </row>
    <row r="346" spans="2:16" x14ac:dyDescent="0.25">
      <c r="B346" s="30" t="s">
        <v>207</v>
      </c>
      <c r="C346" s="1089" t="str">
        <f>+G342</f>
        <v>Proveedores varios</v>
      </c>
      <c r="D346" s="1088"/>
      <c r="E346" s="1088"/>
      <c r="F346" s="320"/>
      <c r="G346" s="1087"/>
      <c r="H346" s="1087"/>
      <c r="I346" s="317"/>
      <c r="J346" s="317"/>
      <c r="K346" s="317"/>
      <c r="L346" s="320"/>
      <c r="M346" s="2222">
        <f>+O342</f>
        <v>2420</v>
      </c>
      <c r="N346" s="2223"/>
      <c r="O346" s="2229"/>
      <c r="P346" s="2223"/>
    </row>
    <row r="347" spans="2:16" x14ac:dyDescent="0.25">
      <c r="B347" s="38" t="s">
        <v>14</v>
      </c>
      <c r="C347" s="1089"/>
      <c r="D347" s="1088"/>
      <c r="E347" s="1088"/>
      <c r="F347" s="1190" t="s">
        <v>1</v>
      </c>
      <c r="G347" s="1024" t="s">
        <v>10</v>
      </c>
      <c r="H347" s="1087"/>
      <c r="I347" s="317"/>
      <c r="J347" s="317"/>
      <c r="K347" s="317"/>
      <c r="L347" s="320"/>
      <c r="M347" s="2222"/>
      <c r="N347" s="2223"/>
      <c r="O347" s="2222">
        <f>+M346</f>
        <v>2420</v>
      </c>
      <c r="P347" s="2223"/>
    </row>
    <row r="348" spans="2:16" x14ac:dyDescent="0.25">
      <c r="C348" s="987" t="s">
        <v>1809</v>
      </c>
      <c r="D348" s="1016"/>
      <c r="E348" s="1016"/>
      <c r="F348" s="20"/>
      <c r="G348" s="1020"/>
      <c r="H348" s="1020"/>
      <c r="I348" s="4"/>
      <c r="J348" s="4"/>
      <c r="K348" s="4"/>
      <c r="L348" s="4"/>
      <c r="M348" s="993"/>
      <c r="N348" s="994"/>
      <c r="O348" s="993"/>
      <c r="P348" s="995"/>
    </row>
    <row r="349" spans="2:16" s="437" customFormat="1" ht="11.25" customHeight="1" x14ac:dyDescent="0.25">
      <c r="B349" s="207">
        <v>6</v>
      </c>
      <c r="C349" s="2198" t="s">
        <v>1784</v>
      </c>
      <c r="D349" s="2199"/>
      <c r="E349" s="2199"/>
      <c r="F349" s="2199"/>
      <c r="G349" s="2225" t="s">
        <v>1808</v>
      </c>
      <c r="H349" s="2226"/>
      <c r="I349" s="2199" t="s">
        <v>1784</v>
      </c>
      <c r="J349" s="2199"/>
      <c r="K349" s="2199"/>
      <c r="L349" s="2199"/>
      <c r="M349" s="2227"/>
      <c r="N349" s="2228"/>
      <c r="O349" s="2227"/>
      <c r="P349" s="2228"/>
    </row>
    <row r="350" spans="2:16" x14ac:dyDescent="0.25">
      <c r="B350" s="30" t="s">
        <v>11</v>
      </c>
      <c r="C350" s="1015" t="s">
        <v>478</v>
      </c>
      <c r="D350" s="1016"/>
      <c r="E350" s="1016"/>
      <c r="F350" s="991"/>
      <c r="G350" s="51"/>
      <c r="H350" s="51"/>
      <c r="I350" s="4"/>
      <c r="J350" s="4"/>
      <c r="K350" s="4"/>
      <c r="L350" s="991"/>
      <c r="M350" s="2008">
        <v>100000</v>
      </c>
      <c r="N350" s="2009"/>
      <c r="O350" s="2012"/>
      <c r="P350" s="2009"/>
    </row>
    <row r="351" spans="2:16" x14ac:dyDescent="0.25">
      <c r="B351" s="38" t="s">
        <v>11</v>
      </c>
      <c r="C351" s="1015" t="s">
        <v>104</v>
      </c>
      <c r="D351" s="1016"/>
      <c r="E351" s="1016"/>
      <c r="F351" s="991"/>
      <c r="G351" s="51"/>
      <c r="H351" s="51"/>
      <c r="I351" s="4"/>
      <c r="J351" s="4"/>
      <c r="K351" s="4"/>
      <c r="L351" s="991"/>
      <c r="M351" s="2008">
        <f>+O352+O353-M350</f>
        <v>69400</v>
      </c>
      <c r="N351" s="2009"/>
      <c r="O351" s="994"/>
      <c r="P351" s="995"/>
    </row>
    <row r="352" spans="2:16" x14ac:dyDescent="0.25">
      <c r="B352" s="38" t="s">
        <v>16</v>
      </c>
      <c r="C352" s="1015"/>
      <c r="D352" s="1016"/>
      <c r="E352" s="1016"/>
      <c r="F352" s="20" t="s">
        <v>1</v>
      </c>
      <c r="G352" s="1020" t="s">
        <v>1807</v>
      </c>
      <c r="H352" s="51"/>
      <c r="I352" s="4"/>
      <c r="J352" s="4"/>
      <c r="K352" s="4"/>
      <c r="L352" s="991"/>
      <c r="M352" s="993"/>
      <c r="N352" s="995"/>
      <c r="O352" s="2008">
        <v>140000</v>
      </c>
      <c r="P352" s="2009"/>
    </row>
    <row r="353" spans="2:16" x14ac:dyDescent="0.25">
      <c r="B353" s="38" t="s">
        <v>17</v>
      </c>
      <c r="C353" s="1015"/>
      <c r="D353" s="1016"/>
      <c r="E353" s="1016"/>
      <c r="F353" s="20" t="s">
        <v>1</v>
      </c>
      <c r="G353" s="1020" t="s">
        <v>12</v>
      </c>
      <c r="H353" s="51"/>
      <c r="I353" s="4"/>
      <c r="J353" s="4"/>
      <c r="K353" s="4"/>
      <c r="L353" s="991"/>
      <c r="M353" s="993"/>
      <c r="N353" s="995"/>
      <c r="O353" s="2008">
        <f>+O352*0.21</f>
        <v>29400</v>
      </c>
      <c r="P353" s="2009"/>
    </row>
    <row r="354" spans="2:16" x14ac:dyDescent="0.25">
      <c r="B354" s="38"/>
      <c r="C354" s="987" t="s">
        <v>1806</v>
      </c>
      <c r="D354" s="1016"/>
      <c r="E354" s="1016"/>
      <c r="F354" s="20"/>
      <c r="G354" s="1020"/>
      <c r="H354" s="51"/>
      <c r="I354" s="4"/>
      <c r="J354" s="4"/>
      <c r="K354" s="4"/>
      <c r="L354" s="991"/>
      <c r="M354" s="993"/>
      <c r="N354" s="995"/>
      <c r="O354" s="994"/>
      <c r="P354" s="995"/>
    </row>
    <row r="355" spans="2:16" ht="7.5" customHeight="1" x14ac:dyDescent="0.25">
      <c r="B355" s="38"/>
      <c r="C355" s="2198" t="s">
        <v>1784</v>
      </c>
      <c r="D355" s="2199"/>
      <c r="E355" s="2199"/>
      <c r="F355" s="2199"/>
      <c r="G355" s="2220"/>
      <c r="H355" s="2220"/>
      <c r="I355" s="2199" t="s">
        <v>1784</v>
      </c>
      <c r="J355" s="2199"/>
      <c r="K355" s="2199"/>
      <c r="L355" s="2199"/>
      <c r="M355" s="993"/>
      <c r="N355" s="995"/>
      <c r="O355" s="994"/>
      <c r="P355" s="995"/>
    </row>
    <row r="356" spans="2:16" x14ac:dyDescent="0.25">
      <c r="B356" s="38" t="s">
        <v>15</v>
      </c>
      <c r="C356" s="1015" t="s">
        <v>1805</v>
      </c>
      <c r="D356" s="1016"/>
      <c r="E356" s="1016"/>
      <c r="F356" s="2"/>
      <c r="G356" s="2"/>
      <c r="H356" s="51"/>
      <c r="I356" s="4"/>
      <c r="J356" s="4"/>
      <c r="K356" s="4"/>
      <c r="L356" s="991"/>
      <c r="M356" s="2008">
        <v>137000</v>
      </c>
      <c r="N356" s="2009"/>
      <c r="O356" s="994"/>
      <c r="P356" s="995"/>
    </row>
    <row r="357" spans="2:16" x14ac:dyDescent="0.25">
      <c r="B357" s="38" t="s">
        <v>14</v>
      </c>
      <c r="C357" s="1015"/>
      <c r="D357" s="1016"/>
      <c r="E357" s="1016"/>
      <c r="F357" s="20" t="s">
        <v>1</v>
      </c>
      <c r="G357" s="2" t="s">
        <v>29</v>
      </c>
      <c r="H357" s="51"/>
      <c r="I357" s="4"/>
      <c r="J357" s="4"/>
      <c r="K357" s="4"/>
      <c r="L357" s="991"/>
      <c r="M357" s="993"/>
      <c r="N357" s="995"/>
      <c r="O357" s="2008">
        <f>+M331+M340</f>
        <v>137000</v>
      </c>
      <c r="P357" s="2009"/>
    </row>
    <row r="358" spans="2:16" x14ac:dyDescent="0.25">
      <c r="B358" s="38"/>
      <c r="C358" s="987" t="s">
        <v>1804</v>
      </c>
      <c r="D358" s="1016"/>
      <c r="E358" s="1016"/>
      <c r="F358" s="20"/>
      <c r="G358" s="1020"/>
      <c r="H358" s="51"/>
      <c r="I358" s="4"/>
      <c r="J358" s="4"/>
      <c r="K358" s="4"/>
      <c r="L358" s="991"/>
      <c r="M358" s="2008"/>
      <c r="N358" s="2009"/>
      <c r="O358" s="2008"/>
      <c r="P358" s="2009"/>
    </row>
    <row r="359" spans="2:16" s="437" customFormat="1" ht="11.25" customHeight="1" x14ac:dyDescent="0.25">
      <c r="B359" s="207">
        <v>6</v>
      </c>
      <c r="C359" s="2198" t="s">
        <v>1784</v>
      </c>
      <c r="D359" s="2199"/>
      <c r="E359" s="2199"/>
      <c r="F359" s="2199"/>
      <c r="G359" s="2225" t="s">
        <v>1803</v>
      </c>
      <c r="H359" s="2226"/>
      <c r="I359" s="2199" t="s">
        <v>1784</v>
      </c>
      <c r="J359" s="2199"/>
      <c r="K359" s="2199"/>
      <c r="L359" s="2199"/>
      <c r="M359" s="2227"/>
      <c r="N359" s="2228"/>
      <c r="O359" s="2227"/>
      <c r="P359" s="2228"/>
    </row>
    <row r="360" spans="2:16" x14ac:dyDescent="0.25">
      <c r="B360" s="30" t="s">
        <v>11</v>
      </c>
      <c r="C360" s="1015" t="s">
        <v>478</v>
      </c>
      <c r="D360" s="1016"/>
      <c r="E360" s="1016"/>
      <c r="F360" s="991"/>
      <c r="G360" s="51"/>
      <c r="H360" s="51"/>
      <c r="I360" s="4"/>
      <c r="J360" s="4"/>
      <c r="K360" s="4"/>
      <c r="L360" s="991"/>
      <c r="M360" s="2222">
        <v>100000</v>
      </c>
      <c r="N360" s="2223"/>
      <c r="O360" s="2229"/>
      <c r="P360" s="2223"/>
    </row>
    <row r="361" spans="2:16" x14ac:dyDescent="0.25">
      <c r="B361" s="38" t="s">
        <v>11</v>
      </c>
      <c r="C361" s="1015" t="s">
        <v>104</v>
      </c>
      <c r="D361" s="1016"/>
      <c r="E361" s="1016"/>
      <c r="F361" s="991"/>
      <c r="G361" s="51"/>
      <c r="H361" s="51"/>
      <c r="I361" s="4"/>
      <c r="J361" s="4"/>
      <c r="K361" s="4"/>
      <c r="L361" s="991"/>
      <c r="M361" s="2222">
        <f>+O362+O363+O364-M360</f>
        <v>69400</v>
      </c>
      <c r="N361" s="2223"/>
      <c r="O361" s="999"/>
      <c r="P361" s="1001"/>
    </row>
    <row r="362" spans="2:16" x14ac:dyDescent="0.25">
      <c r="B362" s="38" t="s">
        <v>16</v>
      </c>
      <c r="C362" s="1015"/>
      <c r="D362" s="1016"/>
      <c r="E362" s="1016"/>
      <c r="F362" s="20" t="s">
        <v>1</v>
      </c>
      <c r="G362" s="1020" t="s">
        <v>1802</v>
      </c>
      <c r="H362" s="51"/>
      <c r="I362" s="4"/>
      <c r="J362" s="4"/>
      <c r="K362" s="4"/>
      <c r="L362" s="991"/>
      <c r="M362" s="998"/>
      <c r="N362" s="1001"/>
      <c r="O362" s="2222">
        <f>+O352-M356</f>
        <v>3000</v>
      </c>
      <c r="P362" s="2223"/>
    </row>
    <row r="363" spans="2:16" x14ac:dyDescent="0.25">
      <c r="B363" s="38" t="s">
        <v>17</v>
      </c>
      <c r="C363" s="1015"/>
      <c r="D363" s="1016"/>
      <c r="E363" s="1016"/>
      <c r="F363" s="20" t="s">
        <v>1</v>
      </c>
      <c r="G363" s="1020" t="s">
        <v>12</v>
      </c>
      <c r="H363" s="51"/>
      <c r="I363" s="4"/>
      <c r="J363" s="4"/>
      <c r="K363" s="4"/>
      <c r="L363" s="991"/>
      <c r="M363" s="998"/>
      <c r="N363" s="1001"/>
      <c r="O363" s="2222">
        <f>0.21*(O362+O364)</f>
        <v>29400</v>
      </c>
      <c r="P363" s="2223"/>
    </row>
    <row r="364" spans="2:16" x14ac:dyDescent="0.25">
      <c r="B364" s="38" t="s">
        <v>14</v>
      </c>
      <c r="C364" s="1015"/>
      <c r="D364" s="1016"/>
      <c r="E364" s="1016"/>
      <c r="F364" s="20" t="s">
        <v>1</v>
      </c>
      <c r="G364" s="1020" t="s">
        <v>29</v>
      </c>
      <c r="H364" s="51"/>
      <c r="I364" s="4"/>
      <c r="J364" s="4"/>
      <c r="K364" s="4"/>
      <c r="L364" s="991"/>
      <c r="M364" s="998"/>
      <c r="N364" s="1001"/>
      <c r="O364" s="2222">
        <f>+M331+M340</f>
        <v>137000</v>
      </c>
      <c r="P364" s="2223"/>
    </row>
    <row r="365" spans="2:16" x14ac:dyDescent="0.25">
      <c r="B365" s="38"/>
      <c r="C365" s="206" t="s">
        <v>1801</v>
      </c>
      <c r="D365" s="1018"/>
      <c r="E365" s="1018"/>
      <c r="F365" s="35"/>
      <c r="G365" s="1022"/>
      <c r="H365" s="24"/>
      <c r="I365" s="3"/>
      <c r="J365" s="3"/>
      <c r="K365" s="3"/>
      <c r="L365" s="1013"/>
      <c r="M365" s="983"/>
      <c r="N365" s="984"/>
      <c r="O365" s="985"/>
      <c r="P365" s="984"/>
    </row>
    <row r="366" spans="2:16" s="4" customFormat="1" x14ac:dyDescent="0.25">
      <c r="B366" s="1004"/>
      <c r="C366" s="12"/>
      <c r="D366" s="12"/>
      <c r="E366" s="12"/>
      <c r="F366" s="12"/>
      <c r="G366" s="51"/>
      <c r="H366" s="51"/>
      <c r="M366" s="18"/>
      <c r="N366" s="18"/>
      <c r="O366" s="18"/>
      <c r="P366" s="18"/>
    </row>
    <row r="367" spans="2:16" s="4" customFormat="1" x14ac:dyDescent="0.25">
      <c r="B367" s="1004"/>
      <c r="C367" s="1189" t="s">
        <v>1800</v>
      </c>
      <c r="D367" s="12"/>
      <c r="E367" s="12"/>
      <c r="F367" s="12"/>
      <c r="G367" s="51"/>
      <c r="H367" s="51"/>
      <c r="M367" s="18"/>
      <c r="N367" s="18"/>
      <c r="O367" s="18"/>
      <c r="P367" s="18"/>
    </row>
    <row r="368" spans="2:16" s="4" customFormat="1" x14ac:dyDescent="0.25">
      <c r="B368" s="1004"/>
      <c r="C368" s="12"/>
      <c r="D368" s="12"/>
      <c r="E368" s="12"/>
      <c r="F368" s="12"/>
      <c r="G368" s="51"/>
      <c r="H368" s="51"/>
      <c r="M368" s="18"/>
      <c r="N368" s="18"/>
      <c r="O368" s="18"/>
      <c r="P368" s="18"/>
    </row>
    <row r="369" spans="1:17" s="4" customFormat="1" x14ac:dyDescent="0.25">
      <c r="B369" s="1004"/>
      <c r="C369" s="12"/>
      <c r="D369" s="12"/>
      <c r="E369" s="12"/>
      <c r="F369" s="12"/>
      <c r="G369" s="51"/>
      <c r="H369" s="51"/>
      <c r="M369" s="18"/>
      <c r="N369" s="18"/>
      <c r="O369" s="18"/>
      <c r="P369" s="18"/>
    </row>
    <row r="370" spans="1:17" s="4" customFormat="1" x14ac:dyDescent="0.25">
      <c r="B370" s="1004"/>
      <c r="C370" s="12"/>
      <c r="D370" s="12"/>
      <c r="E370" s="12"/>
      <c r="F370" s="12"/>
      <c r="G370" s="51"/>
      <c r="H370" s="51"/>
      <c r="M370" s="18"/>
      <c r="N370" s="18"/>
      <c r="O370" s="18"/>
      <c r="P370" s="18"/>
    </row>
    <row r="371" spans="1:17" s="4" customFormat="1" x14ac:dyDescent="0.25">
      <c r="B371" s="1004"/>
      <c r="C371" s="12"/>
      <c r="D371" s="12"/>
      <c r="E371" s="12"/>
      <c r="F371" s="12"/>
      <c r="G371" s="51"/>
      <c r="H371" s="51"/>
      <c r="M371" s="18"/>
      <c r="N371" s="18"/>
      <c r="O371" s="18"/>
      <c r="P371" s="18"/>
    </row>
    <row r="372" spans="1:17" s="4" customFormat="1" x14ac:dyDescent="0.25">
      <c r="A372" s="3"/>
      <c r="B372" s="1007"/>
      <c r="C372" s="11"/>
      <c r="D372" s="11"/>
      <c r="E372" s="11"/>
      <c r="F372" s="11"/>
      <c r="G372" s="24"/>
      <c r="H372" s="24"/>
      <c r="I372" s="3"/>
      <c r="J372" s="3"/>
      <c r="K372" s="3"/>
      <c r="L372" s="3"/>
      <c r="M372" s="22"/>
      <c r="N372" s="22"/>
      <c r="O372" s="22"/>
      <c r="P372" s="22"/>
      <c r="Q372" s="3"/>
    </row>
    <row r="373" spans="1:17" s="4" customFormat="1" x14ac:dyDescent="0.25">
      <c r="A373" s="1844" t="s">
        <v>20</v>
      </c>
      <c r="B373" s="1845"/>
      <c r="C373" s="1845"/>
      <c r="D373" s="1845"/>
      <c r="E373" s="1845"/>
      <c r="F373" s="1845"/>
      <c r="G373" s="1845"/>
      <c r="H373" s="1845"/>
      <c r="I373" s="1845"/>
      <c r="J373" s="1845"/>
      <c r="K373" s="1845"/>
      <c r="L373" s="1845"/>
      <c r="M373" s="1845"/>
      <c r="N373" s="1845"/>
      <c r="O373" s="1845"/>
      <c r="P373" s="1845"/>
      <c r="Q373" s="1846"/>
    </row>
    <row r="374" spans="1:17" s="4" customFormat="1" x14ac:dyDescent="0.25">
      <c r="A374" s="1847" t="s">
        <v>1799</v>
      </c>
      <c r="B374" s="1848"/>
      <c r="C374" s="1848"/>
      <c r="D374" s="1848"/>
      <c r="E374" s="1848"/>
      <c r="F374" s="1848"/>
      <c r="G374" s="1848"/>
      <c r="H374" s="1848"/>
      <c r="I374" s="1848"/>
      <c r="J374" s="1848"/>
      <c r="K374" s="1848"/>
      <c r="L374" s="1848"/>
      <c r="M374" s="1848"/>
      <c r="N374" s="1848"/>
      <c r="O374" s="1848"/>
      <c r="P374" s="1848"/>
      <c r="Q374" s="1849"/>
    </row>
    <row r="375" spans="1:17" s="4" customFormat="1" x14ac:dyDescent="0.25">
      <c r="B375" s="1004"/>
      <c r="C375" s="12"/>
      <c r="D375" s="12"/>
      <c r="E375" s="12"/>
      <c r="F375" s="12"/>
      <c r="G375" s="51"/>
      <c r="H375" s="51"/>
      <c r="M375" s="18"/>
      <c r="N375" s="18"/>
      <c r="O375" s="18"/>
      <c r="P375" s="18"/>
    </row>
    <row r="376" spans="1:17" s="4" customFormat="1" x14ac:dyDescent="0.25">
      <c r="A376" s="2"/>
      <c r="B376" s="6" t="s">
        <v>307</v>
      </c>
      <c r="C376" s="21" t="s">
        <v>308</v>
      </c>
      <c r="D376" s="12"/>
      <c r="E376" s="12"/>
      <c r="F376" s="12"/>
      <c r="G376" s="27"/>
      <c r="H376" s="27"/>
      <c r="I376" s="2"/>
      <c r="J376" s="2"/>
      <c r="K376" s="2"/>
      <c r="L376" s="2"/>
      <c r="M376" s="10"/>
      <c r="N376" s="10"/>
      <c r="O376" s="10"/>
      <c r="P376" s="10"/>
      <c r="Q376" s="2"/>
    </row>
    <row r="377" spans="1:17" s="4" customFormat="1" x14ac:dyDescent="0.25">
      <c r="A377" s="437"/>
      <c r="B377" s="1179"/>
      <c r="C377" s="1178"/>
      <c r="D377" s="1177"/>
      <c r="E377" s="1177"/>
      <c r="F377" s="1177"/>
      <c r="G377" s="435"/>
      <c r="H377" s="435"/>
      <c r="I377" s="437"/>
      <c r="J377" s="437"/>
      <c r="K377" s="437"/>
      <c r="L377" s="437"/>
      <c r="M377" s="2102" t="s">
        <v>9</v>
      </c>
      <c r="N377" s="2102"/>
      <c r="O377" s="2102" t="s">
        <v>8</v>
      </c>
      <c r="P377" s="2102"/>
      <c r="Q377" s="437"/>
    </row>
    <row r="378" spans="1:17" s="4" customFormat="1" ht="7.5" customHeight="1" x14ac:dyDescent="0.25">
      <c r="A378" s="437"/>
      <c r="B378" s="207">
        <v>1</v>
      </c>
      <c r="C378" s="1188"/>
      <c r="D378" s="1175"/>
      <c r="E378" s="1173"/>
      <c r="F378" s="1173"/>
      <c r="G378" s="2224"/>
      <c r="H378" s="2224"/>
      <c r="I378" s="1174"/>
      <c r="J378" s="1174"/>
      <c r="K378" s="1174"/>
      <c r="L378" s="1173"/>
      <c r="M378" s="2103"/>
      <c r="N378" s="2103"/>
      <c r="O378" s="2103" t="s">
        <v>8</v>
      </c>
      <c r="P378" s="2103"/>
      <c r="Q378" s="437"/>
    </row>
    <row r="379" spans="1:17" s="4" customFormat="1" x14ac:dyDescent="0.25">
      <c r="A379" s="2"/>
      <c r="B379" s="30" t="s">
        <v>11</v>
      </c>
      <c r="C379" s="1015" t="s">
        <v>1783</v>
      </c>
      <c r="D379" s="31"/>
      <c r="E379" s="1016"/>
      <c r="F379" s="991"/>
      <c r="G379" s="51"/>
      <c r="H379" s="51"/>
      <c r="L379" s="991"/>
      <c r="M379" s="2008">
        <v>2000</v>
      </c>
      <c r="N379" s="2009"/>
      <c r="O379" s="2012"/>
      <c r="P379" s="2009"/>
      <c r="Q379" s="2"/>
    </row>
    <row r="380" spans="1:17" s="4" customFormat="1" x14ac:dyDescent="0.25">
      <c r="A380" s="2"/>
      <c r="B380" s="1009" t="s">
        <v>14</v>
      </c>
      <c r="C380" s="1015"/>
      <c r="D380" s="1016"/>
      <c r="E380" s="1016"/>
      <c r="F380" s="20" t="s">
        <v>1</v>
      </c>
      <c r="G380" s="1020" t="s">
        <v>67</v>
      </c>
      <c r="H380" s="1020"/>
      <c r="M380" s="2008"/>
      <c r="N380" s="2012"/>
      <c r="O380" s="2008">
        <v>2000</v>
      </c>
      <c r="P380" s="2009"/>
      <c r="Q380" s="2"/>
    </row>
    <row r="381" spans="1:17" s="4" customFormat="1" x14ac:dyDescent="0.25">
      <c r="A381" s="2"/>
      <c r="B381" s="1009"/>
      <c r="C381" s="987" t="s">
        <v>1798</v>
      </c>
      <c r="D381" s="1016"/>
      <c r="E381" s="1016"/>
      <c r="F381" s="20"/>
      <c r="G381" s="1020"/>
      <c r="H381" s="1020"/>
      <c r="M381" s="993"/>
      <c r="N381" s="994"/>
      <c r="O381" s="993"/>
      <c r="P381" s="995"/>
      <c r="Q381" s="2"/>
    </row>
    <row r="382" spans="1:17" s="4" customFormat="1" ht="7.5" customHeight="1" x14ac:dyDescent="0.25">
      <c r="A382" s="437"/>
      <c r="B382" s="207">
        <v>2</v>
      </c>
      <c r="C382" s="2198" t="s">
        <v>1784</v>
      </c>
      <c r="D382" s="2199"/>
      <c r="E382" s="2199"/>
      <c r="F382" s="2199"/>
      <c r="G382" s="2220"/>
      <c r="H382" s="2220"/>
      <c r="I382" s="2199" t="s">
        <v>1784</v>
      </c>
      <c r="J382" s="2199"/>
      <c r="K382" s="2199"/>
      <c r="L382" s="2199"/>
      <c r="M382" s="993"/>
      <c r="N382" s="994"/>
      <c r="O382" s="993"/>
      <c r="P382" s="995"/>
      <c r="Q382" s="437"/>
    </row>
    <row r="383" spans="1:17" s="4" customFormat="1" x14ac:dyDescent="0.25">
      <c r="A383" s="2"/>
      <c r="B383" s="30" t="s">
        <v>11</v>
      </c>
      <c r="C383" s="1015" t="s">
        <v>1702</v>
      </c>
      <c r="D383" s="1016"/>
      <c r="E383" s="1016"/>
      <c r="F383" s="991"/>
      <c r="G383" s="51"/>
      <c r="H383" s="51"/>
      <c r="L383" s="991"/>
      <c r="M383" s="2008">
        <v>6000</v>
      </c>
      <c r="N383" s="2009"/>
      <c r="O383" s="2012"/>
      <c r="P383" s="2009"/>
      <c r="Q383" s="2"/>
    </row>
    <row r="384" spans="1:17" s="4" customFormat="1" x14ac:dyDescent="0.25">
      <c r="A384" s="2"/>
      <c r="B384" s="1009" t="s">
        <v>14</v>
      </c>
      <c r="C384" s="1015"/>
      <c r="D384" s="1016"/>
      <c r="E384" s="1016"/>
      <c r="F384" s="20" t="s">
        <v>1</v>
      </c>
      <c r="G384" s="1020" t="s">
        <v>66</v>
      </c>
      <c r="H384" s="1020"/>
      <c r="M384" s="2008"/>
      <c r="N384" s="2012"/>
      <c r="O384" s="2008">
        <v>6000</v>
      </c>
      <c r="P384" s="2009"/>
      <c r="Q384" s="2"/>
    </row>
    <row r="385" spans="1:17" s="4" customFormat="1" x14ac:dyDescent="0.25">
      <c r="A385" s="2"/>
      <c r="B385" s="1009"/>
      <c r="C385" s="987" t="s">
        <v>1797</v>
      </c>
      <c r="D385" s="1016"/>
      <c r="E385" s="1016"/>
      <c r="F385" s="20"/>
      <c r="G385" s="1020"/>
      <c r="H385" s="1020"/>
      <c r="M385" s="993"/>
      <c r="N385" s="994"/>
      <c r="O385" s="993"/>
      <c r="P385" s="995"/>
      <c r="Q385" s="2"/>
    </row>
    <row r="386" spans="1:17" s="4" customFormat="1" ht="7.5" customHeight="1" x14ac:dyDescent="0.25">
      <c r="A386" s="437"/>
      <c r="B386" s="207">
        <v>3</v>
      </c>
      <c r="C386" s="2198" t="s">
        <v>1784</v>
      </c>
      <c r="D386" s="2199"/>
      <c r="E386" s="2199"/>
      <c r="F386" s="2199"/>
      <c r="G386" s="2220"/>
      <c r="H386" s="2220"/>
      <c r="I386" s="2199" t="s">
        <v>1784</v>
      </c>
      <c r="J386" s="2199"/>
      <c r="K386" s="2199"/>
      <c r="L386" s="2199"/>
      <c r="M386" s="993"/>
      <c r="N386" s="994"/>
      <c r="O386" s="993"/>
      <c r="P386" s="995"/>
      <c r="Q386" s="437"/>
    </row>
    <row r="387" spans="1:17" s="4" customFormat="1" x14ac:dyDescent="0.25">
      <c r="A387" s="2"/>
      <c r="B387" s="30" t="s">
        <v>11</v>
      </c>
      <c r="C387" s="1015" t="s">
        <v>1794</v>
      </c>
      <c r="D387" s="1016"/>
      <c r="E387" s="1016"/>
      <c r="F387" s="991"/>
      <c r="G387" s="51"/>
      <c r="H387" s="51"/>
      <c r="L387" s="991"/>
      <c r="M387" s="2008">
        <v>6000</v>
      </c>
      <c r="N387" s="2009"/>
      <c r="O387" s="2012"/>
      <c r="P387" s="2009"/>
      <c r="Q387" s="2"/>
    </row>
    <row r="388" spans="1:17" s="4" customFormat="1" x14ac:dyDescent="0.25">
      <c r="A388" s="2"/>
      <c r="B388" s="1009" t="s">
        <v>14</v>
      </c>
      <c r="C388" s="1015"/>
      <c r="D388" s="1016"/>
      <c r="E388" s="1016"/>
      <c r="F388" s="20" t="s">
        <v>1</v>
      </c>
      <c r="G388" s="1020" t="str">
        <f>+C383</f>
        <v>Caja Moneda Extranjera</v>
      </c>
      <c r="H388" s="1020"/>
      <c r="M388" s="2008"/>
      <c r="N388" s="2012"/>
      <c r="O388" s="2008">
        <v>6000</v>
      </c>
      <c r="P388" s="2009"/>
      <c r="Q388" s="2"/>
    </row>
    <row r="389" spans="1:17" s="4" customFormat="1" x14ac:dyDescent="0.25">
      <c r="A389" s="2"/>
      <c r="B389" s="1009"/>
      <c r="C389" s="987" t="s">
        <v>1796</v>
      </c>
      <c r="D389" s="1016"/>
      <c r="E389" s="1016"/>
      <c r="F389" s="20"/>
      <c r="G389" s="1020"/>
      <c r="H389" s="1020"/>
      <c r="M389" s="993"/>
      <c r="N389" s="994"/>
      <c r="O389" s="993"/>
      <c r="P389" s="995"/>
      <c r="Q389" s="2"/>
    </row>
    <row r="390" spans="1:17" s="4" customFormat="1" ht="7.5" customHeight="1" x14ac:dyDescent="0.25">
      <c r="A390" s="437"/>
      <c r="B390" s="207">
        <v>4</v>
      </c>
      <c r="C390" s="2198" t="s">
        <v>1784</v>
      </c>
      <c r="D390" s="2199"/>
      <c r="E390" s="2199"/>
      <c r="F390" s="2199"/>
      <c r="G390" s="2220"/>
      <c r="H390" s="2220"/>
      <c r="I390" s="2199" t="s">
        <v>1784</v>
      </c>
      <c r="J390" s="2199"/>
      <c r="K390" s="2199"/>
      <c r="L390" s="2199"/>
      <c r="M390" s="993"/>
      <c r="N390" s="994"/>
      <c r="O390" s="993"/>
      <c r="P390" s="995"/>
      <c r="Q390" s="437"/>
    </row>
    <row r="391" spans="1:17" s="4" customFormat="1" x14ac:dyDescent="0.25">
      <c r="A391" s="2"/>
      <c r="B391" s="30" t="s">
        <v>15</v>
      </c>
      <c r="C391" s="1015" t="s">
        <v>1789</v>
      </c>
      <c r="D391" s="1016"/>
      <c r="E391" s="1016"/>
      <c r="F391" s="991"/>
      <c r="G391" s="51"/>
      <c r="H391" s="51"/>
      <c r="L391" s="991"/>
      <c r="M391" s="2008">
        <v>740</v>
      </c>
      <c r="N391" s="2009"/>
      <c r="O391" s="2012"/>
      <c r="P391" s="2009"/>
      <c r="Q391" s="2"/>
    </row>
    <row r="392" spans="1:17" s="4" customFormat="1" x14ac:dyDescent="0.25">
      <c r="A392" s="2"/>
      <c r="B392" s="38" t="s">
        <v>15</v>
      </c>
      <c r="C392" s="1015" t="s">
        <v>1792</v>
      </c>
      <c r="D392" s="1016"/>
      <c r="E392" s="1016"/>
      <c r="F392" s="991"/>
      <c r="G392" s="51"/>
      <c r="H392" s="51"/>
      <c r="L392" s="991"/>
      <c r="M392" s="2008">
        <v>560</v>
      </c>
      <c r="N392" s="2009"/>
      <c r="O392" s="994"/>
      <c r="P392" s="995"/>
      <c r="Q392" s="2"/>
    </row>
    <row r="393" spans="1:17" s="4" customFormat="1" x14ac:dyDescent="0.25">
      <c r="A393" s="2"/>
      <c r="B393" s="102" t="s">
        <v>11</v>
      </c>
      <c r="C393" s="1015" t="s">
        <v>13</v>
      </c>
      <c r="D393" s="1016"/>
      <c r="E393" s="1016"/>
      <c r="F393" s="991"/>
      <c r="G393" s="51"/>
      <c r="H393" s="51"/>
      <c r="L393" s="991"/>
      <c r="M393" s="2008">
        <f>+(M391+M392)*0.21</f>
        <v>273</v>
      </c>
      <c r="N393" s="2009"/>
      <c r="O393" s="994"/>
      <c r="P393" s="995"/>
      <c r="Q393" s="2"/>
    </row>
    <row r="394" spans="1:17" s="4" customFormat="1" x14ac:dyDescent="0.25">
      <c r="A394" s="2"/>
      <c r="B394" s="1009" t="s">
        <v>14</v>
      </c>
      <c r="C394" s="1015"/>
      <c r="D394" s="1016"/>
      <c r="E394" s="1016"/>
      <c r="F394" s="20" t="s">
        <v>1</v>
      </c>
      <c r="G394" s="1020" t="s">
        <v>1783</v>
      </c>
      <c r="H394" s="1020"/>
      <c r="M394" s="2008"/>
      <c r="N394" s="2012"/>
      <c r="O394" s="2008">
        <f>+M391+M392+M393</f>
        <v>1573</v>
      </c>
      <c r="P394" s="2009"/>
      <c r="Q394" s="2"/>
    </row>
    <row r="395" spans="1:17" s="4" customFormat="1" x14ac:dyDescent="0.25">
      <c r="A395" s="2"/>
      <c r="B395" s="1009"/>
      <c r="C395" s="987" t="s">
        <v>1795</v>
      </c>
      <c r="D395" s="1016"/>
      <c r="E395" s="1016"/>
      <c r="F395" s="20"/>
      <c r="G395" s="1020"/>
      <c r="H395" s="1020"/>
      <c r="M395" s="993"/>
      <c r="N395" s="994"/>
      <c r="O395" s="993"/>
      <c r="P395" s="995"/>
      <c r="Q395" s="2"/>
    </row>
    <row r="396" spans="1:17" s="4" customFormat="1" ht="7.5" customHeight="1" x14ac:dyDescent="0.25">
      <c r="A396" s="437"/>
      <c r="B396" s="207">
        <v>5</v>
      </c>
      <c r="C396" s="2198" t="s">
        <v>1784</v>
      </c>
      <c r="D396" s="2199"/>
      <c r="E396" s="2199"/>
      <c r="F396" s="2199"/>
      <c r="G396" s="2220"/>
      <c r="H396" s="2220"/>
      <c r="I396" s="2199" t="s">
        <v>1784</v>
      </c>
      <c r="J396" s="2199"/>
      <c r="K396" s="2199"/>
      <c r="L396" s="2199"/>
      <c r="M396" s="993"/>
      <c r="N396" s="994"/>
      <c r="O396" s="993"/>
      <c r="P396" s="995"/>
      <c r="Q396" s="437"/>
    </row>
    <row r="397" spans="1:17" s="4" customFormat="1" x14ac:dyDescent="0.25">
      <c r="A397" s="2"/>
      <c r="B397" s="30" t="s">
        <v>11</v>
      </c>
      <c r="C397" s="1015" t="s">
        <v>1794</v>
      </c>
      <c r="D397" s="1016"/>
      <c r="E397" s="1016"/>
      <c r="F397" s="991"/>
      <c r="G397" s="51"/>
      <c r="H397" s="51"/>
      <c r="L397" s="991"/>
      <c r="M397" s="2008">
        <f>400*(15.25-(15))</f>
        <v>100</v>
      </c>
      <c r="N397" s="2009"/>
      <c r="O397" s="2012"/>
      <c r="P397" s="2009"/>
      <c r="Q397" s="2"/>
    </row>
    <row r="398" spans="1:17" s="4" customFormat="1" x14ac:dyDescent="0.25">
      <c r="A398" s="2"/>
      <c r="B398" s="1009" t="s">
        <v>16</v>
      </c>
      <c r="C398" s="1015"/>
      <c r="D398" s="1016"/>
      <c r="E398" s="1016"/>
      <c r="F398" s="20" t="s">
        <v>1</v>
      </c>
      <c r="G398" s="1020" t="s">
        <v>1772</v>
      </c>
      <c r="H398" s="1020"/>
      <c r="M398" s="2219"/>
      <c r="N398" s="2012"/>
      <c r="O398" s="2008">
        <f>+M397</f>
        <v>100</v>
      </c>
      <c r="P398" s="2009"/>
      <c r="Q398" s="2"/>
    </row>
    <row r="399" spans="1:17" s="4" customFormat="1" x14ac:dyDescent="0.25">
      <c r="A399" s="2"/>
      <c r="B399" s="1009"/>
      <c r="C399" s="987" t="s">
        <v>1786</v>
      </c>
      <c r="D399" s="1016"/>
      <c r="E399" s="1016"/>
      <c r="F399" s="20"/>
      <c r="G399" s="1020"/>
      <c r="H399" s="1020"/>
      <c r="M399" s="993"/>
      <c r="N399" s="994"/>
      <c r="O399" s="993"/>
      <c r="P399" s="995"/>
      <c r="Q399" s="2"/>
    </row>
    <row r="400" spans="1:17" s="4" customFormat="1" x14ac:dyDescent="0.25">
      <c r="A400" s="2"/>
      <c r="B400" s="1009"/>
      <c r="C400" s="101" t="s">
        <v>1793</v>
      </c>
      <c r="D400" s="1016"/>
      <c r="E400" s="1016"/>
      <c r="F400" s="20"/>
      <c r="G400" s="1020"/>
      <c r="H400" s="1020"/>
      <c r="M400" s="993"/>
      <c r="N400" s="994"/>
      <c r="O400" s="993"/>
      <c r="P400" s="995"/>
      <c r="Q400" s="2"/>
    </row>
    <row r="401" spans="1:17" s="4" customFormat="1" ht="7.5" customHeight="1" x14ac:dyDescent="0.25">
      <c r="A401" s="437"/>
      <c r="B401" s="207">
        <v>6</v>
      </c>
      <c r="C401" s="2198" t="s">
        <v>1784</v>
      </c>
      <c r="D401" s="2199"/>
      <c r="E401" s="2199"/>
      <c r="F401" s="2199"/>
      <c r="G401" s="2220"/>
      <c r="H401" s="2220"/>
      <c r="I401" s="2199" t="s">
        <v>1784</v>
      </c>
      <c r="J401" s="2199"/>
      <c r="K401" s="2199"/>
      <c r="L401" s="2199"/>
      <c r="M401" s="993"/>
      <c r="N401" s="994"/>
      <c r="O401" s="993"/>
      <c r="P401" s="995"/>
      <c r="Q401" s="437"/>
    </row>
    <row r="402" spans="1:17" s="4" customFormat="1" x14ac:dyDescent="0.25">
      <c r="A402" s="2"/>
      <c r="B402" s="30" t="s">
        <v>11</v>
      </c>
      <c r="C402" s="1015" t="s">
        <v>1783</v>
      </c>
      <c r="D402" s="1016"/>
      <c r="E402" s="1016"/>
      <c r="F402" s="991"/>
      <c r="G402" s="51"/>
      <c r="H402" s="51"/>
      <c r="L402" s="991"/>
      <c r="M402" s="2008">
        <f>+O394</f>
        <v>1573</v>
      </c>
      <c r="N402" s="2009"/>
      <c r="O402" s="2012"/>
      <c r="P402" s="2009"/>
      <c r="Q402" s="2"/>
    </row>
    <row r="403" spans="1:17" s="4" customFormat="1" x14ac:dyDescent="0.25">
      <c r="A403" s="2"/>
      <c r="B403" s="1009" t="s">
        <v>14</v>
      </c>
      <c r="C403" s="1015"/>
      <c r="D403" s="1016"/>
      <c r="E403" s="1016"/>
      <c r="F403" s="20" t="s">
        <v>1</v>
      </c>
      <c r="G403" s="1020" t="s">
        <v>67</v>
      </c>
      <c r="H403" s="1020"/>
      <c r="M403" s="2008"/>
      <c r="N403" s="2012"/>
      <c r="O403" s="2008">
        <f>+M402</f>
        <v>1573</v>
      </c>
      <c r="P403" s="2009"/>
      <c r="Q403" s="2"/>
    </row>
    <row r="404" spans="1:17" s="4" customFormat="1" x14ac:dyDescent="0.25">
      <c r="A404" s="2"/>
      <c r="B404" s="1009"/>
      <c r="C404" s="987" t="s">
        <v>1782</v>
      </c>
      <c r="D404" s="1016"/>
      <c r="E404" s="1016"/>
      <c r="F404" s="20"/>
      <c r="G404" s="1020"/>
      <c r="H404" s="1020"/>
      <c r="M404" s="993"/>
      <c r="N404" s="994"/>
      <c r="O404" s="993"/>
      <c r="P404" s="995"/>
      <c r="Q404" s="2"/>
    </row>
    <row r="405" spans="1:17" s="4" customFormat="1" ht="7.5" customHeight="1" x14ac:dyDescent="0.25">
      <c r="A405" s="437"/>
      <c r="B405" s="207">
        <v>7</v>
      </c>
      <c r="C405" s="2198" t="s">
        <v>1784</v>
      </c>
      <c r="D405" s="2199"/>
      <c r="E405" s="2199"/>
      <c r="F405" s="2199"/>
      <c r="G405" s="2220"/>
      <c r="H405" s="2220"/>
      <c r="I405" s="2199" t="s">
        <v>1784</v>
      </c>
      <c r="J405" s="2199"/>
      <c r="K405" s="2199"/>
      <c r="L405" s="2199"/>
      <c r="M405" s="993"/>
      <c r="N405" s="994"/>
      <c r="O405" s="993"/>
      <c r="P405" s="995"/>
      <c r="Q405" s="437"/>
    </row>
    <row r="406" spans="1:17" s="4" customFormat="1" x14ac:dyDescent="0.25">
      <c r="A406" s="2"/>
      <c r="B406" s="30" t="s">
        <v>11</v>
      </c>
      <c r="C406" s="1015" t="s">
        <v>1702</v>
      </c>
      <c r="D406" s="1016"/>
      <c r="E406" s="1016"/>
      <c r="F406" s="991"/>
      <c r="G406" s="51"/>
      <c r="H406" s="51"/>
      <c r="L406" s="991"/>
      <c r="M406" s="2008">
        <f>100*15.25</f>
        <v>1525</v>
      </c>
      <c r="N406" s="2009"/>
      <c r="O406" s="2012"/>
      <c r="P406" s="2009"/>
      <c r="Q406" s="2"/>
    </row>
    <row r="407" spans="1:17" s="4" customFormat="1" x14ac:dyDescent="0.25">
      <c r="A407" s="2"/>
      <c r="B407" s="1009" t="s">
        <v>14</v>
      </c>
      <c r="C407" s="1015"/>
      <c r="D407" s="1016"/>
      <c r="E407" s="1016"/>
      <c r="F407" s="20" t="s">
        <v>1</v>
      </c>
      <c r="G407" s="1020" t="str">
        <f>+C397</f>
        <v>Banco Francés Caja de Ahorro ME</v>
      </c>
      <c r="H407" s="1020"/>
      <c r="M407" s="2008"/>
      <c r="N407" s="2012"/>
      <c r="O407" s="2008">
        <f>+M406</f>
        <v>1525</v>
      </c>
      <c r="P407" s="2009"/>
      <c r="Q407" s="2"/>
    </row>
    <row r="408" spans="1:17" s="4" customFormat="1" x14ac:dyDescent="0.25">
      <c r="A408" s="2"/>
      <c r="B408" s="1009"/>
      <c r="C408" s="987" t="str">
        <f>+C381</f>
        <v>Según Boleta de extracción / Nota de débito bancaria / Extracto bancario</v>
      </c>
      <c r="D408" s="1016"/>
      <c r="E408" s="1016"/>
      <c r="F408" s="20"/>
      <c r="G408" s="1020"/>
      <c r="H408" s="1020"/>
      <c r="M408" s="993"/>
      <c r="N408" s="994"/>
      <c r="O408" s="993"/>
      <c r="P408" s="995"/>
      <c r="Q408" s="2"/>
    </row>
    <row r="409" spans="1:17" s="4" customFormat="1" ht="7.5" customHeight="1" x14ac:dyDescent="0.25">
      <c r="A409" s="437"/>
      <c r="B409" s="207">
        <v>8</v>
      </c>
      <c r="C409" s="2198" t="s">
        <v>1784</v>
      </c>
      <c r="D409" s="2199"/>
      <c r="E409" s="2199"/>
      <c r="F409" s="2199"/>
      <c r="G409" s="2220"/>
      <c r="H409" s="2220"/>
      <c r="I409" s="2199" t="s">
        <v>1784</v>
      </c>
      <c r="J409" s="2199"/>
      <c r="K409" s="2199"/>
      <c r="L409" s="2199"/>
      <c r="M409" s="993"/>
      <c r="N409" s="994"/>
      <c r="O409" s="993"/>
      <c r="P409" s="995"/>
      <c r="Q409" s="437"/>
    </row>
    <row r="410" spans="1:17" s="4" customFormat="1" x14ac:dyDescent="0.25">
      <c r="A410" s="2"/>
      <c r="B410" s="30" t="s">
        <v>15</v>
      </c>
      <c r="C410" s="1015" t="s">
        <v>1792</v>
      </c>
      <c r="D410" s="1016"/>
      <c r="E410" s="1016"/>
      <c r="F410" s="991"/>
      <c r="G410" s="51"/>
      <c r="H410" s="51"/>
      <c r="L410" s="991"/>
      <c r="M410" s="2008">
        <f>750.2/1.21</f>
        <v>620</v>
      </c>
      <c r="N410" s="2009"/>
      <c r="O410" s="2012"/>
      <c r="P410" s="2009"/>
      <c r="Q410" s="2"/>
    </row>
    <row r="411" spans="1:17" s="4" customFormat="1" x14ac:dyDescent="0.25">
      <c r="A411" s="2"/>
      <c r="B411" s="38" t="s">
        <v>11</v>
      </c>
      <c r="C411" s="1015" t="s">
        <v>1791</v>
      </c>
      <c r="D411" s="1016"/>
      <c r="E411" s="1016"/>
      <c r="F411" s="991"/>
      <c r="G411" s="51"/>
      <c r="H411" s="51"/>
      <c r="L411" s="991"/>
      <c r="M411" s="2008">
        <v>200</v>
      </c>
      <c r="N411" s="2009"/>
      <c r="O411" s="994"/>
      <c r="P411" s="995"/>
      <c r="Q411" s="2"/>
    </row>
    <row r="412" spans="1:17" s="4" customFormat="1" x14ac:dyDescent="0.25">
      <c r="A412" s="2"/>
      <c r="B412" s="102" t="s">
        <v>15</v>
      </c>
      <c r="C412" s="1015" t="s">
        <v>1790</v>
      </c>
      <c r="D412" s="1016"/>
      <c r="E412" s="1016"/>
      <c r="F412" s="991"/>
      <c r="G412" s="51"/>
      <c r="H412" s="51"/>
      <c r="L412" s="991"/>
      <c r="M412" s="2008">
        <v>300</v>
      </c>
      <c r="N412" s="2009"/>
      <c r="O412" s="994"/>
      <c r="P412" s="995"/>
      <c r="Q412" s="2"/>
    </row>
    <row r="413" spans="1:17" s="4" customFormat="1" x14ac:dyDescent="0.25">
      <c r="A413" s="2"/>
      <c r="B413" s="38" t="s">
        <v>15</v>
      </c>
      <c r="C413" s="1015" t="s">
        <v>1789</v>
      </c>
      <c r="D413" s="1016"/>
      <c r="E413" s="1016"/>
      <c r="F413" s="991"/>
      <c r="G413" s="51"/>
      <c r="H413" s="51"/>
      <c r="L413" s="991"/>
      <c r="M413" s="2008">
        <v>280</v>
      </c>
      <c r="N413" s="2009"/>
      <c r="O413" s="994"/>
      <c r="P413" s="995"/>
      <c r="Q413" s="2"/>
    </row>
    <row r="414" spans="1:17" s="4" customFormat="1" x14ac:dyDescent="0.25">
      <c r="A414" s="2"/>
      <c r="B414" s="38" t="s">
        <v>11</v>
      </c>
      <c r="C414" s="1015" t="s">
        <v>1788</v>
      </c>
      <c r="D414" s="1016"/>
      <c r="E414" s="1016"/>
      <c r="F414" s="991"/>
      <c r="G414" s="51"/>
      <c r="H414" s="51"/>
      <c r="L414" s="991"/>
      <c r="M414" s="2008">
        <v>45</v>
      </c>
      <c r="N414" s="2009"/>
      <c r="O414" s="994"/>
      <c r="P414" s="995"/>
      <c r="Q414" s="2"/>
    </row>
    <row r="415" spans="1:17" s="4" customFormat="1" x14ac:dyDescent="0.25">
      <c r="A415" s="2"/>
      <c r="B415" s="38" t="s">
        <v>11</v>
      </c>
      <c r="C415" s="1015" t="s">
        <v>13</v>
      </c>
      <c r="D415" s="1016"/>
      <c r="E415" s="1016"/>
      <c r="F415" s="991"/>
      <c r="G415" s="51"/>
      <c r="H415" s="51"/>
      <c r="L415" s="991"/>
      <c r="M415" s="2008">
        <f>+(M410+M413)*0.21</f>
        <v>189</v>
      </c>
      <c r="N415" s="2009"/>
      <c r="O415" s="994"/>
      <c r="P415" s="995"/>
      <c r="Q415" s="2"/>
    </row>
    <row r="416" spans="1:17" s="4" customFormat="1" x14ac:dyDescent="0.25">
      <c r="A416" s="2"/>
      <c r="B416" s="1009" t="s">
        <v>14</v>
      </c>
      <c r="C416" s="1015"/>
      <c r="D416" s="1016"/>
      <c r="E416" s="1016"/>
      <c r="F416" s="20" t="s">
        <v>1</v>
      </c>
      <c r="G416" s="1020" t="s">
        <v>1783</v>
      </c>
      <c r="H416" s="1020"/>
      <c r="M416" s="2008"/>
      <c r="N416" s="2012"/>
      <c r="O416" s="2008">
        <f>+SUM(M410:N415)</f>
        <v>1634</v>
      </c>
      <c r="P416" s="2009"/>
      <c r="Q416" s="2"/>
    </row>
    <row r="417" spans="1:17" s="4" customFormat="1" x14ac:dyDescent="0.25">
      <c r="A417" s="2"/>
      <c r="B417" s="1009"/>
      <c r="C417" s="987" t="s">
        <v>1787</v>
      </c>
      <c r="D417" s="1016"/>
      <c r="E417" s="1016"/>
      <c r="F417" s="20"/>
      <c r="G417" s="1020"/>
      <c r="H417" s="1020"/>
      <c r="M417" s="993"/>
      <c r="N417" s="994"/>
      <c r="O417" s="993"/>
      <c r="P417" s="995"/>
      <c r="Q417" s="2"/>
    </row>
    <row r="418" spans="1:17" s="4" customFormat="1" ht="7.5" customHeight="1" x14ac:dyDescent="0.25">
      <c r="A418" s="437"/>
      <c r="B418" s="207">
        <v>9</v>
      </c>
      <c r="C418" s="2198" t="s">
        <v>1784</v>
      </c>
      <c r="D418" s="2199"/>
      <c r="E418" s="2199"/>
      <c r="F418" s="2199"/>
      <c r="G418" s="2220"/>
      <c r="H418" s="2220"/>
      <c r="I418" s="2199" t="s">
        <v>1784</v>
      </c>
      <c r="J418" s="2199"/>
      <c r="K418" s="2199"/>
      <c r="L418" s="2199"/>
      <c r="M418" s="993"/>
      <c r="N418" s="994"/>
      <c r="O418" s="993"/>
      <c r="P418" s="995"/>
      <c r="Q418" s="437"/>
    </row>
    <row r="419" spans="1:17" s="4" customFormat="1" x14ac:dyDescent="0.25">
      <c r="B419" s="1004"/>
      <c r="C419" s="1187"/>
      <c r="D419" s="1016"/>
      <c r="E419" s="1016"/>
      <c r="F419" s="20"/>
      <c r="G419" s="1020"/>
      <c r="H419" s="1020"/>
      <c r="M419" s="994"/>
      <c r="N419" s="994"/>
      <c r="O419" s="994"/>
      <c r="P419" s="994"/>
    </row>
    <row r="420" spans="1:17" s="4" customFormat="1" x14ac:dyDescent="0.25">
      <c r="B420" s="1004"/>
      <c r="C420" s="1187"/>
      <c r="D420" s="1016"/>
      <c r="E420" s="1016"/>
      <c r="F420" s="20"/>
      <c r="G420" s="997" t="s">
        <v>222</v>
      </c>
      <c r="H420" s="1020"/>
      <c r="M420" s="994"/>
      <c r="N420" s="994"/>
      <c r="O420" s="994"/>
      <c r="P420" s="994"/>
    </row>
    <row r="421" spans="1:17" s="4" customFormat="1" x14ac:dyDescent="0.25">
      <c r="B421" s="1004"/>
      <c r="C421" s="1187"/>
      <c r="D421" s="1016"/>
      <c r="E421" s="1016"/>
      <c r="F421" s="20"/>
      <c r="G421" s="1020"/>
      <c r="H421" s="1020"/>
      <c r="M421" s="994"/>
      <c r="N421" s="994"/>
      <c r="O421" s="994"/>
      <c r="P421" s="994"/>
    </row>
    <row r="422" spans="1:17" s="4" customFormat="1" ht="7.5" customHeight="1" x14ac:dyDescent="0.25">
      <c r="A422" s="437"/>
      <c r="B422" s="207">
        <v>9</v>
      </c>
      <c r="C422" s="2198" t="s">
        <v>1784</v>
      </c>
      <c r="D422" s="2199"/>
      <c r="E422" s="2199"/>
      <c r="F422" s="2199"/>
      <c r="G422" s="2220"/>
      <c r="H422" s="2220"/>
      <c r="I422" s="2199" t="s">
        <v>1784</v>
      </c>
      <c r="J422" s="2199"/>
      <c r="K422" s="2199"/>
      <c r="L422" s="2221"/>
      <c r="M422" s="993"/>
      <c r="N422" s="994"/>
      <c r="O422" s="993"/>
      <c r="P422" s="995"/>
      <c r="Q422" s="437"/>
    </row>
    <row r="423" spans="1:17" s="4" customFormat="1" x14ac:dyDescent="0.25">
      <c r="A423" s="2"/>
      <c r="B423" s="30" t="s">
        <v>15</v>
      </c>
      <c r="C423" s="1015" t="s">
        <v>1772</v>
      </c>
      <c r="D423" s="1016"/>
      <c r="E423" s="1016"/>
      <c r="F423" s="991"/>
      <c r="G423" s="51"/>
      <c r="H423" s="51"/>
      <c r="L423" s="991"/>
      <c r="M423" s="2008">
        <v>20</v>
      </c>
      <c r="N423" s="2009"/>
      <c r="O423" s="2012"/>
      <c r="P423" s="2009"/>
      <c r="Q423" s="2"/>
    </row>
    <row r="424" spans="1:17" s="4" customFormat="1" x14ac:dyDescent="0.25">
      <c r="A424" s="2"/>
      <c r="B424" s="38" t="s">
        <v>14</v>
      </c>
      <c r="C424" s="1015"/>
      <c r="D424" s="1016"/>
      <c r="E424" s="1016"/>
      <c r="F424" s="20" t="s">
        <v>1</v>
      </c>
      <c r="G424" s="1020" t="str">
        <f>+G407</f>
        <v>Banco Francés Caja de Ahorro ME</v>
      </c>
      <c r="H424" s="51"/>
      <c r="L424" s="991"/>
      <c r="M424" s="2008"/>
      <c r="N424" s="2009"/>
      <c r="O424" s="2008">
        <f>-N450</f>
        <v>15</v>
      </c>
      <c r="P424" s="2009"/>
      <c r="Q424" s="2"/>
    </row>
    <row r="425" spans="1:17" s="4" customFormat="1" x14ac:dyDescent="0.25">
      <c r="A425" s="2"/>
      <c r="B425" s="1009" t="s">
        <v>14</v>
      </c>
      <c r="C425" s="1015"/>
      <c r="D425" s="1016"/>
      <c r="E425" s="1016"/>
      <c r="F425" s="20" t="s">
        <v>1</v>
      </c>
      <c r="G425" s="1020" t="s">
        <v>1702</v>
      </c>
      <c r="H425" s="1020"/>
      <c r="M425" s="2219"/>
      <c r="N425" s="2012"/>
      <c r="O425" s="2008">
        <f>+-N449</f>
        <v>5</v>
      </c>
      <c r="P425" s="2009"/>
      <c r="Q425" s="2"/>
    </row>
    <row r="426" spans="1:17" s="4" customFormat="1" x14ac:dyDescent="0.25">
      <c r="A426" s="2"/>
      <c r="B426" s="1009"/>
      <c r="C426" s="987" t="s">
        <v>1786</v>
      </c>
      <c r="D426" s="1016"/>
      <c r="E426" s="1016"/>
      <c r="F426" s="20"/>
      <c r="G426" s="1020"/>
      <c r="H426" s="1020"/>
      <c r="M426" s="993"/>
      <c r="N426" s="994"/>
      <c r="O426" s="993"/>
      <c r="P426" s="995"/>
      <c r="Q426" s="2"/>
    </row>
    <row r="427" spans="1:17" s="4" customFormat="1" x14ac:dyDescent="0.25">
      <c r="A427" s="2"/>
      <c r="B427" s="1009"/>
      <c r="C427" s="101" t="s">
        <v>1785</v>
      </c>
      <c r="D427" s="1016"/>
      <c r="E427" s="1016"/>
      <c r="F427" s="20"/>
      <c r="G427" s="1020"/>
      <c r="H427" s="1020"/>
      <c r="M427" s="993"/>
      <c r="N427" s="994"/>
      <c r="O427" s="993"/>
      <c r="P427" s="995"/>
      <c r="Q427" s="2"/>
    </row>
    <row r="428" spans="1:17" s="4" customFormat="1" ht="7.5" customHeight="1" x14ac:dyDescent="0.25">
      <c r="B428" s="207">
        <v>10</v>
      </c>
      <c r="C428" s="2198" t="s">
        <v>1784</v>
      </c>
      <c r="D428" s="2199"/>
      <c r="E428" s="2199"/>
      <c r="F428" s="2199"/>
      <c r="G428" s="2220"/>
      <c r="H428" s="2220"/>
      <c r="I428" s="2199" t="s">
        <v>1784</v>
      </c>
      <c r="J428" s="2199"/>
      <c r="K428" s="2199"/>
      <c r="L428" s="2199"/>
      <c r="M428" s="993"/>
      <c r="N428" s="994"/>
      <c r="O428" s="993"/>
      <c r="P428" s="995"/>
    </row>
    <row r="429" spans="1:17" s="4" customFormat="1" x14ac:dyDescent="0.25">
      <c r="B429" s="30" t="s">
        <v>11</v>
      </c>
      <c r="C429" s="1015" t="s">
        <v>1783</v>
      </c>
      <c r="D429" s="1016"/>
      <c r="E429" s="1016"/>
      <c r="F429" s="991"/>
      <c r="G429" s="51"/>
      <c r="H429" s="51"/>
      <c r="L429" s="991"/>
      <c r="M429" s="2008">
        <f>+O416+500</f>
        <v>2134</v>
      </c>
      <c r="N429" s="2009"/>
      <c r="O429" s="2012"/>
      <c r="P429" s="2009"/>
    </row>
    <row r="430" spans="1:17" s="4" customFormat="1" x14ac:dyDescent="0.25">
      <c r="B430" s="1009" t="s">
        <v>14</v>
      </c>
      <c r="C430" s="1015"/>
      <c r="D430" s="1016"/>
      <c r="E430" s="1016"/>
      <c r="F430" s="20" t="s">
        <v>1</v>
      </c>
      <c r="G430" s="1020" t="s">
        <v>67</v>
      </c>
      <c r="H430" s="1020"/>
      <c r="M430" s="2008"/>
      <c r="N430" s="2012"/>
      <c r="O430" s="2008">
        <f>+M429</f>
        <v>2134</v>
      </c>
      <c r="P430" s="2009"/>
    </row>
    <row r="431" spans="1:17" s="4" customFormat="1" x14ac:dyDescent="0.25">
      <c r="B431" s="1009"/>
      <c r="C431" s="987" t="s">
        <v>1782</v>
      </c>
      <c r="D431" s="1016"/>
      <c r="E431" s="1016"/>
      <c r="F431" s="20"/>
      <c r="G431" s="1020"/>
      <c r="H431" s="1020"/>
      <c r="M431" s="993"/>
      <c r="N431" s="994"/>
      <c r="O431" s="993"/>
      <c r="P431" s="995"/>
    </row>
    <row r="432" spans="1:17" s="4" customFormat="1" x14ac:dyDescent="0.25">
      <c r="B432" s="1004"/>
      <c r="C432" s="139"/>
      <c r="D432" s="139"/>
      <c r="E432" s="139"/>
      <c r="F432" s="139"/>
      <c r="G432" s="23"/>
      <c r="H432" s="23"/>
      <c r="I432" s="1"/>
      <c r="J432" s="1"/>
      <c r="K432" s="1"/>
      <c r="L432" s="1"/>
      <c r="M432" s="140"/>
      <c r="N432" s="140"/>
      <c r="O432" s="140"/>
      <c r="P432" s="140"/>
      <c r="Q432" s="1"/>
    </row>
    <row r="433" spans="2:16" s="4" customFormat="1" x14ac:dyDescent="0.25">
      <c r="B433" s="1004"/>
      <c r="C433" s="12"/>
      <c r="D433" s="12"/>
      <c r="E433" s="12"/>
      <c r="F433" s="12"/>
      <c r="G433" s="51"/>
      <c r="H433" s="51"/>
      <c r="M433" s="18"/>
      <c r="N433" s="18"/>
      <c r="O433" s="18"/>
      <c r="P433" s="18"/>
    </row>
    <row r="434" spans="2:16" s="4" customFormat="1" x14ac:dyDescent="0.25">
      <c r="B434" s="370" t="s">
        <v>92</v>
      </c>
      <c r="C434" s="12"/>
      <c r="D434" s="12"/>
      <c r="E434" s="12"/>
      <c r="F434" s="12"/>
      <c r="G434" s="51"/>
      <c r="H434" s="51"/>
      <c r="M434" s="18"/>
      <c r="N434" s="18"/>
      <c r="O434" s="18"/>
      <c r="P434" s="18"/>
    </row>
    <row r="435" spans="2:16" s="4" customFormat="1" x14ac:dyDescent="0.25">
      <c r="B435" s="1004"/>
      <c r="C435" s="12"/>
      <c r="D435" s="12"/>
      <c r="E435" s="12"/>
      <c r="F435" s="12"/>
      <c r="G435" s="51"/>
      <c r="H435" s="51"/>
      <c r="M435" s="18"/>
      <c r="N435" s="18"/>
      <c r="O435" s="18"/>
      <c r="P435" s="18"/>
    </row>
    <row r="436" spans="2:16" s="4" customFormat="1" x14ac:dyDescent="0.25">
      <c r="B436" s="1004" t="s">
        <v>148</v>
      </c>
      <c r="C436" s="113" t="s">
        <v>1781</v>
      </c>
      <c r="D436" s="12"/>
      <c r="E436" s="12"/>
      <c r="F436" s="12"/>
      <c r="G436" s="51"/>
      <c r="H436" s="51"/>
      <c r="M436" s="18"/>
      <c r="N436" s="18"/>
      <c r="O436" s="18"/>
      <c r="P436" s="18"/>
    </row>
    <row r="437" spans="2:16" s="4" customFormat="1" x14ac:dyDescent="0.25">
      <c r="B437" s="1004"/>
      <c r="C437" s="1185" t="s">
        <v>1775</v>
      </c>
      <c r="D437" s="4" t="s">
        <v>1777</v>
      </c>
      <c r="E437" s="12"/>
      <c r="F437" s="12"/>
      <c r="G437" s="51"/>
      <c r="N437" s="2208">
        <v>400</v>
      </c>
      <c r="O437" s="2208"/>
      <c r="P437" s="18"/>
    </row>
    <row r="438" spans="2:16" s="4" customFormat="1" x14ac:dyDescent="0.25">
      <c r="B438" s="1004"/>
      <c r="C438" s="1185" t="s">
        <v>1775</v>
      </c>
      <c r="D438" s="4" t="s">
        <v>1780</v>
      </c>
      <c r="E438" s="12"/>
      <c r="F438" s="12"/>
      <c r="G438" s="51"/>
      <c r="H438" s="1186"/>
      <c r="I438" s="1184"/>
      <c r="J438" s="1186"/>
      <c r="K438" s="1183" t="s">
        <v>1779</v>
      </c>
      <c r="L438" s="2212">
        <f>6000/400</f>
        <v>15</v>
      </c>
      <c r="M438" s="2212"/>
      <c r="N438" s="2213">
        <f>+N437*L438</f>
        <v>6000</v>
      </c>
      <c r="O438" s="2213"/>
      <c r="P438" s="18"/>
    </row>
    <row r="439" spans="2:16" s="4" customFormat="1" x14ac:dyDescent="0.25">
      <c r="B439" s="1004"/>
      <c r="C439" s="1185" t="s">
        <v>1775</v>
      </c>
      <c r="D439" s="4" t="s">
        <v>1776</v>
      </c>
      <c r="E439" s="12"/>
      <c r="F439" s="12"/>
      <c r="G439" s="51"/>
      <c r="H439" s="317"/>
      <c r="I439" s="317"/>
      <c r="J439" s="317"/>
      <c r="K439" s="1183" t="s">
        <v>1773</v>
      </c>
      <c r="L439" s="2212">
        <v>15.25</v>
      </c>
      <c r="M439" s="2212"/>
      <c r="N439" s="2214">
        <f>+N437*L439</f>
        <v>6100</v>
      </c>
      <c r="O439" s="2214"/>
      <c r="P439" s="18"/>
    </row>
    <row r="440" spans="2:16" s="4" customFormat="1" x14ac:dyDescent="0.25">
      <c r="B440" s="1004"/>
      <c r="C440" s="12"/>
      <c r="D440" s="439" t="s">
        <v>1772</v>
      </c>
      <c r="E440" s="237"/>
      <c r="F440" s="12"/>
      <c r="G440" s="51"/>
      <c r="H440" s="51"/>
      <c r="M440" s="18"/>
      <c r="N440" s="2218">
        <f>+N439-N438</f>
        <v>100</v>
      </c>
      <c r="O440" s="2218"/>
      <c r="P440" s="18"/>
    </row>
    <row r="441" spans="2:16" s="4" customFormat="1" x14ac:dyDescent="0.25">
      <c r="B441" s="1004"/>
      <c r="C441" s="12"/>
      <c r="D441" s="12"/>
      <c r="E441" s="12"/>
      <c r="F441" s="12"/>
      <c r="G441" s="51"/>
      <c r="H441" s="51"/>
      <c r="M441" s="18"/>
      <c r="N441" s="18"/>
      <c r="O441" s="18"/>
      <c r="P441" s="18"/>
    </row>
    <row r="442" spans="2:16" s="4" customFormat="1" x14ac:dyDescent="0.25">
      <c r="B442" s="1004"/>
      <c r="C442" s="12"/>
      <c r="D442" s="12"/>
      <c r="E442" s="12"/>
      <c r="F442" s="12"/>
      <c r="G442" s="51"/>
      <c r="H442" s="51"/>
      <c r="M442" s="18"/>
      <c r="N442" s="18"/>
      <c r="O442" s="18"/>
      <c r="P442" s="18"/>
    </row>
    <row r="443" spans="2:16" s="4" customFormat="1" x14ac:dyDescent="0.25">
      <c r="B443" s="1004" t="s">
        <v>160</v>
      </c>
      <c r="C443" s="113" t="s">
        <v>1778</v>
      </c>
      <c r="D443" s="12"/>
      <c r="E443" s="12"/>
      <c r="F443" s="12"/>
      <c r="G443" s="51"/>
      <c r="H443" s="51"/>
      <c r="M443" s="18"/>
      <c r="N443" s="18"/>
      <c r="O443" s="18"/>
      <c r="P443" s="18"/>
    </row>
    <row r="444" spans="2:16" s="4" customFormat="1" x14ac:dyDescent="0.25">
      <c r="B444" s="1004"/>
      <c r="C444" s="1185" t="s">
        <v>1775</v>
      </c>
      <c r="D444" s="4" t="s">
        <v>1777</v>
      </c>
      <c r="E444" s="12"/>
      <c r="F444" s="12"/>
      <c r="G444" s="51"/>
      <c r="N444" s="2208">
        <v>400</v>
      </c>
      <c r="O444" s="2208"/>
      <c r="P444" s="18"/>
    </row>
    <row r="445" spans="2:16" s="4" customFormat="1" x14ac:dyDescent="0.25">
      <c r="B445" s="1004"/>
      <c r="C445" s="1185" t="s">
        <v>1775</v>
      </c>
      <c r="D445" s="4" t="s">
        <v>1776</v>
      </c>
      <c r="E445" s="12"/>
      <c r="F445" s="12"/>
      <c r="G445" s="51"/>
      <c r="H445" s="1184"/>
      <c r="I445" s="1184"/>
      <c r="J445" s="1184"/>
      <c r="K445" s="1183" t="s">
        <v>1773</v>
      </c>
      <c r="L445" s="2212">
        <v>15.25</v>
      </c>
      <c r="M445" s="2212"/>
      <c r="N445" s="2213">
        <f>+N444*L445</f>
        <v>6100</v>
      </c>
      <c r="O445" s="2213"/>
      <c r="P445" s="18"/>
    </row>
    <row r="446" spans="2:16" s="4" customFormat="1" x14ac:dyDescent="0.25">
      <c r="B446" s="1004"/>
      <c r="C446" s="1185" t="s">
        <v>1775</v>
      </c>
      <c r="D446" s="4" t="s">
        <v>1774</v>
      </c>
      <c r="E446" s="12"/>
      <c r="F446" s="12"/>
      <c r="G446" s="51"/>
      <c r="H446" s="1184"/>
      <c r="I446" s="1184"/>
      <c r="J446" s="1184"/>
      <c r="K446" s="1183" t="s">
        <v>1773</v>
      </c>
      <c r="L446" s="2212">
        <v>15.2</v>
      </c>
      <c r="M446" s="2212"/>
      <c r="N446" s="2214">
        <f>+N444*L446</f>
        <v>6080</v>
      </c>
      <c r="O446" s="2214"/>
      <c r="P446" s="18"/>
    </row>
    <row r="447" spans="2:16" s="4" customFormat="1" x14ac:dyDescent="0.25">
      <c r="B447" s="1004"/>
      <c r="C447" s="12"/>
      <c r="D447" s="439" t="s">
        <v>1772</v>
      </c>
      <c r="E447" s="237"/>
      <c r="F447" s="12"/>
      <c r="G447" s="51"/>
      <c r="H447" s="51"/>
      <c r="M447" s="18"/>
      <c r="N447" s="2215">
        <f>+N446-N445</f>
        <v>-20</v>
      </c>
      <c r="O447" s="2215"/>
      <c r="P447" s="18"/>
    </row>
    <row r="448" spans="2:16" s="4" customFormat="1" x14ac:dyDescent="0.25">
      <c r="B448" s="1004"/>
      <c r="C448" s="12"/>
      <c r="D448" s="12"/>
      <c r="E448" s="12"/>
      <c r="F448" s="12"/>
      <c r="G448" s="51"/>
      <c r="H448" s="51"/>
      <c r="M448" s="18"/>
      <c r="N448" s="2012"/>
      <c r="O448" s="2012"/>
      <c r="P448" s="18"/>
    </row>
    <row r="449" spans="2:16" s="4" customFormat="1" x14ac:dyDescent="0.25">
      <c r="B449" s="1004"/>
      <c r="C449" s="12"/>
      <c r="D449" s="12"/>
      <c r="E449" s="12"/>
      <c r="F449" s="12"/>
      <c r="G449" s="51"/>
      <c r="H449" s="51"/>
      <c r="I449" s="4" t="s">
        <v>1771</v>
      </c>
      <c r="J449" s="18"/>
      <c r="L449" s="2208">
        <v>100</v>
      </c>
      <c r="M449" s="2208"/>
      <c r="N449" s="2216">
        <f>+$N$447*(L449/$N$444)</f>
        <v>-5</v>
      </c>
      <c r="O449" s="2217"/>
      <c r="P449" s="18"/>
    </row>
    <row r="450" spans="2:16" s="4" customFormat="1" x14ac:dyDescent="0.25">
      <c r="B450" s="1004"/>
      <c r="C450" s="12"/>
      <c r="D450" s="12"/>
      <c r="E450" s="12"/>
      <c r="F450" s="12"/>
      <c r="G450" s="51"/>
      <c r="H450" s="51"/>
      <c r="I450" s="4" t="s">
        <v>1770</v>
      </c>
      <c r="L450" s="2208">
        <v>300</v>
      </c>
      <c r="M450" s="2208"/>
      <c r="N450" s="2209">
        <f>+$N$447*(L450/$N$444)</f>
        <v>-15</v>
      </c>
      <c r="O450" s="2210"/>
      <c r="P450" s="18"/>
    </row>
    <row r="451" spans="2:16" s="4" customFormat="1" x14ac:dyDescent="0.25">
      <c r="B451" s="1004"/>
      <c r="C451" s="12"/>
      <c r="D451" s="12"/>
      <c r="E451" s="12"/>
      <c r="F451" s="12"/>
      <c r="G451" s="51"/>
      <c r="H451" s="51"/>
      <c r="M451" s="18"/>
      <c r="N451" s="18"/>
      <c r="O451" s="18"/>
      <c r="P451" s="18"/>
    </row>
    <row r="452" spans="2:16" s="4" customFormat="1" x14ac:dyDescent="0.25">
      <c r="B452" s="1004"/>
      <c r="C452" s="12"/>
      <c r="D452" s="12"/>
      <c r="E452" s="12"/>
      <c r="F452" s="12"/>
      <c r="G452" s="51"/>
      <c r="H452" s="51"/>
      <c r="M452" s="18"/>
      <c r="N452" s="18"/>
      <c r="O452" s="18"/>
      <c r="P452" s="18"/>
    </row>
    <row r="453" spans="2:16" s="4" customFormat="1" x14ac:dyDescent="0.25">
      <c r="B453" s="1004"/>
      <c r="C453" s="12"/>
      <c r="D453" s="12"/>
      <c r="E453" s="12"/>
      <c r="F453" s="12"/>
      <c r="G453" s="51"/>
      <c r="H453" s="51"/>
      <c r="M453" s="18"/>
      <c r="N453" s="18"/>
      <c r="O453" s="18"/>
      <c r="P453" s="18"/>
    </row>
    <row r="454" spans="2:16" s="4" customFormat="1" x14ac:dyDescent="0.25">
      <c r="B454" s="1004"/>
      <c r="C454" s="12"/>
      <c r="D454" s="12"/>
      <c r="E454" s="12"/>
      <c r="F454" s="12"/>
      <c r="G454" s="51"/>
      <c r="H454" s="51"/>
      <c r="M454" s="18"/>
      <c r="N454" s="18"/>
      <c r="O454" s="18"/>
      <c r="P454" s="18"/>
    </row>
    <row r="455" spans="2:16" s="4" customFormat="1" x14ac:dyDescent="0.25">
      <c r="B455" s="1004"/>
      <c r="C455" s="12"/>
      <c r="D455" s="12"/>
      <c r="E455" s="12"/>
      <c r="F455" s="12"/>
      <c r="G455" s="51"/>
      <c r="H455" s="51"/>
      <c r="M455" s="18"/>
      <c r="N455" s="18"/>
      <c r="O455" s="18"/>
      <c r="P455" s="18"/>
    </row>
    <row r="456" spans="2:16" s="4" customFormat="1" x14ac:dyDescent="0.25">
      <c r="B456" s="1004"/>
      <c r="C456" s="12"/>
      <c r="D456" s="12"/>
      <c r="E456" s="12"/>
      <c r="F456" s="12"/>
      <c r="G456" s="51"/>
      <c r="H456" s="51"/>
      <c r="M456" s="18"/>
      <c r="N456" s="18"/>
      <c r="O456" s="18"/>
      <c r="P456" s="18"/>
    </row>
    <row r="457" spans="2:16" s="4" customFormat="1" x14ac:dyDescent="0.25">
      <c r="B457" s="1004"/>
      <c r="C457" s="12"/>
      <c r="D457" s="12"/>
      <c r="E457" s="12"/>
      <c r="F457" s="12"/>
      <c r="G457" s="51"/>
      <c r="H457" s="51"/>
      <c r="M457" s="18"/>
      <c r="N457" s="18"/>
      <c r="O457" s="18"/>
      <c r="P457" s="18"/>
    </row>
    <row r="458" spans="2:16" s="4" customFormat="1" x14ac:dyDescent="0.25">
      <c r="B458" s="1004"/>
      <c r="C458" s="12"/>
      <c r="D458" s="12"/>
      <c r="E458" s="12"/>
      <c r="F458" s="12"/>
      <c r="G458" s="51"/>
      <c r="H458" s="51"/>
      <c r="M458" s="18"/>
      <c r="N458" s="18"/>
      <c r="O458" s="18"/>
      <c r="P458" s="18"/>
    </row>
    <row r="459" spans="2:16" s="4" customFormat="1" x14ac:dyDescent="0.25">
      <c r="B459" s="1004"/>
      <c r="C459" s="12"/>
      <c r="D459" s="12"/>
      <c r="E459" s="12"/>
      <c r="F459" s="12"/>
      <c r="G459" s="51"/>
      <c r="H459" s="51"/>
      <c r="M459" s="18"/>
      <c r="N459" s="18"/>
      <c r="O459" s="18"/>
      <c r="P459" s="18"/>
    </row>
    <row r="460" spans="2:16" s="4" customFormat="1" x14ac:dyDescent="0.25">
      <c r="B460" s="1004"/>
      <c r="C460" s="12"/>
      <c r="D460" s="12"/>
      <c r="E460" s="12"/>
      <c r="F460" s="12"/>
      <c r="G460" s="51"/>
      <c r="H460" s="51"/>
      <c r="M460" s="18"/>
      <c r="N460" s="18"/>
      <c r="O460" s="18"/>
      <c r="P460" s="18"/>
    </row>
    <row r="461" spans="2:16" s="4" customFormat="1" x14ac:dyDescent="0.25">
      <c r="B461" s="1004"/>
      <c r="C461" s="12"/>
      <c r="D461" s="12"/>
      <c r="E461" s="12"/>
      <c r="F461" s="12"/>
      <c r="G461" s="51"/>
      <c r="H461" s="51"/>
      <c r="M461" s="18"/>
      <c r="N461" s="18"/>
      <c r="O461" s="18"/>
      <c r="P461" s="18"/>
    </row>
    <row r="462" spans="2:16" s="4" customFormat="1" x14ac:dyDescent="0.25">
      <c r="B462" s="1004"/>
      <c r="C462" s="12"/>
      <c r="D462" s="12"/>
      <c r="E462" s="12"/>
      <c r="F462" s="12"/>
      <c r="G462" s="51"/>
      <c r="H462" s="51"/>
      <c r="M462" s="18"/>
      <c r="N462" s="18"/>
      <c r="O462" s="18"/>
      <c r="P462" s="18"/>
    </row>
    <row r="463" spans="2:16" s="4" customFormat="1" x14ac:dyDescent="0.25">
      <c r="B463" s="1004"/>
      <c r="C463" s="12"/>
      <c r="D463" s="12"/>
      <c r="E463" s="12"/>
      <c r="F463" s="12"/>
      <c r="G463" s="51"/>
      <c r="H463" s="51"/>
      <c r="M463" s="18"/>
      <c r="N463" s="18"/>
      <c r="O463" s="18"/>
      <c r="P463" s="18"/>
    </row>
    <row r="464" spans="2:16" s="4" customFormat="1" x14ac:dyDescent="0.25">
      <c r="B464" s="1004"/>
      <c r="C464" s="12"/>
      <c r="D464" s="12"/>
      <c r="E464" s="12"/>
      <c r="F464" s="12"/>
      <c r="G464" s="51"/>
      <c r="H464" s="51"/>
      <c r="M464" s="18"/>
      <c r="N464" s="18"/>
      <c r="O464" s="18"/>
      <c r="P464" s="18"/>
    </row>
    <row r="465" spans="1:17" s="4" customFormat="1" x14ac:dyDescent="0.25">
      <c r="B465" s="1004"/>
      <c r="C465" s="12"/>
      <c r="D465" s="12"/>
      <c r="E465" s="12"/>
      <c r="F465" s="12"/>
      <c r="G465" s="51"/>
      <c r="H465" s="51"/>
      <c r="M465" s="18"/>
      <c r="N465" s="18"/>
      <c r="O465" s="18"/>
      <c r="P465" s="18"/>
    </row>
    <row r="466" spans="1:17" s="4" customFormat="1" x14ac:dyDescent="0.25">
      <c r="A466" s="1844" t="s">
        <v>20</v>
      </c>
      <c r="B466" s="1845"/>
      <c r="C466" s="1845"/>
      <c r="D466" s="1845"/>
      <c r="E466" s="1845"/>
      <c r="F466" s="1845"/>
      <c r="G466" s="1845"/>
      <c r="H466" s="1845"/>
      <c r="I466" s="1845"/>
      <c r="J466" s="1845"/>
      <c r="K466" s="1845"/>
      <c r="L466" s="1845"/>
      <c r="M466" s="1845"/>
      <c r="N466" s="1845"/>
      <c r="O466" s="1845"/>
      <c r="P466" s="1845"/>
      <c r="Q466" s="1846"/>
    </row>
    <row r="467" spans="1:17" s="4" customFormat="1" x14ac:dyDescent="0.25">
      <c r="A467" s="1847" t="s">
        <v>1769</v>
      </c>
      <c r="B467" s="1848"/>
      <c r="C467" s="1848"/>
      <c r="D467" s="1848"/>
      <c r="E467" s="1848"/>
      <c r="F467" s="1848"/>
      <c r="G467" s="1848"/>
      <c r="H467" s="1848"/>
      <c r="I467" s="1848"/>
      <c r="J467" s="1848"/>
      <c r="K467" s="1848"/>
      <c r="L467" s="1848"/>
      <c r="M467" s="1848"/>
      <c r="N467" s="1848"/>
      <c r="O467" s="1848"/>
      <c r="P467" s="1848"/>
      <c r="Q467" s="1849"/>
    </row>
    <row r="468" spans="1:17" s="4" customFormat="1" x14ac:dyDescent="0.25">
      <c r="B468" s="1004"/>
      <c r="C468" s="12"/>
      <c r="D468" s="12"/>
      <c r="E468" s="12"/>
      <c r="F468" s="12"/>
      <c r="G468" s="51"/>
      <c r="H468" s="51"/>
      <c r="M468" s="18"/>
      <c r="N468" s="18"/>
      <c r="O468" s="18"/>
      <c r="P468" s="18"/>
    </row>
    <row r="469" spans="1:17" s="4" customFormat="1" ht="15" customHeight="1" x14ac:dyDescent="0.25">
      <c r="B469" s="1182" t="s">
        <v>1768</v>
      </c>
      <c r="C469" s="1140"/>
      <c r="D469" s="1180"/>
      <c r="E469" s="1180"/>
      <c r="F469" s="1180"/>
      <c r="G469" s="1180"/>
      <c r="H469" s="1180"/>
      <c r="I469" s="1180"/>
      <c r="J469" s="1180"/>
      <c r="K469" s="1180"/>
      <c r="L469" s="1180"/>
      <c r="M469" s="1180"/>
      <c r="N469" s="1180"/>
      <c r="O469" s="1180"/>
      <c r="P469" s="1180"/>
    </row>
    <row r="470" spans="1:17" s="4" customFormat="1" x14ac:dyDescent="0.25">
      <c r="D470" s="1180"/>
      <c r="E470" s="1180"/>
      <c r="F470" s="1180"/>
      <c r="G470" s="1180"/>
      <c r="H470" s="1180"/>
      <c r="I470" s="1180"/>
      <c r="J470" s="1180"/>
      <c r="K470" s="1180"/>
      <c r="L470" s="1180"/>
      <c r="M470" s="1180"/>
      <c r="N470" s="1180"/>
      <c r="O470" s="1180"/>
      <c r="P470" s="1180"/>
    </row>
    <row r="471" spans="1:17" s="4" customFormat="1" ht="15" customHeight="1" x14ac:dyDescent="0.25">
      <c r="B471" s="2086" t="s">
        <v>1767</v>
      </c>
      <c r="C471" s="2086"/>
      <c r="D471" s="2211" t="s">
        <v>13</v>
      </c>
      <c r="E471" s="2211"/>
      <c r="F471" s="2086" t="s">
        <v>12</v>
      </c>
      <c r="G471" s="2086"/>
      <c r="H471" s="1180"/>
      <c r="I471" s="1180"/>
      <c r="J471" s="1180"/>
      <c r="K471" s="1180"/>
      <c r="L471" s="1180"/>
      <c r="M471" s="1180"/>
      <c r="N471" s="1180"/>
      <c r="O471" s="1180"/>
      <c r="P471" s="1180"/>
    </row>
    <row r="472" spans="1:17" s="4" customFormat="1" x14ac:dyDescent="0.25">
      <c r="B472" s="2206" t="s">
        <v>1764</v>
      </c>
      <c r="C472" s="2206"/>
      <c r="D472" s="2207">
        <v>2000</v>
      </c>
      <c r="E472" s="2207"/>
      <c r="F472" s="2207">
        <v>2400</v>
      </c>
      <c r="G472" s="2207"/>
    </row>
    <row r="473" spans="1:17" s="4" customFormat="1" ht="15" customHeight="1" x14ac:dyDescent="0.25">
      <c r="B473" s="2206" t="s">
        <v>629</v>
      </c>
      <c r="C473" s="2206"/>
      <c r="D473" s="2207">
        <v>2500</v>
      </c>
      <c r="E473" s="2207"/>
      <c r="F473" s="2207">
        <v>1850</v>
      </c>
      <c r="G473" s="2207"/>
      <c r="H473" s="1180"/>
      <c r="I473" s="1180"/>
      <c r="J473" s="1180"/>
      <c r="K473" s="1180"/>
      <c r="L473" s="1180"/>
      <c r="M473" s="1180"/>
      <c r="N473" s="1180"/>
      <c r="O473" s="1180"/>
      <c r="P473" s="1180"/>
    </row>
    <row r="474" spans="1:17" s="4" customFormat="1" x14ac:dyDescent="0.25">
      <c r="B474" s="2206" t="s">
        <v>631</v>
      </c>
      <c r="C474" s="2206"/>
      <c r="D474" s="2207">
        <v>1750</v>
      </c>
      <c r="E474" s="2207"/>
      <c r="F474" s="2207">
        <f>+D474+250</f>
        <v>2000</v>
      </c>
      <c r="G474" s="2207"/>
    </row>
    <row r="475" spans="1:17" s="4" customFormat="1" ht="15" customHeight="1" x14ac:dyDescent="0.25">
      <c r="B475" s="2206" t="s">
        <v>1763</v>
      </c>
      <c r="C475" s="2206"/>
      <c r="D475" s="2207">
        <v>1300</v>
      </c>
      <c r="E475" s="2207"/>
      <c r="F475" s="2207">
        <v>2150</v>
      </c>
      <c r="G475" s="2207"/>
      <c r="H475" s="1180"/>
      <c r="I475" s="1180"/>
      <c r="J475" s="1180"/>
      <c r="K475" s="1180"/>
      <c r="L475" s="1180"/>
      <c r="M475" s="1180"/>
      <c r="N475" s="1180"/>
      <c r="O475" s="1180"/>
      <c r="P475" s="1180"/>
    </row>
    <row r="476" spans="1:17" s="4" customFormat="1" x14ac:dyDescent="0.25">
      <c r="B476" s="2206" t="s">
        <v>632</v>
      </c>
      <c r="C476" s="2206"/>
      <c r="D476" s="2207">
        <v>1500</v>
      </c>
      <c r="E476" s="2207"/>
      <c r="F476" s="2207">
        <v>1950</v>
      </c>
      <c r="G476" s="2207"/>
      <c r="H476" s="1181"/>
      <c r="I476" s="1180"/>
      <c r="J476" s="1180"/>
      <c r="K476" s="1180"/>
      <c r="L476" s="1180"/>
      <c r="M476" s="1180"/>
      <c r="N476" s="1180"/>
      <c r="O476" s="1180"/>
      <c r="P476" s="1180"/>
    </row>
    <row r="477" spans="1:17" s="4" customFormat="1" ht="15" customHeight="1" x14ac:dyDescent="0.25">
      <c r="B477" s="1993"/>
      <c r="C477" s="1993"/>
      <c r="D477" s="1993"/>
      <c r="E477" s="1993"/>
      <c r="F477" s="1993"/>
      <c r="G477" s="1993"/>
      <c r="H477" s="1180"/>
      <c r="I477" s="1180"/>
      <c r="J477" s="1180"/>
      <c r="K477" s="1180"/>
      <c r="L477" s="1180"/>
      <c r="M477" s="1180"/>
      <c r="N477" s="1180"/>
      <c r="O477" s="1180"/>
      <c r="P477" s="1180"/>
    </row>
    <row r="478" spans="1:17" s="4" customFormat="1" x14ac:dyDescent="0.25">
      <c r="A478" s="2"/>
      <c r="B478" s="21" t="s">
        <v>308</v>
      </c>
      <c r="D478" s="12"/>
      <c r="E478" s="12"/>
      <c r="F478" s="12"/>
      <c r="G478" s="27"/>
      <c r="H478" s="27"/>
      <c r="I478" s="2"/>
      <c r="J478" s="2"/>
      <c r="K478" s="2"/>
      <c r="L478" s="2"/>
      <c r="M478" s="10"/>
      <c r="N478" s="10"/>
      <c r="O478" s="10"/>
      <c r="P478" s="10"/>
      <c r="Q478" s="2"/>
    </row>
    <row r="479" spans="1:17" s="4" customFormat="1" x14ac:dyDescent="0.25">
      <c r="A479" s="2"/>
      <c r="B479" s="1985" t="s">
        <v>1766</v>
      </c>
      <c r="C479" s="1985"/>
      <c r="D479" s="1985"/>
      <c r="E479" s="1985"/>
      <c r="F479" s="1985"/>
      <c r="G479" s="1985"/>
      <c r="H479" s="1985"/>
      <c r="I479" s="1985"/>
      <c r="J479" s="1985"/>
      <c r="K479" s="1985"/>
      <c r="L479" s="1985"/>
      <c r="M479" s="1985"/>
      <c r="N479" s="1985"/>
      <c r="O479" s="1985"/>
      <c r="P479" s="1985"/>
      <c r="Q479" s="2"/>
    </row>
    <row r="480" spans="1:17" s="4" customFormat="1" x14ac:dyDescent="0.25">
      <c r="A480" s="2"/>
      <c r="B480" s="1985"/>
      <c r="C480" s="1985"/>
      <c r="D480" s="1985"/>
      <c r="E480" s="1985"/>
      <c r="F480" s="1985"/>
      <c r="G480" s="1985"/>
      <c r="H480" s="1985"/>
      <c r="I480" s="1985"/>
      <c r="J480" s="1985"/>
      <c r="K480" s="1985"/>
      <c r="L480" s="1985"/>
      <c r="M480" s="1985"/>
      <c r="N480" s="1985"/>
      <c r="O480" s="1985"/>
      <c r="P480" s="1985"/>
      <c r="Q480" s="2"/>
    </row>
    <row r="481" spans="1:17" s="4" customFormat="1" x14ac:dyDescent="0.25">
      <c r="A481" s="2"/>
      <c r="B481" s="1985" t="s">
        <v>1765</v>
      </c>
      <c r="C481" s="1985"/>
      <c r="D481" s="1985"/>
      <c r="E481" s="1985"/>
      <c r="F481" s="1985"/>
      <c r="G481" s="1985"/>
      <c r="H481" s="1985"/>
      <c r="I481" s="1985"/>
      <c r="J481" s="1985"/>
      <c r="K481" s="1985"/>
      <c r="L481" s="1985"/>
      <c r="M481" s="1985"/>
      <c r="N481" s="1985"/>
      <c r="O481" s="1985"/>
      <c r="P481" s="1985"/>
      <c r="Q481" s="2"/>
    </row>
    <row r="482" spans="1:17" s="4" customFormat="1" x14ac:dyDescent="0.25">
      <c r="A482" s="2"/>
      <c r="B482" s="1985"/>
      <c r="C482" s="1985"/>
      <c r="D482" s="1985"/>
      <c r="E482" s="1985"/>
      <c r="F482" s="1985"/>
      <c r="G482" s="1985"/>
      <c r="H482" s="1985"/>
      <c r="I482" s="1985"/>
      <c r="J482" s="1985"/>
      <c r="K482" s="1985"/>
      <c r="L482" s="1985"/>
      <c r="M482" s="1985"/>
      <c r="N482" s="1985"/>
      <c r="O482" s="1985"/>
      <c r="P482" s="1985"/>
      <c r="Q482" s="2"/>
    </row>
    <row r="483" spans="1:17" s="4" customFormat="1" x14ac:dyDescent="0.25">
      <c r="A483" s="2"/>
      <c r="B483" s="1985"/>
      <c r="C483" s="1985"/>
      <c r="D483" s="1985"/>
      <c r="E483" s="1985"/>
      <c r="F483" s="1985"/>
      <c r="G483" s="1985"/>
      <c r="H483" s="1985"/>
      <c r="I483" s="1985"/>
      <c r="J483" s="1985"/>
      <c r="K483" s="1985"/>
      <c r="L483" s="1985"/>
      <c r="M483" s="1985"/>
      <c r="N483" s="1985"/>
      <c r="O483" s="1985"/>
      <c r="P483" s="1985"/>
      <c r="Q483" s="2"/>
    </row>
    <row r="484" spans="1:17" s="4" customFormat="1" x14ac:dyDescent="0.25">
      <c r="A484" s="437"/>
      <c r="B484" s="1179"/>
      <c r="C484" s="1178"/>
      <c r="D484" s="1177"/>
      <c r="E484" s="1177"/>
      <c r="F484" s="1177"/>
      <c r="G484" s="435"/>
      <c r="H484" s="435"/>
      <c r="I484" s="437"/>
      <c r="J484" s="437"/>
      <c r="K484" s="437"/>
      <c r="L484" s="437"/>
      <c r="N484" s="1176"/>
      <c r="O484" s="1176"/>
      <c r="P484" s="1176"/>
      <c r="Q484" s="437"/>
    </row>
    <row r="485" spans="1:17" s="4" customFormat="1" x14ac:dyDescent="0.25">
      <c r="A485" s="437"/>
      <c r="B485" s="103"/>
      <c r="C485" s="1173"/>
      <c r="D485" s="1175"/>
      <c r="E485" s="1173"/>
      <c r="F485" s="1173"/>
      <c r="G485" s="2200" t="s">
        <v>1764</v>
      </c>
      <c r="H485" s="2201"/>
      <c r="I485" s="1174"/>
      <c r="J485" s="1174"/>
      <c r="K485" s="1174"/>
      <c r="L485" s="1173"/>
      <c r="M485" s="2103" t="s">
        <v>9</v>
      </c>
      <c r="N485" s="2103"/>
      <c r="O485" s="2103" t="s">
        <v>8</v>
      </c>
      <c r="P485" s="2103"/>
      <c r="Q485" s="437"/>
    </row>
    <row r="486" spans="1:17" s="4" customFormat="1" x14ac:dyDescent="0.25">
      <c r="A486" s="2"/>
      <c r="B486" s="102" t="s">
        <v>207</v>
      </c>
      <c r="C486" s="1015" t="s">
        <v>12</v>
      </c>
      <c r="D486" s="31"/>
      <c r="E486" s="1016"/>
      <c r="F486" s="991"/>
      <c r="G486" s="51"/>
      <c r="H486" s="51"/>
      <c r="L486" s="991"/>
      <c r="M486" s="2008">
        <f>+F472</f>
        <v>2400</v>
      </c>
      <c r="N486" s="2009"/>
      <c r="O486" s="2012"/>
      <c r="P486" s="2009"/>
      <c r="Q486" s="2"/>
    </row>
    <row r="487" spans="1:17" s="4" customFormat="1" x14ac:dyDescent="0.25">
      <c r="A487" s="2"/>
      <c r="B487" s="38" t="s">
        <v>17</v>
      </c>
      <c r="C487" s="1015"/>
      <c r="D487" s="1016"/>
      <c r="E487" s="1016"/>
      <c r="F487" s="20" t="s">
        <v>1</v>
      </c>
      <c r="G487" s="1020" t="s">
        <v>324</v>
      </c>
      <c r="H487" s="51"/>
      <c r="L487" s="991"/>
      <c r="M487" s="2008"/>
      <c r="N487" s="2009"/>
      <c r="O487" s="2008">
        <f>+M486-O488</f>
        <v>400</v>
      </c>
      <c r="P487" s="2009"/>
      <c r="Q487" s="2"/>
    </row>
    <row r="488" spans="1:17" s="4" customFormat="1" x14ac:dyDescent="0.25">
      <c r="A488" s="2"/>
      <c r="B488" s="1009" t="s">
        <v>14</v>
      </c>
      <c r="C488" s="1015"/>
      <c r="D488" s="1016"/>
      <c r="E488" s="1016"/>
      <c r="F488" s="20" t="s">
        <v>1</v>
      </c>
      <c r="G488" s="1020" t="s">
        <v>13</v>
      </c>
      <c r="H488" s="1020"/>
      <c r="M488" s="2008"/>
      <c r="N488" s="2012"/>
      <c r="O488" s="2008">
        <f>+D472</f>
        <v>2000</v>
      </c>
      <c r="P488" s="2009"/>
      <c r="Q488" s="2"/>
    </row>
    <row r="489" spans="1:17" s="4" customFormat="1" x14ac:dyDescent="0.25">
      <c r="B489" s="1004"/>
      <c r="C489" s="2198" t="s">
        <v>1762</v>
      </c>
      <c r="D489" s="2199"/>
      <c r="E489" s="2199"/>
      <c r="F489" s="2199"/>
      <c r="G489" s="2200" t="s">
        <v>629</v>
      </c>
      <c r="H489" s="2201"/>
      <c r="I489" s="2198" t="s">
        <v>1762</v>
      </c>
      <c r="J489" s="2199"/>
      <c r="K489" s="2199"/>
      <c r="L489" s="2199"/>
      <c r="M489" s="2008"/>
      <c r="N489" s="2012"/>
      <c r="O489" s="2008"/>
      <c r="P489" s="2009"/>
    </row>
    <row r="490" spans="1:17" s="4" customFormat="1" x14ac:dyDescent="0.25">
      <c r="B490" s="1004" t="s">
        <v>207</v>
      </c>
      <c r="C490" s="1015" t="s">
        <v>12</v>
      </c>
      <c r="M490" s="2008">
        <f>+F473</f>
        <v>1850</v>
      </c>
      <c r="N490" s="2009"/>
      <c r="O490" s="2008"/>
      <c r="P490" s="2009"/>
      <c r="Q490" s="8"/>
    </row>
    <row r="491" spans="1:17" s="4" customFormat="1" x14ac:dyDescent="0.25">
      <c r="B491" s="1004" t="s">
        <v>11</v>
      </c>
      <c r="C491" s="1015" t="s">
        <v>295</v>
      </c>
      <c r="M491" s="2008">
        <f>+O492-M490</f>
        <v>650</v>
      </c>
      <c r="N491" s="2009"/>
      <c r="O491" s="2008"/>
      <c r="P491" s="2009"/>
      <c r="Q491" s="8"/>
    </row>
    <row r="492" spans="1:17" s="4" customFormat="1" x14ac:dyDescent="0.25">
      <c r="B492" s="1004" t="s">
        <v>14</v>
      </c>
      <c r="C492" s="501"/>
      <c r="D492" s="12"/>
      <c r="E492" s="12"/>
      <c r="F492" s="20" t="s">
        <v>1</v>
      </c>
      <c r="G492" s="1020" t="s">
        <v>13</v>
      </c>
      <c r="H492" s="51"/>
      <c r="M492" s="2008"/>
      <c r="N492" s="2009"/>
      <c r="O492" s="2008">
        <f>+D473</f>
        <v>2500</v>
      </c>
      <c r="P492" s="2009"/>
      <c r="Q492" s="8"/>
    </row>
    <row r="493" spans="1:17" s="4" customFormat="1" x14ac:dyDescent="0.25">
      <c r="B493" s="1004"/>
      <c r="C493" s="2198" t="s">
        <v>1762</v>
      </c>
      <c r="D493" s="2199"/>
      <c r="E493" s="2199"/>
      <c r="F493" s="2199"/>
      <c r="G493" s="2200" t="s">
        <v>631</v>
      </c>
      <c r="H493" s="2201"/>
      <c r="I493" s="2198" t="s">
        <v>1762</v>
      </c>
      <c r="J493" s="2199"/>
      <c r="K493" s="2199"/>
      <c r="L493" s="2199"/>
      <c r="M493" s="2008"/>
      <c r="N493" s="2012"/>
      <c r="O493" s="2008"/>
      <c r="P493" s="2009"/>
    </row>
    <row r="494" spans="1:17" s="4" customFormat="1" x14ac:dyDescent="0.25">
      <c r="B494" s="1004" t="s">
        <v>207</v>
      </c>
      <c r="C494" s="1015" t="s">
        <v>12</v>
      </c>
      <c r="M494" s="2008">
        <f>+F474</f>
        <v>2000</v>
      </c>
      <c r="N494" s="2009"/>
      <c r="O494" s="2008"/>
      <c r="P494" s="2009"/>
      <c r="Q494" s="8"/>
    </row>
    <row r="495" spans="1:17" s="4" customFormat="1" x14ac:dyDescent="0.25">
      <c r="B495" s="1004" t="s">
        <v>14</v>
      </c>
      <c r="C495" s="1015"/>
      <c r="F495" s="20" t="s">
        <v>1</v>
      </c>
      <c r="G495" s="1020" t="str">
        <f>+C491</f>
        <v>IVA Saldo a favor</v>
      </c>
      <c r="M495" s="993"/>
      <c r="N495" s="995"/>
      <c r="O495" s="2008">
        <f>+M494-O496</f>
        <v>250</v>
      </c>
      <c r="P495" s="2009"/>
      <c r="Q495" s="8"/>
    </row>
    <row r="496" spans="1:17" s="4" customFormat="1" x14ac:dyDescent="0.25">
      <c r="B496" s="1004" t="s">
        <v>14</v>
      </c>
      <c r="C496" s="501"/>
      <c r="D496" s="12"/>
      <c r="E496" s="12"/>
      <c r="F496" s="20" t="s">
        <v>1</v>
      </c>
      <c r="G496" s="1020" t="s">
        <v>13</v>
      </c>
      <c r="H496" s="51"/>
      <c r="M496" s="2008"/>
      <c r="N496" s="2009"/>
      <c r="O496" s="2008">
        <f>+D474</f>
        <v>1750</v>
      </c>
      <c r="P496" s="2009"/>
      <c r="Q496" s="8"/>
    </row>
    <row r="497" spans="2:17" s="4" customFormat="1" x14ac:dyDescent="0.25">
      <c r="B497" s="1004"/>
      <c r="C497" s="2198" t="s">
        <v>1762</v>
      </c>
      <c r="D497" s="2199"/>
      <c r="E497" s="2199"/>
      <c r="F497" s="2199"/>
      <c r="G497" s="2200" t="s">
        <v>1763</v>
      </c>
      <c r="H497" s="2201"/>
      <c r="I497" s="2198" t="s">
        <v>1762</v>
      </c>
      <c r="J497" s="2199"/>
      <c r="K497" s="2199"/>
      <c r="L497" s="2199"/>
      <c r="M497" s="2008"/>
      <c r="N497" s="2012"/>
      <c r="O497" s="2008"/>
      <c r="P497" s="2009"/>
    </row>
    <row r="498" spans="2:17" s="4" customFormat="1" x14ac:dyDescent="0.25">
      <c r="B498" s="1004" t="s">
        <v>207</v>
      </c>
      <c r="C498" s="1015" t="s">
        <v>12</v>
      </c>
      <c r="M498" s="2008">
        <f>+F475</f>
        <v>2150</v>
      </c>
      <c r="N498" s="2009"/>
      <c r="O498" s="2008"/>
      <c r="P498" s="2009"/>
      <c r="Q498" s="8"/>
    </row>
    <row r="499" spans="2:17" s="4" customFormat="1" x14ac:dyDescent="0.25">
      <c r="B499" s="1004" t="s">
        <v>17</v>
      </c>
      <c r="C499" s="1015"/>
      <c r="F499" s="20" t="s">
        <v>1</v>
      </c>
      <c r="G499" s="1020" t="s">
        <v>324</v>
      </c>
      <c r="M499" s="993"/>
      <c r="N499" s="995"/>
      <c r="O499" s="2008">
        <f>+M498-O501-O500</f>
        <v>450</v>
      </c>
      <c r="P499" s="2009"/>
      <c r="Q499" s="8"/>
    </row>
    <row r="500" spans="2:17" s="4" customFormat="1" x14ac:dyDescent="0.25">
      <c r="B500" s="1004" t="s">
        <v>14</v>
      </c>
      <c r="C500" s="1015"/>
      <c r="F500" s="20" t="s">
        <v>1</v>
      </c>
      <c r="G500" s="1020" t="str">
        <f>+G495</f>
        <v>IVA Saldo a favor</v>
      </c>
      <c r="M500" s="993"/>
      <c r="N500" s="995"/>
      <c r="O500" s="2008">
        <f>+M491-O495</f>
        <v>400</v>
      </c>
      <c r="P500" s="2009"/>
      <c r="Q500" s="8"/>
    </row>
    <row r="501" spans="2:17" s="4" customFormat="1" x14ac:dyDescent="0.25">
      <c r="B501" s="1004" t="s">
        <v>14</v>
      </c>
      <c r="C501" s="501"/>
      <c r="D501" s="12"/>
      <c r="E501" s="12"/>
      <c r="F501" s="20" t="s">
        <v>1</v>
      </c>
      <c r="G501" s="1020" t="s">
        <v>13</v>
      </c>
      <c r="H501" s="51"/>
      <c r="M501" s="2008"/>
      <c r="N501" s="2009"/>
      <c r="O501" s="2008">
        <f>+D475</f>
        <v>1300</v>
      </c>
      <c r="P501" s="2009"/>
      <c r="Q501" s="8"/>
    </row>
    <row r="502" spans="2:17" s="4" customFormat="1" x14ac:dyDescent="0.25">
      <c r="B502" s="1004"/>
      <c r="C502" s="2198" t="s">
        <v>1762</v>
      </c>
      <c r="D502" s="2199"/>
      <c r="E502" s="2199"/>
      <c r="F502" s="2199"/>
      <c r="G502" s="2200" t="s">
        <v>632</v>
      </c>
      <c r="H502" s="2201"/>
      <c r="I502" s="2198" t="s">
        <v>1762</v>
      </c>
      <c r="J502" s="2199"/>
      <c r="K502" s="2199"/>
      <c r="L502" s="2199"/>
      <c r="M502" s="2008"/>
      <c r="N502" s="2012"/>
      <c r="O502" s="2008"/>
      <c r="P502" s="2009"/>
    </row>
    <row r="503" spans="2:17" s="4" customFormat="1" x14ac:dyDescent="0.25">
      <c r="B503" s="1004" t="s">
        <v>207</v>
      </c>
      <c r="C503" s="1015" t="s">
        <v>12</v>
      </c>
      <c r="M503" s="2008">
        <f>+F476</f>
        <v>1950</v>
      </c>
      <c r="N503" s="2009"/>
      <c r="O503" s="2008"/>
      <c r="P503" s="2009"/>
      <c r="Q503" s="8"/>
    </row>
    <row r="504" spans="2:17" s="4" customFormat="1" x14ac:dyDescent="0.25">
      <c r="B504" s="1004" t="s">
        <v>17</v>
      </c>
      <c r="C504" s="1015"/>
      <c r="F504" s="20" t="s">
        <v>1</v>
      </c>
      <c r="G504" s="1020" t="s">
        <v>324</v>
      </c>
      <c r="M504" s="993"/>
      <c r="N504" s="995"/>
      <c r="O504" s="2008">
        <f>+M503-O505</f>
        <v>450</v>
      </c>
      <c r="P504" s="2009"/>
      <c r="Q504" s="8"/>
    </row>
    <row r="505" spans="2:17" s="4" customFormat="1" x14ac:dyDescent="0.25">
      <c r="B505" s="1004" t="s">
        <v>14</v>
      </c>
      <c r="C505" s="506"/>
      <c r="D505" s="11"/>
      <c r="E505" s="11"/>
      <c r="F505" s="35" t="s">
        <v>1</v>
      </c>
      <c r="G505" s="1022" t="s">
        <v>13</v>
      </c>
      <c r="H505" s="24"/>
      <c r="I505" s="3"/>
      <c r="J505" s="3"/>
      <c r="K505" s="3"/>
      <c r="L505" s="3"/>
      <c r="M505" s="2006"/>
      <c r="N505" s="2007"/>
      <c r="O505" s="2006">
        <f>+D476</f>
        <v>1500</v>
      </c>
      <c r="P505" s="2007"/>
      <c r="Q505" s="8"/>
    </row>
    <row r="506" spans="2:17" s="4" customFormat="1" x14ac:dyDescent="0.25">
      <c r="B506" s="1004"/>
      <c r="C506" s="12"/>
      <c r="D506" s="12"/>
      <c r="E506" s="12"/>
      <c r="F506" s="12"/>
      <c r="G506" s="51"/>
      <c r="H506" s="51"/>
      <c r="M506" s="18"/>
      <c r="N506" s="18"/>
      <c r="O506" s="18"/>
      <c r="P506" s="18"/>
    </row>
    <row r="507" spans="2:17" s="4" customFormat="1" x14ac:dyDescent="0.25">
      <c r="B507" s="1004"/>
      <c r="C507" s="12"/>
      <c r="D507" s="12"/>
      <c r="E507" s="12"/>
      <c r="F507" s="12"/>
      <c r="G507" s="51"/>
      <c r="H507" s="51"/>
      <c r="M507" s="18"/>
      <c r="N507" s="18"/>
      <c r="O507" s="18"/>
      <c r="P507" s="18"/>
    </row>
    <row r="508" spans="2:17" s="4" customFormat="1" x14ac:dyDescent="0.25">
      <c r="B508" s="1004"/>
      <c r="C508" s="12"/>
      <c r="D508" s="12"/>
      <c r="E508" s="12"/>
      <c r="F508" s="12"/>
      <c r="G508" s="51"/>
      <c r="H508" s="51"/>
      <c r="M508" s="18"/>
      <c r="N508" s="18"/>
      <c r="O508" s="18"/>
      <c r="P508" s="18"/>
    </row>
    <row r="509" spans="2:17" s="4" customFormat="1" x14ac:dyDescent="0.25">
      <c r="B509" s="1004"/>
      <c r="C509" s="12"/>
      <c r="D509" s="12"/>
      <c r="E509" s="12"/>
      <c r="F509" s="12"/>
      <c r="G509" s="51"/>
      <c r="H509" s="51"/>
      <c r="M509" s="18"/>
      <c r="N509" s="18"/>
      <c r="O509" s="18"/>
      <c r="P509" s="18"/>
    </row>
    <row r="510" spans="2:17" s="4" customFormat="1" x14ac:dyDescent="0.25">
      <c r="B510" s="1004"/>
      <c r="C510" s="12"/>
      <c r="D510" s="12"/>
      <c r="E510" s="12"/>
      <c r="F510" s="12"/>
      <c r="G510" s="51"/>
      <c r="H510" s="51"/>
      <c r="M510" s="18"/>
      <c r="N510" s="18"/>
      <c r="O510" s="18"/>
      <c r="P510" s="18"/>
    </row>
    <row r="511" spans="2:17" s="4" customFormat="1" x14ac:dyDescent="0.25">
      <c r="B511" s="1004"/>
      <c r="C511" s="12"/>
      <c r="D511" s="12"/>
      <c r="E511" s="12"/>
      <c r="F511" s="12"/>
      <c r="G511" s="51"/>
      <c r="H511" s="51"/>
      <c r="M511" s="18"/>
      <c r="N511" s="18"/>
      <c r="O511" s="18"/>
      <c r="P511" s="18"/>
    </row>
    <row r="512" spans="2:17" s="4" customFormat="1" x14ac:dyDescent="0.25">
      <c r="B512" s="1004"/>
      <c r="C512" s="12"/>
      <c r="D512" s="12"/>
      <c r="E512" s="12"/>
      <c r="F512" s="12"/>
      <c r="G512" s="51"/>
      <c r="H512" s="51"/>
      <c r="M512" s="18"/>
      <c r="N512" s="18"/>
      <c r="O512" s="18"/>
      <c r="P512" s="18"/>
    </row>
    <row r="513" spans="1:17" s="4" customFormat="1" x14ac:dyDescent="0.25">
      <c r="B513" s="1004"/>
      <c r="C513" s="12"/>
      <c r="D513" s="12"/>
      <c r="E513" s="12"/>
      <c r="F513" s="12"/>
      <c r="G513" s="51"/>
      <c r="H513" s="51"/>
      <c r="M513" s="18"/>
      <c r="N513" s="18"/>
      <c r="O513" s="18"/>
      <c r="P513" s="18"/>
    </row>
    <row r="514" spans="1:17" s="4" customFormat="1" x14ac:dyDescent="0.25">
      <c r="B514" s="1004"/>
      <c r="C514" s="12"/>
      <c r="D514" s="12"/>
      <c r="E514" s="12"/>
      <c r="F514" s="12"/>
      <c r="G514" s="51"/>
      <c r="H514" s="51"/>
      <c r="M514" s="18"/>
      <c r="N514" s="18"/>
      <c r="O514" s="18"/>
      <c r="P514" s="18"/>
    </row>
    <row r="515" spans="1:17" s="4" customFormat="1" x14ac:dyDescent="0.25">
      <c r="B515" s="1004"/>
      <c r="C515" s="12"/>
      <c r="D515" s="12"/>
      <c r="E515" s="12"/>
      <c r="F515" s="12"/>
      <c r="G515" s="51"/>
      <c r="H515" s="51"/>
      <c r="M515" s="18"/>
      <c r="N515" s="18"/>
      <c r="O515" s="18"/>
      <c r="P515" s="18"/>
    </row>
    <row r="516" spans="1:17" s="4" customFormat="1" x14ac:dyDescent="0.25">
      <c r="B516" s="1004"/>
      <c r="C516" s="12"/>
      <c r="D516" s="12"/>
      <c r="E516" s="12"/>
      <c r="F516" s="12"/>
      <c r="G516" s="51"/>
      <c r="H516" s="51"/>
      <c r="M516" s="18"/>
      <c r="N516" s="18"/>
      <c r="O516" s="18"/>
      <c r="P516" s="18"/>
    </row>
    <row r="517" spans="1:17" s="4" customFormat="1" x14ac:dyDescent="0.25">
      <c r="B517" s="1004"/>
      <c r="C517" s="12"/>
      <c r="D517" s="12"/>
      <c r="E517" s="12"/>
      <c r="F517" s="12"/>
      <c r="G517" s="51"/>
      <c r="H517" s="51"/>
      <c r="M517" s="18"/>
      <c r="N517" s="18"/>
      <c r="O517" s="18"/>
      <c r="P517" s="18"/>
    </row>
    <row r="518" spans="1:17" s="4" customFormat="1" x14ac:dyDescent="0.25">
      <c r="A518" s="1844" t="s">
        <v>20</v>
      </c>
      <c r="B518" s="1845"/>
      <c r="C518" s="1845"/>
      <c r="D518" s="1845"/>
      <c r="E518" s="1845"/>
      <c r="F518" s="1845"/>
      <c r="G518" s="1845"/>
      <c r="H518" s="1845"/>
      <c r="I518" s="1845"/>
      <c r="J518" s="1845"/>
      <c r="K518" s="1845"/>
      <c r="L518" s="1845"/>
      <c r="M518" s="1845"/>
      <c r="N518" s="1845"/>
      <c r="O518" s="1845"/>
      <c r="P518" s="1845"/>
      <c r="Q518" s="1846"/>
    </row>
    <row r="519" spans="1:17" s="4" customFormat="1" x14ac:dyDescent="0.25">
      <c r="A519" s="1847" t="s">
        <v>1761</v>
      </c>
      <c r="B519" s="1848"/>
      <c r="C519" s="1848"/>
      <c r="D519" s="1848"/>
      <c r="E519" s="1848"/>
      <c r="F519" s="1848"/>
      <c r="G519" s="1848"/>
      <c r="H519" s="1848"/>
      <c r="I519" s="1848"/>
      <c r="J519" s="1848"/>
      <c r="K519" s="1848"/>
      <c r="L519" s="1848"/>
      <c r="M519" s="1848"/>
      <c r="N519" s="1848"/>
      <c r="O519" s="1848"/>
      <c r="P519" s="1848"/>
      <c r="Q519" s="1849"/>
    </row>
    <row r="520" spans="1:17" s="4" customFormat="1" x14ac:dyDescent="0.25">
      <c r="B520" s="1004"/>
      <c r="C520" s="12"/>
      <c r="D520" s="12"/>
      <c r="E520" s="12"/>
      <c r="F520" s="12"/>
      <c r="G520" s="51"/>
      <c r="H520" s="51"/>
      <c r="M520" s="18"/>
      <c r="N520" s="18"/>
      <c r="O520" s="18"/>
      <c r="P520" s="18"/>
    </row>
    <row r="521" spans="1:17" s="4" customFormat="1" x14ac:dyDescent="0.25">
      <c r="B521" s="50" t="s">
        <v>148</v>
      </c>
      <c r="C521" s="2203" t="s">
        <v>1760</v>
      </c>
      <c r="D521" s="2203"/>
      <c r="E521" s="2203"/>
      <c r="F521" s="2203"/>
      <c r="G521" s="2203"/>
      <c r="H521" s="2203"/>
      <c r="I521" s="2203"/>
      <c r="J521" s="2203"/>
      <c r="K521" s="2203"/>
      <c r="L521" s="2203"/>
      <c r="M521" s="2203"/>
      <c r="N521" s="2203"/>
      <c r="O521" s="2203"/>
      <c r="P521" s="2203"/>
    </row>
    <row r="522" spans="1:17" s="4" customFormat="1" x14ac:dyDescent="0.25">
      <c r="B522" s="48"/>
      <c r="C522" s="2203"/>
      <c r="D522" s="2203"/>
      <c r="E522" s="2203"/>
      <c r="F522" s="2203"/>
      <c r="G522" s="2203"/>
      <c r="H522" s="2203"/>
      <c r="I522" s="2203"/>
      <c r="J522" s="2203"/>
      <c r="K522" s="2203"/>
      <c r="L522" s="2203"/>
      <c r="M522" s="2203"/>
      <c r="N522" s="2203"/>
      <c r="O522" s="2203"/>
      <c r="P522" s="2203"/>
    </row>
    <row r="523" spans="1:17" s="4" customFormat="1" x14ac:dyDescent="0.25">
      <c r="B523" s="48"/>
      <c r="C523" s="2203"/>
      <c r="D523" s="2203"/>
      <c r="E523" s="2203"/>
      <c r="F523" s="2203"/>
      <c r="G523" s="2203"/>
      <c r="H523" s="2203"/>
      <c r="I523" s="2203"/>
      <c r="J523" s="2203"/>
      <c r="K523" s="2203"/>
      <c r="L523" s="2203"/>
      <c r="M523" s="2203"/>
      <c r="N523" s="2203"/>
      <c r="O523" s="2203"/>
      <c r="P523" s="2203"/>
    </row>
    <row r="524" spans="1:17" s="4" customFormat="1" x14ac:dyDescent="0.25">
      <c r="B524" s="48"/>
      <c r="C524" s="48"/>
      <c r="D524" s="48"/>
      <c r="E524" s="1063"/>
      <c r="F524" s="1063"/>
      <c r="G524" s="468"/>
      <c r="H524" s="468"/>
      <c r="I524" s="468"/>
      <c r="J524" s="1063"/>
      <c r="K524" s="1063"/>
      <c r="M524" s="18"/>
      <c r="N524" s="18"/>
      <c r="O524" s="18"/>
      <c r="P524" s="18"/>
    </row>
    <row r="525" spans="1:17" s="4" customFormat="1" ht="20.25" customHeight="1" x14ac:dyDescent="0.25">
      <c r="B525" s="50" t="s">
        <v>1759</v>
      </c>
      <c r="C525" s="2205" t="s">
        <v>1758</v>
      </c>
      <c r="D525" s="2205"/>
      <c r="E525" s="2205"/>
      <c r="F525" s="2205"/>
      <c r="G525" s="2205"/>
      <c r="H525" s="2205"/>
      <c r="I525" s="2205"/>
      <c r="J525" s="2205"/>
      <c r="K525" s="2205"/>
      <c r="L525" s="2205"/>
      <c r="M525" s="2205"/>
      <c r="N525" s="2205"/>
      <c r="O525" s="2205"/>
      <c r="P525" s="2205"/>
    </row>
    <row r="526" spans="1:17" s="4" customFormat="1" x14ac:dyDescent="0.25">
      <c r="B526" s="48"/>
      <c r="C526" s="2205"/>
      <c r="D526" s="2205"/>
      <c r="E526" s="2205"/>
      <c r="F526" s="2205"/>
      <c r="G526" s="2205"/>
      <c r="H526" s="2205"/>
      <c r="I526" s="2205"/>
      <c r="J526" s="2205"/>
      <c r="K526" s="2205"/>
      <c r="L526" s="2205"/>
      <c r="M526" s="2205"/>
      <c r="N526" s="2205"/>
      <c r="O526" s="2205"/>
      <c r="P526" s="2205"/>
    </row>
    <row r="527" spans="1:17" s="4" customFormat="1" x14ac:dyDescent="0.25">
      <c r="B527" s="48"/>
      <c r="C527" s="2205"/>
      <c r="D527" s="2205"/>
      <c r="E527" s="2205"/>
      <c r="F527" s="2205"/>
      <c r="G527" s="2205"/>
      <c r="H527" s="2205"/>
      <c r="I527" s="2205"/>
      <c r="J527" s="2205"/>
      <c r="K527" s="2205"/>
      <c r="L527" s="2205"/>
      <c r="M527" s="2205"/>
      <c r="N527" s="2205"/>
      <c r="O527" s="2205"/>
      <c r="P527" s="2205"/>
    </row>
    <row r="528" spans="1:17" s="4" customFormat="1" x14ac:dyDescent="0.25">
      <c r="B528" s="48"/>
      <c r="C528" s="2205"/>
      <c r="D528" s="2205"/>
      <c r="E528" s="2205"/>
      <c r="F528" s="2205"/>
      <c r="G528" s="2205"/>
      <c r="H528" s="2205"/>
      <c r="I528" s="2205"/>
      <c r="J528" s="2205"/>
      <c r="K528" s="2205"/>
      <c r="L528" s="2205"/>
      <c r="M528" s="2205"/>
      <c r="N528" s="2205"/>
      <c r="O528" s="2205"/>
      <c r="P528" s="2205"/>
    </row>
    <row r="529" spans="2:16" s="4" customFormat="1" x14ac:dyDescent="0.25">
      <c r="B529" s="48"/>
      <c r="C529" s="48"/>
      <c r="D529" s="48"/>
      <c r="E529" s="1063"/>
      <c r="F529" s="1063"/>
      <c r="G529" s="468"/>
      <c r="H529" s="468"/>
      <c r="I529" s="468"/>
      <c r="J529" s="1063"/>
      <c r="K529" s="1063"/>
      <c r="M529" s="18"/>
      <c r="N529" s="18"/>
      <c r="O529" s="18"/>
      <c r="P529" s="18"/>
    </row>
    <row r="530" spans="2:16" s="4" customFormat="1" ht="15" customHeight="1" x14ac:dyDescent="0.25">
      <c r="B530" s="50" t="s">
        <v>178</v>
      </c>
      <c r="C530" s="2203" t="s">
        <v>1757</v>
      </c>
      <c r="D530" s="2203"/>
      <c r="E530" s="2203"/>
      <c r="F530" s="2203"/>
      <c r="G530" s="2203"/>
      <c r="H530" s="2203"/>
      <c r="I530" s="2203"/>
      <c r="J530" s="2203"/>
      <c r="K530" s="2203"/>
      <c r="L530" s="2203"/>
      <c r="M530" s="2203"/>
      <c r="N530" s="2203"/>
      <c r="O530" s="2203"/>
      <c r="P530" s="2203"/>
    </row>
    <row r="531" spans="2:16" s="4" customFormat="1" x14ac:dyDescent="0.25">
      <c r="B531" s="48"/>
      <c r="C531" s="2203"/>
      <c r="D531" s="2203"/>
      <c r="E531" s="2203"/>
      <c r="F531" s="2203"/>
      <c r="G531" s="2203"/>
      <c r="H531" s="2203"/>
      <c r="I531" s="2203"/>
      <c r="J531" s="2203"/>
      <c r="K531" s="2203"/>
      <c r="L531" s="2203"/>
      <c r="M531" s="2203"/>
      <c r="N531" s="2203"/>
      <c r="O531" s="2203"/>
      <c r="P531" s="2203"/>
    </row>
    <row r="532" spans="2:16" s="4" customFormat="1" x14ac:dyDescent="0.25">
      <c r="B532" s="48"/>
      <c r="C532" s="2203"/>
      <c r="D532" s="2203"/>
      <c r="E532" s="2203"/>
      <c r="F532" s="2203"/>
      <c r="G532" s="2203"/>
      <c r="H532" s="2203"/>
      <c r="I532" s="2203"/>
      <c r="J532" s="2203"/>
      <c r="K532" s="2203"/>
      <c r="L532" s="2203"/>
      <c r="M532" s="2203"/>
      <c r="N532" s="2203"/>
      <c r="O532" s="2203"/>
      <c r="P532" s="2203"/>
    </row>
    <row r="533" spans="2:16" s="4" customFormat="1" x14ac:dyDescent="0.25">
      <c r="B533" s="48"/>
      <c r="C533" s="2203"/>
      <c r="D533" s="2203"/>
      <c r="E533" s="2203"/>
      <c r="F533" s="2203"/>
      <c r="G533" s="2203"/>
      <c r="H533" s="2203"/>
      <c r="I533" s="2203"/>
      <c r="J533" s="2203"/>
      <c r="K533" s="2203"/>
      <c r="L533" s="2203"/>
      <c r="M533" s="2203"/>
      <c r="N533" s="2203"/>
      <c r="O533" s="2203"/>
      <c r="P533" s="2203"/>
    </row>
    <row r="534" spans="2:16" s="4" customFormat="1" x14ac:dyDescent="0.25">
      <c r="B534" s="48"/>
      <c r="C534" s="2203"/>
      <c r="D534" s="2203"/>
      <c r="E534" s="2203"/>
      <c r="F534" s="2203"/>
      <c r="G534" s="2203"/>
      <c r="H534" s="2203"/>
      <c r="I534" s="2203"/>
      <c r="J534" s="2203"/>
      <c r="K534" s="2203"/>
      <c r="L534" s="2203"/>
      <c r="M534" s="2203"/>
      <c r="N534" s="2203"/>
      <c r="O534" s="2203"/>
      <c r="P534" s="2203"/>
    </row>
    <row r="535" spans="2:16" s="4" customFormat="1" x14ac:dyDescent="0.25">
      <c r="B535" s="48"/>
      <c r="C535" s="48"/>
      <c r="D535" s="48"/>
      <c r="E535" s="1063"/>
      <c r="F535" s="1063"/>
      <c r="G535" s="468"/>
      <c r="H535" s="468"/>
      <c r="I535" s="468"/>
      <c r="J535" s="1063"/>
      <c r="K535" s="1063"/>
      <c r="M535" s="18"/>
      <c r="N535" s="18"/>
      <c r="O535" s="18"/>
      <c r="P535" s="18"/>
    </row>
    <row r="536" spans="2:16" s="4" customFormat="1" ht="15" customHeight="1" x14ac:dyDescent="0.25">
      <c r="B536" s="50" t="s">
        <v>236</v>
      </c>
      <c r="C536" s="2203" t="s">
        <v>1756</v>
      </c>
      <c r="D536" s="2203"/>
      <c r="E536" s="2203"/>
      <c r="F536" s="2203"/>
      <c r="G536" s="2203"/>
      <c r="H536" s="2203"/>
      <c r="I536" s="2203"/>
      <c r="J536" s="2203"/>
      <c r="K536" s="2203"/>
      <c r="L536" s="2203"/>
      <c r="M536" s="2203"/>
      <c r="N536" s="2203"/>
      <c r="O536" s="2203"/>
      <c r="P536" s="2203"/>
    </row>
    <row r="537" spans="2:16" s="4" customFormat="1" x14ac:dyDescent="0.25">
      <c r="B537" s="48"/>
      <c r="C537" s="2203"/>
      <c r="D537" s="2203"/>
      <c r="E537" s="2203"/>
      <c r="F537" s="2203"/>
      <c r="G537" s="2203"/>
      <c r="H537" s="2203"/>
      <c r="I537" s="2203"/>
      <c r="J537" s="2203"/>
      <c r="K537" s="2203"/>
      <c r="L537" s="2203"/>
      <c r="M537" s="2203"/>
      <c r="N537" s="2203"/>
      <c r="O537" s="2203"/>
      <c r="P537" s="2203"/>
    </row>
    <row r="538" spans="2:16" s="4" customFormat="1" x14ac:dyDescent="0.25">
      <c r="B538" s="48"/>
      <c r="C538" s="2203"/>
      <c r="D538" s="2203"/>
      <c r="E538" s="2203"/>
      <c r="F538" s="2203"/>
      <c r="G538" s="2203"/>
      <c r="H538" s="2203"/>
      <c r="I538" s="2203"/>
      <c r="J538" s="2203"/>
      <c r="K538" s="2203"/>
      <c r="L538" s="2203"/>
      <c r="M538" s="2203"/>
      <c r="N538" s="2203"/>
      <c r="O538" s="2203"/>
      <c r="P538" s="2203"/>
    </row>
    <row r="539" spans="2:16" s="4" customFormat="1" x14ac:dyDescent="0.25">
      <c r="B539" s="48"/>
      <c r="C539" s="2203"/>
      <c r="D539" s="2203"/>
      <c r="E539" s="2203"/>
      <c r="F539" s="2203"/>
      <c r="G539" s="2203"/>
      <c r="H539" s="2203"/>
      <c r="I539" s="2203"/>
      <c r="J539" s="2203"/>
      <c r="K539" s="2203"/>
      <c r="L539" s="2203"/>
      <c r="M539" s="2203"/>
      <c r="N539" s="2203"/>
      <c r="O539" s="2203"/>
      <c r="P539" s="2203"/>
    </row>
    <row r="540" spans="2:16" s="4" customFormat="1" x14ac:dyDescent="0.25">
      <c r="B540" s="48"/>
      <c r="C540" s="2203"/>
      <c r="D540" s="2203"/>
      <c r="E540" s="2203"/>
      <c r="F540" s="2203"/>
      <c r="G540" s="2203"/>
      <c r="H540" s="2203"/>
      <c r="I540" s="2203"/>
      <c r="J540" s="2203"/>
      <c r="K540" s="2203"/>
      <c r="L540" s="2203"/>
      <c r="M540" s="2203"/>
      <c r="N540" s="2203"/>
      <c r="O540" s="2203"/>
      <c r="P540" s="2203"/>
    </row>
    <row r="541" spans="2:16" s="4" customFormat="1" x14ac:dyDescent="0.25">
      <c r="B541" s="48"/>
      <c r="C541" s="48"/>
      <c r="D541" s="48"/>
      <c r="E541" s="1063"/>
      <c r="F541" s="1063"/>
      <c r="G541" s="468"/>
      <c r="H541" s="468"/>
      <c r="I541" s="468"/>
      <c r="J541" s="1063"/>
      <c r="K541" s="1063"/>
      <c r="M541" s="18"/>
      <c r="N541" s="18"/>
      <c r="O541" s="18"/>
      <c r="P541" s="18"/>
    </row>
    <row r="542" spans="2:16" s="4" customFormat="1" ht="15" customHeight="1" x14ac:dyDescent="0.25">
      <c r="B542" s="50" t="s">
        <v>247</v>
      </c>
      <c r="C542" s="2203" t="s">
        <v>1755</v>
      </c>
      <c r="D542" s="2203"/>
      <c r="E542" s="2203"/>
      <c r="F542" s="2203"/>
      <c r="G542" s="2203"/>
      <c r="H542" s="2203"/>
      <c r="I542" s="2203"/>
      <c r="J542" s="2203"/>
      <c r="K542" s="2203"/>
      <c r="L542" s="2203"/>
      <c r="M542" s="2203"/>
      <c r="N542" s="2203"/>
      <c r="O542" s="2203"/>
      <c r="P542" s="2203"/>
    </row>
    <row r="543" spans="2:16" s="4" customFormat="1" x14ac:dyDescent="0.25">
      <c r="B543" s="48"/>
      <c r="C543" s="2203"/>
      <c r="D543" s="2203"/>
      <c r="E543" s="2203"/>
      <c r="F543" s="2203"/>
      <c r="G543" s="2203"/>
      <c r="H543" s="2203"/>
      <c r="I543" s="2203"/>
      <c r="J543" s="2203"/>
      <c r="K543" s="2203"/>
      <c r="L543" s="2203"/>
      <c r="M543" s="2203"/>
      <c r="N543" s="2203"/>
      <c r="O543" s="2203"/>
      <c r="P543" s="2203"/>
    </row>
    <row r="544" spans="2:16" s="4" customFormat="1" x14ac:dyDescent="0.25">
      <c r="B544" s="48"/>
      <c r="C544" s="2203"/>
      <c r="D544" s="2203"/>
      <c r="E544" s="2203"/>
      <c r="F544" s="2203"/>
      <c r="G544" s="2203"/>
      <c r="H544" s="2203"/>
      <c r="I544" s="2203"/>
      <c r="J544" s="2203"/>
      <c r="K544" s="2203"/>
      <c r="L544" s="2203"/>
      <c r="M544" s="2203"/>
      <c r="N544" s="2203"/>
      <c r="O544" s="2203"/>
      <c r="P544" s="2203"/>
    </row>
    <row r="545" spans="2:16" s="4" customFormat="1" x14ac:dyDescent="0.25">
      <c r="B545" s="48"/>
      <c r="C545" s="2203"/>
      <c r="D545" s="2203"/>
      <c r="E545" s="2203"/>
      <c r="F545" s="2203"/>
      <c r="G545" s="2203"/>
      <c r="H545" s="2203"/>
      <c r="I545" s="2203"/>
      <c r="J545" s="2203"/>
      <c r="K545" s="2203"/>
      <c r="L545" s="2203"/>
      <c r="M545" s="2203"/>
      <c r="N545" s="2203"/>
      <c r="O545" s="2203"/>
      <c r="P545" s="2203"/>
    </row>
    <row r="546" spans="2:16" s="4" customFormat="1" x14ac:dyDescent="0.25">
      <c r="B546" s="48"/>
      <c r="C546" s="2203"/>
      <c r="D546" s="2203"/>
      <c r="E546" s="2203"/>
      <c r="F546" s="2203"/>
      <c r="G546" s="2203"/>
      <c r="H546" s="2203"/>
      <c r="I546" s="2203"/>
      <c r="J546" s="2203"/>
      <c r="K546" s="2203"/>
      <c r="L546" s="2203"/>
      <c r="M546" s="2203"/>
      <c r="N546" s="2203"/>
      <c r="O546" s="2203"/>
      <c r="P546" s="2203"/>
    </row>
    <row r="547" spans="2:16" s="4" customFormat="1" x14ac:dyDescent="0.25">
      <c r="B547" s="48"/>
      <c r="C547" s="48"/>
      <c r="D547" s="48"/>
      <c r="E547" s="1063"/>
      <c r="F547" s="1063"/>
      <c r="G547" s="468"/>
      <c r="H547" s="468"/>
      <c r="I547" s="468"/>
      <c r="J547" s="1063"/>
      <c r="K547" s="1063"/>
      <c r="M547" s="18"/>
      <c r="N547" s="18"/>
      <c r="O547" s="18"/>
      <c r="P547" s="18"/>
    </row>
    <row r="548" spans="2:16" s="4" customFormat="1" ht="15" customHeight="1" x14ac:dyDescent="0.25">
      <c r="B548" s="50" t="s">
        <v>380</v>
      </c>
      <c r="C548" s="2204" t="s">
        <v>1754</v>
      </c>
      <c r="D548" s="2204"/>
      <c r="E548" s="2204"/>
      <c r="F548" s="2204"/>
      <c r="G548" s="2204"/>
      <c r="H548" s="2204"/>
      <c r="I548" s="2204"/>
      <c r="J548" s="2204"/>
      <c r="K548" s="2204"/>
      <c r="L548" s="2204"/>
      <c r="M548" s="2204"/>
      <c r="N548" s="2204"/>
      <c r="O548" s="2204"/>
      <c r="P548" s="2204"/>
    </row>
    <row r="549" spans="2:16" s="4" customFormat="1" x14ac:dyDescent="0.25">
      <c r="B549" s="48"/>
      <c r="C549" s="2204"/>
      <c r="D549" s="2204"/>
      <c r="E549" s="2204"/>
      <c r="F549" s="2204"/>
      <c r="G549" s="2204"/>
      <c r="H549" s="2204"/>
      <c r="I549" s="2204"/>
      <c r="J549" s="2204"/>
      <c r="K549" s="2204"/>
      <c r="L549" s="2204"/>
      <c r="M549" s="2204"/>
      <c r="N549" s="2204"/>
      <c r="O549" s="2204"/>
      <c r="P549" s="2204"/>
    </row>
    <row r="550" spans="2:16" s="4" customFormat="1" x14ac:dyDescent="0.25">
      <c r="B550" s="48"/>
      <c r="C550" s="2204"/>
      <c r="D550" s="2204"/>
      <c r="E550" s="2204"/>
      <c r="F550" s="2204"/>
      <c r="G550" s="2204"/>
      <c r="H550" s="2204"/>
      <c r="I550" s="2204"/>
      <c r="J550" s="2204"/>
      <c r="K550" s="2204"/>
      <c r="L550" s="2204"/>
      <c r="M550" s="2204"/>
      <c r="N550" s="2204"/>
      <c r="O550" s="2204"/>
      <c r="P550" s="2204"/>
    </row>
    <row r="551" spans="2:16" s="4" customFormat="1" x14ac:dyDescent="0.25">
      <c r="B551" s="48"/>
      <c r="C551" s="48"/>
      <c r="D551" s="48"/>
      <c r="E551" s="1063"/>
      <c r="F551" s="1063"/>
      <c r="G551" s="468"/>
      <c r="H551" s="468"/>
      <c r="I551" s="468"/>
      <c r="J551" s="1063"/>
      <c r="K551" s="1063"/>
      <c r="M551" s="18"/>
      <c r="N551" s="18"/>
      <c r="O551" s="18"/>
      <c r="P551" s="18"/>
    </row>
    <row r="552" spans="2:16" s="4" customFormat="1" x14ac:dyDescent="0.25">
      <c r="B552" s="48"/>
      <c r="C552" s="48"/>
      <c r="D552" s="48"/>
      <c r="E552" s="1063"/>
      <c r="F552" s="1063"/>
      <c r="G552" s="468"/>
      <c r="H552" s="468"/>
      <c r="I552" s="468"/>
      <c r="J552" s="1063"/>
      <c r="K552" s="1063"/>
      <c r="M552" s="18"/>
      <c r="N552" s="18"/>
      <c r="O552" s="18"/>
      <c r="P552" s="18"/>
    </row>
    <row r="558" spans="2:16" s="4" customFormat="1" x14ac:dyDescent="0.25">
      <c r="B558" s="1004"/>
      <c r="C558" s="12"/>
      <c r="D558" s="12"/>
      <c r="E558" s="12"/>
      <c r="F558" s="12"/>
      <c r="G558" s="51"/>
      <c r="H558" s="51"/>
      <c r="M558" s="18"/>
      <c r="N558" s="18"/>
      <c r="O558" s="18"/>
      <c r="P558" s="18"/>
    </row>
    <row r="559" spans="2:16" s="4" customFormat="1" x14ac:dyDescent="0.25">
      <c r="B559" s="1004"/>
      <c r="C559" s="12"/>
      <c r="D559" s="12"/>
      <c r="E559" s="12"/>
      <c r="F559" s="12"/>
      <c r="G559" s="51"/>
      <c r="H559" s="51"/>
      <c r="M559" s="18"/>
      <c r="N559" s="18"/>
      <c r="O559" s="18"/>
      <c r="P559" s="18"/>
    </row>
    <row r="560" spans="2:16" s="4" customFormat="1" x14ac:dyDescent="0.25">
      <c r="B560" s="1004"/>
      <c r="C560" s="12"/>
      <c r="D560" s="12"/>
      <c r="E560" s="12"/>
      <c r="F560" s="12"/>
      <c r="G560" s="51"/>
      <c r="H560" s="51"/>
      <c r="M560" s="18"/>
      <c r="N560" s="18"/>
      <c r="O560" s="18"/>
      <c r="P560" s="18"/>
    </row>
    <row r="561" spans="2:16" s="4" customFormat="1" x14ac:dyDescent="0.25">
      <c r="B561" s="1004"/>
      <c r="C561" s="12"/>
      <c r="D561" s="12"/>
      <c r="E561" s="12"/>
      <c r="F561" s="12"/>
      <c r="G561" s="51"/>
      <c r="H561" s="51"/>
      <c r="M561" s="18"/>
      <c r="N561" s="18"/>
      <c r="O561" s="18"/>
      <c r="P561" s="18"/>
    </row>
    <row r="562" spans="2:16" s="4" customFormat="1" x14ac:dyDescent="0.25">
      <c r="B562" s="1004"/>
      <c r="C562" s="12"/>
      <c r="D562" s="12"/>
      <c r="E562" s="12"/>
      <c r="F562" s="12"/>
      <c r="G562" s="51"/>
      <c r="H562" s="51"/>
      <c r="M562" s="18"/>
      <c r="N562" s="18"/>
      <c r="O562" s="18"/>
      <c r="P562" s="18"/>
    </row>
    <row r="563" spans="2:16" s="4" customFormat="1" x14ac:dyDescent="0.25">
      <c r="B563" s="1004"/>
      <c r="C563" s="12"/>
      <c r="D563" s="12"/>
      <c r="E563" s="12"/>
      <c r="F563" s="12"/>
      <c r="G563" s="51"/>
      <c r="H563" s="51"/>
      <c r="M563" s="18"/>
      <c r="N563" s="18"/>
      <c r="O563" s="18"/>
      <c r="P563" s="18"/>
    </row>
    <row r="564" spans="2:16" s="4" customFormat="1" x14ac:dyDescent="0.25">
      <c r="B564" s="1004"/>
      <c r="C564" s="12"/>
      <c r="D564" s="12"/>
      <c r="E564" s="12"/>
      <c r="F564" s="12"/>
      <c r="G564" s="51"/>
      <c r="H564" s="51"/>
      <c r="M564" s="18"/>
      <c r="N564" s="18"/>
      <c r="O564" s="18"/>
      <c r="P564" s="18"/>
    </row>
    <row r="565" spans="2:16" s="4" customFormat="1" x14ac:dyDescent="0.25">
      <c r="B565" s="1004"/>
      <c r="C565" s="12"/>
      <c r="D565" s="12"/>
      <c r="E565" s="12"/>
      <c r="F565" s="12"/>
      <c r="G565" s="51"/>
      <c r="H565" s="51"/>
      <c r="M565" s="18"/>
      <c r="N565" s="18"/>
      <c r="O565" s="18"/>
      <c r="P565" s="18"/>
    </row>
    <row r="566" spans="2:16" s="4" customFormat="1" x14ac:dyDescent="0.25">
      <c r="B566" s="1004"/>
      <c r="C566" s="12"/>
      <c r="D566" s="12"/>
      <c r="E566" s="12"/>
      <c r="F566" s="12"/>
      <c r="G566" s="51"/>
      <c r="H566" s="51"/>
      <c r="M566" s="18"/>
      <c r="N566" s="18"/>
      <c r="O566" s="18"/>
      <c r="P566" s="18"/>
    </row>
  </sheetData>
  <sheetProtection algorithmName="SHA-512" hashValue="bWn3wdnZDtjRJLd/A4a5w+7jQS5d//ZWIB5QDs4AAEh3WxVri0sZRlXdHG43OdpL5xUEJRqZy7h9hZu+c1xp+g==" saltValue="pmuHdZLb8qHLpVVBdX5RFg==" spinCount="100000" sheet="1" objects="1" scenarios="1"/>
  <mergeCells count="775">
    <mergeCell ref="A2:Q2"/>
    <mergeCell ref="A3:Q3"/>
    <mergeCell ref="B5:H5"/>
    <mergeCell ref="J5:P5"/>
    <mergeCell ref="D8:E8"/>
    <mergeCell ref="L8:M8"/>
    <mergeCell ref="C27:H27"/>
    <mergeCell ref="K27:P27"/>
    <mergeCell ref="C9:H10"/>
    <mergeCell ref="K9:P10"/>
    <mergeCell ref="C13:D13"/>
    <mergeCell ref="C14:D14"/>
    <mergeCell ref="C15:D15"/>
    <mergeCell ref="C16:D16"/>
    <mergeCell ref="F16:G16"/>
    <mergeCell ref="C18:H18"/>
    <mergeCell ref="K18:P18"/>
    <mergeCell ref="D19:E19"/>
    <mergeCell ref="L19:M19"/>
    <mergeCell ref="D28:E28"/>
    <mergeCell ref="L28:M28"/>
    <mergeCell ref="C33:H33"/>
    <mergeCell ref="D34:E34"/>
    <mergeCell ref="L34:M34"/>
    <mergeCell ref="K35:P36"/>
    <mergeCell ref="A53:Q53"/>
    <mergeCell ref="A54:Q54"/>
    <mergeCell ref="G58:H58"/>
    <mergeCell ref="M58:N58"/>
    <mergeCell ref="O58:P58"/>
    <mergeCell ref="M59:N59"/>
    <mergeCell ref="O59:P59"/>
    <mergeCell ref="M60:N60"/>
    <mergeCell ref="O60:P60"/>
    <mergeCell ref="M61:N61"/>
    <mergeCell ref="O61:P61"/>
    <mergeCell ref="M62:N62"/>
    <mergeCell ref="O62:P62"/>
    <mergeCell ref="M63:N63"/>
    <mergeCell ref="O63:P63"/>
    <mergeCell ref="C64:F64"/>
    <mergeCell ref="G64:H64"/>
    <mergeCell ref="I64:L64"/>
    <mergeCell ref="M64:N64"/>
    <mergeCell ref="O64:P64"/>
    <mergeCell ref="M65:N65"/>
    <mergeCell ref="O65:P65"/>
    <mergeCell ref="M66:N66"/>
    <mergeCell ref="O66:P66"/>
    <mergeCell ref="C67:F67"/>
    <mergeCell ref="G67:H67"/>
    <mergeCell ref="I67:L67"/>
    <mergeCell ref="M67:N67"/>
    <mergeCell ref="O67:P67"/>
    <mergeCell ref="M68:N68"/>
    <mergeCell ref="O68:P68"/>
    <mergeCell ref="M69:N69"/>
    <mergeCell ref="O69:P69"/>
    <mergeCell ref="M70:N70"/>
    <mergeCell ref="O70:P70"/>
    <mergeCell ref="C71:F71"/>
    <mergeCell ref="G71:H71"/>
    <mergeCell ref="I71:L71"/>
    <mergeCell ref="M71:N71"/>
    <mergeCell ref="O71:P71"/>
    <mergeCell ref="M72:N72"/>
    <mergeCell ref="O72:P72"/>
    <mergeCell ref="M73:N73"/>
    <mergeCell ref="M74:N74"/>
    <mergeCell ref="O74:P74"/>
    <mergeCell ref="M75:N75"/>
    <mergeCell ref="O75:P75"/>
    <mergeCell ref="C76:F76"/>
    <mergeCell ref="G76:H76"/>
    <mergeCell ref="I76:L76"/>
    <mergeCell ref="M76:N76"/>
    <mergeCell ref="O76:P76"/>
    <mergeCell ref="M77:N77"/>
    <mergeCell ref="O77:P77"/>
    <mergeCell ref="M78:N78"/>
    <mergeCell ref="O78:P78"/>
    <mergeCell ref="C79:F79"/>
    <mergeCell ref="G79:H79"/>
    <mergeCell ref="I79:L79"/>
    <mergeCell ref="M79:N79"/>
    <mergeCell ref="O79:P79"/>
    <mergeCell ref="M80:N80"/>
    <mergeCell ref="O80:P80"/>
    <mergeCell ref="M81:N81"/>
    <mergeCell ref="O81:P81"/>
    <mergeCell ref="M82:N82"/>
    <mergeCell ref="O82:P82"/>
    <mergeCell ref="C83:F83"/>
    <mergeCell ref="G83:H83"/>
    <mergeCell ref="I83:L83"/>
    <mergeCell ref="M83:N83"/>
    <mergeCell ref="O83:P83"/>
    <mergeCell ref="M84:N84"/>
    <mergeCell ref="O84:P84"/>
    <mergeCell ref="M85:N85"/>
    <mergeCell ref="O85:P85"/>
    <mergeCell ref="M86:N86"/>
    <mergeCell ref="O86:P86"/>
    <mergeCell ref="C87:F87"/>
    <mergeCell ref="G87:H87"/>
    <mergeCell ref="I87:L87"/>
    <mergeCell ref="M87:N87"/>
    <mergeCell ref="O87:P87"/>
    <mergeCell ref="M88:N88"/>
    <mergeCell ref="O88:P88"/>
    <mergeCell ref="M89:N89"/>
    <mergeCell ref="O89:P89"/>
    <mergeCell ref="M90:N90"/>
    <mergeCell ref="O90:P90"/>
    <mergeCell ref="C91:F91"/>
    <mergeCell ref="G91:H91"/>
    <mergeCell ref="I91:L91"/>
    <mergeCell ref="M91:N91"/>
    <mergeCell ref="O91:P91"/>
    <mergeCell ref="M92:N92"/>
    <mergeCell ref="O92:P92"/>
    <mergeCell ref="M93:N93"/>
    <mergeCell ref="O93:P93"/>
    <mergeCell ref="C94:F94"/>
    <mergeCell ref="G94:H94"/>
    <mergeCell ref="I94:L94"/>
    <mergeCell ref="M94:N94"/>
    <mergeCell ref="O94:P94"/>
    <mergeCell ref="M95:N95"/>
    <mergeCell ref="O95:P95"/>
    <mergeCell ref="M96:N96"/>
    <mergeCell ref="O96:P96"/>
    <mergeCell ref="C97:F97"/>
    <mergeCell ref="G97:H97"/>
    <mergeCell ref="I97:L97"/>
    <mergeCell ref="M97:N97"/>
    <mergeCell ref="O97:P97"/>
    <mergeCell ref="M98:N98"/>
    <mergeCell ref="O98:P98"/>
    <mergeCell ref="O99:P99"/>
    <mergeCell ref="O100:P100"/>
    <mergeCell ref="C106:G106"/>
    <mergeCell ref="H106:I106"/>
    <mergeCell ref="J106:K106"/>
    <mergeCell ref="L106:M106"/>
    <mergeCell ref="N106:O106"/>
    <mergeCell ref="H107:I107"/>
    <mergeCell ref="J107:K107"/>
    <mergeCell ref="L107:M107"/>
    <mergeCell ref="N107:O107"/>
    <mergeCell ref="H108:I108"/>
    <mergeCell ref="J108:K108"/>
    <mergeCell ref="L108:M108"/>
    <mergeCell ref="N108:O108"/>
    <mergeCell ref="H109:I109"/>
    <mergeCell ref="J109:K109"/>
    <mergeCell ref="L109:M109"/>
    <mergeCell ref="N109:O109"/>
    <mergeCell ref="H110:I110"/>
    <mergeCell ref="J110:K110"/>
    <mergeCell ref="L110:M110"/>
    <mergeCell ref="N110:O110"/>
    <mergeCell ref="H111:I111"/>
    <mergeCell ref="J111:K111"/>
    <mergeCell ref="L111:M111"/>
    <mergeCell ref="N111:O111"/>
    <mergeCell ref="H112:I112"/>
    <mergeCell ref="J112:K112"/>
    <mergeCell ref="L112:M112"/>
    <mergeCell ref="N112:O112"/>
    <mergeCell ref="H113:I113"/>
    <mergeCell ref="J113:K113"/>
    <mergeCell ref="L113:M113"/>
    <mergeCell ref="N113:O113"/>
    <mergeCell ref="H114:I114"/>
    <mergeCell ref="J114:K114"/>
    <mergeCell ref="L114:M114"/>
    <mergeCell ref="N114:O114"/>
    <mergeCell ref="H115:I115"/>
    <mergeCell ref="J115:K115"/>
    <mergeCell ref="L115:M115"/>
    <mergeCell ref="N115:O115"/>
    <mergeCell ref="H116:I116"/>
    <mergeCell ref="J116:K116"/>
    <mergeCell ref="L116:M116"/>
    <mergeCell ref="N116:O116"/>
    <mergeCell ref="H117:I117"/>
    <mergeCell ref="J117:K117"/>
    <mergeCell ref="L117:M117"/>
    <mergeCell ref="N117:O117"/>
    <mergeCell ref="H118:I118"/>
    <mergeCell ref="J118:K118"/>
    <mergeCell ref="L118:M118"/>
    <mergeCell ref="N118:O118"/>
    <mergeCell ref="H119:I119"/>
    <mergeCell ref="J119:K119"/>
    <mergeCell ref="L119:M119"/>
    <mergeCell ref="N119:O119"/>
    <mergeCell ref="H120:I120"/>
    <mergeCell ref="J120:K120"/>
    <mergeCell ref="L120:M120"/>
    <mergeCell ref="N120:O120"/>
    <mergeCell ref="H121:I121"/>
    <mergeCell ref="J121:K121"/>
    <mergeCell ref="L121:M121"/>
    <mergeCell ref="N121:O121"/>
    <mergeCell ref="H122:I122"/>
    <mergeCell ref="J122:K122"/>
    <mergeCell ref="L122:M122"/>
    <mergeCell ref="N122:O122"/>
    <mergeCell ref="H123:I123"/>
    <mergeCell ref="J123:K123"/>
    <mergeCell ref="L123:M123"/>
    <mergeCell ref="N123:O123"/>
    <mergeCell ref="H125:I125"/>
    <mergeCell ref="J125:K125"/>
    <mergeCell ref="L125:M125"/>
    <mergeCell ref="N125:O125"/>
    <mergeCell ref="A155:Q155"/>
    <mergeCell ref="A156:Q156"/>
    <mergeCell ref="M159:N160"/>
    <mergeCell ref="O159:P160"/>
    <mergeCell ref="G160:H160"/>
    <mergeCell ref="M161:N161"/>
    <mergeCell ref="O161:P161"/>
    <mergeCell ref="M162:N162"/>
    <mergeCell ref="O162:P162"/>
    <mergeCell ref="M163:N163"/>
    <mergeCell ref="O163:P163"/>
    <mergeCell ref="C165:F165"/>
    <mergeCell ref="G165:H165"/>
    <mergeCell ref="I165:L165"/>
    <mergeCell ref="M165:N165"/>
    <mergeCell ref="O165:P165"/>
    <mergeCell ref="M166:N166"/>
    <mergeCell ref="O166:P166"/>
    <mergeCell ref="M167:N167"/>
    <mergeCell ref="M168:N168"/>
    <mergeCell ref="O168:P168"/>
    <mergeCell ref="C170:F170"/>
    <mergeCell ref="G170:H170"/>
    <mergeCell ref="I170:L170"/>
    <mergeCell ref="M170:N170"/>
    <mergeCell ref="O170:P170"/>
    <mergeCell ref="M171:N171"/>
    <mergeCell ref="O171:P171"/>
    <mergeCell ref="M172:N172"/>
    <mergeCell ref="O172:P172"/>
    <mergeCell ref="C174:F174"/>
    <mergeCell ref="G174:H174"/>
    <mergeCell ref="I174:L174"/>
    <mergeCell ref="M174:N174"/>
    <mergeCell ref="O174:P174"/>
    <mergeCell ref="M175:N175"/>
    <mergeCell ref="O175:P175"/>
    <mergeCell ref="M176:N176"/>
    <mergeCell ref="O176:P176"/>
    <mergeCell ref="C178:F178"/>
    <mergeCell ref="G178:H178"/>
    <mergeCell ref="I178:L178"/>
    <mergeCell ref="M178:N178"/>
    <mergeCell ref="O178:P178"/>
    <mergeCell ref="M179:N179"/>
    <mergeCell ref="O179:P179"/>
    <mergeCell ref="M180:N180"/>
    <mergeCell ref="M181:N181"/>
    <mergeCell ref="O181:P181"/>
    <mergeCell ref="C183:F183"/>
    <mergeCell ref="G183:H183"/>
    <mergeCell ref="I183:L183"/>
    <mergeCell ref="M183:N183"/>
    <mergeCell ref="O183:P183"/>
    <mergeCell ref="M184:N184"/>
    <mergeCell ref="O184:P184"/>
    <mergeCell ref="M185:N185"/>
    <mergeCell ref="M186:N186"/>
    <mergeCell ref="O186:P186"/>
    <mergeCell ref="C188:F188"/>
    <mergeCell ref="G188:H188"/>
    <mergeCell ref="I188:L188"/>
    <mergeCell ref="M188:N188"/>
    <mergeCell ref="O188:P188"/>
    <mergeCell ref="M189:N189"/>
    <mergeCell ref="O189:P189"/>
    <mergeCell ref="M190:N190"/>
    <mergeCell ref="O190:P190"/>
    <mergeCell ref="C192:F192"/>
    <mergeCell ref="G192:H192"/>
    <mergeCell ref="I192:L192"/>
    <mergeCell ref="M192:N192"/>
    <mergeCell ref="O192:P192"/>
    <mergeCell ref="M193:N193"/>
    <mergeCell ref="O193:P193"/>
    <mergeCell ref="M194:N194"/>
    <mergeCell ref="M195:N195"/>
    <mergeCell ref="O195:P195"/>
    <mergeCell ref="C197:F197"/>
    <mergeCell ref="G197:H197"/>
    <mergeCell ref="I197:L197"/>
    <mergeCell ref="M197:N197"/>
    <mergeCell ref="O197:P197"/>
    <mergeCell ref="M198:N198"/>
    <mergeCell ref="O198:P198"/>
    <mergeCell ref="M199:N199"/>
    <mergeCell ref="M200:N200"/>
    <mergeCell ref="O200:P200"/>
    <mergeCell ref="C202:F202"/>
    <mergeCell ref="G202:H202"/>
    <mergeCell ref="I202:L202"/>
    <mergeCell ref="M202:N202"/>
    <mergeCell ref="O202:P202"/>
    <mergeCell ref="M203:N203"/>
    <mergeCell ref="O203:P203"/>
    <mergeCell ref="M204:N204"/>
    <mergeCell ref="M205:N205"/>
    <mergeCell ref="O205:P205"/>
    <mergeCell ref="C207:F207"/>
    <mergeCell ref="G207:H207"/>
    <mergeCell ref="I207:L207"/>
    <mergeCell ref="C212:F212"/>
    <mergeCell ref="G212:H212"/>
    <mergeCell ref="I212:L212"/>
    <mergeCell ref="M212:N212"/>
    <mergeCell ref="O212:P212"/>
    <mergeCell ref="M213:N213"/>
    <mergeCell ref="O213:P213"/>
    <mergeCell ref="M214:N214"/>
    <mergeCell ref="O214:P214"/>
    <mergeCell ref="C216:F216"/>
    <mergeCell ref="G216:H216"/>
    <mergeCell ref="I216:L216"/>
    <mergeCell ref="M216:N216"/>
    <mergeCell ref="O216:P216"/>
    <mergeCell ref="M217:N217"/>
    <mergeCell ref="O217:P217"/>
    <mergeCell ref="M218:N218"/>
    <mergeCell ref="O219:P219"/>
    <mergeCell ref="M220:N220"/>
    <mergeCell ref="O220:P220"/>
    <mergeCell ref="C222:F222"/>
    <mergeCell ref="G222:H222"/>
    <mergeCell ref="I222:L222"/>
    <mergeCell ref="M222:N222"/>
    <mergeCell ref="O222:P222"/>
    <mergeCell ref="M223:N223"/>
    <mergeCell ref="O223:P223"/>
    <mergeCell ref="O224:P224"/>
    <mergeCell ref="C226:F226"/>
    <mergeCell ref="G226:H226"/>
    <mergeCell ref="I226:L226"/>
    <mergeCell ref="M226:N226"/>
    <mergeCell ref="O226:P226"/>
    <mergeCell ref="M227:N227"/>
    <mergeCell ref="O227:P227"/>
    <mergeCell ref="O229:P229"/>
    <mergeCell ref="C231:F231"/>
    <mergeCell ref="G231:H231"/>
    <mergeCell ref="I231:L231"/>
    <mergeCell ref="M231:N231"/>
    <mergeCell ref="O231:P231"/>
    <mergeCell ref="O228:P228"/>
    <mergeCell ref="O242:P242"/>
    <mergeCell ref="O243:P243"/>
    <mergeCell ref="M232:N232"/>
    <mergeCell ref="M233:N233"/>
    <mergeCell ref="O233:P233"/>
    <mergeCell ref="M234:N234"/>
    <mergeCell ref="M235:N235"/>
    <mergeCell ref="O235:P235"/>
    <mergeCell ref="M237:N237"/>
    <mergeCell ref="O237:P237"/>
    <mergeCell ref="C240:G240"/>
    <mergeCell ref="H240:I240"/>
    <mergeCell ref="J240:K240"/>
    <mergeCell ref="H241:I241"/>
    <mergeCell ref="J241:K241"/>
    <mergeCell ref="O241:P241"/>
    <mergeCell ref="L241:N241"/>
    <mergeCell ref="H245:I245"/>
    <mergeCell ref="J245:K245"/>
    <mergeCell ref="H246:I246"/>
    <mergeCell ref="J246:K246"/>
    <mergeCell ref="J242:K242"/>
    <mergeCell ref="H243:I243"/>
    <mergeCell ref="J243:K243"/>
    <mergeCell ref="H244:I244"/>
    <mergeCell ref="J244:K244"/>
    <mergeCell ref="H242:I242"/>
    <mergeCell ref="H247:I247"/>
    <mergeCell ref="J247:K247"/>
    <mergeCell ref="H248:I248"/>
    <mergeCell ref="J248:K248"/>
    <mergeCell ref="H249:I249"/>
    <mergeCell ref="J249:K249"/>
    <mergeCell ref="J254:K254"/>
    <mergeCell ref="O254:P254"/>
    <mergeCell ref="H250:I250"/>
    <mergeCell ref="J250:K250"/>
    <mergeCell ref="H251:I251"/>
    <mergeCell ref="J251:K251"/>
    <mergeCell ref="O249:P249"/>
    <mergeCell ref="L251:N251"/>
    <mergeCell ref="O251:P251"/>
    <mergeCell ref="H255:I255"/>
    <mergeCell ref="J255:K255"/>
    <mergeCell ref="H256:I256"/>
    <mergeCell ref="J256:K256"/>
    <mergeCell ref="O256:P256"/>
    <mergeCell ref="H252:I252"/>
    <mergeCell ref="J252:K252"/>
    <mergeCell ref="H253:I253"/>
    <mergeCell ref="J253:K253"/>
    <mergeCell ref="H254:I254"/>
    <mergeCell ref="L252:N252"/>
    <mergeCell ref="L254:N254"/>
    <mergeCell ref="O252:P252"/>
    <mergeCell ref="H257:I257"/>
    <mergeCell ref="J257:K257"/>
    <mergeCell ref="A265:Q265"/>
    <mergeCell ref="A266:Q266"/>
    <mergeCell ref="M269:N270"/>
    <mergeCell ref="O269:P270"/>
    <mergeCell ref="G270:H270"/>
    <mergeCell ref="C271:L272"/>
    <mergeCell ref="M271:N271"/>
    <mergeCell ref="O271:P271"/>
    <mergeCell ref="M272:N272"/>
    <mergeCell ref="O272:P272"/>
    <mergeCell ref="C273:F273"/>
    <mergeCell ref="G273:H273"/>
    <mergeCell ref="I273:L273"/>
    <mergeCell ref="M273:N273"/>
    <mergeCell ref="O273:P273"/>
    <mergeCell ref="M274:N274"/>
    <mergeCell ref="O274:P274"/>
    <mergeCell ref="M275:N275"/>
    <mergeCell ref="O275:P275"/>
    <mergeCell ref="C277:F277"/>
    <mergeCell ref="G277:H277"/>
    <mergeCell ref="I277:L277"/>
    <mergeCell ref="M277:N277"/>
    <mergeCell ref="O277:P277"/>
    <mergeCell ref="M278:N278"/>
    <mergeCell ref="O278:P278"/>
    <mergeCell ref="M279:N279"/>
    <mergeCell ref="M280:N280"/>
    <mergeCell ref="O280:P280"/>
    <mergeCell ref="C282:F282"/>
    <mergeCell ref="G282:H282"/>
    <mergeCell ref="I282:L282"/>
    <mergeCell ref="M282:N282"/>
    <mergeCell ref="O282:P282"/>
    <mergeCell ref="M283:N283"/>
    <mergeCell ref="O283:P283"/>
    <mergeCell ref="M284:N284"/>
    <mergeCell ref="O284:P284"/>
    <mergeCell ref="C286:F286"/>
    <mergeCell ref="G286:H286"/>
    <mergeCell ref="I286:L286"/>
    <mergeCell ref="M286:N286"/>
    <mergeCell ref="O286:P286"/>
    <mergeCell ref="M287:N287"/>
    <mergeCell ref="O287:P287"/>
    <mergeCell ref="M288:N288"/>
    <mergeCell ref="M289:N289"/>
    <mergeCell ref="M290:N290"/>
    <mergeCell ref="O290:P290"/>
    <mergeCell ref="C292:F292"/>
    <mergeCell ref="G292:H292"/>
    <mergeCell ref="I292:L292"/>
    <mergeCell ref="M292:N292"/>
    <mergeCell ref="O292:P292"/>
    <mergeCell ref="M293:N293"/>
    <mergeCell ref="O293:P293"/>
    <mergeCell ref="M294:N294"/>
    <mergeCell ref="O294:P294"/>
    <mergeCell ref="O295:P295"/>
    <mergeCell ref="C296:F296"/>
    <mergeCell ref="G296:H296"/>
    <mergeCell ref="I296:L296"/>
    <mergeCell ref="M296:N296"/>
    <mergeCell ref="O296:P296"/>
    <mergeCell ref="M297:N297"/>
    <mergeCell ref="O297:P297"/>
    <mergeCell ref="M298:N298"/>
    <mergeCell ref="O298:P298"/>
    <mergeCell ref="M299:N299"/>
    <mergeCell ref="M300:N300"/>
    <mergeCell ref="M301:N301"/>
    <mergeCell ref="O301:P301"/>
    <mergeCell ref="M303:N303"/>
    <mergeCell ref="O303:P303"/>
    <mergeCell ref="C304:E304"/>
    <mergeCell ref="K305:L305"/>
    <mergeCell ref="K306:L306"/>
    <mergeCell ref="K307:L307"/>
    <mergeCell ref="K308:L308"/>
    <mergeCell ref="K309:L309"/>
    <mergeCell ref="K310:L310"/>
    <mergeCell ref="E315:F315"/>
    <mergeCell ref="K316:L316"/>
    <mergeCell ref="A320:Q320"/>
    <mergeCell ref="A321:Q321"/>
    <mergeCell ref="M324:N325"/>
    <mergeCell ref="O324:P325"/>
    <mergeCell ref="G325:H325"/>
    <mergeCell ref="M326:N326"/>
    <mergeCell ref="O326:P326"/>
    <mergeCell ref="M327:N327"/>
    <mergeCell ref="O327:P327"/>
    <mergeCell ref="M328:N328"/>
    <mergeCell ref="O328:P328"/>
    <mergeCell ref="C330:F330"/>
    <mergeCell ref="G330:H330"/>
    <mergeCell ref="I330:L330"/>
    <mergeCell ref="M330:N330"/>
    <mergeCell ref="O330:P330"/>
    <mergeCell ref="M331:N331"/>
    <mergeCell ref="O331:P331"/>
    <mergeCell ref="M332:N332"/>
    <mergeCell ref="O332:P332"/>
    <mergeCell ref="M333:N333"/>
    <mergeCell ref="O333:P333"/>
    <mergeCell ref="C335:F335"/>
    <mergeCell ref="G335:H335"/>
    <mergeCell ref="I335:L335"/>
    <mergeCell ref="M335:N335"/>
    <mergeCell ref="O335:P335"/>
    <mergeCell ref="M336:N336"/>
    <mergeCell ref="O336:P336"/>
    <mergeCell ref="M337:N337"/>
    <mergeCell ref="O337:P337"/>
    <mergeCell ref="C339:F339"/>
    <mergeCell ref="G339:H339"/>
    <mergeCell ref="I339:L339"/>
    <mergeCell ref="M339:N339"/>
    <mergeCell ref="O339:P339"/>
    <mergeCell ref="M340:N340"/>
    <mergeCell ref="O340:P340"/>
    <mergeCell ref="M341:N341"/>
    <mergeCell ref="M342:N342"/>
    <mergeCell ref="O342:P342"/>
    <mergeCell ref="C345:F345"/>
    <mergeCell ref="G345:H345"/>
    <mergeCell ref="I345:L345"/>
    <mergeCell ref="M345:N345"/>
    <mergeCell ref="O345:P345"/>
    <mergeCell ref="M346:N346"/>
    <mergeCell ref="O346:P346"/>
    <mergeCell ref="M347:N347"/>
    <mergeCell ref="O347:P347"/>
    <mergeCell ref="C349:F349"/>
    <mergeCell ref="G349:H349"/>
    <mergeCell ref="I349:L349"/>
    <mergeCell ref="M349:N349"/>
    <mergeCell ref="O349:P349"/>
    <mergeCell ref="M350:N350"/>
    <mergeCell ref="O350:P350"/>
    <mergeCell ref="M351:N351"/>
    <mergeCell ref="O352:P352"/>
    <mergeCell ref="O353:P353"/>
    <mergeCell ref="C355:F355"/>
    <mergeCell ref="G355:H355"/>
    <mergeCell ref="I355:L355"/>
    <mergeCell ref="M356:N356"/>
    <mergeCell ref="O357:P357"/>
    <mergeCell ref="M358:N358"/>
    <mergeCell ref="O358:P358"/>
    <mergeCell ref="C359:F359"/>
    <mergeCell ref="G359:H359"/>
    <mergeCell ref="I359:L359"/>
    <mergeCell ref="M359:N359"/>
    <mergeCell ref="O359:P359"/>
    <mergeCell ref="M360:N360"/>
    <mergeCell ref="O360:P360"/>
    <mergeCell ref="M361:N361"/>
    <mergeCell ref="O362:P362"/>
    <mergeCell ref="O363:P363"/>
    <mergeCell ref="O364:P364"/>
    <mergeCell ref="A373:Q373"/>
    <mergeCell ref="A374:Q374"/>
    <mergeCell ref="M377:N378"/>
    <mergeCell ref="O377:P378"/>
    <mergeCell ref="G378:H378"/>
    <mergeCell ref="M379:N379"/>
    <mergeCell ref="O379:P379"/>
    <mergeCell ref="M380:N380"/>
    <mergeCell ref="O380:P380"/>
    <mergeCell ref="C382:F382"/>
    <mergeCell ref="G382:H382"/>
    <mergeCell ref="I382:L382"/>
    <mergeCell ref="M383:N383"/>
    <mergeCell ref="O383:P383"/>
    <mergeCell ref="M384:N384"/>
    <mergeCell ref="O384:P384"/>
    <mergeCell ref="C386:F386"/>
    <mergeCell ref="G386:H386"/>
    <mergeCell ref="I386:L386"/>
    <mergeCell ref="M387:N387"/>
    <mergeCell ref="O387:P387"/>
    <mergeCell ref="M388:N388"/>
    <mergeCell ref="O388:P388"/>
    <mergeCell ref="C390:F390"/>
    <mergeCell ref="G390:H390"/>
    <mergeCell ref="I390:L390"/>
    <mergeCell ref="M391:N391"/>
    <mergeCell ref="O391:P391"/>
    <mergeCell ref="M392:N392"/>
    <mergeCell ref="M393:N393"/>
    <mergeCell ref="M394:N394"/>
    <mergeCell ref="O394:P394"/>
    <mergeCell ref="C396:F396"/>
    <mergeCell ref="G396:H396"/>
    <mergeCell ref="I396:L396"/>
    <mergeCell ref="M397:N397"/>
    <mergeCell ref="O397:P397"/>
    <mergeCell ref="M398:N398"/>
    <mergeCell ref="O398:P398"/>
    <mergeCell ref="C401:F401"/>
    <mergeCell ref="G401:H401"/>
    <mergeCell ref="I401:L401"/>
    <mergeCell ref="M402:N402"/>
    <mergeCell ref="O402:P402"/>
    <mergeCell ref="M403:N403"/>
    <mergeCell ref="O403:P403"/>
    <mergeCell ref="C405:F405"/>
    <mergeCell ref="G405:H405"/>
    <mergeCell ref="I405:L405"/>
    <mergeCell ref="M406:N406"/>
    <mergeCell ref="O406:P406"/>
    <mergeCell ref="M407:N407"/>
    <mergeCell ref="O407:P407"/>
    <mergeCell ref="C409:F409"/>
    <mergeCell ref="G409:H409"/>
    <mergeCell ref="I409:L409"/>
    <mergeCell ref="M410:N410"/>
    <mergeCell ref="O410:P410"/>
    <mergeCell ref="M411:N411"/>
    <mergeCell ref="M412:N412"/>
    <mergeCell ref="M413:N413"/>
    <mergeCell ref="M414:N414"/>
    <mergeCell ref="M415:N415"/>
    <mergeCell ref="M416:N416"/>
    <mergeCell ref="O416:P416"/>
    <mergeCell ref="C418:F418"/>
    <mergeCell ref="G418:H418"/>
    <mergeCell ref="I418:L418"/>
    <mergeCell ref="C422:F422"/>
    <mergeCell ref="G422:H422"/>
    <mergeCell ref="I422:L422"/>
    <mergeCell ref="M423:N423"/>
    <mergeCell ref="O423:P423"/>
    <mergeCell ref="M424:N424"/>
    <mergeCell ref="O424:P424"/>
    <mergeCell ref="M425:N425"/>
    <mergeCell ref="O425:P425"/>
    <mergeCell ref="C428:F428"/>
    <mergeCell ref="G428:H428"/>
    <mergeCell ref="I428:L428"/>
    <mergeCell ref="M429:N429"/>
    <mergeCell ref="O429:P429"/>
    <mergeCell ref="N440:O440"/>
    <mergeCell ref="M430:N430"/>
    <mergeCell ref="O430:P430"/>
    <mergeCell ref="N437:O437"/>
    <mergeCell ref="L438:M438"/>
    <mergeCell ref="N438:O438"/>
    <mergeCell ref="L439:M439"/>
    <mergeCell ref="N439:O439"/>
    <mergeCell ref="N444:O444"/>
    <mergeCell ref="L445:M445"/>
    <mergeCell ref="N445:O445"/>
    <mergeCell ref="L446:M446"/>
    <mergeCell ref="N446:O446"/>
    <mergeCell ref="N447:O447"/>
    <mergeCell ref="N448:O448"/>
    <mergeCell ref="L449:M449"/>
    <mergeCell ref="N449:O449"/>
    <mergeCell ref="L450:M450"/>
    <mergeCell ref="N450:O450"/>
    <mergeCell ref="A466:Q466"/>
    <mergeCell ref="A467:Q467"/>
    <mergeCell ref="B471:C471"/>
    <mergeCell ref="D471:E471"/>
    <mergeCell ref="F471:G471"/>
    <mergeCell ref="B472:C472"/>
    <mergeCell ref="D472:E472"/>
    <mergeCell ref="F472:G472"/>
    <mergeCell ref="B473:C473"/>
    <mergeCell ref="D473:E473"/>
    <mergeCell ref="F473:G473"/>
    <mergeCell ref="B474:C474"/>
    <mergeCell ref="D474:E474"/>
    <mergeCell ref="F474:G474"/>
    <mergeCell ref="B475:C475"/>
    <mergeCell ref="D475:E475"/>
    <mergeCell ref="F475:G475"/>
    <mergeCell ref="B476:C476"/>
    <mergeCell ref="D476:E476"/>
    <mergeCell ref="F476:G476"/>
    <mergeCell ref="B477:C477"/>
    <mergeCell ref="D477:E477"/>
    <mergeCell ref="F477:G477"/>
    <mergeCell ref="B479:P480"/>
    <mergeCell ref="G485:H485"/>
    <mergeCell ref="M485:N485"/>
    <mergeCell ref="O485:P485"/>
    <mergeCell ref="B481:P483"/>
    <mergeCell ref="M486:N486"/>
    <mergeCell ref="O486:P486"/>
    <mergeCell ref="M487:N487"/>
    <mergeCell ref="O487:P487"/>
    <mergeCell ref="M488:N488"/>
    <mergeCell ref="O488:P488"/>
    <mergeCell ref="C489:F489"/>
    <mergeCell ref="G489:H489"/>
    <mergeCell ref="I489:L489"/>
    <mergeCell ref="M489:N489"/>
    <mergeCell ref="O489:P489"/>
    <mergeCell ref="M490:N490"/>
    <mergeCell ref="O490:P490"/>
    <mergeCell ref="M491:N491"/>
    <mergeCell ref="O491:P491"/>
    <mergeCell ref="M492:N492"/>
    <mergeCell ref="O492:P492"/>
    <mergeCell ref="C493:F493"/>
    <mergeCell ref="G493:H493"/>
    <mergeCell ref="I493:L493"/>
    <mergeCell ref="M493:N493"/>
    <mergeCell ref="O493:P493"/>
    <mergeCell ref="C530:P534"/>
    <mergeCell ref="C536:P540"/>
    <mergeCell ref="C542:P546"/>
    <mergeCell ref="C548:P550"/>
    <mergeCell ref="O504:P504"/>
    <mergeCell ref="M505:N505"/>
    <mergeCell ref="O505:P505"/>
    <mergeCell ref="A518:Q518"/>
    <mergeCell ref="A519:Q519"/>
    <mergeCell ref="C521:P523"/>
    <mergeCell ref="C525:P528"/>
    <mergeCell ref="C502:F502"/>
    <mergeCell ref="G502:H502"/>
    <mergeCell ref="I502:L502"/>
    <mergeCell ref="M502:N502"/>
    <mergeCell ref="O247:P247"/>
    <mergeCell ref="O502:P502"/>
    <mergeCell ref="M503:N503"/>
    <mergeCell ref="O503:P503"/>
    <mergeCell ref="M498:N498"/>
    <mergeCell ref="O498:P498"/>
    <mergeCell ref="O499:P499"/>
    <mergeCell ref="O500:P500"/>
    <mergeCell ref="M501:N501"/>
    <mergeCell ref="O501:P501"/>
    <mergeCell ref="M494:N494"/>
    <mergeCell ref="O494:P494"/>
    <mergeCell ref="O495:P495"/>
    <mergeCell ref="M496:N496"/>
    <mergeCell ref="O496:P496"/>
    <mergeCell ref="C497:F497"/>
    <mergeCell ref="G497:H497"/>
    <mergeCell ref="I497:L497"/>
    <mergeCell ref="M497:N497"/>
    <mergeCell ref="O497:P497"/>
    <mergeCell ref="L242:N242"/>
    <mergeCell ref="L243:N243"/>
    <mergeCell ref="L247:N247"/>
    <mergeCell ref="L244:N244"/>
    <mergeCell ref="O246:P246"/>
    <mergeCell ref="L246:N246"/>
    <mergeCell ref="L245:N245"/>
    <mergeCell ref="O244:P244"/>
    <mergeCell ref="L249:N249"/>
    <mergeCell ref="O245:P245"/>
  </mergeCells>
  <printOptions horizontalCentered="1"/>
  <pageMargins left="0.51181102362204722" right="0.63656250000000003" top="0.74803149606299213" bottom="0.74803149606299213" header="0.31496062992125984" footer="0.31496062992125984"/>
  <pageSetup paperSize="9" scale="97" orientation="portrait" r:id="rId1"/>
  <headerFooter>
    <oddHeader>&amp;L&amp;"Garamond,Normal"Universidad de San Andrés
Fundamentos de Contabilidad&amp;C&amp;"Garamond,Normal"&amp;12
  &amp;"-,Regular"&amp;11
&amp;R&amp;"Garamond,Negrita"Solución Adicionales&amp;"Garamond,Normal"
&amp;"Garamond,Cursiva"Unidades 5 y 6: Registración de operaciones básicas</oddHeader>
    <oddFooter xml:space="preserve">&amp;R&amp;"Garamond,Normal"
</oddFooter>
  </headerFooter>
  <rowBreaks count="10" manualBreakCount="10">
    <brk id="51" max="16383" man="1"/>
    <brk id="102" max="16383" man="1"/>
    <brk id="153" max="16383" man="1"/>
    <brk id="210" max="16383" man="1"/>
    <brk id="263" max="16383" man="1"/>
    <brk id="318" max="16383" man="1"/>
    <brk id="371" max="16383" man="1"/>
    <brk id="420" max="16383" man="1"/>
    <brk id="464" max="16383" man="1"/>
    <brk id="516"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U944"/>
  <sheetViews>
    <sheetView showGridLines="0" view="pageLayout" zoomScaleNormal="100" zoomScaleSheetLayoutView="50" workbookViewId="0"/>
  </sheetViews>
  <sheetFormatPr baseColWidth="10" defaultColWidth="9.140625" defaultRowHeight="15" x14ac:dyDescent="0.25"/>
  <cols>
    <col min="1" max="1" width="0.7109375" style="2" customWidth="1"/>
    <col min="2" max="2" width="5.28515625" style="1009" customWidth="1"/>
    <col min="3" max="6" width="5.28515625" style="12" customWidth="1"/>
    <col min="7" max="8" width="5.28515625" style="27" customWidth="1"/>
    <col min="9" max="12" width="5.28515625" style="2" customWidth="1"/>
    <col min="13" max="16" width="5.28515625" style="10" customWidth="1"/>
    <col min="17" max="17" width="0.140625" style="2" customWidth="1"/>
    <col min="18" max="18" width="9.140625" style="2"/>
    <col min="19" max="19" width="9.140625" style="2" customWidth="1"/>
    <col min="20" max="16384" width="9.140625" style="2"/>
  </cols>
  <sheetData>
    <row r="1" spans="1:17" s="4" customFormat="1" x14ac:dyDescent="0.25">
      <c r="B1" s="1004"/>
      <c r="C1" s="12"/>
      <c r="D1" s="12"/>
      <c r="E1" s="12"/>
      <c r="F1" s="12"/>
      <c r="G1" s="51"/>
      <c r="H1" s="51"/>
      <c r="M1" s="18"/>
      <c r="N1" s="18"/>
      <c r="O1" s="18"/>
      <c r="P1" s="18"/>
    </row>
    <row r="2" spans="1:17" s="4" customFormat="1" x14ac:dyDescent="0.25">
      <c r="A2" s="1844" t="s">
        <v>20</v>
      </c>
      <c r="B2" s="1845"/>
      <c r="C2" s="1845"/>
      <c r="D2" s="1845"/>
      <c r="E2" s="1845"/>
      <c r="F2" s="1845"/>
      <c r="G2" s="1845"/>
      <c r="H2" s="1845"/>
      <c r="I2" s="1845"/>
      <c r="J2" s="1845"/>
      <c r="K2" s="1845"/>
      <c r="L2" s="1845"/>
      <c r="M2" s="1845"/>
      <c r="N2" s="1845"/>
      <c r="O2" s="1845"/>
      <c r="P2" s="1845"/>
      <c r="Q2" s="1846"/>
    </row>
    <row r="3" spans="1:17" s="4" customFormat="1" x14ac:dyDescent="0.25">
      <c r="A3" s="1847" t="s">
        <v>2098</v>
      </c>
      <c r="B3" s="1848"/>
      <c r="C3" s="1848"/>
      <c r="D3" s="1848"/>
      <c r="E3" s="1848"/>
      <c r="F3" s="1848"/>
      <c r="G3" s="1848"/>
      <c r="H3" s="1848"/>
      <c r="I3" s="1848"/>
      <c r="J3" s="1848"/>
      <c r="K3" s="1848"/>
      <c r="L3" s="1848"/>
      <c r="M3" s="1848"/>
      <c r="N3" s="1848"/>
      <c r="O3" s="1848"/>
      <c r="P3" s="1848"/>
      <c r="Q3" s="1849"/>
    </row>
    <row r="4" spans="1:17" s="4" customFormat="1" x14ac:dyDescent="0.25">
      <c r="B4" s="1004"/>
      <c r="C4" s="12"/>
      <c r="D4" s="12"/>
      <c r="E4" s="12"/>
      <c r="F4" s="12"/>
      <c r="G4" s="51"/>
      <c r="H4" s="51"/>
      <c r="M4" s="18"/>
      <c r="N4" s="18"/>
      <c r="O4" s="18"/>
      <c r="P4" s="18"/>
    </row>
    <row r="5" spans="1:17" s="4" customFormat="1" ht="15" customHeight="1" x14ac:dyDescent="0.25">
      <c r="A5" s="2"/>
      <c r="B5" s="2258" t="s">
        <v>2097</v>
      </c>
      <c r="C5" s="2259"/>
      <c r="D5" s="2259"/>
      <c r="E5" s="2259"/>
      <c r="F5" s="2259"/>
      <c r="G5" s="2259"/>
      <c r="H5" s="2260"/>
      <c r="I5" s="2"/>
      <c r="J5" s="2258" t="s">
        <v>2096</v>
      </c>
      <c r="K5" s="2259"/>
      <c r="L5" s="2259"/>
      <c r="M5" s="2259"/>
      <c r="N5" s="2259"/>
      <c r="O5" s="2259"/>
      <c r="P5" s="2260"/>
      <c r="Q5" s="2"/>
    </row>
    <row r="6" spans="1:17" s="4" customFormat="1" x14ac:dyDescent="0.25">
      <c r="A6" s="2"/>
      <c r="B6" s="1009"/>
      <c r="C6" s="12"/>
      <c r="D6" s="12"/>
      <c r="E6" s="12"/>
      <c r="F6" s="12"/>
      <c r="G6" s="27"/>
      <c r="H6" s="27"/>
      <c r="I6" s="2"/>
      <c r="J6" s="2"/>
      <c r="K6" s="2"/>
      <c r="L6" s="2"/>
      <c r="M6" s="2"/>
      <c r="N6" s="10"/>
      <c r="O6" s="10"/>
      <c r="P6" s="10"/>
      <c r="Q6" s="2"/>
    </row>
    <row r="7" spans="1:17" s="4" customFormat="1" x14ac:dyDescent="0.25">
      <c r="A7" s="2"/>
      <c r="B7" s="108">
        <v>1</v>
      </c>
      <c r="C7" s="12"/>
      <c r="D7" s="2261" t="s">
        <v>1946</v>
      </c>
      <c r="E7" s="2261"/>
      <c r="G7" s="1218"/>
      <c r="H7" s="1217"/>
      <c r="I7" s="2"/>
      <c r="J7" s="2"/>
      <c r="L7" s="2261" t="str">
        <f>+D7</f>
        <v>15/02/X0</v>
      </c>
      <c r="M7" s="2261"/>
      <c r="N7" s="18"/>
      <c r="O7" s="1216"/>
      <c r="P7" s="1216"/>
      <c r="Q7" s="2"/>
    </row>
    <row r="8" spans="1:17" s="4" customFormat="1" ht="15" customHeight="1" x14ac:dyDescent="0.25">
      <c r="A8" s="2"/>
      <c r="C8" s="2252" t="s">
        <v>1858</v>
      </c>
      <c r="D8" s="2253"/>
      <c r="E8" s="2253"/>
      <c r="F8" s="2253"/>
      <c r="G8" s="2253"/>
      <c r="H8" s="2254"/>
      <c r="I8" s="8"/>
      <c r="J8" s="2"/>
      <c r="K8" s="2252" t="s">
        <v>1858</v>
      </c>
      <c r="L8" s="2253"/>
      <c r="M8" s="2253"/>
      <c r="N8" s="2253"/>
      <c r="O8" s="2253"/>
      <c r="P8" s="2254"/>
      <c r="Q8" s="2"/>
    </row>
    <row r="9" spans="1:17" s="4" customFormat="1" x14ac:dyDescent="0.25">
      <c r="A9" s="2"/>
      <c r="B9" s="1009"/>
      <c r="C9" s="2255"/>
      <c r="D9" s="2256"/>
      <c r="E9" s="2256"/>
      <c r="F9" s="2256"/>
      <c r="G9" s="2256"/>
      <c r="H9" s="2257"/>
      <c r="I9" s="8"/>
      <c r="J9" s="2"/>
      <c r="K9" s="2255"/>
      <c r="L9" s="2256"/>
      <c r="M9" s="2256"/>
      <c r="N9" s="2256"/>
      <c r="O9" s="2256"/>
      <c r="P9" s="2257"/>
      <c r="Q9" s="2"/>
    </row>
    <row r="10" spans="1:17" s="4" customFormat="1" ht="15" customHeight="1" x14ac:dyDescent="0.25">
      <c r="B10" s="1004"/>
      <c r="C10" s="991"/>
      <c r="D10" s="641"/>
      <c r="E10" s="641"/>
      <c r="F10" s="991"/>
      <c r="G10" s="1000"/>
      <c r="H10" s="1000"/>
      <c r="K10" s="991"/>
      <c r="L10" s="641"/>
      <c r="M10" s="641"/>
      <c r="N10" s="991"/>
      <c r="O10" s="51"/>
      <c r="P10" s="51"/>
    </row>
    <row r="11" spans="1:17" s="4" customFormat="1" ht="15.75" customHeight="1" x14ac:dyDescent="0.25">
      <c r="B11" s="108">
        <v>2</v>
      </c>
      <c r="C11" s="991"/>
      <c r="D11" s="2248" t="s">
        <v>2095</v>
      </c>
      <c r="E11" s="2248"/>
      <c r="F11" s="991"/>
      <c r="G11" s="1000"/>
      <c r="H11" s="1000"/>
      <c r="J11" s="1004"/>
      <c r="K11" s="991"/>
      <c r="L11" s="2248" t="str">
        <f>+D11</f>
        <v>18/02/X0</v>
      </c>
      <c r="M11" s="2248"/>
      <c r="N11" s="991"/>
      <c r="O11" s="1000"/>
      <c r="P11" s="1000"/>
    </row>
    <row r="12" spans="1:17" s="4" customFormat="1" ht="15" customHeight="1" x14ac:dyDescent="0.25">
      <c r="B12" s="2020" t="s">
        <v>11</v>
      </c>
      <c r="C12" s="2402" t="s">
        <v>1679</v>
      </c>
      <c r="D12" s="2403"/>
      <c r="E12" s="2403"/>
      <c r="F12" s="2404"/>
      <c r="G12" s="1208">
        <v>5000</v>
      </c>
      <c r="H12" s="1207"/>
      <c r="J12" s="1004" t="s">
        <v>11</v>
      </c>
      <c r="K12" s="2402" t="s">
        <v>2094</v>
      </c>
      <c r="L12" s="2403"/>
      <c r="M12" s="2403"/>
      <c r="N12" s="2404"/>
      <c r="O12" s="1208">
        <f>+H14</f>
        <v>5000</v>
      </c>
      <c r="P12" s="1207"/>
    </row>
    <row r="13" spans="1:17" s="4" customFormat="1" ht="15" customHeight="1" x14ac:dyDescent="0.25">
      <c r="B13" s="1997"/>
      <c r="C13" s="2405"/>
      <c r="D13" s="2406"/>
      <c r="E13" s="2406"/>
      <c r="F13" s="2407"/>
      <c r="G13" s="1214"/>
      <c r="H13" s="1213"/>
      <c r="J13" s="1004"/>
      <c r="K13" s="2405"/>
      <c r="L13" s="2406"/>
      <c r="M13" s="2406"/>
      <c r="N13" s="2407"/>
      <c r="O13" s="1214"/>
      <c r="P13" s="1213"/>
    </row>
    <row r="14" spans="1:17" s="4" customFormat="1" x14ac:dyDescent="0.25">
      <c r="B14" s="1004" t="s">
        <v>17</v>
      </c>
      <c r="C14" s="2389" t="s">
        <v>2093</v>
      </c>
      <c r="D14" s="2390"/>
      <c r="E14" s="2390"/>
      <c r="F14" s="2391"/>
      <c r="G14" s="1214"/>
      <c r="H14" s="2388">
        <v>5000</v>
      </c>
      <c r="J14" s="1004"/>
      <c r="K14" s="2396" t="s">
        <v>2092</v>
      </c>
      <c r="L14" s="2397"/>
      <c r="M14" s="2397"/>
      <c r="N14" s="2398"/>
      <c r="O14" s="1292"/>
      <c r="P14" s="2388">
        <f>+G12</f>
        <v>5000</v>
      </c>
    </row>
    <row r="15" spans="1:17" s="4" customFormat="1" x14ac:dyDescent="0.25">
      <c r="A15" s="2"/>
      <c r="B15" s="1009"/>
      <c r="C15" s="2392"/>
      <c r="D15" s="2393"/>
      <c r="E15" s="2393"/>
      <c r="F15" s="2394"/>
      <c r="G15" s="1205"/>
      <c r="H15" s="2395"/>
      <c r="J15" s="1009" t="s">
        <v>17</v>
      </c>
      <c r="K15" s="2399"/>
      <c r="L15" s="2400"/>
      <c r="M15" s="2400"/>
      <c r="N15" s="2401"/>
      <c r="O15" s="1205"/>
      <c r="P15" s="2395"/>
      <c r="Q15" s="2"/>
    </row>
    <row r="16" spans="1:17" s="4" customFormat="1" x14ac:dyDescent="0.25">
      <c r="B16" s="1009"/>
      <c r="C16" s="28" t="s">
        <v>2080</v>
      </c>
      <c r="D16" s="20"/>
      <c r="E16" s="1020"/>
      <c r="F16" s="12"/>
      <c r="G16" s="1000"/>
      <c r="H16" s="1000"/>
      <c r="J16" s="1009"/>
      <c r="K16" s="28" t="s">
        <v>2079</v>
      </c>
      <c r="L16" s="12"/>
      <c r="M16" s="12"/>
      <c r="N16" s="12"/>
      <c r="O16" s="51"/>
      <c r="P16" s="51"/>
      <c r="Q16" s="2"/>
    </row>
    <row r="17" spans="1:17" s="4" customFormat="1" x14ac:dyDescent="0.25">
      <c r="B17" s="1009"/>
      <c r="C17" s="28"/>
      <c r="D17" s="20"/>
      <c r="E17" s="1020"/>
      <c r="F17" s="12"/>
      <c r="G17" s="1000"/>
      <c r="H17" s="1000"/>
      <c r="J17" s="1009"/>
      <c r="K17" s="12"/>
      <c r="L17" s="12"/>
      <c r="M17" s="12"/>
      <c r="N17" s="12"/>
      <c r="O17" s="51"/>
      <c r="P17" s="51"/>
      <c r="Q17" s="2"/>
    </row>
    <row r="18" spans="1:17" s="4" customFormat="1" x14ac:dyDescent="0.25">
      <c r="A18" s="2"/>
      <c r="B18" s="108">
        <v>3</v>
      </c>
      <c r="C18" s="12"/>
      <c r="D18" s="2261" t="s">
        <v>2091</v>
      </c>
      <c r="E18" s="2261"/>
      <c r="G18" s="1218"/>
      <c r="H18" s="1217"/>
      <c r="I18" s="2"/>
      <c r="J18" s="2"/>
      <c r="L18" s="2261" t="str">
        <f>+D18</f>
        <v>01/03/X0</v>
      </c>
      <c r="M18" s="2261"/>
      <c r="N18" s="18"/>
      <c r="O18" s="1216"/>
      <c r="P18" s="1216"/>
      <c r="Q18" s="2"/>
    </row>
    <row r="19" spans="1:17" s="4" customFormat="1" ht="15" customHeight="1" x14ac:dyDescent="0.25">
      <c r="A19" s="2"/>
      <c r="C19" s="2252" t="s">
        <v>1858</v>
      </c>
      <c r="D19" s="2253"/>
      <c r="E19" s="2253"/>
      <c r="F19" s="2253"/>
      <c r="G19" s="2253"/>
      <c r="H19" s="2254"/>
      <c r="I19" s="8"/>
      <c r="J19" s="2"/>
      <c r="K19" s="2252" t="s">
        <v>1858</v>
      </c>
      <c r="L19" s="2253"/>
      <c r="M19" s="2253"/>
      <c r="N19" s="2253"/>
      <c r="O19" s="2253"/>
      <c r="P19" s="2254"/>
      <c r="Q19" s="2"/>
    </row>
    <row r="20" spans="1:17" s="4" customFormat="1" x14ac:dyDescent="0.25">
      <c r="A20" s="2"/>
      <c r="B20" s="1009"/>
      <c r="C20" s="2255"/>
      <c r="D20" s="2256"/>
      <c r="E20" s="2256"/>
      <c r="F20" s="2256"/>
      <c r="G20" s="2256"/>
      <c r="H20" s="2257"/>
      <c r="I20" s="8"/>
      <c r="J20" s="2"/>
      <c r="K20" s="2255"/>
      <c r="L20" s="2256"/>
      <c r="M20" s="2256"/>
      <c r="N20" s="2256"/>
      <c r="O20" s="2256"/>
      <c r="P20" s="2257"/>
      <c r="Q20" s="2"/>
    </row>
    <row r="21" spans="1:17" s="4" customFormat="1" ht="15" customHeight="1" x14ac:dyDescent="0.25">
      <c r="B21" s="1004"/>
      <c r="C21" s="991"/>
      <c r="D21" s="641"/>
      <c r="E21" s="641"/>
      <c r="F21" s="991"/>
      <c r="G21" s="1000"/>
      <c r="H21" s="1000"/>
      <c r="K21" s="991"/>
      <c r="L21" s="641"/>
      <c r="M21" s="641"/>
      <c r="N21" s="991"/>
      <c r="O21" s="51"/>
      <c r="P21" s="51"/>
    </row>
    <row r="22" spans="1:17" s="4" customFormat="1" x14ac:dyDescent="0.25">
      <c r="A22" s="2"/>
      <c r="B22" s="108">
        <v>4</v>
      </c>
      <c r="C22" s="991"/>
      <c r="D22" s="2248" t="s">
        <v>57</v>
      </c>
      <c r="E22" s="2248"/>
      <c r="F22" s="991"/>
      <c r="G22" s="1000"/>
      <c r="H22" s="1000"/>
      <c r="J22" s="1009"/>
      <c r="K22" s="991"/>
      <c r="L22" s="2248" t="str">
        <f>+D22</f>
        <v>18/03/X0</v>
      </c>
      <c r="M22" s="2248"/>
      <c r="N22" s="991"/>
      <c r="O22" s="1000"/>
      <c r="P22" s="1000"/>
      <c r="Q22" s="2"/>
    </row>
    <row r="23" spans="1:17" s="4" customFormat="1" x14ac:dyDescent="0.25">
      <c r="A23" s="2"/>
      <c r="B23" s="1009" t="s">
        <v>11</v>
      </c>
      <c r="C23" s="1290" t="s">
        <v>227</v>
      </c>
      <c r="D23" s="1210"/>
      <c r="E23" s="1210"/>
      <c r="F23" s="1209"/>
      <c r="G23" s="1208">
        <f>+G12</f>
        <v>5000</v>
      </c>
      <c r="H23" s="1207"/>
      <c r="J23" s="1009" t="s">
        <v>207</v>
      </c>
      <c r="K23" s="1291" t="s">
        <v>2090</v>
      </c>
      <c r="L23" s="1210"/>
      <c r="M23" s="1210"/>
      <c r="N23" s="1209"/>
      <c r="O23" s="1208">
        <f>+P14</f>
        <v>5000</v>
      </c>
      <c r="P23" s="1207"/>
      <c r="Q23" s="2"/>
    </row>
    <row r="24" spans="1:17" s="4" customFormat="1" x14ac:dyDescent="0.25">
      <c r="A24" s="2"/>
      <c r="B24" s="1009" t="s">
        <v>14</v>
      </c>
      <c r="C24" s="1211" t="s">
        <v>2089</v>
      </c>
      <c r="D24" s="3"/>
      <c r="E24" s="1022"/>
      <c r="F24" s="11"/>
      <c r="G24" s="1205"/>
      <c r="H24" s="1204">
        <f>+G23</f>
        <v>5000</v>
      </c>
      <c r="J24" s="1009" t="s">
        <v>14</v>
      </c>
      <c r="K24" s="1017" t="s">
        <v>2072</v>
      </c>
      <c r="L24" s="3"/>
      <c r="M24" s="1022"/>
      <c r="N24" s="11"/>
      <c r="O24" s="1205"/>
      <c r="P24" s="1204">
        <f>+O23</f>
        <v>5000</v>
      </c>
      <c r="Q24" s="2"/>
    </row>
    <row r="25" spans="1:17" s="4" customFormat="1" x14ac:dyDescent="0.25">
      <c r="A25" s="2"/>
      <c r="B25" s="1009"/>
      <c r="C25" s="28" t="s">
        <v>2088</v>
      </c>
      <c r="D25" s="12"/>
      <c r="E25" s="12"/>
      <c r="F25" s="12"/>
      <c r="G25" s="1000"/>
      <c r="H25" s="1000"/>
      <c r="J25" s="1009"/>
      <c r="K25" s="28" t="s">
        <v>2087</v>
      </c>
      <c r="L25" s="2"/>
      <c r="M25" s="10"/>
      <c r="N25" s="10"/>
      <c r="O25" s="996"/>
      <c r="P25" s="996"/>
      <c r="Q25" s="2"/>
    </row>
    <row r="26" spans="1:17" s="4" customFormat="1" x14ac:dyDescent="0.25">
      <c r="A26" s="2"/>
      <c r="B26" s="1009"/>
      <c r="C26" s="28"/>
      <c r="D26" s="12"/>
      <c r="E26" s="12"/>
      <c r="F26" s="12"/>
      <c r="G26" s="1000"/>
      <c r="H26" s="1000"/>
      <c r="J26" s="1009"/>
      <c r="K26" s="28"/>
      <c r="L26" s="2"/>
      <c r="M26" s="10"/>
      <c r="N26" s="10"/>
      <c r="O26" s="996"/>
      <c r="P26" s="996"/>
      <c r="Q26" s="2"/>
    </row>
    <row r="27" spans="1:17" s="4" customFormat="1" x14ac:dyDescent="0.25">
      <c r="A27" s="2"/>
      <c r="B27" s="108">
        <v>5</v>
      </c>
      <c r="C27" s="991"/>
      <c r="D27" s="2248" t="s">
        <v>2086</v>
      </c>
      <c r="E27" s="2248"/>
      <c r="F27" s="991"/>
      <c r="G27" s="1000"/>
      <c r="H27" s="1000"/>
      <c r="J27" s="1009"/>
      <c r="K27" s="991"/>
      <c r="L27" s="2248" t="str">
        <f>+D27</f>
        <v>19/03/X0</v>
      </c>
      <c r="M27" s="2248"/>
      <c r="N27" s="991"/>
      <c r="O27" s="1000"/>
      <c r="P27" s="1000"/>
      <c r="Q27" s="2"/>
    </row>
    <row r="28" spans="1:17" s="4" customFormat="1" x14ac:dyDescent="0.25">
      <c r="A28" s="2"/>
      <c r="B28" s="1009" t="s">
        <v>11</v>
      </c>
      <c r="C28" s="1290" t="s">
        <v>2074</v>
      </c>
      <c r="D28" s="1210"/>
      <c r="E28" s="1210"/>
      <c r="F28" s="1209"/>
      <c r="G28" s="1208">
        <f>+G23</f>
        <v>5000</v>
      </c>
      <c r="H28" s="1207"/>
      <c r="J28" s="1009"/>
      <c r="K28" s="2252" t="s">
        <v>1858</v>
      </c>
      <c r="L28" s="2253"/>
      <c r="M28" s="2253"/>
      <c r="N28" s="2253"/>
      <c r="O28" s="2253"/>
      <c r="P28" s="2254"/>
      <c r="Q28" s="2"/>
    </row>
    <row r="29" spans="1:17" s="4" customFormat="1" x14ac:dyDescent="0.25">
      <c r="A29" s="2"/>
      <c r="B29" s="1009" t="s">
        <v>14</v>
      </c>
      <c r="C29" s="1211" t="s">
        <v>2077</v>
      </c>
      <c r="D29" s="3"/>
      <c r="E29" s="1022"/>
      <c r="F29" s="11"/>
      <c r="G29" s="1205"/>
      <c r="H29" s="1204">
        <f>+G28</f>
        <v>5000</v>
      </c>
      <c r="J29" s="1009"/>
      <c r="K29" s="2255"/>
      <c r="L29" s="2256"/>
      <c r="M29" s="2256"/>
      <c r="N29" s="2256"/>
      <c r="O29" s="2256"/>
      <c r="P29" s="2257"/>
      <c r="Q29" s="2"/>
    </row>
    <row r="30" spans="1:17" s="4" customFormat="1" x14ac:dyDescent="0.25">
      <c r="A30" s="2"/>
      <c r="B30" s="1009"/>
      <c r="C30" s="28" t="s">
        <v>2076</v>
      </c>
      <c r="D30" s="12"/>
      <c r="E30" s="12"/>
      <c r="F30" s="12"/>
      <c r="G30" s="1000"/>
      <c r="H30" s="1000"/>
      <c r="J30" s="1009"/>
      <c r="K30" s="28"/>
      <c r="L30" s="2"/>
      <c r="M30" s="10"/>
      <c r="N30" s="10"/>
      <c r="O30" s="996"/>
      <c r="P30" s="996"/>
      <c r="Q30" s="2"/>
    </row>
    <row r="31" spans="1:17" s="4" customFormat="1" x14ac:dyDescent="0.25">
      <c r="A31" s="2"/>
      <c r="B31" s="1009"/>
      <c r="C31" s="28"/>
      <c r="D31" s="12"/>
      <c r="E31" s="12"/>
      <c r="F31" s="12"/>
      <c r="G31" s="1000"/>
      <c r="H31" s="1000"/>
      <c r="J31" s="1009"/>
      <c r="K31" s="28"/>
      <c r="L31" s="2"/>
      <c r="M31" s="10"/>
      <c r="N31" s="10"/>
      <c r="O31" s="996"/>
      <c r="P31" s="996"/>
      <c r="Q31" s="2"/>
    </row>
    <row r="32" spans="1:17" s="4" customFormat="1" x14ac:dyDescent="0.25">
      <c r="A32" s="2"/>
      <c r="B32" s="108">
        <v>6</v>
      </c>
      <c r="C32" s="991"/>
      <c r="D32" s="2248" t="s">
        <v>1691</v>
      </c>
      <c r="E32" s="2248"/>
      <c r="F32" s="991"/>
      <c r="G32" s="1000"/>
      <c r="H32" s="1000"/>
      <c r="J32" s="1009"/>
      <c r="K32" s="991"/>
      <c r="L32" s="2248" t="str">
        <f>+D32</f>
        <v>31/03/X0</v>
      </c>
      <c r="M32" s="2248"/>
      <c r="N32" s="991"/>
      <c r="O32" s="1000"/>
      <c r="P32" s="1000"/>
      <c r="Q32" s="2"/>
    </row>
    <row r="33" spans="1:17" s="4" customFormat="1" ht="15" customHeight="1" x14ac:dyDescent="0.25">
      <c r="A33" s="2"/>
      <c r="B33" s="1009" t="s">
        <v>207</v>
      </c>
      <c r="C33" s="2402" t="s">
        <v>2085</v>
      </c>
      <c r="D33" s="2403"/>
      <c r="E33" s="2403"/>
      <c r="F33" s="2404"/>
      <c r="G33" s="2408">
        <f>+G28</f>
        <v>5000</v>
      </c>
      <c r="H33" s="1207"/>
      <c r="J33" s="1009" t="s">
        <v>15</v>
      </c>
      <c r="K33" s="1290" t="s">
        <v>1081</v>
      </c>
      <c r="L33" s="1210"/>
      <c r="M33" s="1210"/>
      <c r="N33" s="1209"/>
      <c r="O33" s="1208">
        <v>9000</v>
      </c>
      <c r="P33" s="1207"/>
      <c r="Q33" s="2"/>
    </row>
    <row r="34" spans="1:17" s="4" customFormat="1" x14ac:dyDescent="0.25">
      <c r="A34" s="2"/>
      <c r="B34" s="1009"/>
      <c r="C34" s="2405"/>
      <c r="D34" s="2406"/>
      <c r="E34" s="2406"/>
      <c r="F34" s="2407"/>
      <c r="G34" s="2388"/>
      <c r="H34" s="1213"/>
      <c r="J34" s="1009" t="s">
        <v>14</v>
      </c>
      <c r="K34" s="2385" t="s">
        <v>2084</v>
      </c>
      <c r="L34" s="2386"/>
      <c r="M34" s="2386"/>
      <c r="N34" s="2387"/>
      <c r="O34" s="1214"/>
      <c r="P34" s="2388">
        <v>5000</v>
      </c>
      <c r="Q34" s="2"/>
    </row>
    <row r="35" spans="1:17" s="4" customFormat="1" x14ac:dyDescent="0.25">
      <c r="A35" s="2"/>
      <c r="B35" s="1009" t="s">
        <v>11</v>
      </c>
      <c r="C35" s="1019" t="s">
        <v>227</v>
      </c>
      <c r="D35" s="1011"/>
      <c r="E35" s="1011"/>
      <c r="F35" s="1011"/>
      <c r="G35" s="1214">
        <v>3000</v>
      </c>
      <c r="H35" s="1213"/>
      <c r="J35" s="1009"/>
      <c r="K35" s="2385"/>
      <c r="L35" s="2386"/>
      <c r="M35" s="2386"/>
      <c r="N35" s="2387"/>
      <c r="O35" s="1214"/>
      <c r="P35" s="2388"/>
      <c r="Q35" s="2"/>
    </row>
    <row r="36" spans="1:17" s="4" customFormat="1" x14ac:dyDescent="0.25">
      <c r="A36" s="2"/>
      <c r="B36" s="1009" t="s">
        <v>11</v>
      </c>
      <c r="C36" s="1019" t="s">
        <v>2083</v>
      </c>
      <c r="D36" s="641"/>
      <c r="E36" s="641"/>
      <c r="F36" s="991"/>
      <c r="G36" s="1214">
        <v>1000</v>
      </c>
      <c r="H36" s="1213"/>
      <c r="J36" s="1009" t="s">
        <v>14</v>
      </c>
      <c r="K36" s="1015" t="s">
        <v>2072</v>
      </c>
      <c r="L36" s="641"/>
      <c r="M36" s="641"/>
      <c r="N36" s="991"/>
      <c r="O36" s="1214"/>
      <c r="P36" s="1213">
        <v>3000</v>
      </c>
      <c r="Q36" s="2"/>
    </row>
    <row r="37" spans="1:17" s="4" customFormat="1" x14ac:dyDescent="0.25">
      <c r="A37" s="2"/>
      <c r="B37" s="1009" t="s">
        <v>16</v>
      </c>
      <c r="C37" s="1211" t="s">
        <v>2082</v>
      </c>
      <c r="D37" s="3"/>
      <c r="E37" s="1022"/>
      <c r="F37" s="11"/>
      <c r="G37" s="1205"/>
      <c r="H37" s="1204">
        <v>9000</v>
      </c>
      <c r="J37" s="1009" t="s">
        <v>17</v>
      </c>
      <c r="K37" s="1017" t="s">
        <v>2081</v>
      </c>
      <c r="L37" s="3"/>
      <c r="M37" s="1022"/>
      <c r="N37" s="11"/>
      <c r="O37" s="1205"/>
      <c r="P37" s="1204">
        <v>1000</v>
      </c>
      <c r="Q37" s="2"/>
    </row>
    <row r="38" spans="1:17" s="4" customFormat="1" x14ac:dyDescent="0.25">
      <c r="A38" s="2"/>
      <c r="B38" s="1009"/>
      <c r="C38" s="28" t="s">
        <v>2080</v>
      </c>
      <c r="D38" s="12"/>
      <c r="E38" s="12"/>
      <c r="F38" s="12"/>
      <c r="G38" s="1000"/>
      <c r="H38" s="1000"/>
      <c r="J38" s="1009"/>
      <c r="K38" s="28" t="s">
        <v>2079</v>
      </c>
      <c r="L38" s="2"/>
      <c r="M38" s="10"/>
      <c r="N38" s="10"/>
      <c r="O38" s="996"/>
      <c r="P38" s="996"/>
      <c r="Q38" s="2"/>
    </row>
    <row r="39" spans="1:17" s="4" customFormat="1" x14ac:dyDescent="0.25">
      <c r="A39" s="2"/>
      <c r="B39" s="1009"/>
      <c r="C39" s="12"/>
      <c r="D39" s="12"/>
      <c r="E39" s="12"/>
      <c r="F39" s="12"/>
      <c r="G39" s="27"/>
      <c r="H39" s="27"/>
      <c r="I39" s="2"/>
      <c r="J39" s="2"/>
      <c r="K39" s="2"/>
      <c r="L39" s="2"/>
      <c r="M39" s="10"/>
      <c r="N39" s="10"/>
      <c r="O39" s="10"/>
      <c r="P39" s="10"/>
      <c r="Q39" s="2"/>
    </row>
    <row r="40" spans="1:17" s="4" customFormat="1" x14ac:dyDescent="0.25">
      <c r="A40" s="2"/>
      <c r="B40" s="108">
        <v>7</v>
      </c>
      <c r="C40" s="991"/>
      <c r="D40" s="2248" t="s">
        <v>2078</v>
      </c>
      <c r="E40" s="2248"/>
      <c r="F40" s="991"/>
      <c r="G40" s="1000"/>
      <c r="H40" s="1000"/>
      <c r="J40" s="1009"/>
      <c r="K40" s="991"/>
      <c r="L40" s="2248" t="str">
        <f>+D40</f>
        <v>02/04/X0</v>
      </c>
      <c r="M40" s="2248"/>
      <c r="N40" s="991"/>
      <c r="O40" s="1000"/>
      <c r="P40" s="1000"/>
      <c r="Q40" s="2"/>
    </row>
    <row r="41" spans="1:17" s="4" customFormat="1" x14ac:dyDescent="0.25">
      <c r="A41" s="2"/>
      <c r="B41" s="1009" t="s">
        <v>11</v>
      </c>
      <c r="C41" s="1290" t="s">
        <v>2074</v>
      </c>
      <c r="D41" s="1210"/>
      <c r="E41" s="1210"/>
      <c r="F41" s="1209"/>
      <c r="G41" s="1208">
        <v>3000</v>
      </c>
      <c r="H41" s="1207"/>
      <c r="J41" s="1009"/>
      <c r="K41" s="2252" t="s">
        <v>1858</v>
      </c>
      <c r="L41" s="2253"/>
      <c r="M41" s="2253"/>
      <c r="N41" s="2253"/>
      <c r="O41" s="2253"/>
      <c r="P41" s="2254"/>
      <c r="Q41" s="2"/>
    </row>
    <row r="42" spans="1:17" s="4" customFormat="1" x14ac:dyDescent="0.25">
      <c r="A42" s="2"/>
      <c r="B42" s="1009" t="s">
        <v>14</v>
      </c>
      <c r="C42" s="1211" t="s">
        <v>2077</v>
      </c>
      <c r="D42" s="3"/>
      <c r="E42" s="1022"/>
      <c r="F42" s="11"/>
      <c r="G42" s="1205"/>
      <c r="H42" s="1204">
        <f>+G41</f>
        <v>3000</v>
      </c>
      <c r="J42" s="1009"/>
      <c r="K42" s="2255"/>
      <c r="L42" s="2256"/>
      <c r="M42" s="2256"/>
      <c r="N42" s="2256"/>
      <c r="O42" s="2256"/>
      <c r="P42" s="2257"/>
      <c r="Q42" s="2"/>
    </row>
    <row r="43" spans="1:17" s="4" customFormat="1" x14ac:dyDescent="0.25">
      <c r="A43" s="2"/>
      <c r="B43" s="1009"/>
      <c r="C43" s="28" t="s">
        <v>2076</v>
      </c>
      <c r="D43" s="12"/>
      <c r="E43" s="12"/>
      <c r="F43" s="12"/>
      <c r="G43" s="1000"/>
      <c r="H43" s="1000"/>
      <c r="J43" s="1009"/>
      <c r="K43" s="28"/>
      <c r="L43" s="2"/>
      <c r="M43" s="10"/>
      <c r="N43" s="10"/>
      <c r="O43" s="996"/>
      <c r="P43" s="996"/>
      <c r="Q43" s="2"/>
    </row>
    <row r="44" spans="1:17" s="4" customFormat="1" x14ac:dyDescent="0.25">
      <c r="B44" s="1004"/>
      <c r="C44" s="12"/>
      <c r="D44" s="12"/>
      <c r="E44" s="12"/>
      <c r="F44" s="12"/>
      <c r="G44" s="51"/>
      <c r="H44" s="51"/>
      <c r="M44" s="18"/>
      <c r="N44" s="18"/>
      <c r="O44" s="18"/>
      <c r="P44" s="18"/>
    </row>
    <row r="45" spans="1:17" s="4" customFormat="1" x14ac:dyDescent="0.25">
      <c r="A45" s="2"/>
      <c r="B45" s="108">
        <v>8</v>
      </c>
      <c r="C45" s="991"/>
      <c r="D45" s="2248" t="s">
        <v>2075</v>
      </c>
      <c r="E45" s="2248"/>
      <c r="F45" s="991"/>
      <c r="G45" s="1000"/>
      <c r="H45" s="1000"/>
      <c r="J45" s="1009"/>
      <c r="K45" s="991"/>
      <c r="L45" s="2248" t="str">
        <f>+D45</f>
        <v>05/04/X0</v>
      </c>
      <c r="M45" s="2248"/>
      <c r="N45" s="991"/>
      <c r="O45" s="1000"/>
      <c r="P45" s="1000"/>
      <c r="Q45" s="2"/>
    </row>
    <row r="46" spans="1:17" s="4" customFormat="1" ht="15" customHeight="1" x14ac:dyDescent="0.25">
      <c r="A46" s="2"/>
      <c r="B46" s="1009" t="s">
        <v>11</v>
      </c>
      <c r="C46" s="1290" t="s">
        <v>2074</v>
      </c>
      <c r="D46" s="1210"/>
      <c r="E46" s="1210"/>
      <c r="F46" s="1209"/>
      <c r="G46" s="1208">
        <v>1000</v>
      </c>
      <c r="H46" s="1207"/>
      <c r="J46" s="1009" t="s">
        <v>207</v>
      </c>
      <c r="K46" s="1290" t="s">
        <v>1677</v>
      </c>
      <c r="L46" s="1210"/>
      <c r="M46" s="1210"/>
      <c r="N46" s="1209"/>
      <c r="O46" s="1208">
        <v>1000</v>
      </c>
      <c r="P46" s="1207"/>
      <c r="Q46" s="2"/>
    </row>
    <row r="47" spans="1:17" s="4" customFormat="1" x14ac:dyDescent="0.25">
      <c r="A47" s="2"/>
      <c r="B47" s="1009" t="s">
        <v>14</v>
      </c>
      <c r="C47" s="1211" t="s">
        <v>2073</v>
      </c>
      <c r="D47" s="3"/>
      <c r="E47" s="1022"/>
      <c r="F47" s="11"/>
      <c r="G47" s="1205"/>
      <c r="H47" s="1204">
        <f>+G46</f>
        <v>1000</v>
      </c>
      <c r="J47" s="1009" t="s">
        <v>14</v>
      </c>
      <c r="K47" s="1211" t="s">
        <v>2072</v>
      </c>
      <c r="L47" s="3"/>
      <c r="M47" s="1022"/>
      <c r="N47" s="11"/>
      <c r="O47" s="1205"/>
      <c r="P47" s="1204">
        <f>+O46</f>
        <v>1000</v>
      </c>
      <c r="Q47" s="2"/>
    </row>
    <row r="48" spans="1:17" s="4" customFormat="1" x14ac:dyDescent="0.25">
      <c r="A48" s="2"/>
      <c r="B48" s="1009"/>
      <c r="C48" s="28" t="s">
        <v>2071</v>
      </c>
      <c r="D48" s="12"/>
      <c r="E48" s="12"/>
      <c r="F48" s="12"/>
      <c r="G48" s="1000"/>
      <c r="H48" s="1000"/>
      <c r="J48" s="1009"/>
      <c r="K48" s="28" t="s">
        <v>2070</v>
      </c>
      <c r="L48" s="2"/>
      <c r="M48" s="10"/>
      <c r="N48" s="10"/>
      <c r="O48" s="996"/>
      <c r="P48" s="996"/>
      <c r="Q48" s="2"/>
    </row>
    <row r="49" spans="1:17" s="4" customFormat="1" x14ac:dyDescent="0.25">
      <c r="A49" s="2"/>
      <c r="B49" s="1009"/>
      <c r="C49" s="28"/>
      <c r="D49" s="12"/>
      <c r="E49" s="12"/>
      <c r="F49" s="12"/>
      <c r="G49" s="1000"/>
      <c r="H49" s="1000"/>
      <c r="J49" s="1009"/>
      <c r="K49" s="28"/>
      <c r="L49" s="2"/>
      <c r="M49" s="10"/>
      <c r="N49" s="10"/>
      <c r="O49" s="996"/>
      <c r="P49" s="996"/>
      <c r="Q49" s="2"/>
    </row>
    <row r="50" spans="1:17" s="4" customFormat="1" x14ac:dyDescent="0.25">
      <c r="B50" s="1004"/>
      <c r="C50" s="12"/>
      <c r="D50" s="12"/>
      <c r="E50" s="12"/>
      <c r="F50" s="12"/>
      <c r="G50" s="51"/>
      <c r="H50" s="51"/>
      <c r="M50" s="18"/>
      <c r="N50" s="18"/>
      <c r="O50" s="18"/>
      <c r="P50" s="18"/>
    </row>
    <row r="51" spans="1:17" s="4" customFormat="1" x14ac:dyDescent="0.25">
      <c r="A51" s="3"/>
      <c r="B51" s="1004"/>
      <c r="C51" s="12"/>
      <c r="D51" s="12"/>
      <c r="E51" s="12"/>
      <c r="F51" s="12"/>
      <c r="G51" s="51"/>
      <c r="H51" s="51"/>
      <c r="M51" s="18"/>
      <c r="N51" s="18"/>
      <c r="O51" s="18"/>
      <c r="P51" s="18"/>
    </row>
    <row r="52" spans="1:17" s="4" customFormat="1" x14ac:dyDescent="0.25">
      <c r="A52" s="1844" t="s">
        <v>20</v>
      </c>
      <c r="B52" s="1845"/>
      <c r="C52" s="1845"/>
      <c r="D52" s="1845"/>
      <c r="E52" s="1845"/>
      <c r="F52" s="1845"/>
      <c r="G52" s="1845"/>
      <c r="H52" s="1845"/>
      <c r="I52" s="1845"/>
      <c r="J52" s="1845"/>
      <c r="K52" s="1845"/>
      <c r="L52" s="1845"/>
      <c r="M52" s="1845"/>
      <c r="N52" s="1845"/>
      <c r="O52" s="1845"/>
      <c r="P52" s="1845"/>
      <c r="Q52" s="1846"/>
    </row>
    <row r="53" spans="1:17" s="4" customFormat="1" x14ac:dyDescent="0.25">
      <c r="A53" s="1847" t="s">
        <v>2069</v>
      </c>
      <c r="B53" s="1848"/>
      <c r="C53" s="1848"/>
      <c r="D53" s="1848"/>
      <c r="E53" s="1848"/>
      <c r="F53" s="1848"/>
      <c r="G53" s="1848"/>
      <c r="H53" s="1848"/>
      <c r="I53" s="1848"/>
      <c r="J53" s="1848"/>
      <c r="K53" s="1848"/>
      <c r="L53" s="1848"/>
      <c r="M53" s="1848"/>
      <c r="N53" s="1848"/>
      <c r="O53" s="1848"/>
      <c r="P53" s="1848"/>
      <c r="Q53" s="1849"/>
    </row>
    <row r="54" spans="1:17" s="4" customFormat="1" ht="7.5" customHeight="1" x14ac:dyDescent="0.25">
      <c r="B54" s="1004"/>
      <c r="C54" s="12"/>
      <c r="D54" s="12"/>
      <c r="E54" s="12"/>
      <c r="F54" s="12"/>
      <c r="G54" s="51"/>
      <c r="H54" s="51"/>
      <c r="M54" s="18"/>
      <c r="N54" s="18"/>
      <c r="O54" s="18"/>
      <c r="P54" s="18"/>
    </row>
    <row r="55" spans="1:17" s="4" customFormat="1" x14ac:dyDescent="0.25">
      <c r="A55" s="2"/>
      <c r="B55" s="6" t="s">
        <v>307</v>
      </c>
      <c r="C55" s="21" t="s">
        <v>308</v>
      </c>
      <c r="D55" s="12"/>
      <c r="E55" s="12"/>
      <c r="F55" s="12"/>
      <c r="G55" s="27"/>
      <c r="H55" s="27"/>
      <c r="I55" s="2"/>
      <c r="J55" s="2"/>
      <c r="K55" s="2"/>
      <c r="L55" s="2"/>
      <c r="M55" s="10"/>
      <c r="N55" s="10"/>
      <c r="O55" s="10"/>
      <c r="P55" s="10"/>
      <c r="Q55" s="2"/>
    </row>
    <row r="56" spans="1:17" s="4" customFormat="1" ht="7.5" customHeight="1" x14ac:dyDescent="0.25">
      <c r="A56" s="437"/>
      <c r="B56" s="1179"/>
      <c r="C56" s="1178"/>
      <c r="D56" s="1177"/>
      <c r="E56" s="1177"/>
      <c r="F56" s="1177"/>
      <c r="G56" s="435"/>
      <c r="H56" s="435"/>
      <c r="I56" s="437"/>
      <c r="J56" s="437"/>
      <c r="K56" s="437"/>
      <c r="L56" s="437"/>
      <c r="M56" s="2102" t="s">
        <v>9</v>
      </c>
      <c r="N56" s="2102"/>
      <c r="O56" s="2102" t="s">
        <v>8</v>
      </c>
      <c r="P56" s="2102"/>
      <c r="Q56" s="437"/>
    </row>
    <row r="57" spans="1:17" s="4" customFormat="1" ht="7.5" customHeight="1" x14ac:dyDescent="0.25">
      <c r="A57" s="437"/>
      <c r="B57" s="207">
        <v>1</v>
      </c>
      <c r="C57" s="1188"/>
      <c r="D57" s="1175"/>
      <c r="E57" s="1173"/>
      <c r="F57" s="1173"/>
      <c r="G57" s="2224"/>
      <c r="H57" s="2224"/>
      <c r="I57" s="1174"/>
      <c r="J57" s="1174"/>
      <c r="K57" s="1174"/>
      <c r="L57" s="1173"/>
      <c r="M57" s="2103"/>
      <c r="N57" s="2103"/>
      <c r="O57" s="2103" t="s">
        <v>8</v>
      </c>
      <c r="P57" s="2103"/>
      <c r="Q57" s="437"/>
    </row>
    <row r="58" spans="1:17" s="4" customFormat="1" x14ac:dyDescent="0.25">
      <c r="A58" s="2"/>
      <c r="B58" s="30" t="s">
        <v>11</v>
      </c>
      <c r="C58" s="1015" t="s">
        <v>23</v>
      </c>
      <c r="D58" s="31"/>
      <c r="E58" s="1016"/>
      <c r="F58" s="991"/>
      <c r="G58" s="51"/>
      <c r="H58" s="51"/>
      <c r="L58" s="991"/>
      <c r="M58" s="2008">
        <v>90000</v>
      </c>
      <c r="N58" s="2009"/>
      <c r="O58" s="2012"/>
      <c r="P58" s="2009"/>
      <c r="Q58" s="2"/>
    </row>
    <row r="59" spans="1:17" s="4" customFormat="1" x14ac:dyDescent="0.25">
      <c r="A59" s="2"/>
      <c r="B59" s="38" t="s">
        <v>11</v>
      </c>
      <c r="C59" s="1015" t="s">
        <v>478</v>
      </c>
      <c r="D59" s="1016"/>
      <c r="E59" s="1016"/>
      <c r="F59" s="991"/>
      <c r="G59" s="51"/>
      <c r="H59" s="51"/>
      <c r="L59" s="991"/>
      <c r="M59" s="2008">
        <v>20000</v>
      </c>
      <c r="N59" s="2009"/>
      <c r="O59" s="994"/>
      <c r="P59" s="995"/>
      <c r="Q59" s="2"/>
    </row>
    <row r="60" spans="1:17" s="4" customFormat="1" x14ac:dyDescent="0.25">
      <c r="A60" s="2"/>
      <c r="B60" s="38" t="s">
        <v>11</v>
      </c>
      <c r="C60" s="1015" t="s">
        <v>25</v>
      </c>
      <c r="D60" s="1016"/>
      <c r="E60" s="1016"/>
      <c r="F60" s="991"/>
      <c r="G60" s="51"/>
      <c r="H60" s="51"/>
      <c r="L60" s="991"/>
      <c r="M60" s="2008">
        <v>40000</v>
      </c>
      <c r="N60" s="2009"/>
      <c r="O60" s="994"/>
      <c r="P60" s="995"/>
      <c r="Q60" s="2"/>
    </row>
    <row r="61" spans="1:17" s="4" customFormat="1" x14ac:dyDescent="0.25">
      <c r="A61" s="2"/>
      <c r="B61" s="1009" t="s">
        <v>458</v>
      </c>
      <c r="C61" s="1015"/>
      <c r="D61" s="1016"/>
      <c r="E61" s="1016"/>
      <c r="F61" s="20" t="s">
        <v>1</v>
      </c>
      <c r="G61" s="1020" t="s">
        <v>435</v>
      </c>
      <c r="H61" s="1020"/>
      <c r="M61" s="2008"/>
      <c r="N61" s="2012"/>
      <c r="O61" s="2008">
        <f>+SUM(M58:N60)</f>
        <v>150000</v>
      </c>
      <c r="P61" s="2009"/>
      <c r="Q61" s="2"/>
    </row>
    <row r="62" spans="1:17" s="4" customFormat="1" ht="7.5" customHeight="1" x14ac:dyDescent="0.25">
      <c r="A62" s="437"/>
      <c r="B62" s="207">
        <v>2</v>
      </c>
      <c r="C62" s="2198" t="s">
        <v>1784</v>
      </c>
      <c r="D62" s="2199"/>
      <c r="E62" s="2199"/>
      <c r="F62" s="2199"/>
      <c r="G62" s="2220"/>
      <c r="H62" s="2220"/>
      <c r="I62" s="2199" t="s">
        <v>1784</v>
      </c>
      <c r="J62" s="2199"/>
      <c r="K62" s="2199"/>
      <c r="L62" s="2199"/>
      <c r="M62" s="993"/>
      <c r="N62" s="994"/>
      <c r="O62" s="993"/>
      <c r="P62" s="995"/>
      <c r="Q62" s="437"/>
    </row>
    <row r="63" spans="1:17" s="4" customFormat="1" x14ac:dyDescent="0.25">
      <c r="A63" s="2"/>
      <c r="B63" s="30" t="s">
        <v>15</v>
      </c>
      <c r="C63" s="1015" t="s">
        <v>874</v>
      </c>
      <c r="D63" s="1016"/>
      <c r="E63" s="1016"/>
      <c r="F63" s="991"/>
      <c r="G63" s="51"/>
      <c r="H63" s="51"/>
      <c r="L63" s="991"/>
      <c r="M63" s="2008">
        <v>200</v>
      </c>
      <c r="N63" s="2009"/>
      <c r="O63" s="2012"/>
      <c r="P63" s="2009"/>
      <c r="Q63" s="2"/>
    </row>
    <row r="64" spans="1:17" s="4" customFormat="1" x14ac:dyDescent="0.25">
      <c r="A64" s="2"/>
      <c r="B64" s="38" t="s">
        <v>11</v>
      </c>
      <c r="C64" s="1015" t="s">
        <v>13</v>
      </c>
      <c r="D64" s="1016"/>
      <c r="E64" s="1016"/>
      <c r="F64" s="991"/>
      <c r="G64" s="51"/>
      <c r="H64" s="51"/>
      <c r="L64" s="991"/>
      <c r="M64" s="2008">
        <f>+M63*0.21</f>
        <v>42</v>
      </c>
      <c r="N64" s="2009"/>
      <c r="O64" s="994"/>
      <c r="P64" s="995"/>
      <c r="Q64" s="2"/>
    </row>
    <row r="65" spans="1:17" s="4" customFormat="1" x14ac:dyDescent="0.25">
      <c r="A65" s="2"/>
      <c r="B65" s="1009" t="s">
        <v>14</v>
      </c>
      <c r="C65" s="1015"/>
      <c r="D65" s="1016"/>
      <c r="E65" s="1016"/>
      <c r="F65" s="20" t="s">
        <v>1</v>
      </c>
      <c r="G65" s="1020" t="s">
        <v>23</v>
      </c>
      <c r="H65" s="1020"/>
      <c r="M65" s="2008"/>
      <c r="N65" s="2012"/>
      <c r="O65" s="2008">
        <f>+M63+M64</f>
        <v>242</v>
      </c>
      <c r="P65" s="2009"/>
      <c r="Q65" s="2"/>
    </row>
    <row r="66" spans="1:17" s="4" customFormat="1" ht="7.5" customHeight="1" x14ac:dyDescent="0.25">
      <c r="A66" s="437"/>
      <c r="B66" s="207">
        <v>3</v>
      </c>
      <c r="C66" s="2198" t="s">
        <v>1784</v>
      </c>
      <c r="D66" s="2199"/>
      <c r="E66" s="2199"/>
      <c r="F66" s="2199"/>
      <c r="G66" s="2220"/>
      <c r="H66" s="2220"/>
      <c r="I66" s="2199" t="s">
        <v>1784</v>
      </c>
      <c r="J66" s="2199"/>
      <c r="K66" s="2199"/>
      <c r="L66" s="2199"/>
      <c r="M66" s="993"/>
      <c r="N66" s="994"/>
      <c r="O66" s="993"/>
      <c r="P66" s="995"/>
      <c r="Q66" s="437"/>
    </row>
    <row r="67" spans="1:17" s="4" customFormat="1" x14ac:dyDescent="0.25">
      <c r="A67" s="2"/>
      <c r="B67" s="30" t="s">
        <v>11</v>
      </c>
      <c r="C67" s="1015" t="s">
        <v>25</v>
      </c>
      <c r="D67" s="1016"/>
      <c r="E67" s="1016"/>
      <c r="F67" s="991"/>
      <c r="G67" s="51"/>
      <c r="H67" s="51"/>
      <c r="L67" s="991"/>
      <c r="M67" s="2008">
        <f>+(10*1000)+(10*500)+(4*4000)</f>
        <v>31000</v>
      </c>
      <c r="N67" s="2009"/>
      <c r="O67" s="2012"/>
      <c r="P67" s="2009"/>
      <c r="Q67" s="2"/>
    </row>
    <row r="68" spans="1:17" s="4" customFormat="1" x14ac:dyDescent="0.25">
      <c r="A68" s="2"/>
      <c r="B68" s="38" t="s">
        <v>11</v>
      </c>
      <c r="C68" s="1015" t="s">
        <v>13</v>
      </c>
      <c r="D68" s="1016"/>
      <c r="E68" s="1016"/>
      <c r="F68" s="991"/>
      <c r="G68" s="51"/>
      <c r="H68" s="51"/>
      <c r="L68" s="991"/>
      <c r="M68" s="2008">
        <f>+M67*0.21</f>
        <v>6510</v>
      </c>
      <c r="N68" s="2009"/>
      <c r="O68" s="994"/>
      <c r="P68" s="995"/>
      <c r="Q68" s="2"/>
    </row>
    <row r="69" spans="1:17" s="4" customFormat="1" x14ac:dyDescent="0.25">
      <c r="A69" s="2"/>
      <c r="B69" s="1009" t="s">
        <v>17</v>
      </c>
      <c r="C69" s="1015"/>
      <c r="D69" s="1016"/>
      <c r="E69" s="1016"/>
      <c r="F69" s="20" t="s">
        <v>1</v>
      </c>
      <c r="G69" s="1020" t="s">
        <v>235</v>
      </c>
      <c r="H69" s="1020"/>
      <c r="M69" s="2008"/>
      <c r="N69" s="2012"/>
      <c r="O69" s="2008">
        <f>+M67+M68</f>
        <v>37510</v>
      </c>
      <c r="P69" s="2009"/>
      <c r="Q69" s="2"/>
    </row>
    <row r="70" spans="1:17" s="4" customFormat="1" ht="7.5" customHeight="1" x14ac:dyDescent="0.25">
      <c r="A70" s="437"/>
      <c r="B70" s="207">
        <v>4</v>
      </c>
      <c r="C70" s="2198" t="s">
        <v>1784</v>
      </c>
      <c r="D70" s="2199"/>
      <c r="E70" s="2199"/>
      <c r="F70" s="2199"/>
      <c r="G70" s="2220"/>
      <c r="H70" s="2220"/>
      <c r="I70" s="2199" t="s">
        <v>1784</v>
      </c>
      <c r="J70" s="2199"/>
      <c r="K70" s="2199"/>
      <c r="L70" s="2199"/>
      <c r="M70" s="993"/>
      <c r="N70" s="994"/>
      <c r="O70" s="993"/>
      <c r="P70" s="995"/>
      <c r="Q70" s="437"/>
    </row>
    <row r="71" spans="1:17" s="4" customFormat="1" x14ac:dyDescent="0.25">
      <c r="A71" s="2"/>
      <c r="B71" s="30" t="s">
        <v>11</v>
      </c>
      <c r="C71" s="1015" t="s">
        <v>5</v>
      </c>
      <c r="D71" s="1016"/>
      <c r="E71" s="1016"/>
      <c r="F71" s="991"/>
      <c r="G71" s="51"/>
      <c r="H71" s="51"/>
      <c r="L71" s="991"/>
      <c r="M71" s="2008">
        <f>+(100*20)+(140*30)</f>
        <v>6200</v>
      </c>
      <c r="N71" s="2009"/>
      <c r="O71" s="2012"/>
      <c r="P71" s="2009"/>
      <c r="Q71" s="2"/>
    </row>
    <row r="72" spans="1:17" s="4" customFormat="1" x14ac:dyDescent="0.25">
      <c r="A72" s="2"/>
      <c r="B72" s="38" t="s">
        <v>11</v>
      </c>
      <c r="C72" s="1015" t="s">
        <v>13</v>
      </c>
      <c r="D72" s="1016"/>
      <c r="E72" s="1016"/>
      <c r="F72" s="991"/>
      <c r="G72" s="51"/>
      <c r="H72" s="51"/>
      <c r="L72" s="991"/>
      <c r="M72" s="2008">
        <f>+M71*0.21</f>
        <v>1302</v>
      </c>
      <c r="N72" s="2009"/>
      <c r="O72" s="994"/>
      <c r="P72" s="995"/>
      <c r="Q72" s="2"/>
    </row>
    <row r="73" spans="1:17" s="4" customFormat="1" x14ac:dyDescent="0.25">
      <c r="A73" s="2"/>
      <c r="B73" s="38" t="s">
        <v>17</v>
      </c>
      <c r="C73" s="1015"/>
      <c r="D73" s="1016"/>
      <c r="E73" s="1016"/>
      <c r="F73" s="20" t="s">
        <v>1</v>
      </c>
      <c r="G73" s="1020" t="s">
        <v>6</v>
      </c>
      <c r="H73" s="51"/>
      <c r="L73" s="991"/>
      <c r="M73" s="2008"/>
      <c r="N73" s="2009"/>
      <c r="O73" s="2008">
        <f>+(M71+M72)/2</f>
        <v>3751</v>
      </c>
      <c r="P73" s="2009"/>
      <c r="Q73" s="2"/>
    </row>
    <row r="74" spans="1:17" s="4" customFormat="1" x14ac:dyDescent="0.25">
      <c r="A74" s="2"/>
      <c r="B74" s="1009" t="s">
        <v>17</v>
      </c>
      <c r="C74" s="1015"/>
      <c r="D74" s="1016"/>
      <c r="E74" s="1016"/>
      <c r="F74" s="20" t="s">
        <v>1</v>
      </c>
      <c r="G74" s="1020" t="s">
        <v>2</v>
      </c>
      <c r="H74" s="1020"/>
      <c r="M74" s="2008"/>
      <c r="N74" s="2012"/>
      <c r="O74" s="2008">
        <f>+O73</f>
        <v>3751</v>
      </c>
      <c r="P74" s="2009"/>
      <c r="Q74" s="2"/>
    </row>
    <row r="75" spans="1:17" s="4" customFormat="1" ht="7.5" customHeight="1" x14ac:dyDescent="0.25">
      <c r="A75" s="437"/>
      <c r="B75" s="207">
        <v>5</v>
      </c>
      <c r="C75" s="2198" t="s">
        <v>1784</v>
      </c>
      <c r="D75" s="2199"/>
      <c r="E75" s="2199"/>
      <c r="F75" s="2199"/>
      <c r="G75" s="2220"/>
      <c r="H75" s="2220"/>
      <c r="I75" s="2199" t="s">
        <v>1784</v>
      </c>
      <c r="J75" s="2199"/>
      <c r="K75" s="2199"/>
      <c r="L75" s="2199"/>
      <c r="M75" s="993"/>
      <c r="N75" s="994"/>
      <c r="O75" s="993"/>
      <c r="P75" s="995"/>
      <c r="Q75" s="437"/>
    </row>
    <row r="76" spans="1:17" s="4" customFormat="1" x14ac:dyDescent="0.25">
      <c r="A76" s="2"/>
      <c r="B76" s="30" t="s">
        <v>15</v>
      </c>
      <c r="C76" s="1015" t="s">
        <v>1081</v>
      </c>
      <c r="D76" s="1016"/>
      <c r="E76" s="1016"/>
      <c r="F76" s="991"/>
      <c r="G76" s="51"/>
      <c r="H76" s="51"/>
      <c r="L76" s="991"/>
      <c r="M76" s="2008">
        <f>3630/1.21</f>
        <v>3000</v>
      </c>
      <c r="N76" s="2009"/>
      <c r="O76" s="2012"/>
      <c r="P76" s="2009"/>
      <c r="Q76" s="2"/>
    </row>
    <row r="77" spans="1:17" s="4" customFormat="1" x14ac:dyDescent="0.25">
      <c r="A77" s="2"/>
      <c r="B77" s="38" t="s">
        <v>11</v>
      </c>
      <c r="C77" s="1015" t="s">
        <v>13</v>
      </c>
      <c r="D77" s="1016"/>
      <c r="E77" s="1016"/>
      <c r="F77" s="991"/>
      <c r="G77" s="51"/>
      <c r="H77" s="51"/>
      <c r="L77" s="991"/>
      <c r="M77" s="2008">
        <f>+M76*0.21</f>
        <v>630</v>
      </c>
      <c r="N77" s="2009"/>
      <c r="O77" s="994"/>
      <c r="P77" s="995"/>
      <c r="Q77" s="2"/>
    </row>
    <row r="78" spans="1:17" s="4" customFormat="1" x14ac:dyDescent="0.25">
      <c r="A78" s="2"/>
      <c r="B78" s="1009" t="s">
        <v>14</v>
      </c>
      <c r="C78" s="1015"/>
      <c r="D78" s="1016"/>
      <c r="E78" s="1016"/>
      <c r="F78" s="20" t="s">
        <v>1</v>
      </c>
      <c r="G78" s="1020" t="s">
        <v>23</v>
      </c>
      <c r="H78" s="1020"/>
      <c r="M78" s="2008"/>
      <c r="N78" s="2012"/>
      <c r="O78" s="2008">
        <f>+M76+M77</f>
        <v>3630</v>
      </c>
      <c r="P78" s="2009"/>
      <c r="Q78" s="2"/>
    </row>
    <row r="79" spans="1:17" s="4" customFormat="1" ht="7.5" customHeight="1" x14ac:dyDescent="0.25">
      <c r="A79" s="437"/>
      <c r="B79" s="207">
        <v>6</v>
      </c>
      <c r="C79" s="2198" t="s">
        <v>1784</v>
      </c>
      <c r="D79" s="2199"/>
      <c r="E79" s="2199"/>
      <c r="F79" s="2199"/>
      <c r="G79" s="2220"/>
      <c r="H79" s="2220"/>
      <c r="I79" s="2199" t="s">
        <v>1784</v>
      </c>
      <c r="J79" s="2199"/>
      <c r="K79" s="2199"/>
      <c r="L79" s="2199"/>
      <c r="M79" s="993"/>
      <c r="N79" s="994"/>
      <c r="O79" s="993"/>
      <c r="P79" s="995"/>
      <c r="Q79" s="437"/>
    </row>
    <row r="80" spans="1:17" s="4" customFormat="1" x14ac:dyDescent="0.25">
      <c r="A80" s="2"/>
      <c r="B80" s="30" t="s">
        <v>11</v>
      </c>
      <c r="C80" s="1015" t="s">
        <v>23</v>
      </c>
      <c r="D80" s="1016"/>
      <c r="E80" s="1016"/>
      <c r="F80" s="991"/>
      <c r="G80" s="51"/>
      <c r="H80" s="51"/>
      <c r="L80" s="991"/>
      <c r="M80" s="2008">
        <v>1000</v>
      </c>
      <c r="N80" s="2009"/>
      <c r="O80" s="2012"/>
      <c r="P80" s="2009"/>
      <c r="Q80" s="2"/>
    </row>
    <row r="81" spans="1:17" s="4" customFormat="1" x14ac:dyDescent="0.25">
      <c r="A81" s="2"/>
      <c r="B81" s="38" t="s">
        <v>11</v>
      </c>
      <c r="C81" s="1015" t="s">
        <v>478</v>
      </c>
      <c r="D81" s="1016"/>
      <c r="E81" s="1016"/>
      <c r="F81" s="991"/>
      <c r="G81" s="51"/>
      <c r="H81" s="51"/>
      <c r="L81" s="991"/>
      <c r="M81" s="2008">
        <v>700</v>
      </c>
      <c r="N81" s="2009"/>
      <c r="O81" s="994"/>
      <c r="P81" s="995"/>
      <c r="Q81" s="2"/>
    </row>
    <row r="82" spans="1:17" s="4" customFormat="1" x14ac:dyDescent="0.25">
      <c r="A82" s="2"/>
      <c r="B82" s="38" t="s">
        <v>11</v>
      </c>
      <c r="C82" s="1015" t="s">
        <v>0</v>
      </c>
      <c r="D82" s="1016"/>
      <c r="E82" s="1016"/>
      <c r="F82" s="991"/>
      <c r="G82" s="51"/>
      <c r="H82" s="51"/>
      <c r="L82" s="991"/>
      <c r="M82" s="2008">
        <f>+O83+O84-M80-M81</f>
        <v>4108</v>
      </c>
      <c r="N82" s="2009"/>
      <c r="O82" s="994"/>
      <c r="P82" s="995"/>
      <c r="Q82" s="2"/>
    </row>
    <row r="83" spans="1:17" s="4" customFormat="1" x14ac:dyDescent="0.25">
      <c r="A83" s="2"/>
      <c r="B83" s="38" t="s">
        <v>16</v>
      </c>
      <c r="C83" s="1015"/>
      <c r="D83" s="1016"/>
      <c r="E83" s="1016"/>
      <c r="F83" s="20" t="s">
        <v>1</v>
      </c>
      <c r="G83" s="1020" t="s">
        <v>3</v>
      </c>
      <c r="H83" s="51"/>
      <c r="L83" s="991"/>
      <c r="M83" s="2008"/>
      <c r="N83" s="2009"/>
      <c r="O83" s="2008">
        <f>+(80*60)</f>
        <v>4800</v>
      </c>
      <c r="P83" s="2009"/>
      <c r="Q83" s="2"/>
    </row>
    <row r="84" spans="1:17" s="4" customFormat="1" x14ac:dyDescent="0.25">
      <c r="A84" s="2"/>
      <c r="B84" s="1009" t="s">
        <v>17</v>
      </c>
      <c r="C84" s="1015"/>
      <c r="D84" s="1016"/>
      <c r="E84" s="1016"/>
      <c r="F84" s="20" t="s">
        <v>1</v>
      </c>
      <c r="G84" s="1020" t="s">
        <v>12</v>
      </c>
      <c r="H84" s="1020"/>
      <c r="M84" s="2008"/>
      <c r="N84" s="2012"/>
      <c r="O84" s="2008">
        <f>+O83*0.21</f>
        <v>1008</v>
      </c>
      <c r="P84" s="2009"/>
      <c r="Q84" s="2"/>
    </row>
    <row r="85" spans="1:17" s="4" customFormat="1" ht="7.5" customHeight="1" x14ac:dyDescent="0.25">
      <c r="A85" s="437"/>
      <c r="B85" s="207" t="s">
        <v>2068</v>
      </c>
      <c r="C85" s="2198" t="s">
        <v>1784</v>
      </c>
      <c r="D85" s="2199"/>
      <c r="E85" s="2199"/>
      <c r="F85" s="2199"/>
      <c r="G85" s="2220"/>
      <c r="H85" s="2220"/>
      <c r="I85" s="2199" t="s">
        <v>1784</v>
      </c>
      <c r="J85" s="2199"/>
      <c r="K85" s="2199"/>
      <c r="L85" s="2199"/>
      <c r="M85" s="993"/>
      <c r="N85" s="994"/>
      <c r="O85" s="993"/>
      <c r="P85" s="995"/>
      <c r="Q85" s="437"/>
    </row>
    <row r="86" spans="1:17" s="4" customFormat="1" x14ac:dyDescent="0.25">
      <c r="A86" s="2"/>
      <c r="B86" s="30" t="s">
        <v>15</v>
      </c>
      <c r="C86" s="1015" t="s">
        <v>120</v>
      </c>
      <c r="D86" s="1016"/>
      <c r="E86" s="1016"/>
      <c r="F86" s="991"/>
      <c r="G86" s="51"/>
      <c r="H86" s="51"/>
      <c r="L86" s="991"/>
      <c r="M86" s="2008">
        <f>80*20</f>
        <v>1600</v>
      </c>
      <c r="N86" s="2009"/>
      <c r="O86" s="2012"/>
      <c r="P86" s="2009"/>
      <c r="Q86" s="2"/>
    </row>
    <row r="87" spans="1:17" s="4" customFormat="1" x14ac:dyDescent="0.25">
      <c r="A87" s="2"/>
      <c r="B87" s="1009" t="s">
        <v>14</v>
      </c>
      <c r="C87" s="1015"/>
      <c r="D87" s="1016"/>
      <c r="E87" s="1016"/>
      <c r="F87" s="20" t="s">
        <v>1</v>
      </c>
      <c r="G87" s="1020" t="s">
        <v>5</v>
      </c>
      <c r="H87" s="1020"/>
      <c r="M87" s="2008"/>
      <c r="N87" s="2012"/>
      <c r="O87" s="2008">
        <f>+M86</f>
        <v>1600</v>
      </c>
      <c r="P87" s="2009"/>
      <c r="Q87" s="2"/>
    </row>
    <row r="88" spans="1:17" s="4" customFormat="1" ht="7.5" customHeight="1" x14ac:dyDescent="0.25">
      <c r="A88" s="437"/>
      <c r="B88" s="207">
        <v>7</v>
      </c>
      <c r="C88" s="2198" t="s">
        <v>1784</v>
      </c>
      <c r="D88" s="2199"/>
      <c r="E88" s="2199"/>
      <c r="F88" s="2199"/>
      <c r="G88" s="2220"/>
      <c r="H88" s="2220"/>
      <c r="I88" s="2199" t="s">
        <v>1784</v>
      </c>
      <c r="J88" s="2199"/>
      <c r="K88" s="2199"/>
      <c r="L88" s="2199"/>
      <c r="M88" s="993"/>
      <c r="N88" s="994"/>
      <c r="O88" s="993"/>
      <c r="P88" s="995"/>
      <c r="Q88" s="437"/>
    </row>
    <row r="89" spans="1:17" s="4" customFormat="1" x14ac:dyDescent="0.25">
      <c r="A89" s="2"/>
      <c r="B89" s="30" t="s">
        <v>207</v>
      </c>
      <c r="C89" s="1015" t="s">
        <v>235</v>
      </c>
      <c r="D89" s="1016"/>
      <c r="E89" s="1016"/>
      <c r="F89" s="991"/>
      <c r="G89" s="51"/>
      <c r="H89" s="51"/>
      <c r="L89" s="991"/>
      <c r="M89" s="2008">
        <f>+O69</f>
        <v>37510</v>
      </c>
      <c r="N89" s="2009"/>
      <c r="O89" s="2012"/>
      <c r="P89" s="2009"/>
      <c r="Q89" s="2"/>
    </row>
    <row r="90" spans="1:17" s="4" customFormat="1" x14ac:dyDescent="0.25">
      <c r="A90" s="2"/>
      <c r="B90" s="1009" t="s">
        <v>14</v>
      </c>
      <c r="C90" s="1015"/>
      <c r="D90" s="1016"/>
      <c r="E90" s="1016"/>
      <c r="F90" s="20" t="s">
        <v>1</v>
      </c>
      <c r="G90" s="1020" t="s">
        <v>23</v>
      </c>
      <c r="H90" s="1020"/>
      <c r="M90" s="2008"/>
      <c r="N90" s="2012"/>
      <c r="O90" s="2008">
        <f>+M89</f>
        <v>37510</v>
      </c>
      <c r="P90" s="2009"/>
      <c r="Q90" s="2"/>
    </row>
    <row r="91" spans="1:17" s="4" customFormat="1" ht="7.5" customHeight="1" x14ac:dyDescent="0.25">
      <c r="A91" s="437"/>
      <c r="B91" s="207">
        <v>8</v>
      </c>
      <c r="C91" s="2198" t="s">
        <v>1784</v>
      </c>
      <c r="D91" s="2199"/>
      <c r="E91" s="2199"/>
      <c r="F91" s="2199"/>
      <c r="G91" s="2220"/>
      <c r="H91" s="2220"/>
      <c r="I91" s="2199" t="s">
        <v>1784</v>
      </c>
      <c r="J91" s="2199"/>
      <c r="K91" s="2199"/>
      <c r="L91" s="2199"/>
      <c r="M91" s="993"/>
      <c r="N91" s="994"/>
      <c r="O91" s="993"/>
      <c r="P91" s="995"/>
      <c r="Q91" s="437"/>
    </row>
    <row r="92" spans="1:17" s="4" customFormat="1" x14ac:dyDescent="0.25">
      <c r="A92" s="2"/>
      <c r="B92" s="30" t="s">
        <v>207</v>
      </c>
      <c r="C92" s="1015" t="s">
        <v>2</v>
      </c>
      <c r="D92" s="1016"/>
      <c r="E92" s="1016"/>
      <c r="F92" s="991"/>
      <c r="G92" s="51"/>
      <c r="H92" s="51"/>
      <c r="L92" s="991"/>
      <c r="M92" s="2008">
        <f>+O93+O94</f>
        <v>363</v>
      </c>
      <c r="N92" s="2009"/>
      <c r="O92" s="2012"/>
      <c r="P92" s="2009"/>
      <c r="Q92" s="2"/>
    </row>
    <row r="93" spans="1:17" s="4" customFormat="1" x14ac:dyDescent="0.25">
      <c r="A93" s="2"/>
      <c r="B93" s="38" t="s">
        <v>14</v>
      </c>
      <c r="C93" s="1015"/>
      <c r="D93" s="1016"/>
      <c r="E93" s="1016"/>
      <c r="F93" s="20" t="s">
        <v>1</v>
      </c>
      <c r="G93" s="1020" t="s">
        <v>13</v>
      </c>
      <c r="H93" s="51"/>
      <c r="L93" s="991"/>
      <c r="M93" s="2008"/>
      <c r="N93" s="2009"/>
      <c r="O93" s="2008">
        <f>+O94*0.21</f>
        <v>63</v>
      </c>
      <c r="P93" s="2009"/>
      <c r="Q93" s="2"/>
    </row>
    <row r="94" spans="1:17" s="4" customFormat="1" x14ac:dyDescent="0.25">
      <c r="A94" s="2"/>
      <c r="B94" s="1009" t="s">
        <v>14</v>
      </c>
      <c r="C94" s="1015"/>
      <c r="D94" s="1016"/>
      <c r="E94" s="1016"/>
      <c r="F94" s="20" t="s">
        <v>1</v>
      </c>
      <c r="G94" s="1020" t="s">
        <v>5</v>
      </c>
      <c r="H94" s="1020"/>
      <c r="M94" s="2008"/>
      <c r="N94" s="2012"/>
      <c r="O94" s="2008">
        <f>10*30</f>
        <v>300</v>
      </c>
      <c r="P94" s="2009"/>
      <c r="Q94" s="2"/>
    </row>
    <row r="95" spans="1:17" s="4" customFormat="1" ht="7.5" customHeight="1" x14ac:dyDescent="0.25">
      <c r="A95" s="437"/>
      <c r="B95" s="207">
        <v>9</v>
      </c>
      <c r="C95" s="2198" t="s">
        <v>1784</v>
      </c>
      <c r="D95" s="2199"/>
      <c r="E95" s="2199"/>
      <c r="F95" s="2199"/>
      <c r="G95" s="2220"/>
      <c r="H95" s="2220"/>
      <c r="I95" s="2199" t="s">
        <v>1784</v>
      </c>
      <c r="J95" s="2199"/>
      <c r="K95" s="2199"/>
      <c r="L95" s="2199"/>
      <c r="M95" s="993"/>
      <c r="N95" s="994"/>
      <c r="O95" s="993"/>
      <c r="P95" s="995"/>
      <c r="Q95" s="437"/>
    </row>
    <row r="96" spans="1:17" s="4" customFormat="1" x14ac:dyDescent="0.25">
      <c r="A96" s="2"/>
      <c r="B96" s="30" t="s">
        <v>11</v>
      </c>
      <c r="C96" s="1015" t="s">
        <v>5</v>
      </c>
      <c r="D96" s="1016"/>
      <c r="E96" s="1016"/>
      <c r="F96" s="991"/>
      <c r="G96" s="51"/>
      <c r="H96" s="51"/>
      <c r="L96" s="991"/>
      <c r="M96" s="2008">
        <f>20*40</f>
        <v>800</v>
      </c>
      <c r="N96" s="2009"/>
      <c r="O96" s="2012"/>
      <c r="P96" s="2009"/>
      <c r="Q96" s="2"/>
    </row>
    <row r="97" spans="1:17" s="4" customFormat="1" x14ac:dyDescent="0.25">
      <c r="A97" s="2"/>
      <c r="B97" s="38" t="s">
        <v>11</v>
      </c>
      <c r="C97" s="1015" t="s">
        <v>13</v>
      </c>
      <c r="D97" s="1016"/>
      <c r="E97" s="1016"/>
      <c r="F97" s="991"/>
      <c r="G97" s="51"/>
      <c r="H97" s="51"/>
      <c r="L97" s="991"/>
      <c r="M97" s="2008">
        <f>+M96*0.21</f>
        <v>168</v>
      </c>
      <c r="N97" s="2009"/>
      <c r="O97" s="994"/>
      <c r="P97" s="995"/>
      <c r="Q97" s="2"/>
    </row>
    <row r="98" spans="1:17" s="4" customFormat="1" x14ac:dyDescent="0.25">
      <c r="B98" s="38" t="s">
        <v>14</v>
      </c>
      <c r="C98" s="1015"/>
      <c r="D98" s="1016"/>
      <c r="E98" s="1016"/>
      <c r="F98" s="20" t="s">
        <v>1</v>
      </c>
      <c r="G98" s="1020" t="s">
        <v>23</v>
      </c>
      <c r="H98" s="51"/>
      <c r="L98" s="991"/>
      <c r="M98" s="2008"/>
      <c r="N98" s="2009"/>
      <c r="O98" s="2008">
        <f>+(M96+M97)/2</f>
        <v>484</v>
      </c>
      <c r="P98" s="2009"/>
      <c r="Q98" s="2"/>
    </row>
    <row r="99" spans="1:17" s="4" customFormat="1" x14ac:dyDescent="0.25">
      <c r="A99" s="2"/>
      <c r="B99" s="1009" t="s">
        <v>17</v>
      </c>
      <c r="C99" s="1015"/>
      <c r="D99" s="1016"/>
      <c r="E99" s="1016"/>
      <c r="F99" s="20" t="s">
        <v>1</v>
      </c>
      <c r="G99" s="1020" t="s">
        <v>2</v>
      </c>
      <c r="H99" s="1020"/>
      <c r="M99" s="2008"/>
      <c r="N99" s="2012"/>
      <c r="O99" s="2008">
        <f>+O98</f>
        <v>484</v>
      </c>
      <c r="P99" s="2009"/>
      <c r="Q99" s="2"/>
    </row>
    <row r="100" spans="1:17" s="4" customFormat="1" ht="7.5" customHeight="1" x14ac:dyDescent="0.25">
      <c r="A100" s="437"/>
      <c r="B100" s="207">
        <v>10</v>
      </c>
      <c r="C100" s="2198" t="s">
        <v>1784</v>
      </c>
      <c r="D100" s="2199"/>
      <c r="E100" s="2199"/>
      <c r="F100" s="2199"/>
      <c r="G100" s="2220"/>
      <c r="H100" s="2220"/>
      <c r="I100" s="2199" t="s">
        <v>1784</v>
      </c>
      <c r="J100" s="2199"/>
      <c r="K100" s="2199"/>
      <c r="L100" s="2199"/>
      <c r="M100" s="993"/>
      <c r="N100" s="994"/>
      <c r="O100" s="993"/>
      <c r="P100" s="995"/>
      <c r="Q100" s="437"/>
    </row>
    <row r="101" spans="1:17" s="4" customFormat="1" x14ac:dyDescent="0.25">
      <c r="A101" s="2"/>
      <c r="B101" s="30" t="s">
        <v>207</v>
      </c>
      <c r="C101" s="1015" t="s">
        <v>2</v>
      </c>
      <c r="D101" s="1016"/>
      <c r="E101" s="1016"/>
      <c r="F101" s="991"/>
      <c r="G101" s="51"/>
      <c r="H101" s="51"/>
      <c r="L101" s="991"/>
      <c r="M101" s="2008">
        <f>+O99</f>
        <v>484</v>
      </c>
      <c r="N101" s="2009"/>
      <c r="O101" s="2012"/>
      <c r="P101" s="2009"/>
      <c r="Q101" s="2"/>
    </row>
    <row r="102" spans="1:17" s="4" customFormat="1" x14ac:dyDescent="0.25">
      <c r="A102" s="2"/>
      <c r="B102" s="1009" t="s">
        <v>17</v>
      </c>
      <c r="C102" s="1015"/>
      <c r="D102" s="1016"/>
      <c r="E102" s="1016"/>
      <c r="F102" s="20" t="s">
        <v>1</v>
      </c>
      <c r="G102" s="1020" t="s">
        <v>6</v>
      </c>
      <c r="H102" s="1020"/>
      <c r="M102" s="2008"/>
      <c r="N102" s="2012"/>
      <c r="O102" s="2008">
        <f>+M101</f>
        <v>484</v>
      </c>
      <c r="P102" s="2009"/>
      <c r="Q102" s="2"/>
    </row>
    <row r="103" spans="1:17" s="4" customFormat="1" ht="7.5" customHeight="1" x14ac:dyDescent="0.25">
      <c r="B103" s="1004"/>
      <c r="C103" s="2198" t="s">
        <v>1784</v>
      </c>
      <c r="D103" s="2199"/>
      <c r="E103" s="2199"/>
      <c r="F103" s="2199"/>
      <c r="G103" s="2248" t="s">
        <v>222</v>
      </c>
      <c r="H103" s="2248"/>
      <c r="I103" s="2199" t="s">
        <v>1784</v>
      </c>
      <c r="J103" s="2199"/>
      <c r="K103" s="2199"/>
      <c r="L103" s="2199"/>
      <c r="M103" s="993"/>
      <c r="N103" s="994"/>
      <c r="O103" s="993"/>
      <c r="P103" s="995"/>
    </row>
    <row r="104" spans="1:17" s="4" customFormat="1" x14ac:dyDescent="0.25">
      <c r="B104" s="1004"/>
      <c r="C104" s="12"/>
      <c r="D104" s="12"/>
      <c r="E104" s="12"/>
      <c r="F104" s="12"/>
      <c r="G104" s="2248"/>
      <c r="H104" s="2248"/>
      <c r="M104" s="18"/>
      <c r="N104" s="18"/>
      <c r="O104" s="18"/>
      <c r="P104" s="18"/>
    </row>
    <row r="105" spans="1:17" s="4" customFormat="1" x14ac:dyDescent="0.25">
      <c r="B105" s="1004"/>
      <c r="C105" s="12"/>
      <c r="D105" s="12"/>
      <c r="E105" s="12"/>
      <c r="F105" s="12"/>
      <c r="G105" s="51"/>
      <c r="H105" s="51"/>
      <c r="M105" s="18"/>
      <c r="N105" s="18"/>
      <c r="O105" s="18"/>
      <c r="P105" s="18"/>
    </row>
    <row r="106" spans="1:17" s="4" customFormat="1" x14ac:dyDescent="0.25">
      <c r="B106" s="1004"/>
      <c r="C106" s="12"/>
      <c r="D106" s="12"/>
      <c r="E106" s="12"/>
      <c r="F106" s="12"/>
      <c r="G106" s="51"/>
      <c r="H106" s="51"/>
      <c r="M106" s="18"/>
      <c r="N106" s="18"/>
      <c r="O106" s="18"/>
      <c r="P106" s="18"/>
    </row>
    <row r="107" spans="1:17" s="4" customFormat="1" ht="7.5" customHeight="1" x14ac:dyDescent="0.25">
      <c r="A107" s="437"/>
      <c r="B107" s="207">
        <v>11</v>
      </c>
      <c r="C107" s="2198" t="s">
        <v>1784</v>
      </c>
      <c r="D107" s="2199"/>
      <c r="E107" s="2199"/>
      <c r="F107" s="2199"/>
      <c r="G107" s="2220"/>
      <c r="H107" s="2220"/>
      <c r="I107" s="2199" t="s">
        <v>1784</v>
      </c>
      <c r="J107" s="2199"/>
      <c r="K107" s="2199"/>
      <c r="L107" s="2199"/>
      <c r="M107" s="993"/>
      <c r="N107" s="994"/>
      <c r="O107" s="993"/>
      <c r="P107" s="995"/>
      <c r="Q107" s="437"/>
    </row>
    <row r="108" spans="1:17" s="4" customFormat="1" x14ac:dyDescent="0.25">
      <c r="A108" s="2"/>
      <c r="B108" s="30" t="s">
        <v>15</v>
      </c>
      <c r="C108" s="1015" t="s">
        <v>1081</v>
      </c>
      <c r="D108" s="1016"/>
      <c r="E108" s="1016"/>
      <c r="F108" s="991"/>
      <c r="G108" s="51"/>
      <c r="H108" s="51"/>
      <c r="L108" s="991"/>
      <c r="M108" s="2008">
        <f>+M76</f>
        <v>3000</v>
      </c>
      <c r="N108" s="2009"/>
      <c r="O108" s="2012"/>
      <c r="P108" s="2009"/>
      <c r="Q108" s="2"/>
    </row>
    <row r="109" spans="1:17" s="4" customFormat="1" x14ac:dyDescent="0.25">
      <c r="A109" s="2"/>
      <c r="B109" s="38" t="s">
        <v>11</v>
      </c>
      <c r="C109" s="1015" t="s">
        <v>13</v>
      </c>
      <c r="D109" s="1016"/>
      <c r="E109" s="1016"/>
      <c r="F109" s="991"/>
      <c r="G109" s="51"/>
      <c r="H109" s="51"/>
      <c r="L109" s="991"/>
      <c r="M109" s="2008">
        <f>+M77</f>
        <v>630</v>
      </c>
      <c r="N109" s="2009"/>
      <c r="O109" s="994"/>
      <c r="P109" s="995"/>
      <c r="Q109" s="2"/>
    </row>
    <row r="110" spans="1:17" s="4" customFormat="1" x14ac:dyDescent="0.25">
      <c r="A110" s="2"/>
      <c r="B110" s="1009" t="s">
        <v>17</v>
      </c>
      <c r="C110" s="1015"/>
      <c r="D110" s="1016"/>
      <c r="E110" s="1016"/>
      <c r="F110" s="20" t="s">
        <v>1</v>
      </c>
      <c r="G110" s="1020" t="s">
        <v>1677</v>
      </c>
      <c r="H110" s="1020"/>
      <c r="M110" s="2008"/>
      <c r="N110" s="2012"/>
      <c r="O110" s="2008">
        <f>+M108+M109</f>
        <v>3630</v>
      </c>
      <c r="P110" s="2009"/>
      <c r="Q110" s="2"/>
    </row>
    <row r="111" spans="1:17" s="4" customFormat="1" ht="7.5" customHeight="1" x14ac:dyDescent="0.25">
      <c r="A111" s="437"/>
      <c r="B111" s="207">
        <v>12</v>
      </c>
      <c r="C111" s="2198" t="s">
        <v>1784</v>
      </c>
      <c r="D111" s="2199"/>
      <c r="E111" s="2199"/>
      <c r="F111" s="2199"/>
      <c r="G111" s="2220"/>
      <c r="H111" s="2220"/>
      <c r="I111" s="2199" t="s">
        <v>1784</v>
      </c>
      <c r="J111" s="2199"/>
      <c r="K111" s="2199"/>
      <c r="L111" s="2199"/>
      <c r="M111" s="993"/>
      <c r="N111" s="994"/>
      <c r="O111" s="993"/>
      <c r="P111" s="995"/>
      <c r="Q111" s="437"/>
    </row>
    <row r="112" spans="1:17" s="4" customFormat="1" x14ac:dyDescent="0.25">
      <c r="B112" s="30" t="s">
        <v>11</v>
      </c>
      <c r="C112" s="1015" t="s">
        <v>1934</v>
      </c>
      <c r="D112" s="1016"/>
      <c r="E112" s="1016"/>
      <c r="F112" s="991"/>
      <c r="G112" s="51"/>
      <c r="H112" s="51"/>
      <c r="L112" s="991"/>
      <c r="M112" s="2008">
        <f>+O113+O114</f>
        <v>605</v>
      </c>
      <c r="N112" s="2009"/>
      <c r="O112" s="2012"/>
      <c r="P112" s="2009"/>
      <c r="Q112" s="2"/>
    </row>
    <row r="113" spans="1:17" s="4" customFormat="1" x14ac:dyDescent="0.25">
      <c r="A113" s="2"/>
      <c r="B113" s="38" t="s">
        <v>16</v>
      </c>
      <c r="C113" s="1015"/>
      <c r="D113" s="1016"/>
      <c r="E113" s="1016"/>
      <c r="F113" s="20" t="s">
        <v>1</v>
      </c>
      <c r="G113" s="1020" t="s">
        <v>1130</v>
      </c>
      <c r="H113" s="51"/>
      <c r="L113" s="991"/>
      <c r="M113" s="2008"/>
      <c r="N113" s="2009"/>
      <c r="O113" s="2008">
        <v>500</v>
      </c>
      <c r="P113" s="2009"/>
      <c r="Q113" s="2"/>
    </row>
    <row r="114" spans="1:17" s="4" customFormat="1" x14ac:dyDescent="0.25">
      <c r="A114" s="2"/>
      <c r="B114" s="1009" t="s">
        <v>17</v>
      </c>
      <c r="C114" s="1017"/>
      <c r="D114" s="1018"/>
      <c r="E114" s="1018"/>
      <c r="F114" s="35" t="s">
        <v>1</v>
      </c>
      <c r="G114" s="1022" t="s">
        <v>12</v>
      </c>
      <c r="H114" s="1022"/>
      <c r="I114" s="3"/>
      <c r="J114" s="3"/>
      <c r="K114" s="3"/>
      <c r="L114" s="3"/>
      <c r="M114" s="2006"/>
      <c r="N114" s="2100"/>
      <c r="O114" s="2006">
        <f>+O113*0.21</f>
        <v>105</v>
      </c>
      <c r="P114" s="2007"/>
      <c r="Q114" s="2"/>
    </row>
    <row r="115" spans="1:17" s="4" customFormat="1" x14ac:dyDescent="0.25">
      <c r="B115" s="1004"/>
      <c r="C115" s="12"/>
      <c r="D115" s="12"/>
      <c r="E115" s="12"/>
      <c r="F115" s="12"/>
      <c r="G115" s="51"/>
      <c r="H115" s="51"/>
      <c r="M115" s="18"/>
      <c r="N115" s="18"/>
      <c r="O115" s="18"/>
      <c r="P115" s="18"/>
    </row>
    <row r="116" spans="1:17" s="4" customFormat="1" x14ac:dyDescent="0.25">
      <c r="B116" s="50" t="s">
        <v>389</v>
      </c>
      <c r="C116" s="4" t="s">
        <v>2067</v>
      </c>
      <c r="D116" s="12"/>
      <c r="E116" s="12"/>
      <c r="F116" s="12"/>
      <c r="G116" s="51"/>
      <c r="H116" s="51"/>
      <c r="M116" s="18"/>
      <c r="N116" s="18"/>
      <c r="O116" s="18"/>
      <c r="P116" s="18"/>
    </row>
    <row r="117" spans="1:17" s="4" customFormat="1" ht="3" customHeight="1" x14ac:dyDescent="0.25">
      <c r="B117" s="1004"/>
      <c r="C117" s="12"/>
      <c r="D117" s="12"/>
      <c r="E117" s="12"/>
      <c r="F117" s="12"/>
      <c r="G117" s="51"/>
      <c r="H117" s="51"/>
      <c r="M117" s="18"/>
      <c r="N117" s="18"/>
      <c r="O117" s="18"/>
      <c r="P117" s="18"/>
    </row>
    <row r="118" spans="1:17" s="4" customFormat="1" x14ac:dyDescent="0.25">
      <c r="B118" s="2028" t="s">
        <v>952</v>
      </c>
      <c r="C118" s="2029"/>
      <c r="D118" s="2029"/>
      <c r="E118" s="2029"/>
      <c r="F118" s="2139"/>
      <c r="G118" s="2032" t="s">
        <v>9</v>
      </c>
      <c r="H118" s="2031"/>
      <c r="I118" s="2032" t="s">
        <v>8</v>
      </c>
      <c r="J118" s="2031"/>
      <c r="K118" s="2032" t="s">
        <v>1164</v>
      </c>
      <c r="L118" s="2031"/>
      <c r="M118" s="2142" t="s">
        <v>1165</v>
      </c>
      <c r="N118" s="2143"/>
      <c r="O118" s="2381" t="s">
        <v>394</v>
      </c>
      <c r="P118" s="2382"/>
    </row>
    <row r="119" spans="1:17" s="4" customFormat="1" ht="15.75" x14ac:dyDescent="0.25">
      <c r="B119" s="1289" t="s">
        <v>1677</v>
      </c>
      <c r="C119" s="139"/>
      <c r="D119" s="139"/>
      <c r="E119" s="139"/>
      <c r="F119" s="1082"/>
      <c r="G119" s="2155">
        <f t="shared" ref="G119:G136" si="0">+SUMIF($C$58:$C$114,B119,$M$58:$M$114)</f>
        <v>0</v>
      </c>
      <c r="H119" s="2045"/>
      <c r="I119" s="2155">
        <f t="shared" ref="I119:I136" si="1">+SUMIF($G$58:$G$114,B119,$O$58:$O$114)</f>
        <v>3630</v>
      </c>
      <c r="J119" s="2045"/>
      <c r="K119" s="2155">
        <f t="shared" ref="K119:K136" si="2">+IF(G119&gt;I119,G119-I119,0)</f>
        <v>0</v>
      </c>
      <c r="L119" s="2045"/>
      <c r="M119" s="2155">
        <f t="shared" ref="M119:M136" si="3">+IF(I119&gt;G119,I119-G119,0)</f>
        <v>3630</v>
      </c>
      <c r="N119" s="2045"/>
      <c r="O119" s="2383" t="s">
        <v>2056</v>
      </c>
      <c r="P119" s="2384"/>
    </row>
    <row r="120" spans="1:17" s="4" customFormat="1" ht="15.75" x14ac:dyDescent="0.25">
      <c r="B120" s="1288" t="s">
        <v>23</v>
      </c>
      <c r="C120" s="12"/>
      <c r="D120" s="12"/>
      <c r="E120" s="12"/>
      <c r="F120" s="1198"/>
      <c r="G120" s="1925">
        <f t="shared" si="0"/>
        <v>91000</v>
      </c>
      <c r="H120" s="1940"/>
      <c r="I120" s="1925">
        <f t="shared" si="1"/>
        <v>41866</v>
      </c>
      <c r="J120" s="1940"/>
      <c r="K120" s="1925">
        <f t="shared" si="2"/>
        <v>49134</v>
      </c>
      <c r="L120" s="1940"/>
      <c r="M120" s="1925">
        <f t="shared" si="3"/>
        <v>0</v>
      </c>
      <c r="N120" s="1940"/>
      <c r="O120" s="2275" t="s">
        <v>2066</v>
      </c>
      <c r="P120" s="2276"/>
    </row>
    <row r="121" spans="1:17" s="4" customFormat="1" ht="15.75" x14ac:dyDescent="0.25">
      <c r="B121" s="1288" t="s">
        <v>435</v>
      </c>
      <c r="C121" s="12"/>
      <c r="D121" s="12"/>
      <c r="E121" s="12"/>
      <c r="F121" s="1198"/>
      <c r="G121" s="1925">
        <f t="shared" si="0"/>
        <v>0</v>
      </c>
      <c r="H121" s="1940"/>
      <c r="I121" s="1925">
        <f t="shared" si="1"/>
        <v>150000</v>
      </c>
      <c r="J121" s="1940"/>
      <c r="K121" s="1925">
        <f t="shared" si="2"/>
        <v>0</v>
      </c>
      <c r="L121" s="1940"/>
      <c r="M121" s="1925">
        <f t="shared" si="3"/>
        <v>150000</v>
      </c>
      <c r="N121" s="1940"/>
      <c r="O121" s="2275" t="s">
        <v>1047</v>
      </c>
      <c r="P121" s="2276"/>
    </row>
    <row r="122" spans="1:17" s="4" customFormat="1" ht="15.75" x14ac:dyDescent="0.25">
      <c r="B122" s="1288" t="s">
        <v>120</v>
      </c>
      <c r="C122" s="12"/>
      <c r="D122" s="12"/>
      <c r="E122" s="12"/>
      <c r="F122" s="1198"/>
      <c r="G122" s="1925">
        <f t="shared" si="0"/>
        <v>1600</v>
      </c>
      <c r="H122" s="1940"/>
      <c r="I122" s="1925">
        <f t="shared" si="1"/>
        <v>0</v>
      </c>
      <c r="J122" s="1940"/>
      <c r="K122" s="1925">
        <f t="shared" si="2"/>
        <v>1600</v>
      </c>
      <c r="L122" s="1940"/>
      <c r="M122" s="1925">
        <f t="shared" si="3"/>
        <v>0</v>
      </c>
      <c r="N122" s="1940"/>
      <c r="O122" s="2275" t="s">
        <v>2065</v>
      </c>
      <c r="P122" s="2276"/>
    </row>
    <row r="123" spans="1:17" s="4" customFormat="1" ht="15.75" x14ac:dyDescent="0.25">
      <c r="B123" s="1288" t="s">
        <v>0</v>
      </c>
      <c r="C123" s="12"/>
      <c r="D123" s="12"/>
      <c r="E123" s="12"/>
      <c r="F123" s="1198"/>
      <c r="G123" s="1925">
        <f t="shared" si="0"/>
        <v>4108</v>
      </c>
      <c r="H123" s="1940"/>
      <c r="I123" s="1925">
        <f t="shared" si="1"/>
        <v>0</v>
      </c>
      <c r="J123" s="1940"/>
      <c r="K123" s="1925">
        <f t="shared" si="2"/>
        <v>4108</v>
      </c>
      <c r="L123" s="1940"/>
      <c r="M123" s="1925">
        <f t="shared" si="3"/>
        <v>0</v>
      </c>
      <c r="N123" s="1940"/>
      <c r="O123" s="2275" t="s">
        <v>2061</v>
      </c>
      <c r="P123" s="2276"/>
    </row>
    <row r="124" spans="1:17" s="4" customFormat="1" ht="15.75" x14ac:dyDescent="0.25">
      <c r="B124" s="1288" t="s">
        <v>478</v>
      </c>
      <c r="C124" s="12"/>
      <c r="D124" s="12"/>
      <c r="E124" s="12"/>
      <c r="F124" s="1198"/>
      <c r="G124" s="1925">
        <f t="shared" si="0"/>
        <v>20700</v>
      </c>
      <c r="H124" s="1940"/>
      <c r="I124" s="1925">
        <f t="shared" si="1"/>
        <v>0</v>
      </c>
      <c r="J124" s="1940"/>
      <c r="K124" s="1925">
        <f t="shared" si="2"/>
        <v>20700</v>
      </c>
      <c r="L124" s="1940"/>
      <c r="M124" s="1925">
        <f t="shared" si="3"/>
        <v>0</v>
      </c>
      <c r="N124" s="1940"/>
      <c r="O124" s="2275" t="s">
        <v>2061</v>
      </c>
      <c r="P124" s="2276"/>
    </row>
    <row r="125" spans="1:17" s="4" customFormat="1" ht="15.75" x14ac:dyDescent="0.25">
      <c r="B125" s="1288" t="s">
        <v>6</v>
      </c>
      <c r="C125" s="12"/>
      <c r="D125" s="12"/>
      <c r="E125" s="12"/>
      <c r="F125" s="1198"/>
      <c r="G125" s="1925">
        <f t="shared" si="0"/>
        <v>0</v>
      </c>
      <c r="H125" s="1940"/>
      <c r="I125" s="1925">
        <f t="shared" si="1"/>
        <v>4235</v>
      </c>
      <c r="J125" s="1940"/>
      <c r="K125" s="1925">
        <f t="shared" si="2"/>
        <v>0</v>
      </c>
      <c r="L125" s="1940"/>
      <c r="M125" s="1925">
        <f t="shared" si="3"/>
        <v>4235</v>
      </c>
      <c r="N125" s="1940"/>
      <c r="O125" s="2275" t="s">
        <v>2056</v>
      </c>
      <c r="P125" s="2276"/>
    </row>
    <row r="126" spans="1:17" s="4" customFormat="1" ht="15.75" x14ac:dyDescent="0.25">
      <c r="B126" s="1288" t="s">
        <v>874</v>
      </c>
      <c r="C126" s="12"/>
      <c r="D126" s="12"/>
      <c r="E126" s="12"/>
      <c r="F126" s="1198"/>
      <c r="G126" s="1925">
        <f t="shared" si="0"/>
        <v>200</v>
      </c>
      <c r="H126" s="1940"/>
      <c r="I126" s="1925">
        <f t="shared" si="1"/>
        <v>0</v>
      </c>
      <c r="J126" s="1940"/>
      <c r="K126" s="1925">
        <f t="shared" si="2"/>
        <v>200</v>
      </c>
      <c r="L126" s="1940"/>
      <c r="M126" s="1925">
        <f t="shared" si="3"/>
        <v>0</v>
      </c>
      <c r="N126" s="1940"/>
      <c r="O126" s="2275" t="s">
        <v>2064</v>
      </c>
      <c r="P126" s="2276"/>
    </row>
    <row r="127" spans="1:17" s="4" customFormat="1" ht="15.75" x14ac:dyDescent="0.25">
      <c r="B127" s="1288" t="s">
        <v>1081</v>
      </c>
      <c r="C127" s="12"/>
      <c r="D127" s="12"/>
      <c r="E127" s="12"/>
      <c r="F127" s="1198"/>
      <c r="G127" s="1925">
        <f t="shared" si="0"/>
        <v>6000</v>
      </c>
      <c r="H127" s="1940"/>
      <c r="I127" s="1925">
        <f t="shared" si="1"/>
        <v>0</v>
      </c>
      <c r="J127" s="1940"/>
      <c r="K127" s="1925">
        <f t="shared" si="2"/>
        <v>6000</v>
      </c>
      <c r="L127" s="1940"/>
      <c r="M127" s="1925">
        <f t="shared" si="3"/>
        <v>0</v>
      </c>
      <c r="N127" s="1940"/>
      <c r="O127" s="2275" t="s">
        <v>2063</v>
      </c>
      <c r="P127" s="2276"/>
    </row>
    <row r="128" spans="1:17" s="4" customFormat="1" ht="15.75" x14ac:dyDescent="0.25">
      <c r="B128" s="1288" t="s">
        <v>1130</v>
      </c>
      <c r="C128" s="12"/>
      <c r="D128" s="12"/>
      <c r="E128" s="12"/>
      <c r="F128" s="1198"/>
      <c r="G128" s="1925">
        <f t="shared" si="0"/>
        <v>0</v>
      </c>
      <c r="H128" s="1940"/>
      <c r="I128" s="1925">
        <f t="shared" si="1"/>
        <v>500</v>
      </c>
      <c r="J128" s="1940"/>
      <c r="K128" s="1925">
        <f t="shared" si="2"/>
        <v>0</v>
      </c>
      <c r="L128" s="1940"/>
      <c r="M128" s="1925">
        <f t="shared" si="3"/>
        <v>500</v>
      </c>
      <c r="N128" s="1940"/>
      <c r="O128" s="2275" t="s">
        <v>2062</v>
      </c>
      <c r="P128" s="2276"/>
    </row>
    <row r="129" spans="2:16" s="4" customFormat="1" ht="15.75" x14ac:dyDescent="0.25">
      <c r="B129" s="1288" t="s">
        <v>1934</v>
      </c>
      <c r="C129" s="12"/>
      <c r="D129" s="12"/>
      <c r="E129" s="12"/>
      <c r="F129" s="1198"/>
      <c r="G129" s="1925">
        <f t="shared" si="0"/>
        <v>605</v>
      </c>
      <c r="H129" s="1940"/>
      <c r="I129" s="1925">
        <f t="shared" si="1"/>
        <v>0</v>
      </c>
      <c r="J129" s="1940"/>
      <c r="K129" s="1925">
        <f t="shared" si="2"/>
        <v>605</v>
      </c>
      <c r="L129" s="1940"/>
      <c r="M129" s="1925">
        <f t="shared" si="3"/>
        <v>0</v>
      </c>
      <c r="N129" s="1940"/>
      <c r="O129" s="2275" t="s">
        <v>2061</v>
      </c>
      <c r="P129" s="2276"/>
    </row>
    <row r="130" spans="2:16" s="4" customFormat="1" ht="15.75" x14ac:dyDescent="0.25">
      <c r="B130" s="1288" t="s">
        <v>13</v>
      </c>
      <c r="C130" s="12"/>
      <c r="D130" s="12"/>
      <c r="E130" s="12"/>
      <c r="F130" s="1198"/>
      <c r="G130" s="1925">
        <f t="shared" si="0"/>
        <v>9282</v>
      </c>
      <c r="H130" s="1940"/>
      <c r="I130" s="1925">
        <f t="shared" si="1"/>
        <v>63</v>
      </c>
      <c r="J130" s="1940"/>
      <c r="K130" s="1925">
        <f t="shared" si="2"/>
        <v>9219</v>
      </c>
      <c r="L130" s="1940"/>
      <c r="M130" s="1925">
        <f t="shared" si="3"/>
        <v>0</v>
      </c>
      <c r="N130" s="1940"/>
      <c r="O130" s="2275" t="s">
        <v>2060</v>
      </c>
      <c r="P130" s="2276"/>
    </row>
    <row r="131" spans="2:16" s="4" customFormat="1" ht="15.75" x14ac:dyDescent="0.25">
      <c r="B131" s="1288" t="s">
        <v>12</v>
      </c>
      <c r="C131" s="12"/>
      <c r="D131" s="12"/>
      <c r="E131" s="12"/>
      <c r="F131" s="1198"/>
      <c r="G131" s="1925">
        <f t="shared" si="0"/>
        <v>0</v>
      </c>
      <c r="H131" s="1940"/>
      <c r="I131" s="1925">
        <f t="shared" si="1"/>
        <v>1113</v>
      </c>
      <c r="J131" s="1940"/>
      <c r="K131" s="1925">
        <f t="shared" si="2"/>
        <v>0</v>
      </c>
      <c r="L131" s="1940"/>
      <c r="M131" s="1925">
        <f t="shared" si="3"/>
        <v>1113</v>
      </c>
      <c r="N131" s="1940"/>
      <c r="O131" s="2275" t="s">
        <v>2059</v>
      </c>
      <c r="P131" s="2276"/>
    </row>
    <row r="132" spans="2:16" s="4" customFormat="1" ht="15.75" x14ac:dyDescent="0.25">
      <c r="B132" s="1288" t="s">
        <v>5</v>
      </c>
      <c r="C132" s="12"/>
      <c r="D132" s="12"/>
      <c r="E132" s="12"/>
      <c r="F132" s="1198"/>
      <c r="G132" s="1925">
        <f t="shared" si="0"/>
        <v>7000</v>
      </c>
      <c r="H132" s="1940"/>
      <c r="I132" s="1925">
        <f t="shared" si="1"/>
        <v>1900</v>
      </c>
      <c r="J132" s="1940"/>
      <c r="K132" s="1925">
        <f t="shared" si="2"/>
        <v>5100</v>
      </c>
      <c r="L132" s="1940"/>
      <c r="M132" s="1925">
        <f t="shared" si="3"/>
        <v>0</v>
      </c>
      <c r="N132" s="1940"/>
      <c r="O132" s="2275" t="s">
        <v>2058</v>
      </c>
      <c r="P132" s="2276"/>
    </row>
    <row r="133" spans="2:16" s="4" customFormat="1" ht="15.75" x14ac:dyDescent="0.25">
      <c r="B133" s="1288" t="s">
        <v>25</v>
      </c>
      <c r="C133" s="12"/>
      <c r="D133" s="12"/>
      <c r="E133" s="12"/>
      <c r="F133" s="1198"/>
      <c r="G133" s="1925">
        <f t="shared" si="0"/>
        <v>71000</v>
      </c>
      <c r="H133" s="1940"/>
      <c r="I133" s="1925">
        <f t="shared" si="1"/>
        <v>0</v>
      </c>
      <c r="J133" s="1940"/>
      <c r="K133" s="1925">
        <f t="shared" si="2"/>
        <v>71000</v>
      </c>
      <c r="L133" s="1940"/>
      <c r="M133" s="1925">
        <f t="shared" si="3"/>
        <v>0</v>
      </c>
      <c r="N133" s="1940"/>
      <c r="O133" s="2275" t="s">
        <v>2057</v>
      </c>
      <c r="P133" s="2276"/>
    </row>
    <row r="134" spans="2:16" s="4" customFormat="1" ht="15.75" x14ac:dyDescent="0.25">
      <c r="B134" s="1288" t="s">
        <v>2</v>
      </c>
      <c r="C134" s="12"/>
      <c r="D134" s="12"/>
      <c r="E134" s="12"/>
      <c r="F134" s="1198"/>
      <c r="G134" s="1925">
        <f t="shared" si="0"/>
        <v>847</v>
      </c>
      <c r="H134" s="1940"/>
      <c r="I134" s="1925">
        <f t="shared" si="1"/>
        <v>4235</v>
      </c>
      <c r="J134" s="1940"/>
      <c r="K134" s="1925">
        <f t="shared" si="2"/>
        <v>0</v>
      </c>
      <c r="L134" s="1940"/>
      <c r="M134" s="1925">
        <f t="shared" si="3"/>
        <v>3388</v>
      </c>
      <c r="N134" s="1940"/>
      <c r="O134" s="2275" t="s">
        <v>2056</v>
      </c>
      <c r="P134" s="2276"/>
    </row>
    <row r="135" spans="2:16" s="4" customFormat="1" ht="15.75" x14ac:dyDescent="0.25">
      <c r="B135" s="1288" t="s">
        <v>235</v>
      </c>
      <c r="C135" s="12"/>
      <c r="D135" s="12"/>
      <c r="E135" s="12"/>
      <c r="F135" s="1198"/>
      <c r="G135" s="1925">
        <f t="shared" si="0"/>
        <v>37510</v>
      </c>
      <c r="H135" s="1940"/>
      <c r="I135" s="1925">
        <f t="shared" si="1"/>
        <v>37510</v>
      </c>
      <c r="J135" s="1940"/>
      <c r="K135" s="1925">
        <f t="shared" si="2"/>
        <v>0</v>
      </c>
      <c r="L135" s="1940"/>
      <c r="M135" s="1925">
        <f t="shared" si="3"/>
        <v>0</v>
      </c>
      <c r="N135" s="1940"/>
      <c r="O135" s="2275" t="s">
        <v>2056</v>
      </c>
      <c r="P135" s="2276"/>
    </row>
    <row r="136" spans="2:16" s="4" customFormat="1" ht="15.75" x14ac:dyDescent="0.25">
      <c r="B136" s="1287" t="s">
        <v>3</v>
      </c>
      <c r="C136" s="11"/>
      <c r="D136" s="11"/>
      <c r="E136" s="11"/>
      <c r="F136" s="1197"/>
      <c r="G136" s="2084">
        <f t="shared" si="0"/>
        <v>0</v>
      </c>
      <c r="H136" s="2167"/>
      <c r="I136" s="2084">
        <f t="shared" si="1"/>
        <v>4800</v>
      </c>
      <c r="J136" s="2167"/>
      <c r="K136" s="2084">
        <f t="shared" si="2"/>
        <v>0</v>
      </c>
      <c r="L136" s="2167"/>
      <c r="M136" s="2084">
        <f t="shared" si="3"/>
        <v>4800</v>
      </c>
      <c r="N136" s="2167"/>
      <c r="O136" s="2379" t="s">
        <v>2055</v>
      </c>
      <c r="P136" s="2380"/>
    </row>
    <row r="137" spans="2:16" s="4" customFormat="1" x14ac:dyDescent="0.25">
      <c r="B137" s="1286" t="s">
        <v>410</v>
      </c>
      <c r="C137" s="227"/>
      <c r="D137" s="227"/>
      <c r="E137" s="227"/>
      <c r="F137" s="1285"/>
      <c r="G137" s="2235">
        <f>+SUM(G119:H136)</f>
        <v>249852</v>
      </c>
      <c r="H137" s="2236"/>
      <c r="I137" s="2235">
        <f>+SUM(I119:J136)</f>
        <v>249852</v>
      </c>
      <c r="J137" s="2236"/>
      <c r="K137" s="2235">
        <f>+SUM(K119:L136)</f>
        <v>167666</v>
      </c>
      <c r="L137" s="2236"/>
      <c r="M137" s="2235">
        <f>+SUM(M119:N136)</f>
        <v>167666</v>
      </c>
      <c r="N137" s="2236"/>
      <c r="O137" s="2245"/>
      <c r="P137" s="2246"/>
    </row>
    <row r="138" spans="2:16" s="4" customFormat="1" x14ac:dyDescent="0.25">
      <c r="B138" s="1004"/>
      <c r="C138" s="12"/>
      <c r="D138" s="12"/>
      <c r="E138" s="12"/>
      <c r="F138" s="12"/>
      <c r="G138" s="51"/>
      <c r="H138" s="51"/>
      <c r="M138" s="18"/>
      <c r="N138" s="18"/>
      <c r="O138" s="18"/>
      <c r="P138" s="18"/>
    </row>
    <row r="139" spans="2:16" s="4" customFormat="1" x14ac:dyDescent="0.25">
      <c r="B139" s="50" t="s">
        <v>411</v>
      </c>
      <c r="C139" s="21" t="s">
        <v>2027</v>
      </c>
      <c r="D139" s="12"/>
      <c r="E139" s="12"/>
      <c r="F139" s="12"/>
      <c r="G139" s="51"/>
      <c r="H139" s="51"/>
      <c r="M139" s="18"/>
      <c r="N139" s="18"/>
      <c r="O139" s="18"/>
      <c r="P139" s="18"/>
    </row>
    <row r="140" spans="2:16" s="4" customFormat="1" ht="4.1500000000000004" customHeight="1" x14ac:dyDescent="0.25">
      <c r="B140" s="1004"/>
      <c r="E140" s="12"/>
      <c r="F140" s="12"/>
      <c r="G140" s="51"/>
      <c r="H140" s="51"/>
      <c r="M140" s="18"/>
      <c r="N140" s="18"/>
      <c r="O140" s="18"/>
      <c r="P140" s="18"/>
    </row>
    <row r="141" spans="2:16" s="4" customFormat="1" x14ac:dyDescent="0.25">
      <c r="B141" s="2347" t="s">
        <v>413</v>
      </c>
      <c r="C141" s="2348"/>
      <c r="D141" s="2348"/>
      <c r="E141" s="2348"/>
      <c r="F141" s="2349"/>
      <c r="G141" s="2347" t="s">
        <v>422</v>
      </c>
      <c r="H141" s="2348"/>
      <c r="I141" s="2348"/>
      <c r="J141" s="2348"/>
      <c r="K141" s="2348"/>
      <c r="L141" s="2348"/>
      <c r="M141" s="2348"/>
      <c r="N141" s="2348"/>
      <c r="O141" s="2348"/>
      <c r="P141" s="2349"/>
    </row>
    <row r="142" spans="2:16" s="4" customFormat="1" x14ac:dyDescent="0.25">
      <c r="B142" s="8" t="s">
        <v>3</v>
      </c>
      <c r="C142" s="12"/>
      <c r="D142" s="12"/>
      <c r="E142" s="2366">
        <f>+M136</f>
        <v>4800</v>
      </c>
      <c r="F142" s="2367"/>
      <c r="G142" s="2049" t="s">
        <v>397</v>
      </c>
      <c r="H142" s="2050"/>
      <c r="I142" s="2050"/>
      <c r="J142" s="2170">
        <f>+K120</f>
        <v>49134</v>
      </c>
      <c r="K142" s="2170"/>
      <c r="L142" s="18" t="s">
        <v>2054</v>
      </c>
      <c r="N142" s="18"/>
      <c r="O142" s="2012">
        <f>+M119+M125+M134+M135</f>
        <v>11253</v>
      </c>
      <c r="P142" s="2009"/>
    </row>
    <row r="143" spans="2:16" s="4" customFormat="1" x14ac:dyDescent="0.25">
      <c r="B143" s="8" t="s">
        <v>400</v>
      </c>
      <c r="C143" s="12"/>
      <c r="D143" s="12"/>
      <c r="E143" s="2366">
        <f>-K122</f>
        <v>-1600</v>
      </c>
      <c r="F143" s="2367"/>
      <c r="G143" s="2049" t="s">
        <v>2053</v>
      </c>
      <c r="H143" s="2050"/>
      <c r="I143" s="2050"/>
      <c r="J143" s="2170">
        <f>+K123+K124+K129</f>
        <v>25413</v>
      </c>
      <c r="K143" s="2170"/>
      <c r="L143" s="18" t="s">
        <v>2052</v>
      </c>
      <c r="M143" s="18"/>
      <c r="N143" s="18"/>
      <c r="O143" s="2012">
        <f>+M131</f>
        <v>1113</v>
      </c>
      <c r="P143" s="2009"/>
    </row>
    <row r="144" spans="2:16" s="4" customFormat="1" x14ac:dyDescent="0.25">
      <c r="B144" s="1106" t="s">
        <v>2051</v>
      </c>
      <c r="C144" s="237"/>
      <c r="D144" s="237"/>
      <c r="E144" s="2371">
        <f>+E142+E143</f>
        <v>3200</v>
      </c>
      <c r="F144" s="2372"/>
      <c r="G144" s="2049" t="s">
        <v>407</v>
      </c>
      <c r="H144" s="2050"/>
      <c r="I144" s="2050"/>
      <c r="J144" s="2170">
        <f>+K130</f>
        <v>9219</v>
      </c>
      <c r="K144" s="2170"/>
      <c r="L144" s="439" t="s">
        <v>2025</v>
      </c>
      <c r="M144" s="18"/>
      <c r="N144" s="18"/>
      <c r="O144" s="2102">
        <f>+O142+O143</f>
        <v>12366</v>
      </c>
      <c r="P144" s="2368"/>
    </row>
    <row r="145" spans="1:17" s="4" customFormat="1" x14ac:dyDescent="0.25">
      <c r="B145" s="8" t="s">
        <v>2050</v>
      </c>
      <c r="C145" s="12"/>
      <c r="D145" s="12"/>
      <c r="E145" s="2366">
        <f>-+K126</f>
        <v>-200</v>
      </c>
      <c r="F145" s="2367"/>
      <c r="G145" s="2049" t="s">
        <v>19</v>
      </c>
      <c r="H145" s="2050"/>
      <c r="I145" s="2050"/>
      <c r="J145" s="2170">
        <f>+K132</f>
        <v>5100</v>
      </c>
      <c r="K145" s="2170"/>
      <c r="L145" s="439" t="s">
        <v>432</v>
      </c>
      <c r="M145" s="18"/>
      <c r="N145" s="18"/>
      <c r="O145" s="2102">
        <f>+O144</f>
        <v>12366</v>
      </c>
      <c r="P145" s="2368"/>
    </row>
    <row r="146" spans="1:17" s="4" customFormat="1" x14ac:dyDescent="0.25">
      <c r="B146" s="8" t="s">
        <v>2049</v>
      </c>
      <c r="C146" s="12"/>
      <c r="D146" s="12"/>
      <c r="E146" s="2366">
        <f>-+K127</f>
        <v>-6000</v>
      </c>
      <c r="F146" s="2367"/>
      <c r="G146" s="2369" t="s">
        <v>2048</v>
      </c>
      <c r="H146" s="2370"/>
      <c r="I146" s="2370"/>
      <c r="J146" s="2339">
        <f>+SUM(J142:K145)</f>
        <v>88866</v>
      </c>
      <c r="K146" s="2339"/>
      <c r="M146" s="18"/>
      <c r="N146" s="18"/>
      <c r="O146" s="2012"/>
      <c r="P146" s="2009"/>
    </row>
    <row r="147" spans="1:17" s="4" customFormat="1" x14ac:dyDescent="0.25">
      <c r="B147" s="1106" t="s">
        <v>2047</v>
      </c>
      <c r="C147" s="237"/>
      <c r="D147" s="237"/>
      <c r="E147" s="2371">
        <f>+E144+E145+E146</f>
        <v>-3000</v>
      </c>
      <c r="F147" s="2372"/>
      <c r="G147" s="2049" t="s">
        <v>53</v>
      </c>
      <c r="H147" s="2050"/>
      <c r="I147" s="2050"/>
      <c r="J147" s="2170">
        <f>+K133</f>
        <v>71000</v>
      </c>
      <c r="K147" s="2170"/>
      <c r="L147" s="439" t="s">
        <v>396</v>
      </c>
      <c r="M147" s="18"/>
      <c r="N147" s="18"/>
      <c r="O147" s="2102" t="e">
        <f>+M121+E149</f>
        <v>#REF!</v>
      </c>
      <c r="P147" s="2368"/>
    </row>
    <row r="148" spans="1:17" s="4" customFormat="1" x14ac:dyDescent="0.25">
      <c r="B148" s="8" t="s">
        <v>2046</v>
      </c>
      <c r="C148" s="12"/>
      <c r="D148" s="12"/>
      <c r="E148" s="2366" t="e">
        <f>+#REF!+M128</f>
        <v>#REF!</v>
      </c>
      <c r="F148" s="2367"/>
      <c r="G148" s="2369" t="s">
        <v>2045</v>
      </c>
      <c r="H148" s="2370"/>
      <c r="I148" s="2370"/>
      <c r="J148" s="2339">
        <f>+J147</f>
        <v>71000</v>
      </c>
      <c r="K148" s="2339"/>
      <c r="O148" s="2012"/>
      <c r="P148" s="2009"/>
    </row>
    <row r="149" spans="1:17" s="4" customFormat="1" x14ac:dyDescent="0.25">
      <c r="B149" s="1284" t="s">
        <v>2044</v>
      </c>
      <c r="C149" s="1283"/>
      <c r="D149" s="1283"/>
      <c r="E149" s="2373" t="e">
        <f>+E147+E148</f>
        <v>#REF!</v>
      </c>
      <c r="F149" s="2374"/>
      <c r="G149" s="2375" t="s">
        <v>2043</v>
      </c>
      <c r="H149" s="2376"/>
      <c r="I149" s="2376"/>
      <c r="J149" s="2377">
        <f>+J146+J148</f>
        <v>159866</v>
      </c>
      <c r="K149" s="2377"/>
      <c r="L149" s="2376" t="s">
        <v>2042</v>
      </c>
      <c r="M149" s="2376"/>
      <c r="N149" s="2376"/>
      <c r="O149" s="2377" t="e">
        <f>+O145+O147</f>
        <v>#REF!</v>
      </c>
      <c r="P149" s="2378"/>
    </row>
    <row r="150" spans="1:17" s="4" customFormat="1" x14ac:dyDescent="0.25">
      <c r="B150" s="1004"/>
      <c r="C150" s="12"/>
      <c r="D150" s="12"/>
      <c r="E150" s="12"/>
      <c r="F150" s="12"/>
      <c r="G150" s="51"/>
      <c r="H150" s="2050"/>
      <c r="I150" s="2050"/>
      <c r="J150" s="2050"/>
      <c r="K150" s="2170"/>
      <c r="L150" s="2170"/>
      <c r="M150" s="18"/>
      <c r="N150" s="18"/>
      <c r="O150" s="18"/>
      <c r="P150" s="18"/>
    </row>
    <row r="151" spans="1:17" s="4" customFormat="1" x14ac:dyDescent="0.25">
      <c r="B151" s="50" t="s">
        <v>1633</v>
      </c>
      <c r="C151" s="21" t="s">
        <v>775</v>
      </c>
      <c r="D151" s="12"/>
      <c r="G151" s="2359" t="s">
        <v>718</v>
      </c>
      <c r="H151" s="2359"/>
      <c r="I151" s="2359" t="s">
        <v>2041</v>
      </c>
      <c r="J151" s="2359"/>
      <c r="K151" s="2359" t="s">
        <v>2040</v>
      </c>
      <c r="L151" s="2359"/>
      <c r="M151" s="2359" t="s">
        <v>2039</v>
      </c>
      <c r="N151" s="2359"/>
      <c r="O151" s="1249"/>
      <c r="P151" s="1249"/>
    </row>
    <row r="152" spans="1:17" s="4" customFormat="1" x14ac:dyDescent="0.25">
      <c r="B152" s="2054" t="s">
        <v>2038</v>
      </c>
      <c r="C152" s="2054"/>
      <c r="D152" s="2054"/>
      <c r="E152" s="2054"/>
      <c r="F152" s="2360"/>
      <c r="G152" s="2361">
        <f>+E143/E142</f>
        <v>-0.33333333333333331</v>
      </c>
      <c r="H152" s="2362"/>
      <c r="I152" s="2361">
        <f>+E145/E142</f>
        <v>-4.1666666666666664E-2</v>
      </c>
      <c r="J152" s="2362"/>
      <c r="K152" s="2361">
        <f>+E146/E142</f>
        <v>-1.25</v>
      </c>
      <c r="L152" s="2362"/>
      <c r="M152" s="2361" t="e">
        <f>+E148/E142</f>
        <v>#REF!</v>
      </c>
      <c r="N152" s="2362"/>
      <c r="O152" s="1249"/>
      <c r="P152" s="1249"/>
    </row>
    <row r="153" spans="1:17" s="4" customFormat="1" x14ac:dyDescent="0.25">
      <c r="B153" s="1004"/>
      <c r="G153" s="2363" t="s">
        <v>2037</v>
      </c>
      <c r="H153" s="2363"/>
      <c r="I153" s="2363" t="s">
        <v>2036</v>
      </c>
      <c r="J153" s="2363"/>
      <c r="K153" s="2363" t="s">
        <v>2035</v>
      </c>
      <c r="L153" s="2363"/>
      <c r="M153" s="2364"/>
      <c r="N153" s="2364"/>
      <c r="O153" s="1249"/>
      <c r="P153" s="1249"/>
    </row>
    <row r="154" spans="1:17" s="4" customFormat="1" x14ac:dyDescent="0.25">
      <c r="B154" s="1004"/>
      <c r="C154" s="12"/>
      <c r="D154" s="12"/>
      <c r="G154" s="2361">
        <f>+E144/E142</f>
        <v>0.66666666666666663</v>
      </c>
      <c r="H154" s="2362"/>
      <c r="I154" s="2361">
        <f>+E147/E142</f>
        <v>-0.625</v>
      </c>
      <c r="J154" s="2362"/>
      <c r="K154" s="2361" t="e">
        <f>+E149/E142</f>
        <v>#REF!</v>
      </c>
      <c r="L154" s="2362"/>
      <c r="M154" s="2365"/>
      <c r="N154" s="2365"/>
      <c r="O154" s="1249"/>
      <c r="P154" s="1249"/>
    </row>
    <row r="155" spans="1:17" s="4" customFormat="1" x14ac:dyDescent="0.25">
      <c r="B155" s="1004"/>
      <c r="C155" s="12"/>
      <c r="D155" s="12"/>
      <c r="E155" s="12"/>
      <c r="F155" s="12"/>
      <c r="G155" s="51"/>
      <c r="H155" s="51"/>
      <c r="M155" s="18"/>
      <c r="N155" s="18"/>
      <c r="O155" s="18"/>
      <c r="P155" s="18"/>
    </row>
    <row r="156" spans="1:17" s="4" customFormat="1" x14ac:dyDescent="0.25">
      <c r="B156" s="1004"/>
      <c r="C156" s="12"/>
      <c r="D156" s="12"/>
      <c r="E156" s="12"/>
      <c r="F156" s="12"/>
      <c r="G156" s="51"/>
      <c r="H156" s="51"/>
      <c r="M156" s="18"/>
      <c r="N156" s="18"/>
      <c r="O156" s="18"/>
      <c r="P156" s="18"/>
    </row>
    <row r="157" spans="1:17" s="4" customFormat="1" x14ac:dyDescent="0.25">
      <c r="A157" s="1844" t="s">
        <v>20</v>
      </c>
      <c r="B157" s="1845"/>
      <c r="C157" s="1845"/>
      <c r="D157" s="1845"/>
      <c r="E157" s="1845"/>
      <c r="F157" s="1845"/>
      <c r="G157" s="1845"/>
      <c r="H157" s="1845"/>
      <c r="I157" s="1845"/>
      <c r="J157" s="1845"/>
      <c r="K157" s="1845"/>
      <c r="L157" s="1845"/>
      <c r="M157" s="1845"/>
      <c r="N157" s="1845"/>
      <c r="O157" s="1845"/>
      <c r="P157" s="1845"/>
      <c r="Q157" s="1846"/>
    </row>
    <row r="158" spans="1:17" s="4" customFormat="1" x14ac:dyDescent="0.25">
      <c r="A158" s="1847" t="s">
        <v>2034</v>
      </c>
      <c r="B158" s="1848"/>
      <c r="C158" s="1848"/>
      <c r="D158" s="1848"/>
      <c r="E158" s="1848"/>
      <c r="F158" s="1848"/>
      <c r="G158" s="1848"/>
      <c r="H158" s="1848"/>
      <c r="I158" s="1848"/>
      <c r="J158" s="1848"/>
      <c r="K158" s="1848"/>
      <c r="L158" s="1848"/>
      <c r="M158" s="1848"/>
      <c r="N158" s="1848"/>
      <c r="O158" s="1848"/>
      <c r="P158" s="1848"/>
      <c r="Q158" s="1849"/>
    </row>
    <row r="159" spans="1:17" s="4" customFormat="1" ht="7.5" customHeight="1" x14ac:dyDescent="0.25">
      <c r="B159" s="1004"/>
      <c r="C159" s="12"/>
      <c r="D159" s="12"/>
      <c r="E159" s="12"/>
      <c r="F159" s="12"/>
      <c r="G159" s="51"/>
      <c r="H159" s="51"/>
      <c r="M159" s="18"/>
      <c r="N159" s="18"/>
      <c r="O159" s="18"/>
      <c r="P159" s="18"/>
    </row>
    <row r="160" spans="1:17" s="4" customFormat="1" x14ac:dyDescent="0.25">
      <c r="A160" s="2"/>
      <c r="B160" s="6" t="s">
        <v>307</v>
      </c>
      <c r="C160" s="21" t="s">
        <v>308</v>
      </c>
      <c r="D160" s="12"/>
      <c r="E160" s="12"/>
      <c r="F160" s="12"/>
      <c r="G160" s="27"/>
      <c r="H160" s="27"/>
      <c r="I160" s="2"/>
      <c r="J160" s="2"/>
      <c r="K160" s="2"/>
      <c r="L160" s="2"/>
      <c r="M160" s="10"/>
      <c r="N160" s="10"/>
      <c r="O160" s="10"/>
      <c r="P160" s="10"/>
      <c r="Q160" s="2"/>
    </row>
    <row r="161" spans="1:17" s="4" customFormat="1" ht="7.5" customHeight="1" x14ac:dyDescent="0.25">
      <c r="A161" s="437"/>
      <c r="B161" s="1179"/>
      <c r="C161" s="1178"/>
      <c r="D161" s="1177"/>
      <c r="E161" s="1177"/>
      <c r="F161" s="1177"/>
      <c r="G161" s="435"/>
      <c r="H161" s="435"/>
      <c r="I161" s="437"/>
      <c r="J161" s="437"/>
      <c r="K161" s="437"/>
      <c r="L161" s="437"/>
      <c r="M161" s="2102" t="s">
        <v>9</v>
      </c>
      <c r="N161" s="2102"/>
      <c r="O161" s="2102" t="s">
        <v>8</v>
      </c>
      <c r="P161" s="2102"/>
      <c r="Q161" s="437"/>
    </row>
    <row r="162" spans="1:17" s="4" customFormat="1" ht="7.5" customHeight="1" x14ac:dyDescent="0.25">
      <c r="A162" s="437"/>
      <c r="B162" s="207">
        <v>1</v>
      </c>
      <c r="C162" s="1188"/>
      <c r="D162" s="1175"/>
      <c r="E162" s="1173"/>
      <c r="F162" s="1173"/>
      <c r="G162" s="2224"/>
      <c r="H162" s="2224"/>
      <c r="I162" s="1174"/>
      <c r="J162" s="1174"/>
      <c r="K162" s="1174"/>
      <c r="L162" s="1173"/>
      <c r="M162" s="2103"/>
      <c r="N162" s="2103"/>
      <c r="O162" s="2103" t="s">
        <v>8</v>
      </c>
      <c r="P162" s="2103"/>
      <c r="Q162" s="437"/>
    </row>
    <row r="163" spans="1:17" s="4" customFormat="1" x14ac:dyDescent="0.25">
      <c r="A163" s="2"/>
      <c r="B163" s="30" t="s">
        <v>11</v>
      </c>
      <c r="C163" s="1015" t="s">
        <v>10</v>
      </c>
      <c r="D163" s="31"/>
      <c r="E163" s="1016"/>
      <c r="F163" s="991"/>
      <c r="G163" s="51"/>
      <c r="H163" s="51"/>
      <c r="L163" s="991"/>
      <c r="M163" s="2008">
        <v>250000</v>
      </c>
      <c r="N163" s="2009"/>
      <c r="O163" s="2012"/>
      <c r="P163" s="2009"/>
      <c r="Q163" s="2"/>
    </row>
    <row r="164" spans="1:17" s="4" customFormat="1" x14ac:dyDescent="0.25">
      <c r="A164" s="2"/>
      <c r="B164" s="38" t="s">
        <v>11</v>
      </c>
      <c r="C164" s="1015" t="s">
        <v>456</v>
      </c>
      <c r="D164" s="1016"/>
      <c r="E164" s="1016"/>
      <c r="F164" s="991"/>
      <c r="G164" s="51"/>
      <c r="H164" s="51"/>
      <c r="L164" s="991"/>
      <c r="M164" s="2008">
        <v>250000</v>
      </c>
      <c r="N164" s="2009"/>
      <c r="O164" s="994"/>
      <c r="P164" s="995"/>
      <c r="Q164" s="2"/>
    </row>
    <row r="165" spans="1:17" s="4" customFormat="1" x14ac:dyDescent="0.25">
      <c r="A165" s="2"/>
      <c r="B165" s="1009" t="s">
        <v>458</v>
      </c>
      <c r="C165" s="1015"/>
      <c r="D165" s="1016"/>
      <c r="E165" s="1016"/>
      <c r="F165" s="20" t="s">
        <v>1</v>
      </c>
      <c r="G165" s="1020" t="s">
        <v>435</v>
      </c>
      <c r="H165" s="1020"/>
      <c r="M165" s="2008"/>
      <c r="N165" s="2012"/>
      <c r="O165" s="2008">
        <v>500000</v>
      </c>
      <c r="P165" s="2009"/>
      <c r="Q165" s="2"/>
    </row>
    <row r="166" spans="1:17" s="4" customFormat="1" ht="7.5" customHeight="1" x14ac:dyDescent="0.25">
      <c r="A166" s="437"/>
      <c r="B166" s="207">
        <v>2</v>
      </c>
      <c r="C166" s="2198" t="s">
        <v>1784</v>
      </c>
      <c r="D166" s="2199"/>
      <c r="E166" s="2199"/>
      <c r="F166" s="2199"/>
      <c r="G166" s="2220"/>
      <c r="H166" s="2220"/>
      <c r="I166" s="2199" t="s">
        <v>1784</v>
      </c>
      <c r="J166" s="2199"/>
      <c r="K166" s="2199"/>
      <c r="L166" s="2199"/>
      <c r="M166" s="993"/>
      <c r="N166" s="994"/>
      <c r="O166" s="993"/>
      <c r="P166" s="995"/>
      <c r="Q166" s="437"/>
    </row>
    <row r="167" spans="1:17" s="4" customFormat="1" x14ac:dyDescent="0.25">
      <c r="A167" s="2"/>
      <c r="B167" s="30" t="s">
        <v>11</v>
      </c>
      <c r="C167" s="1015" t="s">
        <v>23</v>
      </c>
      <c r="D167" s="1016"/>
      <c r="E167" s="1016"/>
      <c r="F167" s="991"/>
      <c r="G167" s="51"/>
      <c r="H167" s="51"/>
      <c r="L167" s="991"/>
      <c r="M167" s="2008">
        <v>80000</v>
      </c>
      <c r="N167" s="2009"/>
      <c r="O167" s="2012"/>
      <c r="P167" s="2009"/>
      <c r="Q167" s="2"/>
    </row>
    <row r="168" spans="1:17" s="4" customFormat="1" x14ac:dyDescent="0.25">
      <c r="A168" s="2"/>
      <c r="B168" s="1009" t="s">
        <v>14</v>
      </c>
      <c r="C168" s="1015"/>
      <c r="D168" s="1016"/>
      <c r="E168" s="1016"/>
      <c r="F168" s="20" t="s">
        <v>1</v>
      </c>
      <c r="G168" s="1020" t="s">
        <v>10</v>
      </c>
      <c r="H168" s="1020"/>
      <c r="M168" s="2008"/>
      <c r="N168" s="2012"/>
      <c r="O168" s="2008">
        <v>80000</v>
      </c>
      <c r="P168" s="2009"/>
      <c r="Q168" s="2"/>
    </row>
    <row r="169" spans="1:17" s="4" customFormat="1" ht="7.5" customHeight="1" x14ac:dyDescent="0.25">
      <c r="A169" s="437"/>
      <c r="B169" s="207">
        <v>3</v>
      </c>
      <c r="C169" s="2198" t="s">
        <v>1784</v>
      </c>
      <c r="D169" s="2199"/>
      <c r="E169" s="2199"/>
      <c r="F169" s="2199"/>
      <c r="G169" s="2220"/>
      <c r="H169" s="2220"/>
      <c r="I169" s="2199" t="s">
        <v>1784</v>
      </c>
      <c r="J169" s="2199"/>
      <c r="K169" s="2199"/>
      <c r="L169" s="2199"/>
      <c r="M169" s="993"/>
      <c r="N169" s="994"/>
      <c r="O169" s="993"/>
      <c r="P169" s="995"/>
      <c r="Q169" s="437"/>
    </row>
    <row r="170" spans="1:17" s="4" customFormat="1" x14ac:dyDescent="0.25">
      <c r="A170" s="2"/>
      <c r="B170" s="30" t="s">
        <v>11</v>
      </c>
      <c r="C170" s="1015" t="s">
        <v>2029</v>
      </c>
      <c r="D170" s="1016"/>
      <c r="E170" s="1016"/>
      <c r="F170" s="991"/>
      <c r="G170" s="51"/>
      <c r="H170" s="51"/>
      <c r="L170" s="991"/>
      <c r="M170" s="2008">
        <v>25000</v>
      </c>
      <c r="N170" s="2009"/>
      <c r="O170" s="2012"/>
      <c r="P170" s="2009"/>
      <c r="Q170" s="2"/>
    </row>
    <row r="171" spans="1:17" s="4" customFormat="1" x14ac:dyDescent="0.25">
      <c r="A171" s="2"/>
      <c r="B171" s="1009" t="s">
        <v>14</v>
      </c>
      <c r="C171" s="1015"/>
      <c r="D171" s="1016"/>
      <c r="E171" s="1016"/>
      <c r="F171" s="20" t="s">
        <v>1</v>
      </c>
      <c r="G171" s="1020" t="s">
        <v>23</v>
      </c>
      <c r="H171" s="1020"/>
      <c r="M171" s="2008"/>
      <c r="N171" s="2012"/>
      <c r="O171" s="2008">
        <f>+M170</f>
        <v>25000</v>
      </c>
      <c r="P171" s="2009"/>
      <c r="Q171" s="2"/>
    </row>
    <row r="172" spans="1:17" s="4" customFormat="1" ht="7.5" customHeight="1" x14ac:dyDescent="0.25">
      <c r="A172" s="437"/>
      <c r="B172" s="207">
        <v>4</v>
      </c>
      <c r="C172" s="2198" t="s">
        <v>1784</v>
      </c>
      <c r="D172" s="2199"/>
      <c r="E172" s="2199"/>
      <c r="F172" s="2199"/>
      <c r="G172" s="2220"/>
      <c r="H172" s="2220"/>
      <c r="I172" s="2199" t="s">
        <v>1784</v>
      </c>
      <c r="J172" s="2199"/>
      <c r="K172" s="2199"/>
      <c r="L172" s="2199"/>
      <c r="M172" s="993"/>
      <c r="N172" s="994"/>
      <c r="O172" s="993"/>
      <c r="P172" s="995"/>
      <c r="Q172" s="437"/>
    </row>
    <row r="173" spans="1:17" s="4" customFormat="1" x14ac:dyDescent="0.25">
      <c r="A173" s="2"/>
      <c r="B173" s="30" t="s">
        <v>11</v>
      </c>
      <c r="C173" s="1015" t="s">
        <v>4</v>
      </c>
      <c r="D173" s="1016"/>
      <c r="E173" s="1016"/>
      <c r="F173" s="991"/>
      <c r="G173" s="51"/>
      <c r="H173" s="51"/>
      <c r="L173" s="991"/>
      <c r="M173" s="2008">
        <f>+O174+O175</f>
        <v>100000</v>
      </c>
      <c r="N173" s="2009"/>
      <c r="O173" s="2012"/>
      <c r="P173" s="2009"/>
      <c r="Q173" s="2"/>
    </row>
    <row r="174" spans="1:17" s="4" customFormat="1" x14ac:dyDescent="0.25">
      <c r="A174" s="2"/>
      <c r="B174" s="38" t="s">
        <v>14</v>
      </c>
      <c r="C174" s="1015"/>
      <c r="D174" s="1016"/>
      <c r="E174" s="1016"/>
      <c r="F174" s="20" t="s">
        <v>1</v>
      </c>
      <c r="G174" s="1020" t="str">
        <f>+C170</f>
        <v>Anticipos a proveedores de bienes de uso</v>
      </c>
      <c r="H174" s="51"/>
      <c r="L174" s="991"/>
      <c r="M174" s="993"/>
      <c r="N174" s="994"/>
      <c r="O174" s="2008">
        <f>+M170</f>
        <v>25000</v>
      </c>
      <c r="P174" s="2009"/>
      <c r="Q174" s="2"/>
    </row>
    <row r="175" spans="1:17" s="4" customFormat="1" x14ac:dyDescent="0.25">
      <c r="A175" s="2"/>
      <c r="B175" s="1009" t="s">
        <v>17</v>
      </c>
      <c r="C175" s="1015"/>
      <c r="D175" s="1016"/>
      <c r="E175" s="1016"/>
      <c r="F175" s="20" t="s">
        <v>1</v>
      </c>
      <c r="G175" s="1020" t="s">
        <v>139</v>
      </c>
      <c r="H175" s="1020"/>
      <c r="M175" s="2008"/>
      <c r="N175" s="2012"/>
      <c r="O175" s="2008">
        <v>75000</v>
      </c>
      <c r="P175" s="2009"/>
      <c r="Q175" s="2"/>
    </row>
    <row r="176" spans="1:17" s="4" customFormat="1" ht="7.5" customHeight="1" x14ac:dyDescent="0.25">
      <c r="A176" s="437"/>
      <c r="B176" s="207">
        <v>5</v>
      </c>
      <c r="C176" s="2198" t="s">
        <v>1784</v>
      </c>
      <c r="D176" s="2199"/>
      <c r="E176" s="2199"/>
      <c r="F176" s="2199"/>
      <c r="G176" s="2220"/>
      <c r="H176" s="2220"/>
      <c r="I176" s="2199" t="s">
        <v>1784</v>
      </c>
      <c r="J176" s="2199"/>
      <c r="K176" s="2199"/>
      <c r="L176" s="2199"/>
      <c r="M176" s="993"/>
      <c r="N176" s="994"/>
      <c r="O176" s="993"/>
      <c r="P176" s="995"/>
      <c r="Q176" s="437"/>
    </row>
    <row r="177" spans="1:17" s="4" customFormat="1" x14ac:dyDescent="0.25">
      <c r="A177" s="2"/>
      <c r="B177" s="30" t="s">
        <v>11</v>
      </c>
      <c r="C177" s="1015" t="s">
        <v>23</v>
      </c>
      <c r="D177" s="1016"/>
      <c r="E177" s="1016"/>
      <c r="F177" s="991"/>
      <c r="G177" s="51"/>
      <c r="H177" s="51"/>
      <c r="L177" s="991"/>
      <c r="M177" s="2008">
        <f>+M164</f>
        <v>250000</v>
      </c>
      <c r="N177" s="2009"/>
      <c r="O177" s="2012"/>
      <c r="P177" s="2009"/>
      <c r="Q177" s="2"/>
    </row>
    <row r="178" spans="1:17" s="4" customFormat="1" x14ac:dyDescent="0.25">
      <c r="A178" s="2"/>
      <c r="B178" s="1009" t="s">
        <v>14</v>
      </c>
      <c r="C178" s="1015"/>
      <c r="D178" s="1016"/>
      <c r="E178" s="1016"/>
      <c r="F178" s="20" t="s">
        <v>1</v>
      </c>
      <c r="G178" s="1020" t="s">
        <v>456</v>
      </c>
      <c r="H178" s="1020"/>
      <c r="M178" s="2008"/>
      <c r="N178" s="2012"/>
      <c r="O178" s="2008">
        <f>+M177</f>
        <v>250000</v>
      </c>
      <c r="P178" s="2009"/>
      <c r="Q178" s="2"/>
    </row>
    <row r="179" spans="1:17" s="4" customFormat="1" ht="7.5" customHeight="1" x14ac:dyDescent="0.25">
      <c r="A179" s="437"/>
      <c r="B179" s="207">
        <v>6</v>
      </c>
      <c r="C179" s="2198" t="s">
        <v>1784</v>
      </c>
      <c r="D179" s="2199"/>
      <c r="E179" s="2199"/>
      <c r="F179" s="2199"/>
      <c r="G179" s="2220"/>
      <c r="H179" s="2220"/>
      <c r="I179" s="2199" t="s">
        <v>1784</v>
      </c>
      <c r="J179" s="2199"/>
      <c r="K179" s="2199"/>
      <c r="L179" s="2199"/>
      <c r="M179" s="993"/>
      <c r="N179" s="994"/>
      <c r="O179" s="993"/>
      <c r="P179" s="995"/>
      <c r="Q179" s="437"/>
    </row>
    <row r="180" spans="1:17" s="4" customFormat="1" x14ac:dyDescent="0.25">
      <c r="A180" s="2"/>
      <c r="B180" s="30"/>
      <c r="C180" s="2275" t="s">
        <v>2033</v>
      </c>
      <c r="D180" s="2248"/>
      <c r="E180" s="2248"/>
      <c r="F180" s="2248"/>
      <c r="G180" s="2248"/>
      <c r="H180" s="2248"/>
      <c r="I180" s="2248"/>
      <c r="J180" s="2248"/>
      <c r="K180" s="2248"/>
      <c r="L180" s="2276"/>
      <c r="M180" s="2008"/>
      <c r="N180" s="2009"/>
      <c r="O180" s="2012"/>
      <c r="P180" s="2009"/>
      <c r="Q180" s="2"/>
    </row>
    <row r="181" spans="1:17" s="4" customFormat="1" ht="7.5" customHeight="1" x14ac:dyDescent="0.25">
      <c r="A181" s="437"/>
      <c r="B181" s="207">
        <v>7</v>
      </c>
      <c r="C181" s="2198" t="s">
        <v>1784</v>
      </c>
      <c r="D181" s="2199"/>
      <c r="E181" s="2199"/>
      <c r="F181" s="2199"/>
      <c r="G181" s="2220"/>
      <c r="H181" s="2220"/>
      <c r="I181" s="2199" t="s">
        <v>1784</v>
      </c>
      <c r="J181" s="2199"/>
      <c r="K181" s="2199"/>
      <c r="L181" s="2199"/>
      <c r="M181" s="993"/>
      <c r="N181" s="994"/>
      <c r="O181" s="993"/>
      <c r="P181" s="995"/>
      <c r="Q181" s="437"/>
    </row>
    <row r="182" spans="1:17" s="4" customFormat="1" x14ac:dyDescent="0.25">
      <c r="A182" s="2"/>
      <c r="B182" s="30"/>
      <c r="C182" s="2275" t="s">
        <v>2033</v>
      </c>
      <c r="D182" s="2248"/>
      <c r="E182" s="2248"/>
      <c r="F182" s="2248"/>
      <c r="G182" s="2248"/>
      <c r="H182" s="2248"/>
      <c r="I182" s="2248"/>
      <c r="J182" s="2248"/>
      <c r="K182" s="2248"/>
      <c r="L182" s="2276"/>
      <c r="M182" s="2008"/>
      <c r="N182" s="2009"/>
      <c r="O182" s="2012"/>
      <c r="P182" s="2009"/>
      <c r="Q182" s="2"/>
    </row>
    <row r="183" spans="1:17" s="4" customFormat="1" ht="7.5" customHeight="1" x14ac:dyDescent="0.25">
      <c r="A183" s="437"/>
      <c r="B183" s="207">
        <v>8</v>
      </c>
      <c r="C183" s="2198" t="s">
        <v>1784</v>
      </c>
      <c r="D183" s="2199"/>
      <c r="E183" s="2199"/>
      <c r="F183" s="2199"/>
      <c r="G183" s="2220"/>
      <c r="H183" s="2220"/>
      <c r="I183" s="2199" t="s">
        <v>1784</v>
      </c>
      <c r="J183" s="2199"/>
      <c r="K183" s="2199"/>
      <c r="L183" s="2199"/>
      <c r="M183" s="993"/>
      <c r="N183" s="994"/>
      <c r="O183" s="993"/>
      <c r="P183" s="995"/>
      <c r="Q183" s="437"/>
    </row>
    <row r="184" spans="1:17" s="4" customFormat="1" x14ac:dyDescent="0.25">
      <c r="A184" s="2"/>
      <c r="B184" s="30" t="s">
        <v>11</v>
      </c>
      <c r="C184" s="1015" t="s">
        <v>5</v>
      </c>
      <c r="D184" s="1016"/>
      <c r="E184" s="1016"/>
      <c r="F184" s="991"/>
      <c r="G184" s="51"/>
      <c r="H184" s="51"/>
      <c r="L184" s="991"/>
      <c r="M184" s="2008">
        <v>20200</v>
      </c>
      <c r="N184" s="2009"/>
      <c r="O184" s="2012"/>
      <c r="P184" s="2009"/>
      <c r="Q184" s="2"/>
    </row>
    <row r="185" spans="1:17" s="4" customFormat="1" x14ac:dyDescent="0.25">
      <c r="A185" s="2"/>
      <c r="B185" s="38" t="s">
        <v>11</v>
      </c>
      <c r="C185" s="1015" t="s">
        <v>13</v>
      </c>
      <c r="D185" s="1016"/>
      <c r="E185" s="1016"/>
      <c r="F185" s="991"/>
      <c r="G185" s="51"/>
      <c r="H185" s="51"/>
      <c r="L185" s="991"/>
      <c r="M185" s="2008">
        <f>+M184*0.21</f>
        <v>4242</v>
      </c>
      <c r="N185" s="2009"/>
      <c r="O185" s="994"/>
      <c r="P185" s="995"/>
      <c r="Q185" s="2"/>
    </row>
    <row r="186" spans="1:17" s="4" customFormat="1" x14ac:dyDescent="0.25">
      <c r="A186" s="2"/>
      <c r="B186" s="1009" t="s">
        <v>14</v>
      </c>
      <c r="C186" s="1015"/>
      <c r="D186" s="1016"/>
      <c r="E186" s="1016"/>
      <c r="F186" s="20" t="s">
        <v>1</v>
      </c>
      <c r="G186" s="1020" t="s">
        <v>10</v>
      </c>
      <c r="H186" s="1020"/>
      <c r="M186" s="2008"/>
      <c r="N186" s="2012"/>
      <c r="O186" s="2008">
        <f>+M184+M185</f>
        <v>24442</v>
      </c>
      <c r="P186" s="2009"/>
      <c r="Q186" s="2"/>
    </row>
    <row r="187" spans="1:17" s="4" customFormat="1" ht="7.5" customHeight="1" x14ac:dyDescent="0.25">
      <c r="A187" s="437"/>
      <c r="B187" s="207">
        <v>9</v>
      </c>
      <c r="C187" s="2198" t="s">
        <v>1784</v>
      </c>
      <c r="D187" s="2199"/>
      <c r="E187" s="2199"/>
      <c r="F187" s="2199"/>
      <c r="G187" s="2220"/>
      <c r="H187" s="2220"/>
      <c r="I187" s="2199" t="s">
        <v>1784</v>
      </c>
      <c r="J187" s="2199"/>
      <c r="K187" s="2199"/>
      <c r="L187" s="2199"/>
      <c r="M187" s="993"/>
      <c r="N187" s="994"/>
      <c r="O187" s="993"/>
      <c r="P187" s="995"/>
      <c r="Q187" s="437"/>
    </row>
    <row r="188" spans="1:17" s="4" customFormat="1" x14ac:dyDescent="0.25">
      <c r="A188" s="2"/>
      <c r="B188" s="30"/>
      <c r="C188" s="2275" t="s">
        <v>2033</v>
      </c>
      <c r="D188" s="2248"/>
      <c r="E188" s="2248"/>
      <c r="F188" s="2248"/>
      <c r="G188" s="2248"/>
      <c r="H188" s="2248"/>
      <c r="I188" s="2248"/>
      <c r="J188" s="2248"/>
      <c r="K188" s="2248"/>
      <c r="L188" s="2276"/>
      <c r="M188" s="2008"/>
      <c r="N188" s="2009"/>
      <c r="O188" s="2012"/>
      <c r="P188" s="2009"/>
      <c r="Q188" s="2"/>
    </row>
    <row r="189" spans="1:17" s="4" customFormat="1" ht="7.5" customHeight="1" x14ac:dyDescent="0.25">
      <c r="A189" s="437"/>
      <c r="B189" s="207">
        <v>10</v>
      </c>
      <c r="C189" s="2198" t="s">
        <v>1784</v>
      </c>
      <c r="D189" s="2199"/>
      <c r="E189" s="2199"/>
      <c r="F189" s="2199"/>
      <c r="G189" s="2220"/>
      <c r="H189" s="2220"/>
      <c r="I189" s="2199" t="s">
        <v>1784</v>
      </c>
      <c r="J189" s="2199"/>
      <c r="K189" s="2199"/>
      <c r="L189" s="2199"/>
      <c r="M189" s="993"/>
      <c r="N189" s="994"/>
      <c r="O189" s="993"/>
      <c r="P189" s="995"/>
      <c r="Q189" s="437"/>
    </row>
    <row r="190" spans="1:17" s="4" customFormat="1" x14ac:dyDescent="0.25">
      <c r="A190" s="2"/>
      <c r="B190" s="30" t="s">
        <v>11</v>
      </c>
      <c r="C190" s="1015" t="s">
        <v>5</v>
      </c>
      <c r="D190" s="1016"/>
      <c r="E190" s="1016"/>
      <c r="F190" s="991"/>
      <c r="G190" s="51"/>
      <c r="H190" s="51"/>
      <c r="L190" s="991"/>
      <c r="M190" s="2008">
        <v>51000</v>
      </c>
      <c r="N190" s="2009"/>
      <c r="O190" s="2012"/>
      <c r="P190" s="2009"/>
      <c r="Q190" s="2"/>
    </row>
    <row r="191" spans="1:17" s="4" customFormat="1" x14ac:dyDescent="0.25">
      <c r="A191" s="2"/>
      <c r="B191" s="38" t="s">
        <v>11</v>
      </c>
      <c r="C191" s="1015" t="s">
        <v>13</v>
      </c>
      <c r="D191" s="1016"/>
      <c r="E191" s="1016"/>
      <c r="F191" s="991"/>
      <c r="G191" s="51"/>
      <c r="H191" s="51"/>
      <c r="L191" s="991"/>
      <c r="M191" s="2008">
        <f>+M190*0.21</f>
        <v>10710</v>
      </c>
      <c r="N191" s="2009"/>
      <c r="O191" s="994"/>
      <c r="P191" s="995"/>
      <c r="Q191" s="2"/>
    </row>
    <row r="192" spans="1:17" s="4" customFormat="1" x14ac:dyDescent="0.25">
      <c r="A192" s="2"/>
      <c r="B192" s="1009" t="s">
        <v>17</v>
      </c>
      <c r="C192" s="1015"/>
      <c r="D192" s="1016"/>
      <c r="E192" s="1016"/>
      <c r="F192" s="20" t="s">
        <v>1</v>
      </c>
      <c r="G192" s="1020" t="s">
        <v>2</v>
      </c>
      <c r="H192" s="1020"/>
      <c r="M192" s="2008"/>
      <c r="N192" s="2012"/>
      <c r="O192" s="2008">
        <f>+M190+M191</f>
        <v>61710</v>
      </c>
      <c r="P192" s="2009"/>
      <c r="Q192" s="2"/>
    </row>
    <row r="193" spans="1:17" s="4" customFormat="1" ht="7.5" customHeight="1" x14ac:dyDescent="0.25">
      <c r="A193" s="437"/>
      <c r="B193" s="207">
        <v>11</v>
      </c>
      <c r="C193" s="2198" t="s">
        <v>1784</v>
      </c>
      <c r="D193" s="2199"/>
      <c r="E193" s="2199"/>
      <c r="F193" s="2199"/>
      <c r="G193" s="2220"/>
      <c r="H193" s="2220"/>
      <c r="I193" s="2199" t="s">
        <v>1784</v>
      </c>
      <c r="J193" s="2199"/>
      <c r="K193" s="2199"/>
      <c r="L193" s="2199"/>
      <c r="M193" s="993"/>
      <c r="N193" s="994"/>
      <c r="O193" s="993"/>
      <c r="P193" s="995"/>
      <c r="Q193" s="437"/>
    </row>
    <row r="194" spans="1:17" s="4" customFormat="1" x14ac:dyDescent="0.25">
      <c r="A194" s="2"/>
      <c r="B194" s="1282" t="s">
        <v>15</v>
      </c>
      <c r="C194" s="1278" t="s">
        <v>1640</v>
      </c>
      <c r="D194" s="357"/>
      <c r="E194" s="357"/>
      <c r="F194" s="1280"/>
      <c r="G194" s="1281"/>
      <c r="H194" s="1281"/>
      <c r="I194" s="362"/>
      <c r="J194" s="362"/>
      <c r="K194" s="362"/>
      <c r="L194" s="1280"/>
      <c r="M194" s="2284">
        <v>10500</v>
      </c>
      <c r="N194" s="2285"/>
      <c r="O194" s="2294"/>
      <c r="P194" s="2285"/>
      <c r="Q194" s="2"/>
    </row>
    <row r="195" spans="1:17" s="4" customFormat="1" x14ac:dyDescent="0.25">
      <c r="A195" s="2"/>
      <c r="B195" s="361" t="s">
        <v>11</v>
      </c>
      <c r="C195" s="1278" t="s">
        <v>13</v>
      </c>
      <c r="D195" s="357"/>
      <c r="E195" s="357"/>
      <c r="F195" s="1280"/>
      <c r="G195" s="1281"/>
      <c r="H195" s="1281"/>
      <c r="I195" s="362"/>
      <c r="J195" s="362"/>
      <c r="K195" s="362"/>
      <c r="L195" s="1280"/>
      <c r="M195" s="2284">
        <f>+M194*0.21</f>
        <v>2205</v>
      </c>
      <c r="N195" s="2285"/>
      <c r="O195" s="1238"/>
      <c r="P195" s="1279"/>
      <c r="Q195" s="2"/>
    </row>
    <row r="196" spans="1:17" s="4" customFormat="1" x14ac:dyDescent="0.25">
      <c r="A196" s="2"/>
      <c r="B196" s="1010" t="s">
        <v>17</v>
      </c>
      <c r="C196" s="1278"/>
      <c r="D196" s="357"/>
      <c r="E196" s="357"/>
      <c r="F196" s="359" t="s">
        <v>1</v>
      </c>
      <c r="G196" s="1252" t="s">
        <v>2028</v>
      </c>
      <c r="H196" s="1252"/>
      <c r="I196" s="362"/>
      <c r="J196" s="362"/>
      <c r="K196" s="362"/>
      <c r="L196" s="362"/>
      <c r="M196" s="2284"/>
      <c r="N196" s="2294"/>
      <c r="O196" s="2284">
        <f>+M194+M195</f>
        <v>12705</v>
      </c>
      <c r="P196" s="2285"/>
      <c r="Q196" s="2"/>
    </row>
    <row r="197" spans="1:17" s="4" customFormat="1" ht="7.5" customHeight="1" x14ac:dyDescent="0.25">
      <c r="A197" s="437"/>
      <c r="B197" s="207" t="s">
        <v>2032</v>
      </c>
      <c r="C197" s="2198" t="s">
        <v>1784</v>
      </c>
      <c r="D197" s="2199"/>
      <c r="E197" s="2199"/>
      <c r="F197" s="2199"/>
      <c r="G197" s="2220"/>
      <c r="H197" s="2220"/>
      <c r="I197" s="2199" t="s">
        <v>1784</v>
      </c>
      <c r="J197" s="2199"/>
      <c r="K197" s="2199"/>
      <c r="L197" s="2199"/>
      <c r="M197" s="993"/>
      <c r="N197" s="994"/>
      <c r="O197" s="993"/>
      <c r="P197" s="995"/>
      <c r="Q197" s="437"/>
    </row>
    <row r="198" spans="1:17" s="4" customFormat="1" x14ac:dyDescent="0.25">
      <c r="A198" s="2"/>
      <c r="B198" s="30" t="s">
        <v>15</v>
      </c>
      <c r="C198" s="1015" t="s">
        <v>297</v>
      </c>
      <c r="D198" s="1016"/>
      <c r="E198" s="1016"/>
      <c r="F198" s="991"/>
      <c r="G198" s="51"/>
      <c r="H198" s="51"/>
      <c r="L198" s="991"/>
      <c r="M198" s="2008">
        <v>5000</v>
      </c>
      <c r="N198" s="2009"/>
      <c r="O198" s="2012"/>
      <c r="P198" s="2009"/>
      <c r="Q198" s="2"/>
    </row>
    <row r="199" spans="1:17" s="4" customFormat="1" x14ac:dyDescent="0.25">
      <c r="A199" s="2"/>
      <c r="B199" s="38" t="s">
        <v>15</v>
      </c>
      <c r="C199" s="1015" t="s">
        <v>298</v>
      </c>
      <c r="D199" s="1016"/>
      <c r="E199" s="1016"/>
      <c r="F199" s="991"/>
      <c r="G199" s="51"/>
      <c r="H199" s="51"/>
      <c r="L199" s="991"/>
      <c r="M199" s="2008">
        <f>+M198*0.23</f>
        <v>1150</v>
      </c>
      <c r="N199" s="2009"/>
      <c r="O199" s="994"/>
      <c r="P199" s="995"/>
      <c r="Q199" s="2"/>
    </row>
    <row r="200" spans="1:17" s="4" customFormat="1" x14ac:dyDescent="0.25">
      <c r="A200" s="2"/>
      <c r="B200" s="38" t="s">
        <v>17</v>
      </c>
      <c r="C200" s="1015"/>
      <c r="D200" s="1016"/>
      <c r="E200" s="1016"/>
      <c r="F200" s="20" t="s">
        <v>1</v>
      </c>
      <c r="G200" s="1020" t="s">
        <v>288</v>
      </c>
      <c r="H200" s="51"/>
      <c r="L200" s="991"/>
      <c r="M200" s="2008"/>
      <c r="N200" s="2009"/>
      <c r="O200" s="2008">
        <f>+M198*(0.83)</f>
        <v>4150</v>
      </c>
      <c r="P200" s="2009"/>
      <c r="Q200" s="2"/>
    </row>
    <row r="201" spans="1:17" s="4" customFormat="1" x14ac:dyDescent="0.25">
      <c r="A201" s="2"/>
      <c r="B201" s="1009" t="s">
        <v>17</v>
      </c>
      <c r="C201" s="1015"/>
      <c r="D201" s="1016"/>
      <c r="E201" s="1016"/>
      <c r="F201" s="20" t="s">
        <v>1</v>
      </c>
      <c r="G201" s="1020" t="s">
        <v>289</v>
      </c>
      <c r="H201" s="1020"/>
      <c r="M201" s="2008"/>
      <c r="N201" s="2012"/>
      <c r="O201" s="2008">
        <f>+M198*0.4</f>
        <v>2000</v>
      </c>
      <c r="P201" s="2009"/>
      <c r="Q201" s="2"/>
    </row>
    <row r="202" spans="1:17" s="4" customFormat="1" ht="7.5" customHeight="1" x14ac:dyDescent="0.25">
      <c r="A202" s="437"/>
      <c r="B202" s="207">
        <v>12</v>
      </c>
      <c r="C202" s="2198" t="s">
        <v>1784</v>
      </c>
      <c r="D202" s="2199"/>
      <c r="E202" s="2199"/>
      <c r="F202" s="2199"/>
      <c r="G202" s="2220"/>
      <c r="H202" s="2220"/>
      <c r="I202" s="2199" t="s">
        <v>1784</v>
      </c>
      <c r="J202" s="2199"/>
      <c r="K202" s="2199"/>
      <c r="L202" s="2199"/>
      <c r="M202" s="993"/>
      <c r="N202" s="994"/>
      <c r="O202" s="993"/>
      <c r="P202" s="995"/>
      <c r="Q202" s="437"/>
    </row>
    <row r="203" spans="1:17" s="4" customFormat="1" x14ac:dyDescent="0.25">
      <c r="A203" s="2"/>
      <c r="B203" s="30" t="s">
        <v>207</v>
      </c>
      <c r="C203" s="1015" t="s">
        <v>139</v>
      </c>
      <c r="D203" s="1016"/>
      <c r="E203" s="1016"/>
      <c r="F203" s="991"/>
      <c r="G203" s="51"/>
      <c r="H203" s="51"/>
      <c r="L203" s="991"/>
      <c r="M203" s="2008">
        <v>7500</v>
      </c>
      <c r="N203" s="2009"/>
      <c r="O203" s="2012"/>
      <c r="P203" s="2009"/>
      <c r="Q203" s="2"/>
    </row>
    <row r="204" spans="1:17" s="4" customFormat="1" x14ac:dyDescent="0.25">
      <c r="A204" s="2"/>
      <c r="B204" s="38" t="s">
        <v>15</v>
      </c>
      <c r="C204" s="1015" t="s">
        <v>299</v>
      </c>
      <c r="D204" s="1016"/>
      <c r="E204" s="1016"/>
      <c r="F204" s="991"/>
      <c r="G204" s="51"/>
      <c r="H204" s="51"/>
      <c r="L204" s="991"/>
      <c r="M204" s="2008">
        <f>75000*(0.24/12)</f>
        <v>1500</v>
      </c>
      <c r="N204" s="2009"/>
      <c r="O204" s="994"/>
      <c r="P204" s="995"/>
      <c r="Q204" s="2"/>
    </row>
    <row r="205" spans="1:17" s="4" customFormat="1" x14ac:dyDescent="0.25">
      <c r="A205" s="2"/>
      <c r="B205" s="1009" t="s">
        <v>14</v>
      </c>
      <c r="C205" s="1015"/>
      <c r="D205" s="1016"/>
      <c r="E205" s="1016"/>
      <c r="F205" s="20" t="s">
        <v>1</v>
      </c>
      <c r="G205" s="1020" t="s">
        <v>10</v>
      </c>
      <c r="H205" s="1020"/>
      <c r="M205" s="2008"/>
      <c r="N205" s="2012"/>
      <c r="O205" s="2008">
        <f>+M203+M204</f>
        <v>9000</v>
      </c>
      <c r="P205" s="2009"/>
      <c r="Q205" s="2"/>
    </row>
    <row r="206" spans="1:17" s="4" customFormat="1" ht="7.5" customHeight="1" x14ac:dyDescent="0.25">
      <c r="A206" s="437"/>
      <c r="B206" s="207">
        <v>13</v>
      </c>
      <c r="C206" s="2198" t="s">
        <v>1784</v>
      </c>
      <c r="D206" s="2199"/>
      <c r="E206" s="2199"/>
      <c r="F206" s="2199"/>
      <c r="G206" s="2220"/>
      <c r="H206" s="2220"/>
      <c r="I206" s="2199" t="s">
        <v>1784</v>
      </c>
      <c r="J206" s="2199"/>
      <c r="K206" s="2199"/>
      <c r="L206" s="2199"/>
      <c r="M206" s="993"/>
      <c r="N206" s="994"/>
      <c r="O206" s="993"/>
      <c r="P206" s="995"/>
      <c r="Q206" s="437"/>
    </row>
    <row r="207" spans="1:17" s="4" customFormat="1" x14ac:dyDescent="0.25">
      <c r="A207" s="2"/>
      <c r="B207" s="30" t="s">
        <v>207</v>
      </c>
      <c r="C207" s="1015" t="s">
        <v>2</v>
      </c>
      <c r="D207" s="1016"/>
      <c r="E207" s="1016"/>
      <c r="F207" s="991"/>
      <c r="G207" s="51"/>
      <c r="H207" s="51"/>
      <c r="L207" s="991"/>
      <c r="M207" s="2008">
        <f>+O192</f>
        <v>61710</v>
      </c>
      <c r="N207" s="2009"/>
      <c r="O207" s="2012"/>
      <c r="P207" s="2009"/>
      <c r="Q207" s="2"/>
    </row>
    <row r="208" spans="1:17" s="4" customFormat="1" x14ac:dyDescent="0.25">
      <c r="A208" s="2"/>
      <c r="B208" s="38" t="s">
        <v>15</v>
      </c>
      <c r="C208" s="1015" t="s">
        <v>319</v>
      </c>
      <c r="D208" s="1016"/>
      <c r="E208" s="1016"/>
      <c r="F208" s="991"/>
      <c r="G208" s="51"/>
      <c r="H208" s="51"/>
      <c r="L208" s="991"/>
      <c r="M208" s="2008">
        <f>1452/1.21</f>
        <v>1200</v>
      </c>
      <c r="N208" s="2009"/>
      <c r="O208" s="994"/>
      <c r="P208" s="995"/>
      <c r="Q208" s="2"/>
    </row>
    <row r="209" spans="1:17" s="4" customFormat="1" x14ac:dyDescent="0.25">
      <c r="A209" s="2"/>
      <c r="B209" s="38" t="s">
        <v>11</v>
      </c>
      <c r="C209" s="1015" t="s">
        <v>13</v>
      </c>
      <c r="D209" s="1016"/>
      <c r="E209" s="1016"/>
      <c r="F209" s="991"/>
      <c r="G209" s="51"/>
      <c r="H209" s="51"/>
      <c r="L209" s="991"/>
      <c r="M209" s="2008">
        <f>+M208*0.21</f>
        <v>252</v>
      </c>
      <c r="N209" s="2009"/>
      <c r="O209" s="994"/>
      <c r="P209" s="995"/>
      <c r="Q209" s="2"/>
    </row>
    <row r="210" spans="1:17" s="4" customFormat="1" x14ac:dyDescent="0.25">
      <c r="A210" s="2"/>
      <c r="B210" s="1009" t="s">
        <v>14</v>
      </c>
      <c r="C210" s="1015"/>
      <c r="D210" s="1016"/>
      <c r="E210" s="1016"/>
      <c r="F210" s="20" t="s">
        <v>1</v>
      </c>
      <c r="G210" s="1020" t="s">
        <v>23</v>
      </c>
      <c r="H210" s="1020"/>
      <c r="M210" s="2008"/>
      <c r="N210" s="2012"/>
      <c r="O210" s="2008">
        <f>+M207+M208+M209</f>
        <v>63162</v>
      </c>
      <c r="P210" s="2009"/>
      <c r="Q210" s="2"/>
    </row>
    <row r="211" spans="1:17" s="4" customFormat="1" ht="7.5" customHeight="1" x14ac:dyDescent="0.25">
      <c r="B211" s="1004"/>
      <c r="C211" s="2198" t="s">
        <v>1784</v>
      </c>
      <c r="D211" s="2199"/>
      <c r="E211" s="2199"/>
      <c r="F211" s="2199"/>
      <c r="G211" s="2248" t="s">
        <v>222</v>
      </c>
      <c r="H211" s="2248"/>
      <c r="I211" s="2199" t="s">
        <v>1784</v>
      </c>
      <c r="J211" s="2199"/>
      <c r="K211" s="2199"/>
      <c r="L211" s="2199"/>
      <c r="M211" s="18"/>
      <c r="N211" s="18"/>
      <c r="O211" s="18"/>
      <c r="P211" s="18"/>
    </row>
    <row r="212" spans="1:17" s="4" customFormat="1" x14ac:dyDescent="0.25">
      <c r="B212" s="1004"/>
      <c r="C212" s="12"/>
      <c r="D212" s="12"/>
      <c r="E212" s="12"/>
      <c r="F212" s="12"/>
      <c r="G212" s="2248"/>
      <c r="H212" s="2248"/>
      <c r="M212" s="18"/>
      <c r="N212" s="18"/>
      <c r="O212" s="18"/>
      <c r="P212" s="18"/>
    </row>
    <row r="213" spans="1:17" s="4" customFormat="1" x14ac:dyDescent="0.25">
      <c r="B213" s="1004"/>
      <c r="C213" s="12"/>
      <c r="D213" s="12"/>
      <c r="E213" s="12"/>
      <c r="F213" s="12"/>
      <c r="G213" s="51"/>
      <c r="H213" s="51"/>
      <c r="M213" s="18"/>
      <c r="N213" s="18"/>
      <c r="O213" s="18"/>
      <c r="P213" s="18"/>
    </row>
    <row r="214" spans="1:17" s="4" customFormat="1" x14ac:dyDescent="0.25">
      <c r="B214" s="1004"/>
      <c r="C214" s="12"/>
      <c r="D214" s="12"/>
      <c r="E214" s="12"/>
      <c r="F214" s="12"/>
      <c r="G214" s="51"/>
      <c r="H214" s="51"/>
      <c r="M214" s="18"/>
      <c r="N214" s="18"/>
      <c r="O214" s="18"/>
      <c r="P214" s="18"/>
    </row>
    <row r="215" spans="1:17" s="4" customFormat="1" ht="7.5" customHeight="1" x14ac:dyDescent="0.25">
      <c r="A215" s="437"/>
      <c r="B215" s="207">
        <v>14</v>
      </c>
      <c r="C215" s="2198" t="s">
        <v>1784</v>
      </c>
      <c r="D215" s="2199"/>
      <c r="E215" s="2199"/>
      <c r="F215" s="2199"/>
      <c r="G215" s="2220"/>
      <c r="H215" s="2220"/>
      <c r="I215" s="2199" t="s">
        <v>1784</v>
      </c>
      <c r="J215" s="2199"/>
      <c r="K215" s="2199"/>
      <c r="L215" s="2199"/>
      <c r="M215" s="993"/>
      <c r="N215" s="994"/>
      <c r="O215" s="993"/>
      <c r="P215" s="995"/>
      <c r="Q215" s="437"/>
    </row>
    <row r="216" spans="1:17" s="4" customFormat="1" x14ac:dyDescent="0.25">
      <c r="A216" s="2"/>
      <c r="B216" s="38" t="s">
        <v>11</v>
      </c>
      <c r="C216" s="1015" t="s">
        <v>478</v>
      </c>
      <c r="D216" s="1016"/>
      <c r="E216" s="1016"/>
      <c r="F216" s="991"/>
      <c r="G216" s="51"/>
      <c r="H216" s="51"/>
      <c r="L216" s="991"/>
      <c r="M216" s="2008">
        <f>+O217+O218</f>
        <v>43560</v>
      </c>
      <c r="N216" s="2009"/>
      <c r="O216" s="994"/>
      <c r="P216" s="995"/>
      <c r="Q216" s="2"/>
    </row>
    <row r="217" spans="1:17" s="4" customFormat="1" x14ac:dyDescent="0.25">
      <c r="A217" s="2"/>
      <c r="B217" s="38" t="s">
        <v>16</v>
      </c>
      <c r="C217" s="1015"/>
      <c r="D217" s="1016"/>
      <c r="E217" s="1016"/>
      <c r="F217" s="20" t="s">
        <v>1</v>
      </c>
      <c r="G217" s="1020" t="s">
        <v>3</v>
      </c>
      <c r="H217" s="51"/>
      <c r="L217" s="991"/>
      <c r="M217" s="2008"/>
      <c r="N217" s="2009"/>
      <c r="O217" s="2008">
        <v>36000</v>
      </c>
      <c r="P217" s="2009"/>
      <c r="Q217" s="2"/>
    </row>
    <row r="218" spans="1:17" s="4" customFormat="1" x14ac:dyDescent="0.25">
      <c r="A218" s="2"/>
      <c r="B218" s="1009" t="s">
        <v>17</v>
      </c>
      <c r="C218" s="1015"/>
      <c r="D218" s="1016"/>
      <c r="E218" s="1016"/>
      <c r="F218" s="20" t="s">
        <v>1</v>
      </c>
      <c r="G218" s="1020" t="s">
        <v>12</v>
      </c>
      <c r="H218" s="1020"/>
      <c r="M218" s="2008"/>
      <c r="N218" s="2012"/>
      <c r="O218" s="2008">
        <f>+O217*0.21</f>
        <v>7560</v>
      </c>
      <c r="P218" s="2009"/>
      <c r="Q218" s="2"/>
    </row>
    <row r="219" spans="1:17" s="4" customFormat="1" ht="7.5" customHeight="1" x14ac:dyDescent="0.25">
      <c r="A219" s="437"/>
      <c r="B219" s="207" t="s">
        <v>2020</v>
      </c>
      <c r="C219" s="2198" t="s">
        <v>1784</v>
      </c>
      <c r="D219" s="2199"/>
      <c r="E219" s="2199"/>
      <c r="F219" s="2199"/>
      <c r="G219" s="2220"/>
      <c r="H219" s="2220"/>
      <c r="I219" s="2199" t="s">
        <v>1784</v>
      </c>
      <c r="J219" s="2199"/>
      <c r="K219" s="2199"/>
      <c r="L219" s="2199"/>
      <c r="M219" s="993"/>
      <c r="N219" s="994"/>
      <c r="O219" s="993"/>
      <c r="P219" s="995"/>
      <c r="Q219" s="437"/>
    </row>
    <row r="220" spans="1:17" s="4" customFormat="1" x14ac:dyDescent="0.25">
      <c r="A220" s="2"/>
      <c r="B220" s="30" t="s">
        <v>15</v>
      </c>
      <c r="C220" s="1015" t="s">
        <v>120</v>
      </c>
      <c r="D220" s="1016"/>
      <c r="E220" s="1016"/>
      <c r="F220" s="991"/>
      <c r="G220" s="51"/>
      <c r="H220" s="51"/>
      <c r="L220" s="991"/>
      <c r="M220" s="2008">
        <v>24000</v>
      </c>
      <c r="N220" s="2009"/>
      <c r="O220" s="2012"/>
      <c r="P220" s="2009"/>
      <c r="Q220" s="2"/>
    </row>
    <row r="221" spans="1:17" s="4" customFormat="1" x14ac:dyDescent="0.25">
      <c r="A221" s="2"/>
      <c r="B221" s="1009" t="s">
        <v>14</v>
      </c>
      <c r="C221" s="1015"/>
      <c r="D221" s="1016"/>
      <c r="E221" s="1016"/>
      <c r="F221" s="20" t="s">
        <v>1</v>
      </c>
      <c r="G221" s="1020" t="s">
        <v>5</v>
      </c>
      <c r="H221" s="1020"/>
      <c r="M221" s="2008"/>
      <c r="N221" s="2012"/>
      <c r="O221" s="2008">
        <f>+M220</f>
        <v>24000</v>
      </c>
      <c r="P221" s="2009"/>
      <c r="Q221" s="2"/>
    </row>
    <row r="222" spans="1:17" s="4" customFormat="1" ht="7.5" customHeight="1" x14ac:dyDescent="0.25">
      <c r="A222" s="437"/>
      <c r="B222" s="207">
        <v>15</v>
      </c>
      <c r="C222" s="2198" t="s">
        <v>1784</v>
      </c>
      <c r="D222" s="2199"/>
      <c r="E222" s="2199"/>
      <c r="F222" s="2199"/>
      <c r="G222" s="2220"/>
      <c r="H222" s="2220"/>
      <c r="I222" s="2199" t="s">
        <v>1784</v>
      </c>
      <c r="J222" s="2199"/>
      <c r="K222" s="2199"/>
      <c r="L222" s="2199"/>
      <c r="M222" s="993"/>
      <c r="N222" s="994"/>
      <c r="O222" s="993"/>
      <c r="P222" s="995"/>
      <c r="Q222" s="437"/>
    </row>
    <row r="223" spans="1:17" s="4" customFormat="1" x14ac:dyDescent="0.25">
      <c r="A223" s="2"/>
      <c r="B223" s="1282" t="s">
        <v>15</v>
      </c>
      <c r="C223" s="1278" t="s">
        <v>1640</v>
      </c>
      <c r="D223" s="357"/>
      <c r="E223" s="357"/>
      <c r="F223" s="1280"/>
      <c r="G223" s="1281"/>
      <c r="H223" s="1281"/>
      <c r="I223" s="362"/>
      <c r="J223" s="362"/>
      <c r="K223" s="362"/>
      <c r="L223" s="1280"/>
      <c r="M223" s="2284">
        <v>10500</v>
      </c>
      <c r="N223" s="2285"/>
      <c r="O223" s="2294"/>
      <c r="P223" s="2285"/>
      <c r="Q223" s="2"/>
    </row>
    <row r="224" spans="1:17" s="4" customFormat="1" x14ac:dyDescent="0.25">
      <c r="A224" s="2"/>
      <c r="B224" s="361" t="s">
        <v>11</v>
      </c>
      <c r="C224" s="1278" t="s">
        <v>13</v>
      </c>
      <c r="D224" s="357"/>
      <c r="E224" s="357"/>
      <c r="F224" s="1280"/>
      <c r="G224" s="1281"/>
      <c r="H224" s="1281"/>
      <c r="I224" s="362"/>
      <c r="J224" s="362"/>
      <c r="K224" s="362"/>
      <c r="L224" s="1280"/>
      <c r="M224" s="2284">
        <f>+M223*0.21</f>
        <v>2205</v>
      </c>
      <c r="N224" s="2285"/>
      <c r="O224" s="1238"/>
      <c r="P224" s="1279"/>
      <c r="Q224" s="2"/>
    </row>
    <row r="225" spans="1:17" s="4" customFormat="1" x14ac:dyDescent="0.25">
      <c r="A225" s="2"/>
      <c r="B225" s="1010" t="s">
        <v>17</v>
      </c>
      <c r="C225" s="1278"/>
      <c r="D225" s="357"/>
      <c r="E225" s="357"/>
      <c r="F225" s="359" t="s">
        <v>1</v>
      </c>
      <c r="G225" s="1252" t="s">
        <v>2028</v>
      </c>
      <c r="H225" s="1252"/>
      <c r="I225" s="362"/>
      <c r="J225" s="362"/>
      <c r="K225" s="362"/>
      <c r="L225" s="362"/>
      <c r="M225" s="2284"/>
      <c r="N225" s="2294"/>
      <c r="O225" s="2284">
        <f>+M223+M224</f>
        <v>12705</v>
      </c>
      <c r="P225" s="2285"/>
      <c r="Q225" s="2"/>
    </row>
    <row r="226" spans="1:17" s="4" customFormat="1" ht="7.5" customHeight="1" x14ac:dyDescent="0.25">
      <c r="A226" s="437"/>
      <c r="B226" s="207" t="s">
        <v>2031</v>
      </c>
      <c r="C226" s="2198" t="s">
        <v>1784</v>
      </c>
      <c r="D226" s="2199"/>
      <c r="E226" s="2199"/>
      <c r="F226" s="2199"/>
      <c r="G226" s="2220"/>
      <c r="H226" s="2220"/>
      <c r="I226" s="2199" t="s">
        <v>1784</v>
      </c>
      <c r="J226" s="2199"/>
      <c r="K226" s="2199"/>
      <c r="L226" s="2199"/>
      <c r="M226" s="993"/>
      <c r="N226" s="994"/>
      <c r="O226" s="993"/>
      <c r="P226" s="995"/>
      <c r="Q226" s="437"/>
    </row>
    <row r="227" spans="1:17" s="4" customFormat="1" x14ac:dyDescent="0.25">
      <c r="A227" s="2"/>
      <c r="B227" s="30" t="s">
        <v>15</v>
      </c>
      <c r="C227" s="1015" t="s">
        <v>297</v>
      </c>
      <c r="D227" s="1016"/>
      <c r="E227" s="1016"/>
      <c r="F227" s="991"/>
      <c r="G227" s="51"/>
      <c r="H227" s="51"/>
      <c r="L227" s="991"/>
      <c r="M227" s="2008">
        <v>5000</v>
      </c>
      <c r="N227" s="2009"/>
      <c r="O227" s="2012"/>
      <c r="P227" s="2009"/>
      <c r="Q227" s="2"/>
    </row>
    <row r="228" spans="1:17" s="4" customFormat="1" x14ac:dyDescent="0.25">
      <c r="A228" s="2"/>
      <c r="B228" s="38" t="s">
        <v>15</v>
      </c>
      <c r="C228" s="1015" t="s">
        <v>298</v>
      </c>
      <c r="D228" s="1016"/>
      <c r="E228" s="1016"/>
      <c r="F228" s="991"/>
      <c r="G228" s="51"/>
      <c r="H228" s="51"/>
      <c r="L228" s="991"/>
      <c r="M228" s="2008">
        <f>+M227*0.23</f>
        <v>1150</v>
      </c>
      <c r="N228" s="2009"/>
      <c r="O228" s="994"/>
      <c r="P228" s="995"/>
      <c r="Q228" s="2"/>
    </row>
    <row r="229" spans="1:17" s="4" customFormat="1" x14ac:dyDescent="0.25">
      <c r="A229" s="2"/>
      <c r="B229" s="38" t="s">
        <v>17</v>
      </c>
      <c r="C229" s="1015"/>
      <c r="D229" s="1016"/>
      <c r="E229" s="1016"/>
      <c r="F229" s="20" t="s">
        <v>1</v>
      </c>
      <c r="G229" s="1020" t="s">
        <v>288</v>
      </c>
      <c r="H229" s="51"/>
      <c r="L229" s="991"/>
      <c r="M229" s="2008"/>
      <c r="N229" s="2009"/>
      <c r="O229" s="2008">
        <f>+M227*(0.83)</f>
        <v>4150</v>
      </c>
      <c r="P229" s="2009"/>
      <c r="Q229" s="2"/>
    </row>
    <row r="230" spans="1:17" s="4" customFormat="1" x14ac:dyDescent="0.25">
      <c r="A230" s="2"/>
      <c r="B230" s="1009" t="s">
        <v>17</v>
      </c>
      <c r="C230" s="1015"/>
      <c r="D230" s="1016"/>
      <c r="E230" s="1016"/>
      <c r="F230" s="20" t="s">
        <v>1</v>
      </c>
      <c r="G230" s="1020" t="s">
        <v>289</v>
      </c>
      <c r="H230" s="1020"/>
      <c r="M230" s="2008"/>
      <c r="N230" s="2012"/>
      <c r="O230" s="2008">
        <f>+M227*0.4</f>
        <v>2000</v>
      </c>
      <c r="P230" s="2009"/>
      <c r="Q230" s="2"/>
    </row>
    <row r="231" spans="1:17" s="4" customFormat="1" ht="7.5" customHeight="1" x14ac:dyDescent="0.25">
      <c r="A231" s="437"/>
      <c r="B231" s="207">
        <v>16</v>
      </c>
      <c r="C231" s="2198" t="s">
        <v>1784</v>
      </c>
      <c r="D231" s="2199"/>
      <c r="E231" s="2199"/>
      <c r="F231" s="2199"/>
      <c r="G231" s="2220"/>
      <c r="H231" s="2220"/>
      <c r="I231" s="2199" t="s">
        <v>1784</v>
      </c>
      <c r="J231" s="2199"/>
      <c r="K231" s="2199"/>
      <c r="L231" s="2199"/>
      <c r="M231" s="993"/>
      <c r="N231" s="994"/>
      <c r="O231" s="993"/>
      <c r="P231" s="995"/>
      <c r="Q231" s="437"/>
    </row>
    <row r="232" spans="1:17" s="4" customFormat="1" x14ac:dyDescent="0.25">
      <c r="A232" s="2"/>
      <c r="B232" s="30" t="s">
        <v>207</v>
      </c>
      <c r="C232" s="1015" t="s">
        <v>139</v>
      </c>
      <c r="D232" s="1016"/>
      <c r="E232" s="1016"/>
      <c r="F232" s="991"/>
      <c r="G232" s="51"/>
      <c r="H232" s="51"/>
      <c r="L232" s="991"/>
      <c r="M232" s="2008">
        <v>7500</v>
      </c>
      <c r="N232" s="2009"/>
      <c r="O232" s="2012"/>
      <c r="P232" s="2009"/>
      <c r="Q232" s="2"/>
    </row>
    <row r="233" spans="1:17" s="4" customFormat="1" x14ac:dyDescent="0.25">
      <c r="A233" s="2"/>
      <c r="B233" s="38" t="s">
        <v>15</v>
      </c>
      <c r="C233" s="1015" t="s">
        <v>299</v>
      </c>
      <c r="D233" s="1016"/>
      <c r="E233" s="1016"/>
      <c r="F233" s="991"/>
      <c r="G233" s="51"/>
      <c r="H233" s="51"/>
      <c r="L233" s="991"/>
      <c r="M233" s="2008">
        <f>(75000-7500)*(0.24/12)</f>
        <v>1350</v>
      </c>
      <c r="N233" s="2009"/>
      <c r="O233" s="994"/>
      <c r="P233" s="995"/>
      <c r="Q233" s="2"/>
    </row>
    <row r="234" spans="1:17" s="4" customFormat="1" x14ac:dyDescent="0.25">
      <c r="A234" s="2"/>
      <c r="B234" s="1009" t="s">
        <v>14</v>
      </c>
      <c r="C234" s="1017"/>
      <c r="D234" s="1018"/>
      <c r="E234" s="1018"/>
      <c r="F234" s="35" t="s">
        <v>1</v>
      </c>
      <c r="G234" s="1022" t="s">
        <v>10</v>
      </c>
      <c r="H234" s="1022"/>
      <c r="I234" s="3"/>
      <c r="J234" s="3"/>
      <c r="K234" s="3"/>
      <c r="L234" s="3"/>
      <c r="M234" s="2006"/>
      <c r="N234" s="2100"/>
      <c r="O234" s="2006">
        <f>+M232+M233</f>
        <v>8850</v>
      </c>
      <c r="P234" s="2007"/>
      <c r="Q234" s="2"/>
    </row>
    <row r="235" spans="1:17" s="4" customFormat="1" x14ac:dyDescent="0.25">
      <c r="B235" s="1004"/>
      <c r="C235" s="12"/>
      <c r="D235" s="12"/>
      <c r="E235" s="12"/>
      <c r="F235" s="12"/>
      <c r="G235" s="51"/>
      <c r="H235" s="51"/>
      <c r="M235" s="18"/>
      <c r="N235" s="18"/>
      <c r="O235" s="18"/>
      <c r="P235" s="18"/>
    </row>
    <row r="236" spans="1:17" s="4" customFormat="1" x14ac:dyDescent="0.25">
      <c r="B236" s="50" t="s">
        <v>389</v>
      </c>
      <c r="C236" s="258" t="s">
        <v>2030</v>
      </c>
      <c r="D236" s="12"/>
      <c r="E236" s="12"/>
      <c r="F236" s="12"/>
      <c r="G236" s="51"/>
      <c r="H236" s="51"/>
      <c r="M236" s="18"/>
      <c r="N236" s="18"/>
      <c r="O236" s="18"/>
      <c r="P236" s="18"/>
    </row>
    <row r="237" spans="1:17" s="4" customFormat="1" ht="5.25" customHeight="1" x14ac:dyDescent="0.25">
      <c r="B237" s="1004"/>
      <c r="C237" s="12"/>
      <c r="D237" s="12"/>
      <c r="E237" s="12"/>
      <c r="F237" s="12"/>
      <c r="G237" s="51"/>
      <c r="H237" s="51"/>
      <c r="M237" s="18"/>
      <c r="N237" s="18"/>
      <c r="O237" s="18"/>
      <c r="P237" s="18"/>
    </row>
    <row r="238" spans="1:17" s="4" customFormat="1" x14ac:dyDescent="0.25">
      <c r="B238" s="2028" t="s">
        <v>952</v>
      </c>
      <c r="C238" s="2029"/>
      <c r="D238" s="2029"/>
      <c r="E238" s="2029"/>
      <c r="F238" s="2029"/>
      <c r="G238" s="2029"/>
      <c r="H238" s="2139"/>
      <c r="I238" s="2357" t="s">
        <v>9</v>
      </c>
      <c r="J238" s="2357"/>
      <c r="K238" s="2357" t="s">
        <v>8</v>
      </c>
      <c r="L238" s="2357"/>
      <c r="M238" s="2357" t="s">
        <v>1164</v>
      </c>
      <c r="N238" s="2357"/>
      <c r="O238" s="2358" t="s">
        <v>1165</v>
      </c>
      <c r="P238" s="2358"/>
      <c r="Q238" s="1277"/>
    </row>
    <row r="239" spans="1:17" s="4" customFormat="1" x14ac:dyDescent="0.25">
      <c r="B239" s="1015" t="s">
        <v>456</v>
      </c>
      <c r="C239" s="12"/>
      <c r="D239" s="12"/>
      <c r="E239" s="12"/>
      <c r="F239" s="12"/>
      <c r="G239" s="51"/>
      <c r="H239" s="51"/>
      <c r="I239" s="2355">
        <f t="shared" ref="I239:I260" si="4">+SUMIF($C$163:$C$234,B239,$M$163:$M$234)</f>
        <v>250000</v>
      </c>
      <c r="J239" s="2355"/>
      <c r="K239" s="2355">
        <f t="shared" ref="K239:K260" si="5">+SUMIF($G$163:$G$234,B239,$O$163:$O$234)</f>
        <v>250000</v>
      </c>
      <c r="L239" s="2355"/>
      <c r="M239" s="2355">
        <f t="shared" ref="M239:M260" si="6">+IF(I239&gt;K239,I239-K239,0)</f>
        <v>0</v>
      </c>
      <c r="N239" s="2355"/>
      <c r="O239" s="2355">
        <f t="shared" ref="O239:O260" si="7">+IF(K239&gt;I239,K239-I239,0)</f>
        <v>0</v>
      </c>
      <c r="P239" s="2355"/>
    </row>
    <row r="240" spans="1:17" s="4" customFormat="1" x14ac:dyDescent="0.25">
      <c r="B240" s="1015" t="s">
        <v>2029</v>
      </c>
      <c r="C240" s="12"/>
      <c r="D240" s="12"/>
      <c r="E240" s="12"/>
      <c r="F240" s="12"/>
      <c r="G240" s="51"/>
      <c r="H240" s="51"/>
      <c r="I240" s="2355">
        <f t="shared" si="4"/>
        <v>25000</v>
      </c>
      <c r="J240" s="2355"/>
      <c r="K240" s="2355">
        <f t="shared" si="5"/>
        <v>25000</v>
      </c>
      <c r="L240" s="2355"/>
      <c r="M240" s="2356">
        <f t="shared" si="6"/>
        <v>0</v>
      </c>
      <c r="N240" s="2356"/>
      <c r="O240" s="2356">
        <f t="shared" si="7"/>
        <v>0</v>
      </c>
      <c r="P240" s="2356"/>
    </row>
    <row r="241" spans="2:16" s="4" customFormat="1" x14ac:dyDescent="0.25">
      <c r="B241" s="1015" t="s">
        <v>23</v>
      </c>
      <c r="C241" s="12"/>
      <c r="D241" s="12"/>
      <c r="E241" s="12"/>
      <c r="F241" s="12"/>
      <c r="G241" s="51"/>
      <c r="H241" s="51"/>
      <c r="I241" s="2355">
        <f t="shared" si="4"/>
        <v>330000</v>
      </c>
      <c r="J241" s="2355"/>
      <c r="K241" s="2355">
        <f t="shared" si="5"/>
        <v>88162</v>
      </c>
      <c r="L241" s="2355"/>
      <c r="M241" s="2356">
        <f t="shared" si="6"/>
        <v>241838</v>
      </c>
      <c r="N241" s="2356"/>
      <c r="O241" s="2356">
        <f t="shared" si="7"/>
        <v>0</v>
      </c>
      <c r="P241" s="2356"/>
    </row>
    <row r="242" spans="2:16" s="4" customFormat="1" x14ac:dyDescent="0.25">
      <c r="B242" s="1015" t="s">
        <v>10</v>
      </c>
      <c r="C242" s="12"/>
      <c r="D242" s="12"/>
      <c r="E242" s="12"/>
      <c r="F242" s="12"/>
      <c r="G242" s="51"/>
      <c r="H242" s="51"/>
      <c r="I242" s="2355">
        <f t="shared" si="4"/>
        <v>250000</v>
      </c>
      <c r="J242" s="2355"/>
      <c r="K242" s="2355">
        <f t="shared" si="5"/>
        <v>122292</v>
      </c>
      <c r="L242" s="2355"/>
      <c r="M242" s="2356">
        <f t="shared" si="6"/>
        <v>127708</v>
      </c>
      <c r="N242" s="2356"/>
      <c r="O242" s="2356">
        <f t="shared" si="7"/>
        <v>0</v>
      </c>
      <c r="P242" s="2356"/>
    </row>
    <row r="243" spans="2:16" s="4" customFormat="1" x14ac:dyDescent="0.25">
      <c r="B243" s="1015" t="s">
        <v>435</v>
      </c>
      <c r="C243" s="12"/>
      <c r="D243" s="12"/>
      <c r="E243" s="12"/>
      <c r="F243" s="12"/>
      <c r="G243" s="51"/>
      <c r="H243" s="51"/>
      <c r="I243" s="2355">
        <f t="shared" si="4"/>
        <v>0</v>
      </c>
      <c r="J243" s="2355"/>
      <c r="K243" s="2355">
        <f t="shared" si="5"/>
        <v>500000</v>
      </c>
      <c r="L243" s="2355"/>
      <c r="M243" s="2356">
        <f t="shared" si="6"/>
        <v>0</v>
      </c>
      <c r="N243" s="2356"/>
      <c r="O243" s="2356">
        <f t="shared" si="7"/>
        <v>500000</v>
      </c>
      <c r="P243" s="2356"/>
    </row>
    <row r="244" spans="2:16" s="4" customFormat="1" x14ac:dyDescent="0.25">
      <c r="B244" s="1015" t="s">
        <v>298</v>
      </c>
      <c r="C244" s="12"/>
      <c r="D244" s="12"/>
      <c r="E244" s="12"/>
      <c r="F244" s="12"/>
      <c r="G244" s="51"/>
      <c r="H244" s="51"/>
      <c r="I244" s="2355">
        <f t="shared" si="4"/>
        <v>2300</v>
      </c>
      <c r="J244" s="2355"/>
      <c r="K244" s="2355">
        <f t="shared" si="5"/>
        <v>0</v>
      </c>
      <c r="L244" s="2355"/>
      <c r="M244" s="2356">
        <f t="shared" si="6"/>
        <v>2300</v>
      </c>
      <c r="N244" s="2356"/>
      <c r="O244" s="2356">
        <f t="shared" si="7"/>
        <v>0</v>
      </c>
      <c r="P244" s="2356"/>
    </row>
    <row r="245" spans="2:16" s="4" customFormat="1" x14ac:dyDescent="0.25">
      <c r="B245" s="1015" t="s">
        <v>289</v>
      </c>
      <c r="C245" s="12"/>
      <c r="D245" s="12"/>
      <c r="E245" s="12"/>
      <c r="F245" s="12"/>
      <c r="G245" s="51"/>
      <c r="H245" s="51"/>
      <c r="I245" s="2355">
        <f t="shared" si="4"/>
        <v>0</v>
      </c>
      <c r="J245" s="2355"/>
      <c r="K245" s="2355">
        <f t="shared" si="5"/>
        <v>4000</v>
      </c>
      <c r="L245" s="2355"/>
      <c r="M245" s="2356">
        <f t="shared" si="6"/>
        <v>0</v>
      </c>
      <c r="N245" s="2356"/>
      <c r="O245" s="2356">
        <f t="shared" si="7"/>
        <v>4000</v>
      </c>
      <c r="P245" s="2356"/>
    </row>
    <row r="246" spans="2:16" s="4" customFormat="1" x14ac:dyDescent="0.25">
      <c r="B246" s="1015" t="s">
        <v>120</v>
      </c>
      <c r="C246" s="12"/>
      <c r="D246" s="12"/>
      <c r="E246" s="12"/>
      <c r="F246" s="12"/>
      <c r="G246" s="51"/>
      <c r="H246" s="51"/>
      <c r="I246" s="2355">
        <f t="shared" si="4"/>
        <v>24000</v>
      </c>
      <c r="J246" s="2355"/>
      <c r="K246" s="2355">
        <f t="shared" si="5"/>
        <v>0</v>
      </c>
      <c r="L246" s="2355"/>
      <c r="M246" s="2356">
        <f t="shared" si="6"/>
        <v>24000</v>
      </c>
      <c r="N246" s="2356"/>
      <c r="O246" s="2356">
        <f t="shared" si="7"/>
        <v>0</v>
      </c>
      <c r="P246" s="2356"/>
    </row>
    <row r="247" spans="2:16" s="4" customFormat="1" x14ac:dyDescent="0.25">
      <c r="B247" s="1015" t="s">
        <v>478</v>
      </c>
      <c r="C247" s="12"/>
      <c r="D247" s="12"/>
      <c r="E247" s="12"/>
      <c r="F247" s="12"/>
      <c r="G247" s="51"/>
      <c r="H247" s="51"/>
      <c r="I247" s="2355">
        <f t="shared" si="4"/>
        <v>43560</v>
      </c>
      <c r="J247" s="2355"/>
      <c r="K247" s="2355">
        <f t="shared" si="5"/>
        <v>0</v>
      </c>
      <c r="L247" s="2355"/>
      <c r="M247" s="2356">
        <f t="shared" si="6"/>
        <v>43560</v>
      </c>
      <c r="N247" s="2356"/>
      <c r="O247" s="2356">
        <f t="shared" si="7"/>
        <v>0</v>
      </c>
      <c r="P247" s="2356"/>
    </row>
    <row r="248" spans="2:16" s="4" customFormat="1" x14ac:dyDescent="0.25">
      <c r="B248" s="1015" t="s">
        <v>319</v>
      </c>
      <c r="C248" s="12"/>
      <c r="D248" s="12"/>
      <c r="E248" s="12"/>
      <c r="F248" s="12"/>
      <c r="G248" s="51"/>
      <c r="H248" s="51"/>
      <c r="I248" s="2355">
        <f t="shared" si="4"/>
        <v>1200</v>
      </c>
      <c r="J248" s="2355"/>
      <c r="K248" s="2355">
        <f t="shared" si="5"/>
        <v>0</v>
      </c>
      <c r="L248" s="2355"/>
      <c r="M248" s="2356">
        <f t="shared" si="6"/>
        <v>1200</v>
      </c>
      <c r="N248" s="2356"/>
      <c r="O248" s="2356">
        <f t="shared" si="7"/>
        <v>0</v>
      </c>
      <c r="P248" s="2356"/>
    </row>
    <row r="249" spans="2:16" s="4" customFormat="1" x14ac:dyDescent="0.25">
      <c r="B249" s="1015" t="s">
        <v>299</v>
      </c>
      <c r="C249" s="12"/>
      <c r="D249" s="12"/>
      <c r="E249" s="12"/>
      <c r="F249" s="12"/>
      <c r="G249" s="51"/>
      <c r="H249" s="51"/>
      <c r="I249" s="2355">
        <f t="shared" si="4"/>
        <v>2850</v>
      </c>
      <c r="J249" s="2355"/>
      <c r="K249" s="2355">
        <f t="shared" si="5"/>
        <v>0</v>
      </c>
      <c r="L249" s="2355"/>
      <c r="M249" s="2356">
        <f t="shared" si="6"/>
        <v>2850</v>
      </c>
      <c r="N249" s="2356"/>
      <c r="O249" s="2356">
        <f t="shared" si="7"/>
        <v>0</v>
      </c>
      <c r="P249" s="2356"/>
    </row>
    <row r="250" spans="2:16" s="4" customFormat="1" x14ac:dyDescent="0.25">
      <c r="B250" s="1015" t="s">
        <v>1640</v>
      </c>
      <c r="C250" s="12"/>
      <c r="D250" s="12"/>
      <c r="E250" s="12"/>
      <c r="F250" s="12"/>
      <c r="G250" s="51"/>
      <c r="H250" s="51"/>
      <c r="I250" s="2355">
        <f t="shared" si="4"/>
        <v>21000</v>
      </c>
      <c r="J250" s="2355"/>
      <c r="K250" s="2355">
        <f t="shared" si="5"/>
        <v>0</v>
      </c>
      <c r="L250" s="2355"/>
      <c r="M250" s="2356">
        <f t="shared" si="6"/>
        <v>21000</v>
      </c>
      <c r="N250" s="2356"/>
      <c r="O250" s="2356">
        <f t="shared" si="7"/>
        <v>0</v>
      </c>
      <c r="P250" s="2356"/>
    </row>
    <row r="251" spans="2:16" s="4" customFormat="1" x14ac:dyDescent="0.25">
      <c r="B251" s="1015" t="s">
        <v>139</v>
      </c>
      <c r="C251" s="12"/>
      <c r="D251" s="12"/>
      <c r="E251" s="12"/>
      <c r="F251" s="12"/>
      <c r="G251" s="51"/>
      <c r="H251" s="51"/>
      <c r="I251" s="2355">
        <f t="shared" si="4"/>
        <v>15000</v>
      </c>
      <c r="J251" s="2355"/>
      <c r="K251" s="2355">
        <f t="shared" si="5"/>
        <v>75000</v>
      </c>
      <c r="L251" s="2355"/>
      <c r="M251" s="2356">
        <f t="shared" si="6"/>
        <v>0</v>
      </c>
      <c r="N251" s="2356"/>
      <c r="O251" s="2356">
        <f t="shared" si="7"/>
        <v>60000</v>
      </c>
      <c r="P251" s="2356"/>
    </row>
    <row r="252" spans="2:16" s="4" customFormat="1" x14ac:dyDescent="0.25">
      <c r="B252" s="1015" t="s">
        <v>4</v>
      </c>
      <c r="C252" s="12"/>
      <c r="D252" s="12"/>
      <c r="E252" s="12"/>
      <c r="F252" s="12"/>
      <c r="G252" s="51"/>
      <c r="H252" s="51"/>
      <c r="I252" s="2355">
        <f t="shared" si="4"/>
        <v>100000</v>
      </c>
      <c r="J252" s="2355"/>
      <c r="K252" s="2355">
        <f t="shared" si="5"/>
        <v>0</v>
      </c>
      <c r="L252" s="2355"/>
      <c r="M252" s="2356">
        <f t="shared" si="6"/>
        <v>100000</v>
      </c>
      <c r="N252" s="2356"/>
      <c r="O252" s="2356">
        <f t="shared" si="7"/>
        <v>0</v>
      </c>
      <c r="P252" s="2356"/>
    </row>
    <row r="253" spans="2:16" s="4" customFormat="1" x14ac:dyDescent="0.25">
      <c r="B253" s="1015" t="s">
        <v>13</v>
      </c>
      <c r="C253" s="12"/>
      <c r="D253" s="12"/>
      <c r="E253" s="12"/>
      <c r="F253" s="12"/>
      <c r="G253" s="51"/>
      <c r="H253" s="51"/>
      <c r="I253" s="2355">
        <f t="shared" si="4"/>
        <v>19614</v>
      </c>
      <c r="J253" s="2355"/>
      <c r="K253" s="2355">
        <f t="shared" si="5"/>
        <v>0</v>
      </c>
      <c r="L253" s="2355"/>
      <c r="M253" s="2356">
        <f t="shared" si="6"/>
        <v>19614</v>
      </c>
      <c r="N253" s="2356"/>
      <c r="O253" s="2356">
        <f t="shared" si="7"/>
        <v>0</v>
      </c>
      <c r="P253" s="2356"/>
    </row>
    <row r="254" spans="2:16" s="4" customFormat="1" x14ac:dyDescent="0.25">
      <c r="B254" s="1015" t="s">
        <v>12</v>
      </c>
      <c r="C254" s="12"/>
      <c r="D254" s="12"/>
      <c r="E254" s="12"/>
      <c r="F254" s="12"/>
      <c r="G254" s="51"/>
      <c r="H254" s="51"/>
      <c r="I254" s="2355">
        <f t="shared" si="4"/>
        <v>0</v>
      </c>
      <c r="J254" s="2355"/>
      <c r="K254" s="2355">
        <f t="shared" si="5"/>
        <v>7560</v>
      </c>
      <c r="L254" s="2355"/>
      <c r="M254" s="2356">
        <f t="shared" si="6"/>
        <v>0</v>
      </c>
      <c r="N254" s="2356"/>
      <c r="O254" s="2356">
        <f t="shared" si="7"/>
        <v>7560</v>
      </c>
      <c r="P254" s="2356"/>
    </row>
    <row r="255" spans="2:16" s="4" customFormat="1" x14ac:dyDescent="0.25">
      <c r="B255" s="1015" t="s">
        <v>5</v>
      </c>
      <c r="C255" s="12"/>
      <c r="D255" s="12"/>
      <c r="E255" s="12"/>
      <c r="F255" s="12"/>
      <c r="G255" s="51"/>
      <c r="H255" s="51"/>
      <c r="I255" s="2355">
        <f t="shared" si="4"/>
        <v>71200</v>
      </c>
      <c r="J255" s="2355"/>
      <c r="K255" s="2355">
        <f t="shared" si="5"/>
        <v>24000</v>
      </c>
      <c r="L255" s="2355"/>
      <c r="M255" s="2356">
        <f t="shared" si="6"/>
        <v>47200</v>
      </c>
      <c r="N255" s="2356"/>
      <c r="O255" s="2356">
        <f t="shared" si="7"/>
        <v>0</v>
      </c>
      <c r="P255" s="2356"/>
    </row>
    <row r="256" spans="2:16" s="4" customFormat="1" x14ac:dyDescent="0.25">
      <c r="B256" s="1015" t="s">
        <v>2</v>
      </c>
      <c r="C256" s="12"/>
      <c r="D256" s="12"/>
      <c r="E256" s="12"/>
      <c r="F256" s="12"/>
      <c r="G256" s="51"/>
      <c r="H256" s="51"/>
      <c r="I256" s="2355">
        <f t="shared" si="4"/>
        <v>61710</v>
      </c>
      <c r="J256" s="2355"/>
      <c r="K256" s="2355">
        <f t="shared" si="5"/>
        <v>61710</v>
      </c>
      <c r="L256" s="2355"/>
      <c r="M256" s="2356">
        <f t="shared" si="6"/>
        <v>0</v>
      </c>
      <c r="N256" s="2356"/>
      <c r="O256" s="2356">
        <f t="shared" si="7"/>
        <v>0</v>
      </c>
      <c r="P256" s="2356"/>
    </row>
    <row r="257" spans="2:16" s="4" customFormat="1" x14ac:dyDescent="0.25">
      <c r="B257" s="1015" t="s">
        <v>2028</v>
      </c>
      <c r="C257" s="12"/>
      <c r="D257" s="12"/>
      <c r="E257" s="12"/>
      <c r="F257" s="12"/>
      <c r="G257" s="51"/>
      <c r="H257" s="51"/>
      <c r="I257" s="2355">
        <f t="shared" si="4"/>
        <v>0</v>
      </c>
      <c r="J257" s="2355"/>
      <c r="K257" s="2355">
        <f t="shared" si="5"/>
        <v>25410</v>
      </c>
      <c r="L257" s="2355"/>
      <c r="M257" s="2356">
        <f t="shared" si="6"/>
        <v>0</v>
      </c>
      <c r="N257" s="2356"/>
      <c r="O257" s="2356">
        <f t="shared" si="7"/>
        <v>25410</v>
      </c>
      <c r="P257" s="2356"/>
    </row>
    <row r="258" spans="2:16" s="4" customFormat="1" x14ac:dyDescent="0.25">
      <c r="B258" s="1015" t="s">
        <v>297</v>
      </c>
      <c r="C258" s="12"/>
      <c r="D258" s="12"/>
      <c r="E258" s="12"/>
      <c r="F258" s="12"/>
      <c r="G258" s="51"/>
      <c r="H258" s="51"/>
      <c r="I258" s="2355">
        <f t="shared" si="4"/>
        <v>10000</v>
      </c>
      <c r="J258" s="2355"/>
      <c r="K258" s="2355">
        <f t="shared" si="5"/>
        <v>0</v>
      </c>
      <c r="L258" s="2355"/>
      <c r="M258" s="2356">
        <f t="shared" si="6"/>
        <v>10000</v>
      </c>
      <c r="N258" s="2356"/>
      <c r="O258" s="2356">
        <f t="shared" si="7"/>
        <v>0</v>
      </c>
      <c r="P258" s="2356"/>
    </row>
    <row r="259" spans="2:16" s="4" customFormat="1" x14ac:dyDescent="0.25">
      <c r="B259" s="1015" t="s">
        <v>288</v>
      </c>
      <c r="C259" s="12"/>
      <c r="D259" s="12"/>
      <c r="E259" s="12"/>
      <c r="F259" s="12"/>
      <c r="G259" s="51"/>
      <c r="H259" s="51"/>
      <c r="I259" s="2355">
        <f t="shared" si="4"/>
        <v>0</v>
      </c>
      <c r="J259" s="2355"/>
      <c r="K259" s="2355">
        <f t="shared" si="5"/>
        <v>8300</v>
      </c>
      <c r="L259" s="2355"/>
      <c r="M259" s="2356">
        <f t="shared" si="6"/>
        <v>0</v>
      </c>
      <c r="N259" s="2356"/>
      <c r="O259" s="2356">
        <f t="shared" si="7"/>
        <v>8300</v>
      </c>
      <c r="P259" s="2356"/>
    </row>
    <row r="260" spans="2:16" s="4" customFormat="1" x14ac:dyDescent="0.25">
      <c r="B260" s="1017" t="s">
        <v>3</v>
      </c>
      <c r="C260" s="11"/>
      <c r="D260" s="11"/>
      <c r="E260" s="11"/>
      <c r="F260" s="11"/>
      <c r="G260" s="24"/>
      <c r="H260" s="24"/>
      <c r="I260" s="2350">
        <f t="shared" si="4"/>
        <v>0</v>
      </c>
      <c r="J260" s="2350"/>
      <c r="K260" s="2350">
        <f t="shared" si="5"/>
        <v>36000</v>
      </c>
      <c r="L260" s="2350"/>
      <c r="M260" s="2351">
        <f t="shared" si="6"/>
        <v>0</v>
      </c>
      <c r="N260" s="2351"/>
      <c r="O260" s="2351">
        <f t="shared" si="7"/>
        <v>36000</v>
      </c>
      <c r="P260" s="2351"/>
    </row>
    <row r="261" spans="2:16" s="4" customFormat="1" ht="5.25" customHeight="1" x14ac:dyDescent="0.25">
      <c r="B261" s="1004"/>
      <c r="C261" s="12"/>
      <c r="D261" s="12"/>
      <c r="E261" s="12"/>
      <c r="F261" s="12"/>
      <c r="G261" s="51"/>
      <c r="H261" s="51"/>
      <c r="I261" s="1276"/>
      <c r="J261" s="1276"/>
      <c r="K261" s="1276"/>
      <c r="L261" s="1276"/>
      <c r="M261" s="1275"/>
      <c r="N261" s="1275"/>
      <c r="O261" s="1275"/>
      <c r="P261" s="1275"/>
    </row>
    <row r="262" spans="2:16" s="4" customFormat="1" ht="15.75" x14ac:dyDescent="0.25">
      <c r="B262" s="1274" t="s">
        <v>410</v>
      </c>
      <c r="C262" s="227"/>
      <c r="D262" s="227"/>
      <c r="E262" s="227"/>
      <c r="F262" s="227"/>
      <c r="G262" s="1002"/>
      <c r="H262" s="1002"/>
      <c r="I262" s="2352">
        <f>+SUM(I239:J260)</f>
        <v>1227434</v>
      </c>
      <c r="J262" s="2352"/>
      <c r="K262" s="2352">
        <f>+SUM(K239:L260)</f>
        <v>1227434</v>
      </c>
      <c r="L262" s="2352"/>
      <c r="M262" s="2353">
        <f>+SUM(M239:N260)</f>
        <v>641270</v>
      </c>
      <c r="N262" s="2353"/>
      <c r="O262" s="2353">
        <f>+SUM(O239:P260)</f>
        <v>641270</v>
      </c>
      <c r="P262" s="2353"/>
    </row>
    <row r="263" spans="2:16" s="4" customFormat="1" x14ac:dyDescent="0.25">
      <c r="B263" s="1004"/>
      <c r="C263" s="12"/>
      <c r="D263" s="12"/>
      <c r="E263" s="12"/>
      <c r="F263" s="12"/>
      <c r="G263" s="51"/>
      <c r="H263" s="51"/>
      <c r="M263" s="18"/>
      <c r="N263" s="18"/>
      <c r="O263" s="18"/>
      <c r="P263" s="18"/>
    </row>
    <row r="264" spans="2:16" s="4" customFormat="1" x14ac:dyDescent="0.25">
      <c r="B264" s="1004"/>
      <c r="C264" s="12"/>
      <c r="D264" s="12"/>
      <c r="E264" s="12"/>
      <c r="F264" s="12"/>
      <c r="G264" s="51"/>
      <c r="H264" s="51"/>
      <c r="M264" s="18"/>
      <c r="N264" s="18"/>
      <c r="O264" s="18"/>
      <c r="P264" s="18"/>
    </row>
    <row r="265" spans="2:16" s="4" customFormat="1" x14ac:dyDescent="0.25">
      <c r="B265" s="1004"/>
      <c r="C265" s="12"/>
      <c r="D265" s="12"/>
      <c r="E265" s="12"/>
      <c r="F265" s="12"/>
      <c r="G265" s="51"/>
      <c r="H265" s="51"/>
      <c r="M265" s="18"/>
      <c r="N265" s="18"/>
      <c r="O265" s="18"/>
      <c r="P265" s="18"/>
    </row>
    <row r="266" spans="2:16" s="4" customFormat="1" x14ac:dyDescent="0.25">
      <c r="B266" s="1004"/>
      <c r="C266" s="12"/>
      <c r="D266" s="12"/>
      <c r="E266" s="12"/>
      <c r="F266" s="12"/>
      <c r="G266" s="51"/>
      <c r="H266" s="51"/>
      <c r="M266" s="18"/>
      <c r="N266" s="18"/>
      <c r="O266" s="18"/>
      <c r="P266" s="18"/>
    </row>
    <row r="267" spans="2:16" s="4" customFormat="1" x14ac:dyDescent="0.25">
      <c r="B267" s="1004"/>
      <c r="C267" s="12"/>
      <c r="D267" s="12"/>
      <c r="E267" s="12"/>
      <c r="F267" s="12"/>
      <c r="G267" s="51"/>
      <c r="H267" s="51"/>
      <c r="M267" s="18"/>
      <c r="N267" s="18"/>
      <c r="O267" s="18"/>
      <c r="P267" s="18"/>
    </row>
    <row r="268" spans="2:16" s="4" customFormat="1" x14ac:dyDescent="0.25">
      <c r="B268" s="1004"/>
      <c r="C268" s="12"/>
      <c r="D268" s="12"/>
      <c r="E268" s="12"/>
      <c r="F268" s="12"/>
      <c r="G268" s="51"/>
      <c r="H268" s="51"/>
      <c r="M268" s="18"/>
      <c r="N268" s="18"/>
      <c r="O268" s="18"/>
      <c r="P268" s="18"/>
    </row>
    <row r="269" spans="2:16" s="4" customFormat="1" x14ac:dyDescent="0.25">
      <c r="B269" s="50" t="s">
        <v>411</v>
      </c>
      <c r="C269" s="258" t="s">
        <v>2027</v>
      </c>
      <c r="D269" s="12"/>
      <c r="E269" s="12"/>
      <c r="F269" s="12"/>
      <c r="G269" s="51"/>
      <c r="H269" s="51"/>
      <c r="M269" s="18"/>
      <c r="N269" s="18"/>
      <c r="O269" s="18"/>
      <c r="P269" s="18"/>
    </row>
    <row r="270" spans="2:16" s="4" customFormat="1" x14ac:dyDescent="0.25">
      <c r="B270" s="1004"/>
      <c r="C270" s="12"/>
      <c r="D270" s="12"/>
      <c r="E270" s="12"/>
      <c r="F270" s="12"/>
      <c r="G270" s="51"/>
      <c r="H270" s="51"/>
      <c r="L270" s="2054" t="s">
        <v>1633</v>
      </c>
      <c r="M270" s="2054"/>
      <c r="N270" s="18"/>
      <c r="O270" s="18"/>
      <c r="P270" s="18"/>
    </row>
    <row r="271" spans="2:16" s="4" customFormat="1" x14ac:dyDescent="0.25">
      <c r="B271" s="1004"/>
      <c r="C271" s="2347" t="s">
        <v>413</v>
      </c>
      <c r="D271" s="2348"/>
      <c r="E271" s="2348"/>
      <c r="F271" s="2348"/>
      <c r="G271" s="2348"/>
      <c r="H271" s="2348"/>
      <c r="I271" s="2348"/>
      <c r="J271" s="2348"/>
      <c r="K271" s="157"/>
      <c r="L271" s="660" t="s">
        <v>2026</v>
      </c>
      <c r="M271" s="18"/>
      <c r="N271" s="18"/>
      <c r="O271" s="18"/>
      <c r="P271" s="18"/>
    </row>
    <row r="272" spans="2:16" s="4" customFormat="1" x14ac:dyDescent="0.25">
      <c r="B272" s="1004"/>
      <c r="C272" s="1272"/>
      <c r="D272" s="12"/>
      <c r="E272" s="12"/>
      <c r="F272" s="12"/>
      <c r="G272" s="51"/>
      <c r="H272" s="51"/>
      <c r="K272" s="500"/>
      <c r="L272" s="2354" t="s">
        <v>565</v>
      </c>
      <c r="M272" s="2354"/>
      <c r="N272" s="18"/>
      <c r="O272" s="18"/>
      <c r="P272" s="18"/>
    </row>
    <row r="273" spans="2:16" s="4" customFormat="1" x14ac:dyDescent="0.25">
      <c r="B273" s="1004"/>
      <c r="C273" s="1272" t="s">
        <v>3</v>
      </c>
      <c r="D273" s="12"/>
      <c r="E273" s="12"/>
      <c r="F273" s="12"/>
      <c r="G273" s="51"/>
      <c r="H273" s="51"/>
      <c r="I273" s="2170">
        <f>+O260</f>
        <v>36000</v>
      </c>
      <c r="J273" s="1993"/>
      <c r="K273" s="500"/>
      <c r="M273" s="18"/>
      <c r="N273" s="18"/>
      <c r="O273" s="18"/>
      <c r="P273" s="18"/>
    </row>
    <row r="274" spans="2:16" s="4" customFormat="1" x14ac:dyDescent="0.25">
      <c r="B274" s="1004"/>
      <c r="C274" s="1272" t="s">
        <v>400</v>
      </c>
      <c r="D274" s="12"/>
      <c r="E274" s="12"/>
      <c r="F274" s="12"/>
      <c r="G274" s="51"/>
      <c r="H274" s="51"/>
      <c r="I274" s="2170">
        <f>-M246</f>
        <v>-24000</v>
      </c>
      <c r="J274" s="1993"/>
      <c r="K274" s="500"/>
      <c r="L274" s="2344">
        <f t="shared" ref="L274:L280" si="8">+I274/$I$273</f>
        <v>-0.66666666666666663</v>
      </c>
      <c r="M274" s="2344"/>
      <c r="N274" s="18"/>
      <c r="O274" s="18"/>
      <c r="P274" s="18"/>
    </row>
    <row r="275" spans="2:16" s="4" customFormat="1" x14ac:dyDescent="0.25">
      <c r="B275" s="1004"/>
      <c r="C275" s="1273" t="s">
        <v>414</v>
      </c>
      <c r="D275" s="237"/>
      <c r="E275" s="237"/>
      <c r="F275" s="237"/>
      <c r="G275" s="1005"/>
      <c r="H275" s="1005"/>
      <c r="I275" s="2339">
        <f>+I273+I274</f>
        <v>12000</v>
      </c>
      <c r="J275" s="1845"/>
      <c r="K275" s="500"/>
      <c r="L275" s="2344">
        <f t="shared" si="8"/>
        <v>0.33333333333333331</v>
      </c>
      <c r="M275" s="2344"/>
      <c r="N275" s="18"/>
      <c r="O275" s="18"/>
      <c r="P275" s="18"/>
    </row>
    <row r="276" spans="2:16" s="4" customFormat="1" x14ac:dyDescent="0.25">
      <c r="B276" s="1004"/>
      <c r="C276" s="1272" t="s">
        <v>415</v>
      </c>
      <c r="D276" s="12"/>
      <c r="E276" s="12"/>
      <c r="F276" s="12"/>
      <c r="G276" s="51"/>
      <c r="H276" s="51"/>
      <c r="I276" s="2170">
        <f>-(+M244+M258)</f>
        <v>-12300</v>
      </c>
      <c r="J276" s="1993"/>
      <c r="K276" s="500"/>
      <c r="L276" s="2344">
        <f t="shared" si="8"/>
        <v>-0.34166666666666667</v>
      </c>
      <c r="M276" s="2344"/>
      <c r="N276" s="18"/>
      <c r="O276" s="18"/>
      <c r="P276" s="18"/>
    </row>
    <row r="277" spans="2:16" s="4" customFormat="1" x14ac:dyDescent="0.25">
      <c r="B277" s="1004"/>
      <c r="C277" s="1272" t="s">
        <v>417</v>
      </c>
      <c r="D277" s="12"/>
      <c r="E277" s="12"/>
      <c r="F277" s="12"/>
      <c r="G277" s="51"/>
      <c r="H277" s="51"/>
      <c r="I277" s="2170">
        <f>-M250</f>
        <v>-21000</v>
      </c>
      <c r="J277" s="1993"/>
      <c r="K277" s="500"/>
      <c r="L277" s="2344">
        <f t="shared" si="8"/>
        <v>-0.58333333333333337</v>
      </c>
      <c r="M277" s="2344"/>
      <c r="N277" s="18"/>
      <c r="O277" s="18"/>
      <c r="P277" s="18"/>
    </row>
    <row r="278" spans="2:16" s="4" customFormat="1" x14ac:dyDescent="0.25">
      <c r="B278" s="1004"/>
      <c r="C278" s="1273" t="s">
        <v>418</v>
      </c>
      <c r="D278" s="237"/>
      <c r="E278" s="237"/>
      <c r="F278" s="237"/>
      <c r="G278" s="1005"/>
      <c r="H278" s="1005"/>
      <c r="I278" s="2339">
        <f>+I275+I276+I277</f>
        <v>-21300</v>
      </c>
      <c r="J278" s="1845"/>
      <c r="K278" s="500"/>
      <c r="L278" s="2344">
        <f t="shared" si="8"/>
        <v>-0.59166666666666667</v>
      </c>
      <c r="M278" s="2344"/>
      <c r="N278" s="18"/>
      <c r="O278" s="18"/>
      <c r="P278" s="18"/>
    </row>
    <row r="279" spans="2:16" s="4" customFormat="1" x14ac:dyDescent="0.25">
      <c r="B279" s="1004"/>
      <c r="C279" s="1272" t="s">
        <v>402</v>
      </c>
      <c r="D279" s="12"/>
      <c r="E279" s="12"/>
      <c r="F279" s="12"/>
      <c r="G279" s="51"/>
      <c r="H279" s="51"/>
      <c r="I279" s="2170">
        <f>-I248-I249</f>
        <v>-4050</v>
      </c>
      <c r="J279" s="1993"/>
      <c r="K279" s="500"/>
      <c r="L279" s="2344">
        <f t="shared" si="8"/>
        <v>-0.1125</v>
      </c>
      <c r="M279" s="2344"/>
      <c r="N279" s="18"/>
      <c r="O279" s="18"/>
      <c r="P279" s="18"/>
    </row>
    <row r="280" spans="2:16" s="4" customFormat="1" ht="15.75" thickBot="1" x14ac:dyDescent="0.3">
      <c r="B280" s="1004"/>
      <c r="C280" s="1271" t="s">
        <v>421</v>
      </c>
      <c r="D280" s="1270"/>
      <c r="E280" s="1270"/>
      <c r="F280" s="1270"/>
      <c r="G280" s="1269"/>
      <c r="H280" s="1269"/>
      <c r="I280" s="2345">
        <f>+I278+I279</f>
        <v>-25350</v>
      </c>
      <c r="J280" s="2346"/>
      <c r="K280" s="1268"/>
      <c r="L280" s="2344">
        <f t="shared" si="8"/>
        <v>-0.70416666666666672</v>
      </c>
      <c r="M280" s="2344"/>
      <c r="N280" s="18"/>
      <c r="O280" s="18"/>
      <c r="P280" s="18"/>
    </row>
    <row r="281" spans="2:16" s="4" customFormat="1" ht="15.75" thickTop="1" x14ac:dyDescent="0.25">
      <c r="B281" s="1004"/>
      <c r="C281" s="1212"/>
      <c r="D281" s="11"/>
      <c r="E281" s="11"/>
      <c r="F281" s="11"/>
      <c r="G281" s="24"/>
      <c r="H281" s="24"/>
      <c r="I281" s="3"/>
      <c r="J281" s="3"/>
      <c r="K281" s="354"/>
      <c r="M281" s="18"/>
      <c r="N281" s="18"/>
      <c r="O281" s="18"/>
      <c r="P281" s="18"/>
    </row>
    <row r="282" spans="2:16" s="4" customFormat="1" x14ac:dyDescent="0.25">
      <c r="B282" s="1004"/>
      <c r="C282" s="12"/>
      <c r="D282" s="12"/>
      <c r="E282" s="12"/>
      <c r="F282" s="12"/>
      <c r="G282" s="51"/>
      <c r="H282" s="51"/>
      <c r="M282" s="18"/>
      <c r="N282" s="18"/>
      <c r="O282" s="18"/>
      <c r="P282" s="18"/>
    </row>
    <row r="283" spans="2:16" s="4" customFormat="1" x14ac:dyDescent="0.25">
      <c r="B283" s="1004"/>
      <c r="C283" s="2347" t="s">
        <v>422</v>
      </c>
      <c r="D283" s="2348"/>
      <c r="E283" s="2348"/>
      <c r="F283" s="2348"/>
      <c r="G283" s="2348"/>
      <c r="H283" s="2348"/>
      <c r="I283" s="2348"/>
      <c r="J283" s="2348"/>
      <c r="K283" s="2348"/>
      <c r="L283" s="2348"/>
      <c r="M283" s="2348"/>
      <c r="N283" s="2348"/>
      <c r="O283" s="2348"/>
      <c r="P283" s="2349"/>
    </row>
    <row r="284" spans="2:16" s="4" customFormat="1" x14ac:dyDescent="0.25">
      <c r="B284" s="1004"/>
      <c r="C284" s="1267"/>
      <c r="D284" s="1266"/>
      <c r="E284" s="1266"/>
      <c r="F284" s="1266"/>
      <c r="G284" s="1266"/>
      <c r="H284" s="1266"/>
      <c r="I284" s="1266"/>
      <c r="J284" s="1266"/>
      <c r="M284" s="18"/>
      <c r="N284" s="18"/>
      <c r="O284" s="18"/>
      <c r="P284" s="505"/>
    </row>
    <row r="285" spans="2:16" s="4" customFormat="1" x14ac:dyDescent="0.25">
      <c r="B285" s="1004"/>
      <c r="C285" s="1093" t="s">
        <v>397</v>
      </c>
      <c r="D285" s="12"/>
      <c r="E285" s="12"/>
      <c r="F285" s="12"/>
      <c r="G285" s="51"/>
      <c r="H285" s="2170">
        <f>+M241+M242</f>
        <v>369546</v>
      </c>
      <c r="I285" s="1993"/>
      <c r="J285" s="4" t="s">
        <v>404</v>
      </c>
      <c r="M285" s="18"/>
      <c r="N285" s="2012">
        <f>+O257</f>
        <v>25410</v>
      </c>
      <c r="O285" s="2012"/>
      <c r="P285" s="505"/>
    </row>
    <row r="286" spans="2:16" s="4" customFormat="1" x14ac:dyDescent="0.25">
      <c r="B286" s="1004"/>
      <c r="C286" s="1093" t="s">
        <v>403</v>
      </c>
      <c r="D286" s="12"/>
      <c r="E286" s="12"/>
      <c r="F286" s="12"/>
      <c r="G286" s="51"/>
      <c r="H286" s="2170">
        <f>+M247</f>
        <v>43560</v>
      </c>
      <c r="I286" s="1993"/>
      <c r="J286" s="4" t="s">
        <v>399</v>
      </c>
      <c r="M286" s="18"/>
      <c r="N286" s="2012">
        <f>+O245+O259+O254</f>
        <v>19860</v>
      </c>
      <c r="O286" s="2012"/>
      <c r="P286" s="505"/>
    </row>
    <row r="287" spans="2:16" s="4" customFormat="1" x14ac:dyDescent="0.25">
      <c r="B287" s="1004"/>
      <c r="C287" s="1093" t="s">
        <v>407</v>
      </c>
      <c r="D287" s="12"/>
      <c r="E287" s="12"/>
      <c r="F287" s="12"/>
      <c r="G287" s="51"/>
      <c r="H287" s="2170">
        <f>+M253</f>
        <v>19614</v>
      </c>
      <c r="I287" s="1993"/>
      <c r="J287" s="4" t="s">
        <v>1303</v>
      </c>
      <c r="M287" s="18"/>
      <c r="N287" s="2012">
        <f>+O251</f>
        <v>60000</v>
      </c>
      <c r="O287" s="2012"/>
      <c r="P287" s="505"/>
    </row>
    <row r="288" spans="2:16" s="4" customFormat="1" x14ac:dyDescent="0.25">
      <c r="B288" s="1004"/>
      <c r="C288" s="1093" t="s">
        <v>19</v>
      </c>
      <c r="D288" s="12"/>
      <c r="E288" s="12"/>
      <c r="F288" s="12"/>
      <c r="G288" s="51"/>
      <c r="H288" s="2170">
        <f>+M255</f>
        <v>47200</v>
      </c>
      <c r="I288" s="1993"/>
      <c r="J288" s="439" t="s">
        <v>2025</v>
      </c>
      <c r="M288" s="18"/>
      <c r="N288" s="2340">
        <f>+SUM(N285:O287)</f>
        <v>105270</v>
      </c>
      <c r="O288" s="2340"/>
      <c r="P288" s="505"/>
    </row>
    <row r="289" spans="2:16" s="4" customFormat="1" x14ac:dyDescent="0.25">
      <c r="B289" s="1004"/>
      <c r="C289" s="1265" t="s">
        <v>424</v>
      </c>
      <c r="D289" s="12"/>
      <c r="E289" s="12"/>
      <c r="F289" s="12"/>
      <c r="G289" s="51"/>
      <c r="H289" s="2339">
        <f>+SUM(H285:I288)</f>
        <v>479920</v>
      </c>
      <c r="I289" s="1845"/>
      <c r="J289" s="439" t="s">
        <v>432</v>
      </c>
      <c r="M289" s="18"/>
      <c r="N289" s="2340">
        <f>+N288</f>
        <v>105270</v>
      </c>
      <c r="O289" s="2340"/>
      <c r="P289" s="505"/>
    </row>
    <row r="290" spans="2:16" s="4" customFormat="1" x14ac:dyDescent="0.25">
      <c r="B290" s="1004"/>
      <c r="C290" s="1093" t="s">
        <v>53</v>
      </c>
      <c r="D290" s="12"/>
      <c r="E290" s="12"/>
      <c r="F290" s="12"/>
      <c r="G290" s="51"/>
      <c r="H290" s="2170">
        <f>+M252</f>
        <v>100000</v>
      </c>
      <c r="I290" s="1993"/>
      <c r="M290" s="18"/>
      <c r="N290" s="2012"/>
      <c r="O290" s="2012"/>
      <c r="P290" s="505"/>
    </row>
    <row r="291" spans="2:16" s="4" customFormat="1" x14ac:dyDescent="0.25">
      <c r="B291" s="1004"/>
      <c r="C291" s="1265" t="s">
        <v>426</v>
      </c>
      <c r="D291" s="12"/>
      <c r="E291" s="12"/>
      <c r="F291" s="12"/>
      <c r="G291" s="51"/>
      <c r="H291" s="2339">
        <f>+H290</f>
        <v>100000</v>
      </c>
      <c r="I291" s="1845"/>
      <c r="J291" s="439" t="s">
        <v>396</v>
      </c>
      <c r="M291" s="18"/>
      <c r="N291" s="2340">
        <f>+O243+I280</f>
        <v>474650</v>
      </c>
      <c r="O291" s="2340"/>
      <c r="P291" s="505"/>
    </row>
    <row r="292" spans="2:16" s="4" customFormat="1" ht="15.75" thickBot="1" x14ac:dyDescent="0.3">
      <c r="B292" s="1004"/>
      <c r="C292" s="1264" t="s">
        <v>427</v>
      </c>
      <c r="D292" s="1263"/>
      <c r="E292" s="1263"/>
      <c r="F292" s="1263"/>
      <c r="G292" s="1262"/>
      <c r="H292" s="2341">
        <f>+H289+H291</f>
        <v>579920</v>
      </c>
      <c r="I292" s="2342"/>
      <c r="J292" s="1261" t="s">
        <v>1533</v>
      </c>
      <c r="K292" s="1111"/>
      <c r="L292" s="1111"/>
      <c r="M292" s="1260"/>
      <c r="N292" s="2343">
        <f>+N289+N291</f>
        <v>579920</v>
      </c>
      <c r="O292" s="2343"/>
      <c r="P292" s="1259"/>
    </row>
    <row r="293" spans="2:16" s="4" customFormat="1" ht="15.75" thickTop="1" x14ac:dyDescent="0.25">
      <c r="B293" s="1004"/>
      <c r="C293" s="1212"/>
      <c r="D293" s="11"/>
      <c r="E293" s="11"/>
      <c r="F293" s="11"/>
      <c r="G293" s="24"/>
      <c r="H293" s="1007"/>
      <c r="I293" s="3"/>
      <c r="J293" s="3"/>
      <c r="K293" s="3"/>
      <c r="L293" s="3"/>
      <c r="M293" s="22"/>
      <c r="N293" s="2100"/>
      <c r="O293" s="2100"/>
      <c r="P293" s="511"/>
    </row>
    <row r="294" spans="2:16" s="4" customFormat="1" x14ac:dyDescent="0.25">
      <c r="B294" s="1004"/>
      <c r="D294" s="12"/>
      <c r="E294" s="12"/>
      <c r="F294" s="12"/>
      <c r="G294" s="51"/>
      <c r="H294" s="51"/>
      <c r="M294" s="18"/>
      <c r="N294" s="18"/>
      <c r="O294" s="18"/>
      <c r="P294" s="18"/>
    </row>
    <row r="295" spans="2:16" s="4" customFormat="1" x14ac:dyDescent="0.25">
      <c r="B295" s="1004"/>
      <c r="C295" s="12"/>
      <c r="D295" s="12"/>
      <c r="E295" s="12"/>
      <c r="F295" s="12"/>
      <c r="G295" s="51"/>
      <c r="H295" s="51"/>
      <c r="M295" s="18"/>
      <c r="N295" s="18"/>
      <c r="O295" s="18"/>
      <c r="P295" s="18"/>
    </row>
    <row r="296" spans="2:16" s="4" customFormat="1" x14ac:dyDescent="0.25">
      <c r="B296" s="1004"/>
      <c r="C296" s="12"/>
      <c r="D296" s="12"/>
      <c r="E296" s="12"/>
      <c r="F296" s="12"/>
      <c r="G296" s="51"/>
      <c r="H296" s="51"/>
      <c r="M296" s="18"/>
      <c r="N296" s="18"/>
      <c r="O296" s="18"/>
      <c r="P296" s="18"/>
    </row>
    <row r="297" spans="2:16" s="4" customFormat="1" x14ac:dyDescent="0.25">
      <c r="B297" s="1004"/>
      <c r="C297" s="12"/>
      <c r="D297" s="12"/>
      <c r="E297" s="12"/>
      <c r="F297" s="12"/>
      <c r="G297" s="51"/>
      <c r="H297" s="51"/>
      <c r="M297" s="18"/>
      <c r="N297" s="18"/>
      <c r="O297" s="18"/>
      <c r="P297" s="18"/>
    </row>
    <row r="298" spans="2:16" s="4" customFormat="1" x14ac:dyDescent="0.25">
      <c r="B298" s="1004"/>
      <c r="C298" s="12"/>
      <c r="D298" s="12"/>
      <c r="E298" s="12"/>
      <c r="F298" s="12"/>
      <c r="G298" s="51"/>
      <c r="H298" s="51"/>
      <c r="M298" s="18"/>
      <c r="N298" s="18"/>
      <c r="O298" s="18"/>
      <c r="P298" s="18"/>
    </row>
    <row r="299" spans="2:16" s="4" customFormat="1" x14ac:dyDescent="0.25">
      <c r="B299" s="1004"/>
      <c r="C299" s="12"/>
      <c r="D299" s="12"/>
      <c r="E299" s="12"/>
      <c r="F299" s="12"/>
      <c r="G299" s="51"/>
      <c r="H299" s="51"/>
      <c r="M299" s="18"/>
      <c r="N299" s="18"/>
      <c r="O299" s="18"/>
      <c r="P299" s="18"/>
    </row>
    <row r="300" spans="2:16" s="4" customFormat="1" x14ac:dyDescent="0.25">
      <c r="B300" s="1004"/>
      <c r="C300" s="12"/>
      <c r="D300" s="12"/>
      <c r="E300" s="12"/>
      <c r="F300" s="12"/>
      <c r="G300" s="51"/>
      <c r="H300" s="51"/>
      <c r="M300" s="18"/>
      <c r="N300" s="18"/>
      <c r="O300" s="18"/>
      <c r="P300" s="18"/>
    </row>
    <row r="301" spans="2:16" s="4" customFormat="1" x14ac:dyDescent="0.25">
      <c r="B301" s="1004"/>
      <c r="C301" s="12"/>
      <c r="D301" s="12"/>
      <c r="E301" s="12"/>
      <c r="F301" s="12"/>
      <c r="G301" s="51"/>
      <c r="H301" s="51"/>
      <c r="M301" s="18"/>
      <c r="N301" s="18"/>
      <c r="O301" s="18"/>
      <c r="P301" s="18"/>
    </row>
    <row r="302" spans="2:16" s="4" customFormat="1" x14ac:dyDescent="0.25">
      <c r="B302" s="1004"/>
      <c r="C302" s="12"/>
      <c r="D302" s="12"/>
      <c r="E302" s="12"/>
      <c r="F302" s="12"/>
      <c r="G302" s="51"/>
      <c r="H302" s="51"/>
      <c r="M302" s="18"/>
      <c r="N302" s="18"/>
      <c r="O302" s="18"/>
      <c r="P302" s="18"/>
    </row>
    <row r="303" spans="2:16" s="4" customFormat="1" x14ac:dyDescent="0.25">
      <c r="B303" s="1004"/>
      <c r="C303" s="12"/>
      <c r="D303" s="12"/>
      <c r="E303" s="12"/>
      <c r="F303" s="12"/>
      <c r="G303" s="51"/>
      <c r="H303" s="51"/>
      <c r="M303" s="18"/>
      <c r="N303" s="18"/>
      <c r="O303" s="18"/>
      <c r="P303" s="18"/>
    </row>
    <row r="304" spans="2:16" s="4" customFormat="1" x14ac:dyDescent="0.25">
      <c r="B304" s="1004"/>
      <c r="C304" s="12"/>
      <c r="D304" s="12"/>
      <c r="E304" s="12"/>
      <c r="F304" s="12"/>
      <c r="G304" s="51"/>
      <c r="H304" s="51"/>
      <c r="M304" s="18"/>
      <c r="N304" s="18"/>
      <c r="O304" s="18"/>
      <c r="P304" s="18"/>
    </row>
    <row r="305" spans="1:17" s="4" customFormat="1" x14ac:dyDescent="0.25">
      <c r="B305" s="1004"/>
      <c r="C305" s="12"/>
      <c r="D305" s="12"/>
      <c r="E305" s="12"/>
      <c r="F305" s="12"/>
      <c r="G305" s="51"/>
      <c r="H305" s="51"/>
      <c r="M305" s="18"/>
      <c r="N305" s="18"/>
      <c r="O305" s="18"/>
      <c r="P305" s="18"/>
    </row>
    <row r="306" spans="1:17" s="4" customFormat="1" x14ac:dyDescent="0.25">
      <c r="B306" s="1004"/>
      <c r="C306" s="12"/>
      <c r="D306" s="12"/>
      <c r="E306" s="12"/>
      <c r="F306" s="12"/>
      <c r="G306" s="51"/>
      <c r="H306" s="51"/>
      <c r="M306" s="18"/>
      <c r="N306" s="18"/>
      <c r="O306" s="18"/>
      <c r="P306" s="18"/>
    </row>
    <row r="307" spans="1:17" s="4" customFormat="1" x14ac:dyDescent="0.25">
      <c r="B307" s="1004"/>
      <c r="C307" s="12"/>
      <c r="D307" s="12"/>
      <c r="E307" s="12"/>
      <c r="F307" s="12"/>
      <c r="G307" s="51"/>
      <c r="H307" s="51"/>
      <c r="M307" s="18"/>
      <c r="N307" s="18"/>
      <c r="O307" s="18"/>
      <c r="P307" s="18"/>
    </row>
    <row r="308" spans="1:17" s="4" customFormat="1" x14ac:dyDescent="0.25">
      <c r="B308" s="1004"/>
      <c r="C308" s="12"/>
      <c r="D308" s="12"/>
      <c r="E308" s="12"/>
      <c r="F308" s="12"/>
      <c r="G308" s="51"/>
      <c r="H308" s="51"/>
      <c r="M308" s="18"/>
      <c r="N308" s="18"/>
      <c r="O308" s="18"/>
      <c r="P308" s="18"/>
    </row>
    <row r="309" spans="1:17" s="4" customFormat="1" x14ac:dyDescent="0.25">
      <c r="B309" s="1004"/>
      <c r="C309" s="12"/>
      <c r="D309" s="12"/>
      <c r="E309" s="12"/>
      <c r="F309" s="12"/>
      <c r="G309" s="51"/>
      <c r="H309" s="51"/>
      <c r="M309" s="18"/>
      <c r="N309" s="18"/>
      <c r="O309" s="18"/>
      <c r="P309" s="18"/>
    </row>
    <row r="310" spans="1:17" s="4" customFormat="1" x14ac:dyDescent="0.25">
      <c r="B310" s="1004"/>
      <c r="C310" s="12"/>
      <c r="D310" s="12"/>
      <c r="E310" s="12"/>
      <c r="F310" s="12"/>
      <c r="G310" s="51"/>
      <c r="H310" s="51"/>
      <c r="M310" s="18"/>
      <c r="N310" s="18"/>
      <c r="O310" s="18"/>
      <c r="P310" s="18"/>
    </row>
    <row r="311" spans="1:17" s="4" customFormat="1" x14ac:dyDescent="0.25">
      <c r="B311" s="1004"/>
      <c r="C311" s="12"/>
      <c r="D311" s="12"/>
      <c r="E311" s="12"/>
      <c r="F311" s="12"/>
      <c r="G311" s="51"/>
      <c r="H311" s="51"/>
      <c r="M311" s="18"/>
      <c r="N311" s="18"/>
      <c r="O311" s="18"/>
      <c r="P311" s="18"/>
    </row>
    <row r="312" spans="1:17" s="4" customFormat="1" x14ac:dyDescent="0.25">
      <c r="B312" s="1004"/>
      <c r="C312" s="12"/>
      <c r="D312" s="12"/>
      <c r="E312" s="12"/>
      <c r="F312" s="12"/>
      <c r="G312" s="51"/>
      <c r="H312" s="51"/>
      <c r="M312" s="18"/>
      <c r="N312" s="18"/>
      <c r="O312" s="18"/>
      <c r="P312" s="18"/>
    </row>
    <row r="313" spans="1:17" s="4" customFormat="1" x14ac:dyDescent="0.25">
      <c r="B313" s="1004"/>
      <c r="C313" s="12"/>
      <c r="D313" s="12"/>
      <c r="E313" s="12"/>
      <c r="F313" s="12"/>
      <c r="G313" s="51"/>
      <c r="H313" s="51"/>
      <c r="M313" s="18"/>
      <c r="N313" s="18"/>
      <c r="O313" s="18"/>
      <c r="P313" s="18"/>
    </row>
    <row r="314" spans="1:17" s="4" customFormat="1" x14ac:dyDescent="0.25">
      <c r="B314" s="1004"/>
      <c r="C314" s="12"/>
      <c r="D314" s="12"/>
      <c r="E314" s="12"/>
      <c r="F314" s="12"/>
      <c r="G314" s="51"/>
      <c r="H314" s="51"/>
      <c r="M314" s="18"/>
      <c r="N314" s="18"/>
      <c r="O314" s="18"/>
      <c r="P314" s="18"/>
    </row>
    <row r="315" spans="1:17" s="4" customFormat="1" x14ac:dyDescent="0.25">
      <c r="B315" s="1004"/>
      <c r="C315" s="12"/>
      <c r="D315" s="12"/>
      <c r="E315" s="12"/>
      <c r="F315" s="12"/>
      <c r="G315" s="51"/>
      <c r="H315" s="51"/>
      <c r="M315" s="18"/>
      <c r="N315" s="18"/>
      <c r="O315" s="18"/>
      <c r="P315" s="18"/>
    </row>
    <row r="316" spans="1:17" s="4" customFormat="1" x14ac:dyDescent="0.25">
      <c r="B316" s="1004"/>
      <c r="C316" s="12"/>
      <c r="D316" s="12"/>
      <c r="E316" s="12"/>
      <c r="F316" s="12"/>
      <c r="G316" s="51"/>
      <c r="H316" s="51"/>
      <c r="M316" s="18"/>
      <c r="N316" s="18"/>
      <c r="O316" s="18"/>
      <c r="P316" s="18"/>
    </row>
    <row r="317" spans="1:17" s="4" customFormat="1" x14ac:dyDescent="0.25">
      <c r="B317" s="1004"/>
      <c r="C317" s="12"/>
      <c r="D317" s="12"/>
      <c r="E317" s="12"/>
      <c r="F317" s="12"/>
      <c r="G317" s="51"/>
      <c r="H317" s="51"/>
      <c r="M317" s="18"/>
      <c r="N317" s="18"/>
      <c r="O317" s="18"/>
      <c r="P317" s="18"/>
    </row>
    <row r="318" spans="1:17" s="4" customFormat="1" x14ac:dyDescent="0.25">
      <c r="A318" s="3"/>
      <c r="B318" s="1004"/>
      <c r="C318" s="12"/>
      <c r="D318" s="12"/>
      <c r="E318" s="12"/>
      <c r="F318" s="12"/>
      <c r="G318" s="51"/>
      <c r="H318" s="51"/>
      <c r="M318" s="18"/>
      <c r="N318" s="18"/>
      <c r="O318" s="18"/>
      <c r="P318" s="18"/>
    </row>
    <row r="319" spans="1:17" s="4" customFormat="1" x14ac:dyDescent="0.25">
      <c r="A319" s="1844" t="s">
        <v>20</v>
      </c>
      <c r="B319" s="1845"/>
      <c r="C319" s="1845"/>
      <c r="D319" s="1845"/>
      <c r="E319" s="1845"/>
      <c r="F319" s="1845"/>
      <c r="G319" s="1845"/>
      <c r="H319" s="1845"/>
      <c r="I319" s="1845"/>
      <c r="J319" s="1845"/>
      <c r="K319" s="1845"/>
      <c r="L319" s="1845"/>
      <c r="M319" s="1845"/>
      <c r="N319" s="1845"/>
      <c r="O319" s="1845"/>
      <c r="P319" s="1845"/>
      <c r="Q319" s="1846"/>
    </row>
    <row r="320" spans="1:17" s="4" customFormat="1" x14ac:dyDescent="0.25">
      <c r="A320" s="1847" t="s">
        <v>2024</v>
      </c>
      <c r="B320" s="1848"/>
      <c r="C320" s="1848"/>
      <c r="D320" s="1848"/>
      <c r="E320" s="1848"/>
      <c r="F320" s="1848"/>
      <c r="G320" s="1848"/>
      <c r="H320" s="1848"/>
      <c r="I320" s="1848"/>
      <c r="J320" s="1848"/>
      <c r="K320" s="1848"/>
      <c r="L320" s="1848"/>
      <c r="M320" s="1848"/>
      <c r="N320" s="1848"/>
      <c r="O320" s="1848"/>
      <c r="P320" s="1848"/>
      <c r="Q320" s="1849"/>
    </row>
    <row r="321" spans="1:17" s="4" customFormat="1" x14ac:dyDescent="0.25">
      <c r="A321" s="2"/>
      <c r="B321" s="6"/>
      <c r="C321" s="21" t="s">
        <v>2023</v>
      </c>
      <c r="D321" s="12"/>
      <c r="E321" s="12"/>
      <c r="F321" s="12"/>
      <c r="G321" s="27"/>
      <c r="H321" s="27"/>
      <c r="I321" s="2"/>
      <c r="J321" s="2"/>
      <c r="K321" s="2"/>
      <c r="L321" s="2"/>
      <c r="M321" s="10"/>
      <c r="N321" s="10"/>
      <c r="O321" s="10"/>
      <c r="P321" s="10"/>
      <c r="Q321" s="2"/>
    </row>
    <row r="322" spans="1:17" s="4" customFormat="1" ht="7.5" customHeight="1" x14ac:dyDescent="0.25">
      <c r="A322" s="437"/>
      <c r="B322" s="1179"/>
      <c r="C322" s="1178"/>
      <c r="D322" s="1177"/>
      <c r="E322" s="1177"/>
      <c r="F322" s="1177"/>
      <c r="G322" s="435"/>
      <c r="H322" s="435"/>
      <c r="I322" s="437"/>
      <c r="J322" s="437"/>
      <c r="K322" s="437"/>
      <c r="L322" s="437"/>
      <c r="M322" s="2102" t="s">
        <v>9</v>
      </c>
      <c r="N322" s="2102"/>
      <c r="O322" s="2102" t="s">
        <v>8</v>
      </c>
      <c r="P322" s="2102"/>
      <c r="Q322" s="437"/>
    </row>
    <row r="323" spans="1:17" s="4" customFormat="1" ht="7.5" customHeight="1" x14ac:dyDescent="0.25">
      <c r="A323" s="437"/>
      <c r="B323" s="207">
        <v>1</v>
      </c>
      <c r="C323" s="1188"/>
      <c r="D323" s="1175"/>
      <c r="E323" s="1173"/>
      <c r="F323" s="1173"/>
      <c r="G323" s="2224"/>
      <c r="H323" s="2224"/>
      <c r="I323" s="1174"/>
      <c r="J323" s="1174"/>
      <c r="K323" s="1174"/>
      <c r="L323" s="1173"/>
      <c r="M323" s="2103"/>
      <c r="N323" s="2103"/>
      <c r="O323" s="2103" t="s">
        <v>8</v>
      </c>
      <c r="P323" s="2103"/>
      <c r="Q323" s="437"/>
    </row>
    <row r="324" spans="1:17" s="4" customFormat="1" x14ac:dyDescent="0.25">
      <c r="A324" s="2"/>
      <c r="B324" s="30" t="s">
        <v>11</v>
      </c>
      <c r="C324" s="1015" t="s">
        <v>282</v>
      </c>
      <c r="D324" s="31"/>
      <c r="E324" s="1016"/>
      <c r="F324" s="991"/>
      <c r="G324" s="51"/>
      <c r="H324" s="51"/>
      <c r="L324" s="991"/>
      <c r="M324" s="2008">
        <f>+O325</f>
        <v>120000</v>
      </c>
      <c r="N324" s="2009"/>
      <c r="O324" s="2012"/>
      <c r="P324" s="2009"/>
      <c r="Q324" s="2"/>
    </row>
    <row r="325" spans="1:17" s="4" customFormat="1" x14ac:dyDescent="0.25">
      <c r="A325" s="2"/>
      <c r="B325" s="1009" t="s">
        <v>17</v>
      </c>
      <c r="C325" s="1015"/>
      <c r="D325" s="1016"/>
      <c r="E325" s="1016"/>
      <c r="F325" s="20" t="s">
        <v>1</v>
      </c>
      <c r="G325" s="1020" t="s">
        <v>1957</v>
      </c>
      <c r="H325" s="1020"/>
      <c r="M325" s="2008"/>
      <c r="N325" s="2012"/>
      <c r="O325" s="2008">
        <v>120000</v>
      </c>
      <c r="P325" s="2009"/>
      <c r="Q325" s="2"/>
    </row>
    <row r="326" spans="1:17" s="4" customFormat="1" ht="7.5" customHeight="1" x14ac:dyDescent="0.25">
      <c r="A326" s="437"/>
      <c r="B326" s="207">
        <v>2</v>
      </c>
      <c r="C326" s="2198" t="s">
        <v>1784</v>
      </c>
      <c r="D326" s="2199"/>
      <c r="E326" s="2199"/>
      <c r="F326" s="2199"/>
      <c r="G326" s="2220"/>
      <c r="H326" s="2220"/>
      <c r="I326" s="2199" t="s">
        <v>1784</v>
      </c>
      <c r="J326" s="2199"/>
      <c r="K326" s="2199"/>
      <c r="L326" s="2199"/>
      <c r="M326" s="993"/>
      <c r="N326" s="994"/>
      <c r="O326" s="993"/>
      <c r="P326" s="995"/>
      <c r="Q326" s="437"/>
    </row>
    <row r="327" spans="1:17" s="4" customFormat="1" x14ac:dyDescent="0.25">
      <c r="A327" s="2"/>
      <c r="B327" s="30" t="s">
        <v>15</v>
      </c>
      <c r="C327" s="1015" t="s">
        <v>299</v>
      </c>
      <c r="D327" s="1016"/>
      <c r="E327" s="1016"/>
      <c r="F327" s="991"/>
      <c r="G327" s="51"/>
      <c r="H327" s="51"/>
      <c r="L327" s="991"/>
      <c r="M327" s="2008">
        <f>200*16</f>
        <v>3200</v>
      </c>
      <c r="N327" s="2009"/>
      <c r="O327" s="2012"/>
      <c r="P327" s="2009"/>
      <c r="Q327" s="2"/>
    </row>
    <row r="328" spans="1:17" s="4" customFormat="1" x14ac:dyDescent="0.25">
      <c r="A328" s="2"/>
      <c r="B328" s="1009" t="s">
        <v>17</v>
      </c>
      <c r="C328" s="1015"/>
      <c r="D328" s="1016"/>
      <c r="E328" s="1016"/>
      <c r="F328" s="20" t="s">
        <v>1</v>
      </c>
      <c r="G328" s="1020" t="s">
        <v>300</v>
      </c>
      <c r="H328" s="1020"/>
      <c r="M328" s="2008"/>
      <c r="N328" s="2012"/>
      <c r="O328" s="2008">
        <f>+M327</f>
        <v>3200</v>
      </c>
      <c r="P328" s="2009"/>
      <c r="Q328" s="2"/>
    </row>
    <row r="329" spans="1:17" s="4" customFormat="1" ht="7.5" customHeight="1" x14ac:dyDescent="0.25">
      <c r="A329" s="437"/>
      <c r="B329" s="207">
        <v>3</v>
      </c>
      <c r="C329" s="2198" t="s">
        <v>1784</v>
      </c>
      <c r="D329" s="2199"/>
      <c r="E329" s="2199"/>
      <c r="F329" s="2199"/>
      <c r="G329" s="2220"/>
      <c r="H329" s="2220"/>
      <c r="I329" s="2199" t="s">
        <v>1784</v>
      </c>
      <c r="J329" s="2199"/>
      <c r="K329" s="2199"/>
      <c r="L329" s="2199"/>
      <c r="M329" s="993"/>
      <c r="N329" s="994"/>
      <c r="O329" s="993"/>
      <c r="P329" s="995"/>
      <c r="Q329" s="437"/>
    </row>
    <row r="330" spans="1:17" s="4" customFormat="1" x14ac:dyDescent="0.25">
      <c r="A330" s="2"/>
      <c r="B330" s="30" t="s">
        <v>15</v>
      </c>
      <c r="C330" s="1015" t="s">
        <v>299</v>
      </c>
      <c r="D330" s="1016"/>
      <c r="E330" s="1016"/>
      <c r="F330" s="991"/>
      <c r="G330" s="51"/>
      <c r="H330" s="51"/>
      <c r="L330" s="991"/>
      <c r="M330" s="2008">
        <f>200*30</f>
        <v>6000</v>
      </c>
      <c r="N330" s="2009"/>
      <c r="O330" s="2012"/>
      <c r="P330" s="2009"/>
      <c r="Q330" s="2"/>
    </row>
    <row r="331" spans="1:17" s="4" customFormat="1" x14ac:dyDescent="0.25">
      <c r="A331" s="2"/>
      <c r="B331" s="1009" t="s">
        <v>17</v>
      </c>
      <c r="C331" s="1015"/>
      <c r="D331" s="1016"/>
      <c r="E331" s="1016"/>
      <c r="F331" s="20" t="s">
        <v>1</v>
      </c>
      <c r="G331" s="1020" t="s">
        <v>300</v>
      </c>
      <c r="H331" s="1020"/>
      <c r="M331" s="2008"/>
      <c r="N331" s="2012"/>
      <c r="O331" s="2008">
        <f>+M330</f>
        <v>6000</v>
      </c>
      <c r="P331" s="2009"/>
      <c r="Q331" s="2"/>
    </row>
    <row r="332" spans="1:17" s="4" customFormat="1" ht="7.5" customHeight="1" x14ac:dyDescent="0.25">
      <c r="A332" s="437"/>
      <c r="B332" s="207">
        <v>4</v>
      </c>
      <c r="C332" s="2198" t="s">
        <v>1784</v>
      </c>
      <c r="D332" s="2199"/>
      <c r="E332" s="2199"/>
      <c r="F332" s="2199"/>
      <c r="G332" s="2220"/>
      <c r="H332" s="2220"/>
      <c r="I332" s="2199" t="s">
        <v>1784</v>
      </c>
      <c r="J332" s="2199"/>
      <c r="K332" s="2199"/>
      <c r="L332" s="2199"/>
      <c r="M332" s="993"/>
      <c r="N332" s="994"/>
      <c r="O332" s="993"/>
      <c r="P332" s="995"/>
      <c r="Q332" s="437"/>
    </row>
    <row r="333" spans="1:17" s="4" customFormat="1" x14ac:dyDescent="0.25">
      <c r="A333" s="2"/>
      <c r="B333" s="30" t="s">
        <v>15</v>
      </c>
      <c r="C333" s="1015" t="s">
        <v>299</v>
      </c>
      <c r="D333" s="1016"/>
      <c r="E333" s="1016"/>
      <c r="F333" s="991"/>
      <c r="G333" s="51"/>
      <c r="H333" s="51"/>
      <c r="L333" s="991"/>
      <c r="M333" s="2008">
        <f>200*14</f>
        <v>2800</v>
      </c>
      <c r="N333" s="2009"/>
      <c r="O333" s="2012"/>
      <c r="P333" s="2009"/>
      <c r="Q333" s="2"/>
    </row>
    <row r="334" spans="1:17" s="4" customFormat="1" x14ac:dyDescent="0.25">
      <c r="A334" s="2"/>
      <c r="B334" s="38" t="s">
        <v>207</v>
      </c>
      <c r="C334" s="1015" t="s">
        <v>300</v>
      </c>
      <c r="D334" s="1016"/>
      <c r="E334" s="1016"/>
      <c r="F334" s="991"/>
      <c r="G334" s="51"/>
      <c r="H334" s="51"/>
      <c r="L334" s="991"/>
      <c r="M334" s="2008">
        <f>+M327+M330</f>
        <v>9200</v>
      </c>
      <c r="N334" s="2009"/>
      <c r="O334" s="994"/>
      <c r="P334" s="995"/>
      <c r="Q334" s="2"/>
    </row>
    <row r="335" spans="1:17" s="4" customFormat="1" x14ac:dyDescent="0.25">
      <c r="A335" s="2"/>
      <c r="B335" s="38" t="s">
        <v>207</v>
      </c>
      <c r="C335" s="1015" t="s">
        <v>1957</v>
      </c>
      <c r="D335" s="1016"/>
      <c r="E335" s="1016"/>
      <c r="F335" s="991"/>
      <c r="G335" s="51"/>
      <c r="H335" s="51"/>
      <c r="L335" s="991"/>
      <c r="M335" s="2008">
        <f>+O325</f>
        <v>120000</v>
      </c>
      <c r="N335" s="2009"/>
      <c r="O335" s="994"/>
      <c r="P335" s="995"/>
      <c r="Q335" s="2"/>
    </row>
    <row r="336" spans="1:17" s="4" customFormat="1" x14ac:dyDescent="0.25">
      <c r="A336" s="2"/>
      <c r="B336" s="1009" t="s">
        <v>14</v>
      </c>
      <c r="C336" s="1015"/>
      <c r="D336" s="1016"/>
      <c r="E336" s="1016"/>
      <c r="F336" s="20" t="s">
        <v>1</v>
      </c>
      <c r="G336" s="1020" t="s">
        <v>282</v>
      </c>
      <c r="H336" s="1020"/>
      <c r="M336" s="2008"/>
      <c r="N336" s="2012"/>
      <c r="O336" s="2008">
        <f>+M333+M334+M335</f>
        <v>132000</v>
      </c>
      <c r="P336" s="2009"/>
      <c r="Q336" s="2"/>
    </row>
    <row r="337" spans="1:17" s="4" customFormat="1" ht="7.5" customHeight="1" x14ac:dyDescent="0.25">
      <c r="A337" s="437"/>
      <c r="B337" s="207">
        <v>5</v>
      </c>
      <c r="C337" s="2198" t="s">
        <v>1784</v>
      </c>
      <c r="D337" s="2199"/>
      <c r="E337" s="2199"/>
      <c r="F337" s="2199"/>
      <c r="G337" s="2220"/>
      <c r="H337" s="2220"/>
      <c r="I337" s="2199" t="s">
        <v>1784</v>
      </c>
      <c r="J337" s="2199"/>
      <c r="K337" s="2199"/>
      <c r="L337" s="2199"/>
      <c r="M337" s="993"/>
      <c r="N337" s="994"/>
      <c r="O337" s="993"/>
      <c r="P337" s="995"/>
      <c r="Q337" s="437"/>
    </row>
    <row r="338" spans="1:17" s="4" customFormat="1" x14ac:dyDescent="0.25">
      <c r="A338" s="2"/>
      <c r="B338" s="30" t="s">
        <v>11</v>
      </c>
      <c r="C338" s="1015" t="s">
        <v>0</v>
      </c>
      <c r="D338" s="1016"/>
      <c r="E338" s="1016"/>
      <c r="F338" s="991"/>
      <c r="G338" s="51"/>
      <c r="H338" s="51"/>
      <c r="L338" s="991"/>
      <c r="M338" s="2008">
        <f>+O339+O340</f>
        <v>60500</v>
      </c>
      <c r="N338" s="2009"/>
      <c r="O338" s="2012"/>
      <c r="P338" s="2009"/>
      <c r="Q338" s="2"/>
    </row>
    <row r="339" spans="1:17" s="4" customFormat="1" x14ac:dyDescent="0.25">
      <c r="A339" s="2"/>
      <c r="B339" s="38" t="s">
        <v>16</v>
      </c>
      <c r="C339" s="1015"/>
      <c r="D339" s="1016"/>
      <c r="E339" s="1016"/>
      <c r="F339" s="20" t="s">
        <v>1</v>
      </c>
      <c r="G339" s="1020" t="s">
        <v>3</v>
      </c>
      <c r="H339" s="51"/>
      <c r="L339" s="991"/>
      <c r="M339" s="2008"/>
      <c r="N339" s="2009"/>
      <c r="O339" s="2008">
        <v>50000</v>
      </c>
      <c r="P339" s="2009"/>
      <c r="Q339" s="2"/>
    </row>
    <row r="340" spans="1:17" s="4" customFormat="1" x14ac:dyDescent="0.25">
      <c r="A340" s="2"/>
      <c r="B340" s="1009" t="s">
        <v>17</v>
      </c>
      <c r="C340" s="1015"/>
      <c r="D340" s="1016"/>
      <c r="E340" s="1016"/>
      <c r="F340" s="20" t="s">
        <v>1</v>
      </c>
      <c r="G340" s="1020" t="s">
        <v>12</v>
      </c>
      <c r="H340" s="1020"/>
      <c r="M340" s="2008"/>
      <c r="N340" s="2012"/>
      <c r="O340" s="2008">
        <f>+O339*0.21</f>
        <v>10500</v>
      </c>
      <c r="P340" s="2009"/>
      <c r="Q340" s="2"/>
    </row>
    <row r="341" spans="1:17" s="4" customFormat="1" ht="7.5" customHeight="1" x14ac:dyDescent="0.25">
      <c r="A341" s="437"/>
      <c r="B341" s="207">
        <v>6</v>
      </c>
      <c r="C341" s="2198" t="s">
        <v>1784</v>
      </c>
      <c r="D341" s="2199"/>
      <c r="E341" s="2199"/>
      <c r="F341" s="2199"/>
      <c r="G341" s="2220"/>
      <c r="H341" s="2220"/>
      <c r="I341" s="2199" t="s">
        <v>1784</v>
      </c>
      <c r="J341" s="2199"/>
      <c r="K341" s="2199"/>
      <c r="L341" s="2199"/>
      <c r="M341" s="993"/>
      <c r="N341" s="994"/>
      <c r="O341" s="993"/>
      <c r="P341" s="995"/>
      <c r="Q341" s="437"/>
    </row>
    <row r="342" spans="1:17" s="4" customFormat="1" x14ac:dyDescent="0.25">
      <c r="A342" s="2"/>
      <c r="B342" s="30" t="s">
        <v>11</v>
      </c>
      <c r="C342" s="1015" t="s">
        <v>1934</v>
      </c>
      <c r="D342" s="1016"/>
      <c r="E342" s="1016"/>
      <c r="F342" s="991"/>
      <c r="G342" s="51"/>
      <c r="H342" s="51"/>
      <c r="L342" s="991"/>
      <c r="M342" s="2008">
        <f>+O343+O344</f>
        <v>1210</v>
      </c>
      <c r="N342" s="2009"/>
      <c r="O342" s="2012"/>
      <c r="P342" s="2009"/>
      <c r="Q342" s="2"/>
    </row>
    <row r="343" spans="1:17" s="4" customFormat="1" x14ac:dyDescent="0.25">
      <c r="A343" s="2"/>
      <c r="B343" s="38" t="s">
        <v>16</v>
      </c>
      <c r="C343" s="1015"/>
      <c r="D343" s="1016"/>
      <c r="E343" s="1016"/>
      <c r="F343" s="20" t="s">
        <v>1</v>
      </c>
      <c r="G343" s="1020" t="s">
        <v>1130</v>
      </c>
      <c r="H343" s="51"/>
      <c r="L343" s="991"/>
      <c r="M343" s="2008"/>
      <c r="N343" s="2009"/>
      <c r="O343" s="2008">
        <v>1000</v>
      </c>
      <c r="P343" s="2009"/>
      <c r="Q343" s="2"/>
    </row>
    <row r="344" spans="1:17" s="4" customFormat="1" x14ac:dyDescent="0.25">
      <c r="A344" s="2"/>
      <c r="B344" s="1009" t="s">
        <v>17</v>
      </c>
      <c r="C344" s="1015"/>
      <c r="D344" s="1016"/>
      <c r="E344" s="1016"/>
      <c r="F344" s="20" t="s">
        <v>1</v>
      </c>
      <c r="G344" s="1020" t="s">
        <v>12</v>
      </c>
      <c r="H344" s="1020"/>
      <c r="M344" s="2008"/>
      <c r="N344" s="2012"/>
      <c r="O344" s="2008">
        <f>+O343*0.21</f>
        <v>210</v>
      </c>
      <c r="P344" s="2009"/>
      <c r="Q344" s="2"/>
    </row>
    <row r="345" spans="1:17" s="4" customFormat="1" ht="7.5" customHeight="1" x14ac:dyDescent="0.25">
      <c r="A345" s="437"/>
      <c r="B345" s="207">
        <v>7</v>
      </c>
      <c r="C345" s="2198" t="s">
        <v>1784</v>
      </c>
      <c r="D345" s="2199"/>
      <c r="E345" s="2199"/>
      <c r="F345" s="2199"/>
      <c r="G345" s="2220"/>
      <c r="H345" s="2220"/>
      <c r="I345" s="2199" t="s">
        <v>1784</v>
      </c>
      <c r="J345" s="2199"/>
      <c r="K345" s="2199"/>
      <c r="L345" s="2199"/>
      <c r="M345" s="993"/>
      <c r="N345" s="994"/>
      <c r="O345" s="993"/>
      <c r="P345" s="995"/>
      <c r="Q345" s="437"/>
    </row>
    <row r="346" spans="1:17" s="4" customFormat="1" x14ac:dyDescent="0.25">
      <c r="A346" s="2"/>
      <c r="B346" s="30" t="s">
        <v>11</v>
      </c>
      <c r="C346" s="1015" t="s">
        <v>10</v>
      </c>
      <c r="D346" s="1016"/>
      <c r="E346" s="1016"/>
      <c r="F346" s="991"/>
      <c r="G346" s="51"/>
      <c r="H346" s="51"/>
      <c r="L346" s="991"/>
      <c r="M346" s="2008">
        <f>+O347+O348</f>
        <v>61710</v>
      </c>
      <c r="N346" s="2009"/>
      <c r="O346" s="2012"/>
      <c r="P346" s="2009"/>
      <c r="Q346" s="2"/>
    </row>
    <row r="347" spans="1:17" s="4" customFormat="1" x14ac:dyDescent="0.25">
      <c r="A347" s="2"/>
      <c r="B347" s="38" t="s">
        <v>14</v>
      </c>
      <c r="C347" s="1015"/>
      <c r="D347" s="1016"/>
      <c r="E347" s="1016"/>
      <c r="F347" s="20" t="s">
        <v>1</v>
      </c>
      <c r="G347" s="1020" t="s">
        <v>0</v>
      </c>
      <c r="H347" s="51"/>
      <c r="L347" s="991"/>
      <c r="M347" s="2008"/>
      <c r="N347" s="2009"/>
      <c r="O347" s="2008">
        <f>+M338</f>
        <v>60500</v>
      </c>
      <c r="P347" s="2009"/>
      <c r="Q347" s="2"/>
    </row>
    <row r="348" spans="1:17" s="4" customFormat="1" x14ac:dyDescent="0.25">
      <c r="A348" s="2"/>
      <c r="B348" s="1009" t="s">
        <v>14</v>
      </c>
      <c r="C348" s="1015"/>
      <c r="D348" s="1016"/>
      <c r="E348" s="1016"/>
      <c r="F348" s="20" t="s">
        <v>1</v>
      </c>
      <c r="G348" s="1020" t="s">
        <v>1934</v>
      </c>
      <c r="H348" s="1020"/>
      <c r="M348" s="2008"/>
      <c r="N348" s="2012"/>
      <c r="O348" s="2008">
        <f>+M342</f>
        <v>1210</v>
      </c>
      <c r="P348" s="2009"/>
      <c r="Q348" s="2"/>
    </row>
    <row r="349" spans="1:17" s="4" customFormat="1" ht="7.5" customHeight="1" x14ac:dyDescent="0.25">
      <c r="A349" s="437"/>
      <c r="B349" s="207">
        <v>8</v>
      </c>
      <c r="C349" s="2198" t="s">
        <v>1784</v>
      </c>
      <c r="D349" s="2199"/>
      <c r="E349" s="2199"/>
      <c r="F349" s="2199"/>
      <c r="G349" s="2220"/>
      <c r="H349" s="2220"/>
      <c r="I349" s="2199" t="s">
        <v>1784</v>
      </c>
      <c r="J349" s="2199"/>
      <c r="K349" s="2199"/>
      <c r="L349" s="2199"/>
      <c r="M349" s="993"/>
      <c r="N349" s="994"/>
      <c r="O349" s="993"/>
      <c r="P349" s="995"/>
      <c r="Q349" s="437"/>
    </row>
    <row r="350" spans="1:17" s="4" customFormat="1" x14ac:dyDescent="0.25">
      <c r="A350" s="2"/>
      <c r="B350" s="30" t="s">
        <v>11</v>
      </c>
      <c r="C350" s="1015" t="s">
        <v>282</v>
      </c>
      <c r="D350" s="1016"/>
      <c r="E350" s="1016"/>
      <c r="F350" s="991"/>
      <c r="G350" s="51"/>
      <c r="H350" s="51"/>
      <c r="L350" s="991"/>
      <c r="M350" s="2008">
        <f>+O351</f>
        <v>180000</v>
      </c>
      <c r="N350" s="2009"/>
      <c r="O350" s="2012"/>
      <c r="P350" s="2009"/>
      <c r="Q350" s="2"/>
    </row>
    <row r="351" spans="1:17" s="4" customFormat="1" x14ac:dyDescent="0.25">
      <c r="A351" s="2"/>
      <c r="B351" s="1009" t="s">
        <v>17</v>
      </c>
      <c r="C351" s="1015"/>
      <c r="D351" s="1016"/>
      <c r="E351" s="1016"/>
      <c r="F351" s="20" t="s">
        <v>1</v>
      </c>
      <c r="G351" s="1020" t="s">
        <v>139</v>
      </c>
      <c r="H351" s="1020"/>
      <c r="M351" s="2008"/>
      <c r="N351" s="2012"/>
      <c r="O351" s="2008">
        <v>180000</v>
      </c>
      <c r="P351" s="2009"/>
      <c r="Q351" s="2"/>
    </row>
    <row r="352" spans="1:17" s="4" customFormat="1" ht="7.5" customHeight="1" x14ac:dyDescent="0.25">
      <c r="A352" s="437"/>
      <c r="B352" s="207">
        <v>9</v>
      </c>
      <c r="C352" s="2198" t="s">
        <v>1784</v>
      </c>
      <c r="D352" s="2199"/>
      <c r="E352" s="2199"/>
      <c r="F352" s="2199"/>
      <c r="G352" s="2220"/>
      <c r="H352" s="2220"/>
      <c r="I352" s="2199" t="s">
        <v>1784</v>
      </c>
      <c r="J352" s="2199"/>
      <c r="K352" s="2199"/>
      <c r="L352" s="2199"/>
      <c r="M352" s="993"/>
      <c r="N352" s="994"/>
      <c r="O352" s="993"/>
      <c r="P352" s="995"/>
      <c r="Q352" s="437"/>
    </row>
    <row r="353" spans="1:17" s="4" customFormat="1" x14ac:dyDescent="0.25">
      <c r="A353" s="2"/>
      <c r="B353" s="30" t="s">
        <v>15</v>
      </c>
      <c r="C353" s="1015" t="s">
        <v>299</v>
      </c>
      <c r="D353" s="1016"/>
      <c r="E353" s="1016"/>
      <c r="F353" s="991"/>
      <c r="G353" s="51"/>
      <c r="H353" s="51"/>
      <c r="L353" s="991"/>
      <c r="M353" s="2008">
        <v>30000</v>
      </c>
      <c r="N353" s="2009"/>
      <c r="O353" s="2012"/>
      <c r="P353" s="2009"/>
      <c r="Q353" s="2"/>
    </row>
    <row r="354" spans="1:17" s="4" customFormat="1" x14ac:dyDescent="0.25">
      <c r="A354" s="2"/>
      <c r="B354" s="1009" t="s">
        <v>17</v>
      </c>
      <c r="C354" s="1015"/>
      <c r="D354" s="1016"/>
      <c r="E354" s="1016"/>
      <c r="F354" s="20" t="s">
        <v>1</v>
      </c>
      <c r="G354" s="1020" t="s">
        <v>318</v>
      </c>
      <c r="H354" s="1020"/>
      <c r="M354" s="2008"/>
      <c r="N354" s="2012"/>
      <c r="O354" s="2008">
        <f>+M353</f>
        <v>30000</v>
      </c>
      <c r="P354" s="2009"/>
      <c r="Q354" s="2"/>
    </row>
    <row r="355" spans="1:17" s="4" customFormat="1" ht="7.5" customHeight="1" x14ac:dyDescent="0.25">
      <c r="A355" s="437"/>
      <c r="B355" s="207">
        <v>10</v>
      </c>
      <c r="C355" s="2198" t="s">
        <v>1784</v>
      </c>
      <c r="D355" s="2199"/>
      <c r="E355" s="2199"/>
      <c r="F355" s="2199"/>
      <c r="G355" s="2220"/>
      <c r="H355" s="2220"/>
      <c r="I355" s="2199" t="s">
        <v>1784</v>
      </c>
      <c r="J355" s="2199"/>
      <c r="K355" s="2199"/>
      <c r="L355" s="2199"/>
      <c r="M355" s="1637"/>
      <c r="N355" s="1639"/>
      <c r="O355" s="1637"/>
      <c r="P355" s="1638"/>
      <c r="Q355" s="437"/>
    </row>
    <row r="356" spans="1:17" s="4" customFormat="1" x14ac:dyDescent="0.25">
      <c r="A356" s="2"/>
      <c r="B356" s="30" t="s">
        <v>207</v>
      </c>
      <c r="C356" s="1640" t="s">
        <v>318</v>
      </c>
      <c r="D356" s="1641"/>
      <c r="E356" s="1641"/>
      <c r="F356" s="1642"/>
      <c r="G356" s="1653"/>
      <c r="H356" s="1653"/>
      <c r="L356" s="1642"/>
      <c r="M356" s="2008">
        <v>30000</v>
      </c>
      <c r="N356" s="2009"/>
      <c r="O356" s="2012"/>
      <c r="P356" s="2009"/>
      <c r="Q356" s="2"/>
    </row>
    <row r="357" spans="1:17" s="4" customFormat="1" x14ac:dyDescent="0.25">
      <c r="A357" s="2"/>
      <c r="B357" s="1635" t="s">
        <v>11</v>
      </c>
      <c r="C357" s="1640" t="s">
        <v>544</v>
      </c>
      <c r="D357" s="1641"/>
      <c r="E357" s="1641"/>
      <c r="F357" s="20"/>
      <c r="G357" s="1652"/>
      <c r="H357" s="1652"/>
      <c r="M357" s="2008">
        <v>10000</v>
      </c>
      <c r="N357" s="2012"/>
      <c r="O357" s="2008"/>
      <c r="P357" s="2009"/>
      <c r="Q357" s="2"/>
    </row>
    <row r="358" spans="1:17" s="4" customFormat="1" x14ac:dyDescent="0.25">
      <c r="A358" s="2"/>
      <c r="B358" s="1635"/>
      <c r="C358" s="1640"/>
      <c r="D358" s="1641"/>
      <c r="E358" s="1641"/>
      <c r="F358" s="20" t="s">
        <v>1</v>
      </c>
      <c r="G358" s="1652" t="s">
        <v>282</v>
      </c>
      <c r="H358" s="1652"/>
      <c r="M358" s="1637"/>
      <c r="N358" s="1639"/>
      <c r="O358" s="2008">
        <v>40000</v>
      </c>
      <c r="P358" s="2009"/>
      <c r="Q358" s="2"/>
    </row>
    <row r="359" spans="1:17" s="4" customFormat="1" ht="7.5" customHeight="1" x14ac:dyDescent="0.25">
      <c r="A359" s="437"/>
      <c r="B359" s="207">
        <v>11</v>
      </c>
      <c r="C359" s="2198" t="s">
        <v>1784</v>
      </c>
      <c r="D359" s="2199"/>
      <c r="E359" s="2199"/>
      <c r="F359" s="2199"/>
      <c r="G359" s="2220"/>
      <c r="H359" s="2220"/>
      <c r="I359" s="2199" t="s">
        <v>1784</v>
      </c>
      <c r="J359" s="2199"/>
      <c r="K359" s="2199"/>
      <c r="L359" s="2199"/>
      <c r="M359" s="993"/>
      <c r="N359" s="994"/>
      <c r="O359" s="993"/>
      <c r="P359" s="995"/>
      <c r="Q359" s="437"/>
    </row>
    <row r="360" spans="1:17" s="4" customFormat="1" x14ac:dyDescent="0.25">
      <c r="A360" s="2"/>
      <c r="B360" s="30" t="s">
        <v>207</v>
      </c>
      <c r="C360" s="1015" t="s">
        <v>139</v>
      </c>
      <c r="D360" s="1016"/>
      <c r="E360" s="1016"/>
      <c r="F360" s="991"/>
      <c r="G360" s="51"/>
      <c r="H360" s="51"/>
      <c r="L360" s="991"/>
      <c r="M360" s="2008">
        <f>+O351</f>
        <v>180000</v>
      </c>
      <c r="N360" s="2009"/>
      <c r="O360" s="2012"/>
      <c r="P360" s="2009"/>
      <c r="Q360" s="2"/>
    </row>
    <row r="361" spans="1:17" s="4" customFormat="1" x14ac:dyDescent="0.25">
      <c r="A361" s="2"/>
      <c r="B361" s="38" t="s">
        <v>15</v>
      </c>
      <c r="C361" s="1640" t="s">
        <v>299</v>
      </c>
      <c r="D361" s="1641"/>
      <c r="E361" s="1641"/>
      <c r="F361" s="1642"/>
      <c r="G361" s="1653"/>
      <c r="H361" s="1653"/>
      <c r="L361" s="1642"/>
      <c r="M361" s="2008">
        <v>30000</v>
      </c>
      <c r="N361" s="2009"/>
      <c r="O361" s="1639"/>
      <c r="P361" s="1638"/>
      <c r="Q361" s="2"/>
    </row>
    <row r="362" spans="1:17" s="4" customFormat="1" x14ac:dyDescent="0.25">
      <c r="A362" s="2"/>
      <c r="B362" s="38" t="s">
        <v>14</v>
      </c>
      <c r="C362" s="1640"/>
      <c r="D362" s="1641"/>
      <c r="E362" s="1641"/>
      <c r="F362" s="20" t="s">
        <v>1</v>
      </c>
      <c r="G362" s="1652" t="str">
        <f>+C357</f>
        <v>Intereses pagados por adelantado</v>
      </c>
      <c r="H362" s="1653"/>
      <c r="L362" s="1642"/>
      <c r="M362" s="1637"/>
      <c r="N362" s="1639"/>
      <c r="O362" s="2008">
        <f>+M357</f>
        <v>10000</v>
      </c>
      <c r="P362" s="2009"/>
      <c r="Q362" s="2"/>
    </row>
    <row r="363" spans="1:17" s="4" customFormat="1" x14ac:dyDescent="0.25">
      <c r="A363" s="2"/>
      <c r="B363" s="1009" t="s">
        <v>14</v>
      </c>
      <c r="C363" s="1017"/>
      <c r="D363" s="1018"/>
      <c r="E363" s="1018"/>
      <c r="F363" s="35" t="s">
        <v>1</v>
      </c>
      <c r="G363" s="1022" t="s">
        <v>282</v>
      </c>
      <c r="H363" s="1022"/>
      <c r="I363" s="3"/>
      <c r="J363" s="3"/>
      <c r="K363" s="3"/>
      <c r="L363" s="3"/>
      <c r="M363" s="2006"/>
      <c r="N363" s="2100"/>
      <c r="O363" s="2006">
        <f>+M360+20000</f>
        <v>200000</v>
      </c>
      <c r="P363" s="2007"/>
      <c r="Q363" s="2"/>
    </row>
    <row r="364" spans="1:17" s="4" customFormat="1" x14ac:dyDescent="0.25">
      <c r="A364" s="2"/>
      <c r="B364" s="6"/>
      <c r="C364" s="21" t="s">
        <v>2022</v>
      </c>
      <c r="D364" s="12"/>
      <c r="E364" s="12"/>
      <c r="F364" s="12"/>
      <c r="G364" s="27"/>
      <c r="H364" s="27"/>
      <c r="I364" s="2"/>
      <c r="J364" s="2"/>
      <c r="K364" s="2"/>
      <c r="L364" s="2"/>
      <c r="M364" s="10"/>
      <c r="N364" s="10"/>
      <c r="O364" s="10"/>
      <c r="P364" s="10"/>
      <c r="Q364" s="2"/>
    </row>
    <row r="365" spans="1:17" s="4" customFormat="1" ht="7.5" customHeight="1" x14ac:dyDescent="0.25">
      <c r="A365" s="437"/>
      <c r="B365" s="207">
        <v>12</v>
      </c>
      <c r="C365" s="1188"/>
      <c r="D365" s="1175"/>
      <c r="E365" s="1173"/>
      <c r="F365" s="1173"/>
      <c r="G365" s="2224"/>
      <c r="H365" s="2224"/>
      <c r="I365" s="1174"/>
      <c r="J365" s="1174"/>
      <c r="K365" s="1174"/>
      <c r="L365" s="1173"/>
      <c r="M365" s="2103"/>
      <c r="N365" s="2103"/>
      <c r="O365" s="2103"/>
      <c r="P365" s="2103"/>
      <c r="Q365" s="437"/>
    </row>
    <row r="366" spans="1:17" s="4" customFormat="1" x14ac:dyDescent="0.25">
      <c r="A366" s="2"/>
      <c r="B366" s="30" t="s">
        <v>11</v>
      </c>
      <c r="C366" s="1015" t="s">
        <v>1205</v>
      </c>
      <c r="D366" s="31"/>
      <c r="E366" s="1016"/>
      <c r="F366" s="991"/>
      <c r="G366" s="51"/>
      <c r="H366" s="51"/>
      <c r="L366" s="991"/>
      <c r="M366" s="2008">
        <v>180000</v>
      </c>
      <c r="N366" s="2009"/>
      <c r="O366" s="2012"/>
      <c r="P366" s="2009"/>
      <c r="Q366" s="2"/>
    </row>
    <row r="367" spans="1:17" s="4" customFormat="1" x14ac:dyDescent="0.25">
      <c r="A367" s="2"/>
      <c r="B367" s="38" t="s">
        <v>142</v>
      </c>
      <c r="C367" s="1015" t="s">
        <v>143</v>
      </c>
      <c r="D367" s="1016"/>
      <c r="E367" s="1016"/>
      <c r="F367" s="991"/>
      <c r="G367" s="51"/>
      <c r="H367" s="51"/>
      <c r="L367" s="991"/>
      <c r="M367" s="2008">
        <v>2000</v>
      </c>
      <c r="N367" s="2009"/>
      <c r="O367" s="994"/>
      <c r="P367" s="995"/>
      <c r="Q367" s="2"/>
    </row>
    <row r="368" spans="1:17" s="4" customFormat="1" x14ac:dyDescent="0.25">
      <c r="A368" s="2"/>
      <c r="B368" s="38" t="s">
        <v>14</v>
      </c>
      <c r="C368" s="1015"/>
      <c r="D368" s="1016"/>
      <c r="E368" s="1016"/>
      <c r="F368" s="20" t="s">
        <v>1</v>
      </c>
      <c r="G368" s="1020" t="s">
        <v>10</v>
      </c>
      <c r="H368" s="51"/>
      <c r="L368" s="991"/>
      <c r="M368" s="2008"/>
      <c r="N368" s="2009"/>
      <c r="O368" s="2008">
        <f>+M366*0.5</f>
        <v>90000</v>
      </c>
      <c r="P368" s="2009"/>
      <c r="Q368" s="2"/>
    </row>
    <row r="369" spans="1:17" s="4" customFormat="1" x14ac:dyDescent="0.25">
      <c r="A369" s="2"/>
      <c r="B369" s="38" t="s">
        <v>14</v>
      </c>
      <c r="C369" s="1015"/>
      <c r="D369" s="1016"/>
      <c r="E369" s="1016"/>
      <c r="F369" s="20" t="s">
        <v>1</v>
      </c>
      <c r="G369" s="1020" t="s">
        <v>282</v>
      </c>
      <c r="H369" s="51"/>
      <c r="L369" s="991"/>
      <c r="M369" s="2008"/>
      <c r="N369" s="2009"/>
      <c r="O369" s="2008">
        <f>+M366*0.4</f>
        <v>72000</v>
      </c>
      <c r="P369" s="2009"/>
      <c r="Q369" s="2"/>
    </row>
    <row r="370" spans="1:17" s="4" customFormat="1" x14ac:dyDescent="0.25">
      <c r="A370" s="2"/>
      <c r="B370" s="38" t="s">
        <v>17</v>
      </c>
      <c r="C370" s="1015"/>
      <c r="D370" s="1016"/>
      <c r="E370" s="1016"/>
      <c r="F370" s="20" t="s">
        <v>1</v>
      </c>
      <c r="G370" s="1020" t="s">
        <v>6</v>
      </c>
      <c r="H370" s="51"/>
      <c r="L370" s="991"/>
      <c r="M370" s="2008"/>
      <c r="N370" s="2009"/>
      <c r="O370" s="2008">
        <f>+(M366*0.1)+2000</f>
        <v>20000</v>
      </c>
      <c r="P370" s="2009"/>
      <c r="Q370" s="2"/>
    </row>
    <row r="371" spans="1:17" s="4" customFormat="1" ht="7.5" customHeight="1" x14ac:dyDescent="0.25">
      <c r="A371" s="437"/>
      <c r="B371" s="207">
        <v>13</v>
      </c>
      <c r="C371" s="2198" t="s">
        <v>1784</v>
      </c>
      <c r="D371" s="2199"/>
      <c r="E371" s="2199"/>
      <c r="F371" s="2199"/>
      <c r="G371" s="2220"/>
      <c r="H371" s="2220"/>
      <c r="I371" s="2199" t="s">
        <v>1784</v>
      </c>
      <c r="J371" s="2199"/>
      <c r="K371" s="2199"/>
      <c r="L371" s="2199"/>
      <c r="M371" s="993"/>
      <c r="N371" s="994"/>
      <c r="O371" s="993"/>
      <c r="P371" s="995"/>
      <c r="Q371" s="437"/>
    </row>
    <row r="372" spans="1:17" s="4" customFormat="1" x14ac:dyDescent="0.25">
      <c r="A372" s="2"/>
      <c r="B372" s="30" t="s">
        <v>15</v>
      </c>
      <c r="C372" s="1015" t="s">
        <v>319</v>
      </c>
      <c r="D372" s="1016"/>
      <c r="E372" s="1016"/>
      <c r="F372" s="991"/>
      <c r="G372" s="51"/>
      <c r="H372" s="51"/>
      <c r="L372" s="991"/>
      <c r="M372" s="2008">
        <v>1000</v>
      </c>
      <c r="N372" s="2009"/>
      <c r="O372" s="2012"/>
      <c r="P372" s="2009"/>
      <c r="Q372" s="2"/>
    </row>
    <row r="373" spans="1:17" s="4" customFormat="1" x14ac:dyDescent="0.25">
      <c r="A373" s="2"/>
      <c r="B373" s="1009" t="s">
        <v>320</v>
      </c>
      <c r="C373" s="1015"/>
      <c r="D373" s="1016"/>
      <c r="E373" s="1016"/>
      <c r="F373" s="20" t="s">
        <v>1</v>
      </c>
      <c r="G373" s="1020" t="s">
        <v>143</v>
      </c>
      <c r="H373" s="1020"/>
      <c r="M373" s="2008"/>
      <c r="N373" s="2012"/>
      <c r="O373" s="2008">
        <v>1000</v>
      </c>
      <c r="P373" s="2009"/>
      <c r="Q373" s="2"/>
    </row>
    <row r="374" spans="1:17" s="4" customFormat="1" ht="7.5" customHeight="1" x14ac:dyDescent="0.25">
      <c r="B374" s="1004"/>
      <c r="C374" s="2198" t="s">
        <v>1784</v>
      </c>
      <c r="D374" s="2199"/>
      <c r="E374" s="2199"/>
      <c r="F374" s="2199"/>
      <c r="G374" s="2338" t="s">
        <v>222</v>
      </c>
      <c r="H374" s="2338"/>
      <c r="I374" s="2199" t="s">
        <v>1784</v>
      </c>
      <c r="J374" s="2199"/>
      <c r="K374" s="2199"/>
      <c r="L374" s="2199"/>
      <c r="M374" s="993"/>
      <c r="N374" s="994"/>
      <c r="O374" s="993"/>
      <c r="P374" s="995"/>
    </row>
    <row r="375" spans="1:17" s="4" customFormat="1" x14ac:dyDescent="0.25">
      <c r="B375" s="1004"/>
      <c r="C375" s="12"/>
      <c r="D375" s="12"/>
      <c r="E375" s="12"/>
      <c r="F375" s="12"/>
      <c r="G375" s="2338"/>
      <c r="H375" s="2338"/>
      <c r="M375" s="18"/>
      <c r="N375" s="18"/>
      <c r="O375" s="18"/>
      <c r="P375" s="18"/>
    </row>
    <row r="376" spans="1:17" s="4" customFormat="1" x14ac:dyDescent="0.25">
      <c r="B376" s="1004"/>
      <c r="C376" s="12"/>
      <c r="D376" s="12"/>
      <c r="E376" s="12"/>
      <c r="F376" s="12"/>
      <c r="G376" s="51"/>
      <c r="H376" s="51"/>
      <c r="M376" s="18"/>
      <c r="N376" s="18"/>
      <c r="O376" s="18"/>
      <c r="P376" s="18"/>
    </row>
    <row r="377" spans="1:17" s="4" customFormat="1" ht="7.5" customHeight="1" x14ac:dyDescent="0.25">
      <c r="A377" s="437"/>
      <c r="B377" s="207">
        <v>14</v>
      </c>
      <c r="C377" s="1188"/>
      <c r="D377" s="1175"/>
      <c r="E377" s="1173"/>
      <c r="F377" s="1173"/>
      <c r="G377" s="2224"/>
      <c r="H377" s="2224"/>
      <c r="I377" s="1174"/>
      <c r="J377" s="1174"/>
      <c r="K377" s="1174"/>
      <c r="L377" s="1173"/>
      <c r="M377" s="18"/>
      <c r="N377" s="18"/>
      <c r="O377" s="18"/>
      <c r="P377" s="18"/>
      <c r="Q377" s="437"/>
    </row>
    <row r="378" spans="1:17" s="4" customFormat="1" x14ac:dyDescent="0.25">
      <c r="A378" s="2"/>
      <c r="B378" s="30" t="s">
        <v>11</v>
      </c>
      <c r="C378" s="1015" t="s">
        <v>2021</v>
      </c>
      <c r="D378" s="31"/>
      <c r="E378" s="1016"/>
      <c r="F378" s="991"/>
      <c r="G378" s="51"/>
      <c r="H378" s="51"/>
      <c r="L378" s="991"/>
      <c r="M378" s="2008">
        <f>50000+(50000*0.24/12)</f>
        <v>51000</v>
      </c>
      <c r="N378" s="2009"/>
      <c r="O378" s="2012"/>
      <c r="P378" s="2009"/>
      <c r="Q378" s="2"/>
    </row>
    <row r="379" spans="1:17" s="4" customFormat="1" x14ac:dyDescent="0.25">
      <c r="A379" s="2"/>
      <c r="B379" s="38" t="s">
        <v>14</v>
      </c>
      <c r="C379" s="1015"/>
      <c r="D379" s="1016"/>
      <c r="E379" s="1016"/>
      <c r="F379" s="20" t="s">
        <v>1</v>
      </c>
      <c r="G379" s="1020" t="s">
        <v>282</v>
      </c>
      <c r="H379" s="51"/>
      <c r="L379" s="991"/>
      <c r="M379" s="2008"/>
      <c r="N379" s="2009"/>
      <c r="O379" s="2008">
        <v>50000</v>
      </c>
      <c r="P379" s="2009"/>
      <c r="Q379" s="2"/>
    </row>
    <row r="380" spans="1:17" s="4" customFormat="1" x14ac:dyDescent="0.25">
      <c r="A380" s="2"/>
      <c r="B380" s="38" t="s">
        <v>108</v>
      </c>
      <c r="C380" s="1015"/>
      <c r="D380" s="1016"/>
      <c r="E380" s="1016"/>
      <c r="F380" s="20" t="s">
        <v>1</v>
      </c>
      <c r="G380" s="1020" t="s">
        <v>1102</v>
      </c>
      <c r="H380" s="51"/>
      <c r="L380" s="991"/>
      <c r="M380" s="2008"/>
      <c r="N380" s="2009"/>
      <c r="O380" s="2008">
        <f>50000*0.24/12</f>
        <v>1000</v>
      </c>
      <c r="P380" s="2009"/>
      <c r="Q380" s="2"/>
    </row>
    <row r="381" spans="1:17" s="4" customFormat="1" ht="7.5" customHeight="1" x14ac:dyDescent="0.25">
      <c r="A381" s="437"/>
      <c r="B381" s="207" t="s">
        <v>2414</v>
      </c>
      <c r="C381" s="2198" t="s">
        <v>1784</v>
      </c>
      <c r="D381" s="2199"/>
      <c r="E381" s="2199"/>
      <c r="F381" s="2199"/>
      <c r="G381" s="2220"/>
      <c r="H381" s="2220"/>
      <c r="I381" s="2199" t="s">
        <v>1784</v>
      </c>
      <c r="J381" s="2199"/>
      <c r="K381" s="2199"/>
      <c r="L381" s="2199"/>
      <c r="M381" s="993"/>
      <c r="N381" s="994"/>
      <c r="O381" s="993"/>
      <c r="P381" s="995"/>
      <c r="Q381" s="437"/>
    </row>
    <row r="382" spans="1:17" s="4" customFormat="1" x14ac:dyDescent="0.25">
      <c r="A382" s="2"/>
      <c r="B382" s="30" t="s">
        <v>15</v>
      </c>
      <c r="C382" s="1015" t="s">
        <v>319</v>
      </c>
      <c r="D382" s="1016"/>
      <c r="E382" s="1016"/>
      <c r="F382" s="991"/>
      <c r="G382" s="51"/>
      <c r="H382" s="51"/>
      <c r="L382" s="991"/>
      <c r="M382" s="2008">
        <v>1000</v>
      </c>
      <c r="N382" s="2009"/>
      <c r="O382" s="2012"/>
      <c r="P382" s="2009"/>
      <c r="Q382" s="2"/>
    </row>
    <row r="383" spans="1:17" s="4" customFormat="1" x14ac:dyDescent="0.25">
      <c r="A383" s="2"/>
      <c r="B383" s="1009" t="s">
        <v>320</v>
      </c>
      <c r="C383" s="1015"/>
      <c r="D383" s="1016"/>
      <c r="E383" s="1016"/>
      <c r="F383" s="20" t="s">
        <v>1</v>
      </c>
      <c r="G383" s="1020" t="s">
        <v>143</v>
      </c>
      <c r="H383" s="1020"/>
      <c r="M383" s="2008"/>
      <c r="N383" s="2012"/>
      <c r="O383" s="2008">
        <v>1000</v>
      </c>
      <c r="P383" s="2009"/>
      <c r="Q383" s="2"/>
    </row>
    <row r="384" spans="1:17" s="4" customFormat="1" ht="7.5" customHeight="1" x14ac:dyDescent="0.25">
      <c r="A384" s="437"/>
      <c r="B384" s="207" t="s">
        <v>2415</v>
      </c>
      <c r="C384" s="2198" t="s">
        <v>1784</v>
      </c>
      <c r="D384" s="2199"/>
      <c r="E384" s="2199"/>
      <c r="F384" s="2199"/>
      <c r="G384" s="2220"/>
      <c r="H384" s="2220"/>
      <c r="I384" s="2199" t="s">
        <v>1784</v>
      </c>
      <c r="J384" s="2199"/>
      <c r="K384" s="2199"/>
      <c r="L384" s="2199"/>
      <c r="M384" s="993"/>
      <c r="N384" s="994"/>
      <c r="O384" s="993"/>
      <c r="P384" s="995"/>
      <c r="Q384" s="437"/>
    </row>
    <row r="385" spans="1:17" s="4" customFormat="1" x14ac:dyDescent="0.25">
      <c r="A385" s="2"/>
      <c r="B385" s="30" t="s">
        <v>105</v>
      </c>
      <c r="C385" s="1015" t="str">
        <f>+G380</f>
        <v>Intereses positivos a devengar s/PF</v>
      </c>
      <c r="D385" s="1016"/>
      <c r="E385" s="1016"/>
      <c r="F385" s="991"/>
      <c r="G385" s="51"/>
      <c r="H385" s="51"/>
      <c r="L385" s="991"/>
      <c r="M385" s="2008">
        <v>1000</v>
      </c>
      <c r="N385" s="2009"/>
      <c r="O385" s="2012"/>
      <c r="P385" s="2009"/>
      <c r="Q385" s="2"/>
    </row>
    <row r="386" spans="1:17" s="4" customFormat="1" x14ac:dyDescent="0.25">
      <c r="A386" s="2"/>
      <c r="B386" s="1009" t="s">
        <v>16</v>
      </c>
      <c r="C386" s="1015"/>
      <c r="D386" s="1016"/>
      <c r="E386" s="1016"/>
      <c r="F386" s="20" t="s">
        <v>1</v>
      </c>
      <c r="G386" s="1020" t="s">
        <v>2019</v>
      </c>
      <c r="H386" s="1020"/>
      <c r="M386" s="2008"/>
      <c r="N386" s="2012"/>
      <c r="O386" s="2008">
        <v>1000</v>
      </c>
      <c r="P386" s="2009"/>
      <c r="Q386" s="2"/>
    </row>
    <row r="387" spans="1:17" s="4" customFormat="1" ht="7.5" customHeight="1" x14ac:dyDescent="0.25">
      <c r="A387" s="2"/>
      <c r="B387" s="207" t="s">
        <v>2416</v>
      </c>
      <c r="C387" s="2198" t="s">
        <v>1784</v>
      </c>
      <c r="D387" s="2199"/>
      <c r="E387" s="2199"/>
      <c r="F387" s="2199"/>
      <c r="G387" s="2220"/>
      <c r="H387" s="2220"/>
      <c r="I387" s="2199" t="s">
        <v>1784</v>
      </c>
      <c r="J387" s="2199"/>
      <c r="K387" s="2199"/>
      <c r="L387" s="2199"/>
      <c r="M387" s="1436"/>
      <c r="N387" s="1438"/>
      <c r="O387" s="1436"/>
      <c r="P387" s="1437"/>
      <c r="Q387" s="2"/>
    </row>
    <row r="388" spans="1:17" s="4" customFormat="1" x14ac:dyDescent="0.25">
      <c r="A388" s="2"/>
      <c r="B388" s="30" t="s">
        <v>11</v>
      </c>
      <c r="C388" s="1439" t="str">
        <f>+G379</f>
        <v>Banco ICBC Cta Cte</v>
      </c>
      <c r="D388" s="1440"/>
      <c r="E388" s="1440"/>
      <c r="F388" s="1441"/>
      <c r="G388" s="1443"/>
      <c r="H388" s="1443"/>
      <c r="L388" s="1441"/>
      <c r="M388" s="2008">
        <f>+O389</f>
        <v>51000</v>
      </c>
      <c r="N388" s="2009"/>
      <c r="O388" s="2012"/>
      <c r="P388" s="2009"/>
      <c r="Q388" s="2"/>
    </row>
    <row r="389" spans="1:17" s="4" customFormat="1" x14ac:dyDescent="0.25">
      <c r="A389" s="2"/>
      <c r="B389" s="1435" t="s">
        <v>14</v>
      </c>
      <c r="C389" s="1439"/>
      <c r="D389" s="1440"/>
      <c r="E389" s="1440"/>
      <c r="F389" s="20" t="s">
        <v>1</v>
      </c>
      <c r="G389" s="1442" t="str">
        <f>+C378</f>
        <v>Banco ICBC Plazo Fijo</v>
      </c>
      <c r="H389" s="1442"/>
      <c r="M389" s="2008"/>
      <c r="N389" s="2012"/>
      <c r="O389" s="2008">
        <f>+M378</f>
        <v>51000</v>
      </c>
      <c r="P389" s="2009"/>
      <c r="Q389" s="2"/>
    </row>
    <row r="390" spans="1:17" s="4" customFormat="1" ht="7.5" customHeight="1" x14ac:dyDescent="0.25">
      <c r="A390" s="437"/>
      <c r="B390" s="207">
        <v>16</v>
      </c>
      <c r="C390" s="2198" t="s">
        <v>1784</v>
      </c>
      <c r="D390" s="2199"/>
      <c r="E390" s="2199"/>
      <c r="F390" s="2199"/>
      <c r="G390" s="2220"/>
      <c r="H390" s="2220"/>
      <c r="I390" s="2199" t="s">
        <v>1784</v>
      </c>
      <c r="J390" s="2199"/>
      <c r="K390" s="2199"/>
      <c r="L390" s="2199"/>
      <c r="M390" s="993"/>
      <c r="N390" s="994"/>
      <c r="O390" s="993"/>
      <c r="P390" s="995"/>
      <c r="Q390" s="437"/>
    </row>
    <row r="391" spans="1:17" s="4" customFormat="1" x14ac:dyDescent="0.25">
      <c r="A391" s="2"/>
      <c r="B391" s="30" t="s">
        <v>207</v>
      </c>
      <c r="C391" s="1015" t="s">
        <v>6</v>
      </c>
      <c r="D391" s="1016"/>
      <c r="E391" s="1016"/>
      <c r="F391" s="991"/>
      <c r="G391" s="51"/>
      <c r="H391" s="51"/>
      <c r="L391" s="991"/>
      <c r="M391" s="2008">
        <f>+O370</f>
        <v>20000</v>
      </c>
      <c r="N391" s="2009"/>
      <c r="O391" s="2012"/>
      <c r="P391" s="2009"/>
      <c r="Q391" s="2"/>
    </row>
    <row r="392" spans="1:17" s="4" customFormat="1" x14ac:dyDescent="0.25">
      <c r="A392" s="2"/>
      <c r="B392" s="38" t="s">
        <v>142</v>
      </c>
      <c r="C392" s="1015" t="str">
        <f>+G383</f>
        <v>Intereses negativos a devengar s/D.a.P.</v>
      </c>
      <c r="D392" s="1016"/>
      <c r="E392" s="1016"/>
      <c r="F392" s="991"/>
      <c r="G392" s="51"/>
      <c r="H392" s="51"/>
      <c r="L392" s="991"/>
      <c r="M392" s="2008">
        <v>1500</v>
      </c>
      <c r="N392" s="2009"/>
      <c r="O392" s="994"/>
      <c r="P392" s="995"/>
      <c r="Q392" s="2"/>
    </row>
    <row r="393" spans="1:17" s="4" customFormat="1" x14ac:dyDescent="0.25">
      <c r="A393" s="2"/>
      <c r="B393" s="1009" t="s">
        <v>17</v>
      </c>
      <c r="C393" s="1015"/>
      <c r="D393" s="1016"/>
      <c r="E393" s="1016"/>
      <c r="F393" s="20" t="s">
        <v>1</v>
      </c>
      <c r="G393" s="1020" t="s">
        <v>6</v>
      </c>
      <c r="H393" s="1020"/>
      <c r="M393" s="2008"/>
      <c r="N393" s="2012"/>
      <c r="O393" s="2008">
        <v>21500</v>
      </c>
      <c r="P393" s="2009"/>
      <c r="Q393" s="2"/>
    </row>
    <row r="394" spans="1:17" s="4" customFormat="1" ht="7.5" customHeight="1" x14ac:dyDescent="0.25">
      <c r="A394" s="437"/>
      <c r="B394" s="207">
        <v>17</v>
      </c>
      <c r="C394" s="2198" t="s">
        <v>1784</v>
      </c>
      <c r="D394" s="2199"/>
      <c r="E394" s="2199"/>
      <c r="F394" s="2199"/>
      <c r="G394" s="2220"/>
      <c r="H394" s="2220"/>
      <c r="I394" s="2199" t="s">
        <v>1784</v>
      </c>
      <c r="J394" s="2199"/>
      <c r="K394" s="2199"/>
      <c r="L394" s="2199"/>
      <c r="M394" s="993"/>
      <c r="N394" s="994"/>
      <c r="O394" s="993"/>
      <c r="P394" s="995"/>
      <c r="Q394" s="437"/>
    </row>
    <row r="395" spans="1:17" s="4" customFormat="1" x14ac:dyDescent="0.25">
      <c r="A395" s="2"/>
      <c r="B395" s="30" t="s">
        <v>15</v>
      </c>
      <c r="C395" s="1015" t="s">
        <v>319</v>
      </c>
      <c r="D395" s="1016"/>
      <c r="E395" s="1016"/>
      <c r="F395" s="991"/>
      <c r="G395" s="51"/>
      <c r="H395" s="51"/>
      <c r="L395" s="991"/>
      <c r="M395" s="2008">
        <f>+M392</f>
        <v>1500</v>
      </c>
      <c r="N395" s="2009"/>
      <c r="O395" s="2012"/>
      <c r="P395" s="2009"/>
      <c r="Q395" s="2"/>
    </row>
    <row r="396" spans="1:17" s="4" customFormat="1" x14ac:dyDescent="0.25">
      <c r="A396" s="2"/>
      <c r="B396" s="1009" t="s">
        <v>320</v>
      </c>
      <c r="C396" s="1015"/>
      <c r="D396" s="1016"/>
      <c r="E396" s="1016"/>
      <c r="F396" s="20" t="s">
        <v>1</v>
      </c>
      <c r="G396" s="1020" t="s">
        <v>143</v>
      </c>
      <c r="H396" s="1020"/>
      <c r="M396" s="2008"/>
      <c r="N396" s="2012"/>
      <c r="O396" s="2008">
        <f>+M395</f>
        <v>1500</v>
      </c>
      <c r="P396" s="2009"/>
      <c r="Q396" s="2"/>
    </row>
    <row r="397" spans="1:17" s="4" customFormat="1" ht="7.5" customHeight="1" x14ac:dyDescent="0.25">
      <c r="A397" s="437"/>
      <c r="B397" s="207">
        <v>18</v>
      </c>
      <c r="C397" s="2198" t="s">
        <v>1784</v>
      </c>
      <c r="D397" s="2199"/>
      <c r="E397" s="2199"/>
      <c r="F397" s="2199"/>
      <c r="G397" s="2220"/>
      <c r="H397" s="2220"/>
      <c r="I397" s="2199" t="s">
        <v>1784</v>
      </c>
      <c r="J397" s="2199"/>
      <c r="K397" s="2199"/>
      <c r="L397" s="2199"/>
      <c r="M397" s="993"/>
      <c r="N397" s="994"/>
      <c r="O397" s="993"/>
      <c r="P397" s="995"/>
      <c r="Q397" s="437"/>
    </row>
    <row r="398" spans="1:17" s="4" customFormat="1" x14ac:dyDescent="0.25">
      <c r="A398" s="2"/>
      <c r="B398" s="30" t="s">
        <v>207</v>
      </c>
      <c r="C398" s="1015" t="s">
        <v>6</v>
      </c>
      <c r="D398" s="1016"/>
      <c r="E398" s="1016"/>
      <c r="F398" s="991"/>
      <c r="G398" s="51"/>
      <c r="H398" s="51"/>
      <c r="L398" s="991"/>
      <c r="M398" s="2008">
        <f>+O393</f>
        <v>21500</v>
      </c>
      <c r="N398" s="2009"/>
      <c r="O398" s="2012"/>
      <c r="P398" s="2009"/>
      <c r="Q398" s="2"/>
    </row>
    <row r="399" spans="1:17" s="4" customFormat="1" x14ac:dyDescent="0.25">
      <c r="A399" s="2"/>
      <c r="B399" s="1009" t="s">
        <v>14</v>
      </c>
      <c r="C399" s="1015"/>
      <c r="D399" s="1016"/>
      <c r="E399" s="1016"/>
      <c r="F399" s="20" t="s">
        <v>1</v>
      </c>
      <c r="G399" s="1020" t="s">
        <v>282</v>
      </c>
      <c r="H399" s="1020"/>
      <c r="M399" s="2008"/>
      <c r="N399" s="2012"/>
      <c r="O399" s="2008">
        <v>21500</v>
      </c>
      <c r="P399" s="2009"/>
      <c r="Q399" s="2"/>
    </row>
    <row r="400" spans="1:17" s="4" customFormat="1" ht="7.5" customHeight="1" x14ac:dyDescent="0.25">
      <c r="A400" s="437"/>
      <c r="B400" s="207">
        <v>19</v>
      </c>
      <c r="C400" s="2198" t="s">
        <v>1784</v>
      </c>
      <c r="D400" s="2199"/>
      <c r="E400" s="2199"/>
      <c r="F400" s="2199"/>
      <c r="G400" s="2220"/>
      <c r="H400" s="2220"/>
      <c r="I400" s="2199" t="s">
        <v>1784</v>
      </c>
      <c r="J400" s="2199"/>
      <c r="K400" s="2199"/>
      <c r="L400" s="2199"/>
      <c r="M400" s="993"/>
      <c r="N400" s="994"/>
      <c r="O400" s="993"/>
      <c r="P400" s="995"/>
      <c r="Q400" s="437"/>
    </row>
    <row r="401" spans="1:17" s="4" customFormat="1" x14ac:dyDescent="0.25">
      <c r="A401" s="2"/>
      <c r="B401" s="30" t="s">
        <v>11</v>
      </c>
      <c r="C401" s="1015" t="s">
        <v>0</v>
      </c>
      <c r="D401" s="1016"/>
      <c r="E401" s="1016"/>
      <c r="F401" s="991"/>
      <c r="G401" s="51"/>
      <c r="H401" s="51"/>
      <c r="L401" s="991"/>
      <c r="M401" s="2008">
        <f>+O402+O403</f>
        <v>20570</v>
      </c>
      <c r="N401" s="2009"/>
      <c r="O401" s="2012"/>
      <c r="P401" s="2009"/>
      <c r="Q401" s="2"/>
    </row>
    <row r="402" spans="1:17" s="4" customFormat="1" x14ac:dyDescent="0.25">
      <c r="A402" s="2"/>
      <c r="B402" s="38" t="s">
        <v>16</v>
      </c>
      <c r="C402" s="1015"/>
      <c r="D402" s="1016"/>
      <c r="E402" s="1016"/>
      <c r="F402" s="20" t="s">
        <v>1</v>
      </c>
      <c r="G402" s="1020" t="s">
        <v>3</v>
      </c>
      <c r="H402" s="51"/>
      <c r="L402" s="991"/>
      <c r="M402" s="2008"/>
      <c r="N402" s="2009"/>
      <c r="O402" s="2008">
        <v>17000</v>
      </c>
      <c r="P402" s="2009"/>
      <c r="Q402" s="2"/>
    </row>
    <row r="403" spans="1:17" s="4" customFormat="1" x14ac:dyDescent="0.25">
      <c r="A403" s="2"/>
      <c r="B403" s="1009" t="s">
        <v>17</v>
      </c>
      <c r="C403" s="1015"/>
      <c r="D403" s="1016"/>
      <c r="E403" s="1016"/>
      <c r="F403" s="20" t="s">
        <v>1</v>
      </c>
      <c r="G403" s="1020" t="s">
        <v>12</v>
      </c>
      <c r="H403" s="1020"/>
      <c r="M403" s="2008"/>
      <c r="N403" s="2012"/>
      <c r="O403" s="2008">
        <f>+O402*0.21</f>
        <v>3570</v>
      </c>
      <c r="P403" s="2009"/>
      <c r="Q403" s="2"/>
    </row>
    <row r="404" spans="1:17" s="4" customFormat="1" ht="7.5" customHeight="1" x14ac:dyDescent="0.25">
      <c r="A404" s="437"/>
      <c r="B404" s="207">
        <v>20</v>
      </c>
      <c r="C404" s="2198" t="s">
        <v>1784</v>
      </c>
      <c r="D404" s="2199"/>
      <c r="E404" s="2199"/>
      <c r="F404" s="2199"/>
      <c r="G404" s="2220"/>
      <c r="H404" s="2220"/>
      <c r="I404" s="2199" t="s">
        <v>1784</v>
      </c>
      <c r="J404" s="2199"/>
      <c r="K404" s="2199"/>
      <c r="L404" s="2199"/>
      <c r="M404" s="993"/>
      <c r="N404" s="994"/>
      <c r="O404" s="993"/>
      <c r="P404" s="995"/>
      <c r="Q404" s="437"/>
    </row>
    <row r="405" spans="1:17" s="4" customFormat="1" x14ac:dyDescent="0.25">
      <c r="A405" s="2"/>
      <c r="B405" s="30" t="s">
        <v>11</v>
      </c>
      <c r="C405" s="1015" t="s">
        <v>478</v>
      </c>
      <c r="D405" s="1016"/>
      <c r="E405" s="1016"/>
      <c r="F405" s="991"/>
      <c r="G405" s="51"/>
      <c r="H405" s="51"/>
      <c r="L405" s="991"/>
      <c r="M405" s="2008">
        <f>+O406+O407</f>
        <v>21570</v>
      </c>
      <c r="N405" s="2009"/>
      <c r="O405" s="2012"/>
      <c r="P405" s="2009"/>
      <c r="Q405" s="2"/>
    </row>
    <row r="406" spans="1:17" s="4" customFormat="1" x14ac:dyDescent="0.25">
      <c r="A406" s="2"/>
      <c r="B406" s="38" t="s">
        <v>14</v>
      </c>
      <c r="C406" s="1015"/>
      <c r="D406" s="1016"/>
      <c r="E406" s="1016"/>
      <c r="F406" s="20" t="s">
        <v>1</v>
      </c>
      <c r="G406" s="1020" t="s">
        <v>0</v>
      </c>
      <c r="H406" s="51"/>
      <c r="L406" s="991"/>
      <c r="M406" s="993"/>
      <c r="N406" s="995"/>
      <c r="O406" s="2008">
        <f>+M401</f>
        <v>20570</v>
      </c>
      <c r="P406" s="2009"/>
      <c r="Q406" s="2"/>
    </row>
    <row r="407" spans="1:17" s="4" customFormat="1" x14ac:dyDescent="0.25">
      <c r="A407" s="2"/>
      <c r="B407" s="38" t="s">
        <v>108</v>
      </c>
      <c r="C407" s="1015"/>
      <c r="D407" s="1016"/>
      <c r="E407" s="1016"/>
      <c r="F407" s="20" t="s">
        <v>1</v>
      </c>
      <c r="G407" s="1020" t="s">
        <v>543</v>
      </c>
      <c r="H407" s="51"/>
      <c r="L407" s="991"/>
      <c r="M407" s="2008"/>
      <c r="N407" s="2009"/>
      <c r="O407" s="2008">
        <v>1000</v>
      </c>
      <c r="P407" s="2009"/>
      <c r="Q407" s="2"/>
    </row>
    <row r="408" spans="1:17" s="4" customFormat="1" ht="7.5" customHeight="1" x14ac:dyDescent="0.25">
      <c r="A408" s="437"/>
      <c r="B408" s="207">
        <v>21</v>
      </c>
      <c r="C408" s="2198" t="s">
        <v>1784</v>
      </c>
      <c r="D408" s="2199"/>
      <c r="E408" s="2199"/>
      <c r="F408" s="2199"/>
      <c r="G408" s="2220"/>
      <c r="H408" s="2220"/>
      <c r="I408" s="2199" t="s">
        <v>1784</v>
      </c>
      <c r="J408" s="2199"/>
      <c r="K408" s="2199"/>
      <c r="L408" s="2199"/>
      <c r="M408" s="993"/>
      <c r="N408" s="994"/>
      <c r="O408" s="993"/>
      <c r="P408" s="995"/>
      <c r="Q408" s="437"/>
    </row>
    <row r="409" spans="1:17" s="4" customFormat="1" x14ac:dyDescent="0.25">
      <c r="A409" s="2"/>
      <c r="B409" s="30" t="s">
        <v>105</v>
      </c>
      <c r="C409" s="1015" t="str">
        <f>+G407</f>
        <v>Intereses positivos a devengar s/D.a.C.</v>
      </c>
      <c r="D409" s="1016"/>
      <c r="E409" s="1016"/>
      <c r="F409" s="991"/>
      <c r="G409" s="51"/>
      <c r="H409" s="51"/>
      <c r="L409" s="991"/>
      <c r="M409" s="2008">
        <f>+O407</f>
        <v>1000</v>
      </c>
      <c r="N409" s="2009"/>
      <c r="O409" s="2012"/>
      <c r="P409" s="2009"/>
      <c r="Q409" s="2"/>
    </row>
    <row r="410" spans="1:17" s="4" customFormat="1" x14ac:dyDescent="0.25">
      <c r="A410" s="2"/>
      <c r="B410" s="38" t="s">
        <v>16</v>
      </c>
      <c r="C410" s="1015"/>
      <c r="D410" s="1016"/>
      <c r="E410" s="1016"/>
      <c r="F410" s="20" t="s">
        <v>1</v>
      </c>
      <c r="G410" s="1020" t="s">
        <v>1100</v>
      </c>
      <c r="H410" s="51"/>
      <c r="L410" s="991"/>
      <c r="M410" s="993"/>
      <c r="N410" s="995"/>
      <c r="O410" s="2008">
        <f>+M409</f>
        <v>1000</v>
      </c>
      <c r="P410" s="2009"/>
      <c r="Q410" s="2"/>
    </row>
    <row r="411" spans="1:17" s="4" customFormat="1" ht="7.5" customHeight="1" x14ac:dyDescent="0.25">
      <c r="A411" s="437"/>
      <c r="B411" s="207" t="s">
        <v>2417</v>
      </c>
      <c r="C411" s="2198" t="s">
        <v>1784</v>
      </c>
      <c r="D411" s="2199"/>
      <c r="E411" s="2199"/>
      <c r="F411" s="2199"/>
      <c r="G411" s="2220"/>
      <c r="H411" s="2220"/>
      <c r="I411" s="2199" t="s">
        <v>1784</v>
      </c>
      <c r="J411" s="2199"/>
      <c r="K411" s="2199"/>
      <c r="L411" s="2199"/>
      <c r="M411" s="993"/>
      <c r="N411" s="994"/>
      <c r="O411" s="993"/>
      <c r="P411" s="995"/>
      <c r="Q411" s="437"/>
    </row>
    <row r="412" spans="1:17" s="4" customFormat="1" x14ac:dyDescent="0.25">
      <c r="A412" s="2"/>
      <c r="B412" s="30" t="s">
        <v>11</v>
      </c>
      <c r="C412" s="1015" t="s">
        <v>227</v>
      </c>
      <c r="D412" s="1016"/>
      <c r="E412" s="1016"/>
      <c r="F412" s="991"/>
      <c r="G412" s="51"/>
      <c r="H412" s="51"/>
      <c r="L412" s="991"/>
      <c r="M412" s="2008">
        <f>+M405</f>
        <v>21570</v>
      </c>
      <c r="N412" s="2009"/>
      <c r="O412" s="2012"/>
      <c r="P412" s="2009"/>
      <c r="Q412" s="2"/>
    </row>
    <row r="413" spans="1:17" s="4" customFormat="1" x14ac:dyDescent="0.25">
      <c r="A413" s="2"/>
      <c r="B413" s="38" t="s">
        <v>14</v>
      </c>
      <c r="C413" s="1017"/>
      <c r="D413" s="1018"/>
      <c r="E413" s="1018"/>
      <c r="F413" s="35" t="s">
        <v>1</v>
      </c>
      <c r="G413" s="1022" t="s">
        <v>478</v>
      </c>
      <c r="H413" s="24"/>
      <c r="I413" s="3"/>
      <c r="J413" s="3"/>
      <c r="K413" s="3"/>
      <c r="L413" s="1013"/>
      <c r="M413" s="983"/>
      <c r="N413" s="984"/>
      <c r="O413" s="2006">
        <f>+M412</f>
        <v>21570</v>
      </c>
      <c r="P413" s="2007"/>
      <c r="Q413" s="2"/>
    </row>
    <row r="414" spans="1:17" s="4" customFormat="1" x14ac:dyDescent="0.25">
      <c r="B414" s="1004"/>
      <c r="C414" s="12"/>
      <c r="D414" s="12"/>
      <c r="E414" s="12"/>
      <c r="F414" s="12"/>
      <c r="G414" s="51"/>
      <c r="H414" s="51"/>
      <c r="M414" s="18"/>
      <c r="N414" s="18"/>
      <c r="O414" s="18"/>
      <c r="P414" s="18"/>
    </row>
    <row r="415" spans="1:17" s="4" customFormat="1" x14ac:dyDescent="0.25">
      <c r="A415" s="2"/>
      <c r="B415" s="6"/>
      <c r="C415" s="21" t="s">
        <v>2018</v>
      </c>
      <c r="D415" s="12"/>
      <c r="E415" s="12"/>
      <c r="F415" s="12"/>
      <c r="G415" s="27"/>
      <c r="H415" s="27"/>
      <c r="I415" s="2"/>
      <c r="J415" s="2"/>
      <c r="K415" s="2"/>
      <c r="L415" s="2"/>
      <c r="M415" s="10"/>
      <c r="N415" s="10"/>
      <c r="O415" s="10"/>
      <c r="P415" s="10"/>
      <c r="Q415" s="2"/>
    </row>
    <row r="416" spans="1:17" s="4" customFormat="1" ht="7.5" customHeight="1" x14ac:dyDescent="0.25">
      <c r="A416" s="437"/>
      <c r="B416" s="1179"/>
      <c r="C416" s="1178"/>
      <c r="D416" s="1177"/>
      <c r="E416" s="1177"/>
      <c r="F416" s="1177"/>
      <c r="G416" s="435"/>
      <c r="H416" s="435"/>
      <c r="I416" s="437"/>
      <c r="J416" s="437"/>
      <c r="K416" s="437"/>
      <c r="L416" s="437"/>
      <c r="M416" s="2102" t="s">
        <v>9</v>
      </c>
      <c r="N416" s="2102"/>
      <c r="O416" s="2102" t="s">
        <v>8</v>
      </c>
      <c r="P416" s="2102"/>
      <c r="Q416" s="437"/>
    </row>
    <row r="417" spans="1:17" s="4" customFormat="1" ht="7.5" customHeight="1" x14ac:dyDescent="0.25">
      <c r="A417" s="437"/>
      <c r="B417" s="207">
        <v>22</v>
      </c>
      <c r="C417" s="1188"/>
      <c r="D417" s="1175"/>
      <c r="E417" s="1173"/>
      <c r="F417" s="1173"/>
      <c r="G417" s="2224"/>
      <c r="H417" s="2224"/>
      <c r="I417" s="1174"/>
      <c r="J417" s="1174"/>
      <c r="K417" s="1174"/>
      <c r="L417" s="1173"/>
      <c r="M417" s="2103"/>
      <c r="N417" s="2103"/>
      <c r="O417" s="2103" t="s">
        <v>8</v>
      </c>
      <c r="P417" s="2103"/>
      <c r="Q417" s="437"/>
    </row>
    <row r="418" spans="1:17" s="4" customFormat="1" x14ac:dyDescent="0.25">
      <c r="A418" s="2"/>
      <c r="B418" s="30" t="s">
        <v>11</v>
      </c>
      <c r="C418" s="1015" t="s">
        <v>5</v>
      </c>
      <c r="D418" s="31"/>
      <c r="E418" s="1016"/>
      <c r="F418" s="991"/>
      <c r="G418" s="51"/>
      <c r="H418" s="51"/>
      <c r="L418" s="991"/>
      <c r="M418" s="2008">
        <f>5000*0.8</f>
        <v>4000</v>
      </c>
      <c r="N418" s="2009"/>
      <c r="O418" s="2012"/>
      <c r="P418" s="2009"/>
      <c r="Q418" s="2"/>
    </row>
    <row r="419" spans="1:17" s="4" customFormat="1" x14ac:dyDescent="0.25">
      <c r="A419" s="2"/>
      <c r="B419" s="38" t="s">
        <v>142</v>
      </c>
      <c r="C419" s="1015" t="s">
        <v>2017</v>
      </c>
      <c r="D419" s="1016"/>
      <c r="E419" s="1016"/>
      <c r="F419" s="991"/>
      <c r="G419" s="51"/>
      <c r="H419" s="51"/>
      <c r="L419" s="991"/>
      <c r="M419" s="2008">
        <f>5000*0.2</f>
        <v>1000</v>
      </c>
      <c r="N419" s="2009"/>
      <c r="O419" s="994"/>
      <c r="P419" s="995"/>
      <c r="Q419" s="2"/>
    </row>
    <row r="420" spans="1:17" s="4" customFormat="1" x14ac:dyDescent="0.25">
      <c r="A420" s="2"/>
      <c r="B420" s="38" t="s">
        <v>11</v>
      </c>
      <c r="C420" s="1015" t="s">
        <v>13</v>
      </c>
      <c r="D420" s="1016"/>
      <c r="E420" s="1016"/>
      <c r="F420" s="20"/>
      <c r="G420" s="1020"/>
      <c r="H420" s="51"/>
      <c r="L420" s="991"/>
      <c r="M420" s="2008">
        <f>5000*0.21</f>
        <v>1050</v>
      </c>
      <c r="N420" s="2009"/>
      <c r="O420" s="2008"/>
      <c r="P420" s="2009"/>
      <c r="Q420" s="2"/>
    </row>
    <row r="421" spans="1:17" s="4" customFormat="1" x14ac:dyDescent="0.25">
      <c r="A421" s="2"/>
      <c r="B421" s="38" t="s">
        <v>17</v>
      </c>
      <c r="C421" s="1015"/>
      <c r="D421" s="1016"/>
      <c r="E421" s="1016"/>
      <c r="F421" s="20" t="s">
        <v>1</v>
      </c>
      <c r="G421" s="1020" t="s">
        <v>2</v>
      </c>
      <c r="H421" s="51"/>
      <c r="L421" s="991"/>
      <c r="M421" s="2008"/>
      <c r="N421" s="2009"/>
      <c r="O421" s="2008">
        <f>+M418+M419+M420</f>
        <v>6050</v>
      </c>
      <c r="P421" s="2009"/>
      <c r="Q421" s="2"/>
    </row>
    <row r="422" spans="1:17" s="4" customFormat="1" ht="7.5" customHeight="1" x14ac:dyDescent="0.25">
      <c r="A422" s="437"/>
      <c r="B422" s="207">
        <v>23</v>
      </c>
      <c r="C422" s="1188"/>
      <c r="D422" s="1175"/>
      <c r="E422" s="1173"/>
      <c r="F422" s="1173"/>
      <c r="G422" s="2224"/>
      <c r="H422" s="2224"/>
      <c r="I422" s="1174"/>
      <c r="J422" s="1174"/>
      <c r="K422" s="1174"/>
      <c r="L422" s="1173"/>
      <c r="M422" s="2008"/>
      <c r="N422" s="2009"/>
      <c r="O422" s="2008"/>
      <c r="P422" s="2009"/>
      <c r="Q422" s="437"/>
    </row>
    <row r="423" spans="1:17" s="4" customFormat="1" x14ac:dyDescent="0.25">
      <c r="A423" s="2"/>
      <c r="B423" s="30" t="s">
        <v>207</v>
      </c>
      <c r="C423" s="1015" t="s">
        <v>2</v>
      </c>
      <c r="D423" s="31"/>
      <c r="E423" s="1016"/>
      <c r="F423" s="991"/>
      <c r="G423" s="51"/>
      <c r="H423" s="51"/>
      <c r="L423" s="991"/>
      <c r="M423" s="2008">
        <f>+O421</f>
        <v>6050</v>
      </c>
      <c r="N423" s="2009"/>
      <c r="O423" s="2012"/>
      <c r="P423" s="2009"/>
      <c r="Q423" s="2"/>
    </row>
    <row r="424" spans="1:17" s="4" customFormat="1" x14ac:dyDescent="0.25">
      <c r="A424" s="2"/>
      <c r="B424" s="38" t="s">
        <v>14</v>
      </c>
      <c r="C424" s="1015"/>
      <c r="D424" s="1016"/>
      <c r="E424" s="1016"/>
      <c r="F424" s="20" t="s">
        <v>1</v>
      </c>
      <c r="G424" s="1020" t="s">
        <v>282</v>
      </c>
      <c r="H424" s="51"/>
      <c r="L424" s="991"/>
      <c r="M424" s="2008"/>
      <c r="N424" s="2009"/>
      <c r="O424" s="2008">
        <f>+M423</f>
        <v>6050</v>
      </c>
      <c r="P424" s="2009"/>
      <c r="Q424" s="2"/>
    </row>
    <row r="425" spans="1:17" s="4" customFormat="1" ht="7.5" customHeight="1" x14ac:dyDescent="0.25">
      <c r="A425" s="437"/>
      <c r="B425" s="207" t="s">
        <v>2418</v>
      </c>
      <c r="C425" s="1188"/>
      <c r="D425" s="1175"/>
      <c r="E425" s="1173"/>
      <c r="F425" s="1173"/>
      <c r="G425" s="2224"/>
      <c r="H425" s="2224"/>
      <c r="I425" s="1174"/>
      <c r="J425" s="1174"/>
      <c r="K425" s="1174"/>
      <c r="L425" s="1173"/>
      <c r="M425" s="2008"/>
      <c r="N425" s="2009"/>
      <c r="O425" s="2008"/>
      <c r="P425" s="2009"/>
      <c r="Q425" s="437"/>
    </row>
    <row r="426" spans="1:17" s="4" customFormat="1" x14ac:dyDescent="0.25">
      <c r="A426" s="2"/>
      <c r="B426" s="30" t="s">
        <v>15</v>
      </c>
      <c r="C426" s="1015" t="s">
        <v>319</v>
      </c>
      <c r="D426" s="31"/>
      <c r="E426" s="1016"/>
      <c r="F426" s="991"/>
      <c r="G426" s="51"/>
      <c r="H426" s="51"/>
      <c r="L426" s="991"/>
      <c r="M426" s="2008">
        <f>+M419</f>
        <v>1000</v>
      </c>
      <c r="N426" s="2009"/>
      <c r="O426" s="2012"/>
      <c r="P426" s="2009"/>
      <c r="Q426" s="2"/>
    </row>
    <row r="427" spans="1:17" s="4" customFormat="1" x14ac:dyDescent="0.25">
      <c r="A427" s="2"/>
      <c r="B427" s="38" t="s">
        <v>320</v>
      </c>
      <c r="C427" s="1017"/>
      <c r="D427" s="1018"/>
      <c r="E427" s="1018"/>
      <c r="F427" s="35" t="s">
        <v>1</v>
      </c>
      <c r="G427" s="1022" t="str">
        <f>+C419</f>
        <v>Intereses negativos a devengar s/Prov.</v>
      </c>
      <c r="H427" s="24"/>
      <c r="I427" s="3"/>
      <c r="J427" s="3"/>
      <c r="K427" s="3"/>
      <c r="L427" s="1013"/>
      <c r="M427" s="2006"/>
      <c r="N427" s="2007"/>
      <c r="O427" s="2006">
        <f>+M426</f>
        <v>1000</v>
      </c>
      <c r="P427" s="2007"/>
      <c r="Q427" s="2"/>
    </row>
    <row r="428" spans="1:17" s="4" customFormat="1" x14ac:dyDescent="0.25">
      <c r="B428" s="1004"/>
      <c r="C428" s="12"/>
      <c r="D428" s="12"/>
      <c r="E428" s="12"/>
      <c r="F428" s="12"/>
      <c r="G428" s="51"/>
      <c r="H428" s="51"/>
      <c r="M428" s="18"/>
      <c r="N428" s="18"/>
      <c r="O428" s="18"/>
      <c r="P428" s="18"/>
    </row>
    <row r="429" spans="1:17" s="4" customFormat="1" x14ac:dyDescent="0.25">
      <c r="B429" s="1004"/>
      <c r="C429" s="12"/>
      <c r="D429" s="12"/>
      <c r="E429" s="12"/>
      <c r="F429" s="12"/>
      <c r="G429" s="51"/>
      <c r="H429" s="51"/>
      <c r="M429" s="18"/>
      <c r="N429" s="18"/>
      <c r="O429" s="18"/>
      <c r="P429" s="18"/>
    </row>
    <row r="430" spans="1:17" s="4" customFormat="1" x14ac:dyDescent="0.25">
      <c r="B430" s="1004"/>
      <c r="C430" s="12"/>
      <c r="D430" s="12"/>
      <c r="E430" s="12"/>
      <c r="F430" s="12"/>
      <c r="G430" s="51"/>
      <c r="H430" s="51"/>
      <c r="M430" s="18"/>
      <c r="N430" s="18"/>
      <c r="O430" s="18"/>
      <c r="P430" s="18"/>
    </row>
    <row r="431" spans="1:17" s="4" customFormat="1" x14ac:dyDescent="0.25">
      <c r="B431" s="1004"/>
      <c r="C431" s="12"/>
      <c r="D431" s="12"/>
      <c r="E431" s="12"/>
      <c r="F431" s="12"/>
      <c r="G431" s="51"/>
      <c r="H431" s="51"/>
      <c r="M431" s="18"/>
      <c r="N431" s="18"/>
      <c r="O431" s="18"/>
      <c r="P431" s="18"/>
    </row>
    <row r="432" spans="1:17" s="4" customFormat="1" x14ac:dyDescent="0.25">
      <c r="B432" s="1004"/>
      <c r="C432" s="12"/>
      <c r="D432" s="12"/>
      <c r="E432" s="12"/>
      <c r="F432" s="1004" t="s">
        <v>370</v>
      </c>
      <c r="G432" s="2096" t="s">
        <v>222</v>
      </c>
      <c r="H432" s="2096"/>
      <c r="I432" s="1004" t="s">
        <v>370</v>
      </c>
      <c r="M432" s="18"/>
      <c r="N432" s="18"/>
      <c r="O432" s="18"/>
      <c r="P432" s="18"/>
    </row>
    <row r="433" spans="1:17" s="4" customFormat="1" x14ac:dyDescent="0.25">
      <c r="B433" s="1004"/>
      <c r="C433" s="12"/>
      <c r="D433" s="12"/>
      <c r="E433" s="12"/>
      <c r="F433" s="12"/>
      <c r="G433" s="51"/>
      <c r="H433" s="51"/>
      <c r="M433" s="18"/>
      <c r="N433" s="18"/>
      <c r="O433" s="18"/>
      <c r="P433" s="18"/>
    </row>
    <row r="434" spans="1:17" s="4" customFormat="1" x14ac:dyDescent="0.25">
      <c r="B434" s="1004"/>
      <c r="C434" s="12"/>
      <c r="D434" s="12"/>
      <c r="E434" s="12"/>
      <c r="F434" s="12"/>
      <c r="G434" s="51"/>
      <c r="H434" s="51"/>
      <c r="M434" s="18"/>
      <c r="N434" s="18"/>
      <c r="O434" s="18"/>
      <c r="P434" s="18"/>
    </row>
    <row r="435" spans="1:17" s="4" customFormat="1" x14ac:dyDescent="0.25">
      <c r="A435" s="2"/>
      <c r="B435" s="6"/>
      <c r="C435" s="21" t="s">
        <v>2016</v>
      </c>
      <c r="D435" s="12"/>
      <c r="E435" s="12"/>
      <c r="F435" s="12"/>
      <c r="G435" s="27"/>
      <c r="H435" s="27"/>
      <c r="I435" s="2"/>
      <c r="J435" s="2"/>
      <c r="K435" s="2"/>
      <c r="L435" s="2"/>
      <c r="M435" s="10"/>
      <c r="N435" s="10"/>
      <c r="O435" s="10"/>
      <c r="P435" s="10"/>
      <c r="Q435" s="2"/>
    </row>
    <row r="436" spans="1:17" s="4" customFormat="1" ht="7.5" customHeight="1" x14ac:dyDescent="0.25">
      <c r="A436" s="437"/>
      <c r="B436" s="1179"/>
      <c r="C436" s="1178"/>
      <c r="D436" s="1177"/>
      <c r="E436" s="1177"/>
      <c r="F436" s="1177"/>
      <c r="G436" s="435"/>
      <c r="H436" s="435"/>
      <c r="I436" s="437"/>
      <c r="J436" s="437"/>
      <c r="K436" s="437"/>
      <c r="L436" s="437"/>
      <c r="M436" s="2102" t="s">
        <v>9</v>
      </c>
      <c r="N436" s="2102"/>
      <c r="O436" s="2102" t="s">
        <v>8</v>
      </c>
      <c r="P436" s="2102"/>
      <c r="Q436" s="437"/>
    </row>
    <row r="437" spans="1:17" s="4" customFormat="1" ht="7.5" customHeight="1" x14ac:dyDescent="0.25">
      <c r="A437" s="437"/>
      <c r="B437" s="207">
        <v>24</v>
      </c>
      <c r="C437" s="1188"/>
      <c r="D437" s="1175"/>
      <c r="E437" s="1173"/>
      <c r="F437" s="1173"/>
      <c r="G437" s="2224"/>
      <c r="H437" s="2224"/>
      <c r="I437" s="1174"/>
      <c r="J437" s="1174"/>
      <c r="K437" s="1174"/>
      <c r="L437" s="1173"/>
      <c r="M437" s="2103"/>
      <c r="N437" s="2103"/>
      <c r="O437" s="2103" t="s">
        <v>8</v>
      </c>
      <c r="P437" s="2103"/>
      <c r="Q437" s="437"/>
    </row>
    <row r="438" spans="1:17" s="4" customFormat="1" x14ac:dyDescent="0.25">
      <c r="A438" s="2"/>
      <c r="B438" s="30" t="s">
        <v>11</v>
      </c>
      <c r="C438" s="1015" t="s">
        <v>5</v>
      </c>
      <c r="D438" s="31"/>
      <c r="E438" s="1016"/>
      <c r="F438" s="991"/>
      <c r="G438" s="51"/>
      <c r="H438" s="51"/>
      <c r="L438" s="991"/>
      <c r="M438" s="2008">
        <v>2000</v>
      </c>
      <c r="N438" s="2009"/>
      <c r="O438" s="2012"/>
      <c r="P438" s="2009"/>
      <c r="Q438" s="2"/>
    </row>
    <row r="439" spans="1:17" s="4" customFormat="1" x14ac:dyDescent="0.25">
      <c r="A439" s="2"/>
      <c r="B439" s="38" t="s">
        <v>142</v>
      </c>
      <c r="C439" s="1015" t="s">
        <v>143</v>
      </c>
      <c r="D439" s="1016"/>
      <c r="E439" s="1016"/>
      <c r="F439" s="991"/>
      <c r="G439" s="51"/>
      <c r="H439" s="51"/>
      <c r="L439" s="991"/>
      <c r="M439" s="2008">
        <f>2000*1.21*0.2</f>
        <v>484</v>
      </c>
      <c r="N439" s="2009"/>
      <c r="O439" s="994"/>
      <c r="P439" s="995"/>
      <c r="Q439" s="2"/>
    </row>
    <row r="440" spans="1:17" s="4" customFormat="1" x14ac:dyDescent="0.25">
      <c r="A440" s="2"/>
      <c r="B440" s="38" t="s">
        <v>11</v>
      </c>
      <c r="C440" s="1015" t="s">
        <v>13</v>
      </c>
      <c r="D440" s="1016"/>
      <c r="E440" s="1016"/>
      <c r="F440" s="20"/>
      <c r="G440" s="1020"/>
      <c r="H440" s="51"/>
      <c r="L440" s="991"/>
      <c r="M440" s="2008">
        <f>+M438*0.21</f>
        <v>420</v>
      </c>
      <c r="N440" s="2009"/>
      <c r="O440" s="2008"/>
      <c r="P440" s="2009"/>
      <c r="Q440" s="2"/>
    </row>
    <row r="441" spans="1:17" s="4" customFormat="1" x14ac:dyDescent="0.25">
      <c r="A441" s="2"/>
      <c r="B441" s="38" t="s">
        <v>17</v>
      </c>
      <c r="C441" s="1015"/>
      <c r="D441" s="1016"/>
      <c r="E441" s="1016"/>
      <c r="F441" s="20" t="s">
        <v>1</v>
      </c>
      <c r="G441" s="1020" t="s">
        <v>6</v>
      </c>
      <c r="H441" s="51"/>
      <c r="L441" s="991"/>
      <c r="M441" s="2008"/>
      <c r="N441" s="2009"/>
      <c r="O441" s="2008">
        <f>+(2000*1.21)*1.2</f>
        <v>2904</v>
      </c>
      <c r="P441" s="2009"/>
      <c r="Q441" s="2"/>
    </row>
    <row r="442" spans="1:17" s="4" customFormat="1" ht="7.5" customHeight="1" x14ac:dyDescent="0.25">
      <c r="A442" s="437"/>
      <c r="B442" s="207">
        <v>25</v>
      </c>
      <c r="C442" s="1188"/>
      <c r="D442" s="1175"/>
      <c r="E442" s="1173"/>
      <c r="F442" s="1173"/>
      <c r="G442" s="2224"/>
      <c r="H442" s="2224"/>
      <c r="I442" s="1174"/>
      <c r="J442" s="1174"/>
      <c r="K442" s="1174"/>
      <c r="L442" s="1173"/>
      <c r="M442" s="2008"/>
      <c r="N442" s="2009"/>
      <c r="O442" s="2008"/>
      <c r="P442" s="2009"/>
      <c r="Q442" s="437"/>
    </row>
    <row r="443" spans="1:17" s="4" customFormat="1" x14ac:dyDescent="0.25">
      <c r="A443" s="2"/>
      <c r="B443" s="30" t="s">
        <v>15</v>
      </c>
      <c r="C443" s="1015" t="s">
        <v>319</v>
      </c>
      <c r="D443" s="31"/>
      <c r="E443" s="1016"/>
      <c r="F443" s="991"/>
      <c r="G443" s="51"/>
      <c r="H443" s="51"/>
      <c r="L443" s="991"/>
      <c r="M443" s="2008">
        <f>+M439/2</f>
        <v>242</v>
      </c>
      <c r="N443" s="2009"/>
      <c r="O443" s="2012"/>
      <c r="P443" s="2009"/>
      <c r="Q443" s="2"/>
    </row>
    <row r="444" spans="1:17" s="4" customFormat="1" x14ac:dyDescent="0.25">
      <c r="A444" s="2"/>
      <c r="B444" s="38" t="s">
        <v>320</v>
      </c>
      <c r="C444" s="1015"/>
      <c r="D444" s="1016"/>
      <c r="E444" s="1016"/>
      <c r="F444" s="20" t="s">
        <v>1</v>
      </c>
      <c r="G444" s="1020" t="str">
        <f>+C439</f>
        <v>Intereses negativos a devengar s/D.a.P.</v>
      </c>
      <c r="H444" s="51"/>
      <c r="L444" s="991"/>
      <c r="M444" s="2008"/>
      <c r="N444" s="2009"/>
      <c r="O444" s="2008">
        <f>+M443</f>
        <v>242</v>
      </c>
      <c r="P444" s="2009"/>
      <c r="Q444" s="2"/>
    </row>
    <row r="445" spans="1:17" s="4" customFormat="1" ht="7.5" customHeight="1" x14ac:dyDescent="0.25">
      <c r="A445" s="437"/>
      <c r="B445" s="207">
        <v>26</v>
      </c>
      <c r="C445" s="1188"/>
      <c r="D445" s="1175"/>
      <c r="E445" s="1173"/>
      <c r="F445" s="1173"/>
      <c r="G445" s="2224"/>
      <c r="H445" s="2224"/>
      <c r="I445" s="1174"/>
      <c r="J445" s="1174"/>
      <c r="K445" s="1174"/>
      <c r="L445" s="1173"/>
      <c r="M445" s="2008"/>
      <c r="N445" s="2009"/>
      <c r="O445" s="2008"/>
      <c r="P445" s="2009"/>
      <c r="Q445" s="437"/>
    </row>
    <row r="446" spans="1:17" s="4" customFormat="1" x14ac:dyDescent="0.25">
      <c r="A446" s="2"/>
      <c r="B446" s="30" t="s">
        <v>15</v>
      </c>
      <c r="C446" s="1015" t="s">
        <v>319</v>
      </c>
      <c r="D446" s="31"/>
      <c r="E446" s="1016"/>
      <c r="F446" s="991"/>
      <c r="G446" s="51"/>
      <c r="H446" s="51"/>
      <c r="L446" s="991"/>
      <c r="M446" s="2008">
        <f>+M443</f>
        <v>242</v>
      </c>
      <c r="N446" s="2009"/>
      <c r="O446" s="2012"/>
      <c r="P446" s="2009"/>
      <c r="Q446" s="2"/>
    </row>
    <row r="447" spans="1:17" s="4" customFormat="1" x14ac:dyDescent="0.25">
      <c r="A447" s="2"/>
      <c r="B447" s="38" t="s">
        <v>320</v>
      </c>
      <c r="C447" s="1015"/>
      <c r="D447" s="1016"/>
      <c r="E447" s="1016"/>
      <c r="F447" s="20" t="s">
        <v>1</v>
      </c>
      <c r="G447" s="1020" t="str">
        <f>+G444</f>
        <v>Intereses negativos a devengar s/D.a.P.</v>
      </c>
      <c r="H447" s="51"/>
      <c r="L447" s="991"/>
      <c r="M447" s="2008"/>
      <c r="N447" s="2009"/>
      <c r="O447" s="2008">
        <f>+M446</f>
        <v>242</v>
      </c>
      <c r="P447" s="2009"/>
      <c r="Q447" s="2"/>
    </row>
    <row r="448" spans="1:17" s="4" customFormat="1" ht="7.5" customHeight="1" x14ac:dyDescent="0.25">
      <c r="A448" s="437"/>
      <c r="B448" s="207">
        <v>27</v>
      </c>
      <c r="C448" s="1188"/>
      <c r="D448" s="1175"/>
      <c r="E448" s="1173"/>
      <c r="F448" s="1173"/>
      <c r="G448" s="2224"/>
      <c r="H448" s="2224"/>
      <c r="I448" s="1174"/>
      <c r="J448" s="1174"/>
      <c r="K448" s="1174"/>
      <c r="L448" s="1173"/>
      <c r="M448" s="2008"/>
      <c r="N448" s="2009"/>
      <c r="O448" s="2008"/>
      <c r="P448" s="2009"/>
      <c r="Q448" s="437"/>
    </row>
    <row r="449" spans="1:17" s="4" customFormat="1" x14ac:dyDescent="0.25">
      <c r="A449" s="2"/>
      <c r="B449" s="30" t="s">
        <v>207</v>
      </c>
      <c r="C449" s="1015" t="s">
        <v>6</v>
      </c>
      <c r="D449" s="31"/>
      <c r="E449" s="1016"/>
      <c r="F449" s="991"/>
      <c r="G449" s="51"/>
      <c r="H449" s="51"/>
      <c r="L449" s="991"/>
      <c r="M449" s="2008">
        <f>+O441</f>
        <v>2904</v>
      </c>
      <c r="N449" s="2009"/>
      <c r="O449" s="2012"/>
      <c r="P449" s="2009"/>
      <c r="Q449" s="2"/>
    </row>
    <row r="450" spans="1:17" s="4" customFormat="1" x14ac:dyDescent="0.25">
      <c r="A450" s="2"/>
      <c r="B450" s="38" t="s">
        <v>14</v>
      </c>
      <c r="C450" s="1015"/>
      <c r="D450" s="1016"/>
      <c r="E450" s="1016"/>
      <c r="F450" s="20" t="s">
        <v>1</v>
      </c>
      <c r="G450" s="1020" t="s">
        <v>282</v>
      </c>
      <c r="H450" s="51"/>
      <c r="L450" s="991"/>
      <c r="M450" s="2008"/>
      <c r="N450" s="2009"/>
      <c r="O450" s="2008">
        <f>+M449</f>
        <v>2904</v>
      </c>
      <c r="P450" s="2009"/>
      <c r="Q450" s="2"/>
    </row>
    <row r="451" spans="1:17" s="4" customFormat="1" ht="7.5" customHeight="1" x14ac:dyDescent="0.25">
      <c r="A451" s="437"/>
      <c r="B451" s="207">
        <v>28</v>
      </c>
      <c r="C451" s="1188"/>
      <c r="D451" s="1175"/>
      <c r="E451" s="1173"/>
      <c r="F451" s="1173"/>
      <c r="G451" s="2224"/>
      <c r="H451" s="2224"/>
      <c r="I451" s="1174"/>
      <c r="J451" s="1174"/>
      <c r="K451" s="1174"/>
      <c r="L451" s="1173"/>
      <c r="M451" s="2008"/>
      <c r="N451" s="2009"/>
      <c r="O451" s="2008"/>
      <c r="P451" s="2009"/>
      <c r="Q451" s="437"/>
    </row>
    <row r="452" spans="1:17" s="4" customFormat="1" x14ac:dyDescent="0.25">
      <c r="A452" s="2"/>
      <c r="B452" s="30" t="s">
        <v>11</v>
      </c>
      <c r="C452" s="1015" t="s">
        <v>10</v>
      </c>
      <c r="D452" s="31"/>
      <c r="E452" s="1016"/>
      <c r="F452" s="991"/>
      <c r="G452" s="51"/>
      <c r="H452" s="51"/>
      <c r="L452" s="991"/>
      <c r="M452" s="2008">
        <v>50000</v>
      </c>
      <c r="N452" s="2009"/>
      <c r="O452" s="2012"/>
      <c r="P452" s="2009"/>
      <c r="Q452" s="2"/>
    </row>
    <row r="453" spans="1:17" s="4" customFormat="1" x14ac:dyDescent="0.25">
      <c r="A453" s="2"/>
      <c r="B453" s="38" t="s">
        <v>17</v>
      </c>
      <c r="C453" s="1015"/>
      <c r="D453" s="1016"/>
      <c r="E453" s="1016"/>
      <c r="F453" s="20" t="s">
        <v>1</v>
      </c>
      <c r="G453" s="1020" t="s">
        <v>2015</v>
      </c>
      <c r="H453" s="51"/>
      <c r="L453" s="991"/>
      <c r="M453" s="2008"/>
      <c r="N453" s="2009"/>
      <c r="O453" s="2008">
        <f>+M452</f>
        <v>50000</v>
      </c>
      <c r="P453" s="2009"/>
      <c r="Q453" s="2"/>
    </row>
    <row r="454" spans="1:17" s="4" customFormat="1" ht="7.5" customHeight="1" x14ac:dyDescent="0.25">
      <c r="A454" s="437"/>
      <c r="B454" s="207">
        <v>29</v>
      </c>
      <c r="C454" s="1188"/>
      <c r="D454" s="1175"/>
      <c r="E454" s="1173"/>
      <c r="F454" s="1173"/>
      <c r="G454" s="2224"/>
      <c r="H454" s="2224"/>
      <c r="I454" s="1174"/>
      <c r="J454" s="1174"/>
      <c r="K454" s="1174"/>
      <c r="L454" s="1173"/>
      <c r="M454" s="2008"/>
      <c r="N454" s="2009"/>
      <c r="O454" s="2008"/>
      <c r="P454" s="2009"/>
      <c r="Q454" s="437"/>
    </row>
    <row r="455" spans="1:17" s="4" customFormat="1" x14ac:dyDescent="0.25">
      <c r="A455" s="2"/>
      <c r="B455" s="30" t="s">
        <v>15</v>
      </c>
      <c r="C455" s="1015" t="s">
        <v>299</v>
      </c>
      <c r="D455" s="31"/>
      <c r="E455" s="1016"/>
      <c r="F455" s="991"/>
      <c r="G455" s="51"/>
      <c r="H455" s="51"/>
      <c r="L455" s="991"/>
      <c r="M455" s="2008">
        <v>500</v>
      </c>
      <c r="N455" s="2009"/>
      <c r="O455" s="2012"/>
      <c r="P455" s="2009"/>
      <c r="Q455" s="2"/>
    </row>
    <row r="456" spans="1:17" s="4" customFormat="1" x14ac:dyDescent="0.25">
      <c r="A456" s="2"/>
      <c r="B456" s="38" t="s">
        <v>14</v>
      </c>
      <c r="C456" s="1015"/>
      <c r="D456" s="1016"/>
      <c r="E456" s="1016"/>
      <c r="F456" s="20" t="s">
        <v>1</v>
      </c>
      <c r="G456" s="1020" t="s">
        <v>10</v>
      </c>
      <c r="H456" s="51"/>
      <c r="L456" s="991"/>
      <c r="M456" s="2008"/>
      <c r="N456" s="2009"/>
      <c r="O456" s="2008">
        <f>+M455</f>
        <v>500</v>
      </c>
      <c r="P456" s="2009"/>
      <c r="Q456" s="2"/>
    </row>
    <row r="457" spans="1:17" s="4" customFormat="1" ht="7.5" customHeight="1" x14ac:dyDescent="0.25">
      <c r="A457" s="437"/>
      <c r="B457" s="207">
        <v>30</v>
      </c>
      <c r="C457" s="1188"/>
      <c r="D457" s="1175"/>
      <c r="E457" s="1173"/>
      <c r="F457" s="1173"/>
      <c r="G457" s="2224"/>
      <c r="H457" s="2224"/>
      <c r="I457" s="1174"/>
      <c r="J457" s="1174"/>
      <c r="K457" s="1174"/>
      <c r="L457" s="1173"/>
      <c r="M457" s="2008"/>
      <c r="N457" s="2009"/>
      <c r="O457" s="2008"/>
      <c r="P457" s="2009"/>
      <c r="Q457" s="437"/>
    </row>
    <row r="458" spans="1:17" s="4" customFormat="1" x14ac:dyDescent="0.25">
      <c r="A458" s="2"/>
      <c r="B458" s="30" t="s">
        <v>15</v>
      </c>
      <c r="C458" s="1015" t="s">
        <v>299</v>
      </c>
      <c r="D458" s="31"/>
      <c r="E458" s="1016"/>
      <c r="F458" s="991"/>
      <c r="G458" s="51"/>
      <c r="H458" s="51"/>
      <c r="L458" s="991"/>
      <c r="M458" s="2008">
        <v>500</v>
      </c>
      <c r="N458" s="2009"/>
      <c r="O458" s="2012"/>
      <c r="P458" s="2009"/>
      <c r="Q458" s="2"/>
    </row>
    <row r="459" spans="1:17" s="4" customFormat="1" x14ac:dyDescent="0.25">
      <c r="A459" s="2"/>
      <c r="B459" s="38" t="s">
        <v>14</v>
      </c>
      <c r="C459" s="1015"/>
      <c r="D459" s="1016"/>
      <c r="E459" s="1016"/>
      <c r="F459" s="20" t="s">
        <v>1</v>
      </c>
      <c r="G459" s="1020" t="s">
        <v>10</v>
      </c>
      <c r="H459" s="51"/>
      <c r="L459" s="991"/>
      <c r="M459" s="2008"/>
      <c r="N459" s="2009"/>
      <c r="O459" s="2008">
        <f>+M458</f>
        <v>500</v>
      </c>
      <c r="P459" s="2009"/>
      <c r="Q459" s="2"/>
    </row>
    <row r="460" spans="1:17" s="4" customFormat="1" ht="7.5" customHeight="1" x14ac:dyDescent="0.25">
      <c r="A460" s="437"/>
      <c r="B460" s="207">
        <v>31</v>
      </c>
      <c r="C460" s="1188"/>
      <c r="D460" s="1175"/>
      <c r="E460" s="1173"/>
      <c r="F460" s="1173"/>
      <c r="G460" s="2224"/>
      <c r="H460" s="2224"/>
      <c r="I460" s="1174"/>
      <c r="J460" s="1174"/>
      <c r="K460" s="1174"/>
      <c r="L460" s="1173"/>
      <c r="M460" s="2008"/>
      <c r="N460" s="2009"/>
      <c r="O460" s="2008"/>
      <c r="P460" s="2009"/>
      <c r="Q460" s="437"/>
    </row>
    <row r="461" spans="1:17" s="4" customFormat="1" x14ac:dyDescent="0.25">
      <c r="A461" s="2"/>
      <c r="B461" s="38" t="s">
        <v>11</v>
      </c>
      <c r="C461" s="1015" t="s">
        <v>544</v>
      </c>
      <c r="D461" s="31"/>
      <c r="E461" s="1016"/>
      <c r="F461" s="20"/>
      <c r="G461" s="1020"/>
      <c r="H461" s="51"/>
      <c r="L461" s="991"/>
      <c r="M461" s="2008">
        <v>1000</v>
      </c>
      <c r="N461" s="2009"/>
      <c r="O461" s="2008"/>
      <c r="P461" s="2009"/>
      <c r="Q461" s="2"/>
    </row>
    <row r="462" spans="1:17" s="4" customFormat="1" x14ac:dyDescent="0.25">
      <c r="A462" s="2"/>
      <c r="B462" s="38" t="s">
        <v>14</v>
      </c>
      <c r="C462" s="1015"/>
      <c r="D462" s="1016"/>
      <c r="E462" s="1016"/>
      <c r="F462" s="20" t="s">
        <v>1</v>
      </c>
      <c r="G462" s="1020" t="s">
        <v>10</v>
      </c>
      <c r="H462" s="51"/>
      <c r="L462" s="991"/>
      <c r="M462" s="2008"/>
      <c r="N462" s="2009"/>
      <c r="O462" s="2008">
        <f>+M461</f>
        <v>1000</v>
      </c>
      <c r="P462" s="2009"/>
      <c r="Q462" s="2"/>
    </row>
    <row r="463" spans="1:17" s="4" customFormat="1" ht="7.5" customHeight="1" x14ac:dyDescent="0.25">
      <c r="A463" s="437"/>
      <c r="B463" s="207">
        <v>32</v>
      </c>
      <c r="C463" s="1188"/>
      <c r="D463" s="1175"/>
      <c r="E463" s="1173"/>
      <c r="F463" s="1173"/>
      <c r="G463" s="2224"/>
      <c r="H463" s="2224"/>
      <c r="I463" s="1174"/>
      <c r="J463" s="1174"/>
      <c r="K463" s="1174"/>
      <c r="L463" s="1173"/>
      <c r="M463" s="2008"/>
      <c r="N463" s="2009"/>
      <c r="O463" s="2008"/>
      <c r="P463" s="2009"/>
      <c r="Q463" s="437"/>
    </row>
    <row r="464" spans="1:17" s="4" customFormat="1" x14ac:dyDescent="0.25">
      <c r="A464" s="2"/>
      <c r="B464" s="30" t="s">
        <v>15</v>
      </c>
      <c r="C464" s="1015" t="s">
        <v>299</v>
      </c>
      <c r="D464" s="31"/>
      <c r="E464" s="1016"/>
      <c r="F464" s="991"/>
      <c r="G464" s="51"/>
      <c r="H464" s="51"/>
      <c r="L464" s="991"/>
      <c r="M464" s="2008">
        <v>500</v>
      </c>
      <c r="N464" s="2009"/>
      <c r="O464" s="2012"/>
      <c r="P464" s="2009"/>
      <c r="Q464" s="2"/>
    </row>
    <row r="465" spans="1:17" s="4" customFormat="1" x14ac:dyDescent="0.25">
      <c r="A465" s="2"/>
      <c r="B465" s="38" t="s">
        <v>14</v>
      </c>
      <c r="C465" s="1015"/>
      <c r="D465" s="1016"/>
      <c r="E465" s="1016"/>
      <c r="F465" s="20" t="s">
        <v>1</v>
      </c>
      <c r="G465" s="1020" t="s">
        <v>544</v>
      </c>
      <c r="H465" s="51"/>
      <c r="L465" s="991"/>
      <c r="M465" s="2008"/>
      <c r="N465" s="2009"/>
      <c r="O465" s="2008">
        <f>+M464</f>
        <v>500</v>
      </c>
      <c r="P465" s="2009"/>
      <c r="Q465" s="2"/>
    </row>
    <row r="466" spans="1:17" s="4" customFormat="1" ht="7.5" customHeight="1" x14ac:dyDescent="0.25">
      <c r="A466" s="437"/>
      <c r="B466" s="207">
        <v>33</v>
      </c>
      <c r="C466" s="1188"/>
      <c r="D466" s="1175"/>
      <c r="E466" s="1173"/>
      <c r="F466" s="1173"/>
      <c r="G466" s="2224"/>
      <c r="H466" s="2224"/>
      <c r="I466" s="1174"/>
      <c r="J466" s="1174"/>
      <c r="K466" s="1174"/>
      <c r="L466" s="1173"/>
      <c r="M466" s="2008"/>
      <c r="N466" s="2009"/>
      <c r="O466" s="2008"/>
      <c r="P466" s="2009"/>
      <c r="Q466" s="437"/>
    </row>
    <row r="467" spans="1:17" s="4" customFormat="1" x14ac:dyDescent="0.25">
      <c r="A467" s="2"/>
      <c r="B467" s="30" t="s">
        <v>15</v>
      </c>
      <c r="C467" s="1015" t="s">
        <v>299</v>
      </c>
      <c r="D467" s="31"/>
      <c r="E467" s="1016"/>
      <c r="F467" s="991"/>
      <c r="G467" s="51"/>
      <c r="H467" s="51"/>
      <c r="L467" s="991"/>
      <c r="M467" s="2008">
        <v>500</v>
      </c>
      <c r="N467" s="2009"/>
      <c r="O467" s="2012"/>
      <c r="P467" s="2009"/>
      <c r="Q467" s="2"/>
    </row>
    <row r="468" spans="1:17" s="4" customFormat="1" x14ac:dyDescent="0.25">
      <c r="A468" s="2"/>
      <c r="B468" s="38" t="s">
        <v>14</v>
      </c>
      <c r="C468" s="1015"/>
      <c r="D468" s="1016"/>
      <c r="E468" s="1016"/>
      <c r="F468" s="20" t="s">
        <v>1</v>
      </c>
      <c r="G468" s="1020" t="s">
        <v>544</v>
      </c>
      <c r="H468" s="51"/>
      <c r="L468" s="991"/>
      <c r="M468" s="2008"/>
      <c r="N468" s="2009"/>
      <c r="O468" s="2008">
        <f>+M467</f>
        <v>500</v>
      </c>
      <c r="P468" s="2009"/>
      <c r="Q468" s="2"/>
    </row>
    <row r="469" spans="1:17" s="4" customFormat="1" ht="7.5" customHeight="1" x14ac:dyDescent="0.25">
      <c r="A469" s="437"/>
      <c r="B469" s="207">
        <v>34</v>
      </c>
      <c r="C469" s="1188"/>
      <c r="D469" s="1175"/>
      <c r="E469" s="1173"/>
      <c r="F469" s="1173"/>
      <c r="G469" s="2224"/>
      <c r="H469" s="2224"/>
      <c r="I469" s="1174"/>
      <c r="J469" s="1174"/>
      <c r="K469" s="1174"/>
      <c r="L469" s="1173"/>
      <c r="M469" s="2008"/>
      <c r="N469" s="2009"/>
      <c r="O469" s="2008"/>
      <c r="P469" s="2009"/>
      <c r="Q469" s="437"/>
    </row>
    <row r="470" spans="1:17" s="4" customFormat="1" x14ac:dyDescent="0.25">
      <c r="A470" s="2"/>
      <c r="B470" s="38" t="s">
        <v>207</v>
      </c>
      <c r="C470" s="1015" t="str">
        <f>+G453</f>
        <v>Préstamo Sr. San Martín</v>
      </c>
      <c r="D470" s="31"/>
      <c r="E470" s="1016"/>
      <c r="F470" s="20"/>
      <c r="G470" s="1020"/>
      <c r="H470" s="51"/>
      <c r="L470" s="991"/>
      <c r="M470" s="2008">
        <v>50000</v>
      </c>
      <c r="N470" s="2009"/>
      <c r="O470" s="2008"/>
      <c r="P470" s="2009"/>
      <c r="Q470" s="2"/>
    </row>
    <row r="471" spans="1:17" s="4" customFormat="1" x14ac:dyDescent="0.25">
      <c r="A471" s="2"/>
      <c r="B471" s="38" t="s">
        <v>14</v>
      </c>
      <c r="C471" s="1015"/>
      <c r="D471" s="1016"/>
      <c r="E471" s="1016"/>
      <c r="F471" s="20" t="s">
        <v>1</v>
      </c>
      <c r="G471" s="1020" t="s">
        <v>10</v>
      </c>
      <c r="H471" s="51"/>
      <c r="L471" s="991"/>
      <c r="M471" s="2008"/>
      <c r="N471" s="2009"/>
      <c r="O471" s="2008">
        <f>+M470</f>
        <v>50000</v>
      </c>
      <c r="P471" s="2009"/>
      <c r="Q471" s="2"/>
    </row>
    <row r="472" spans="1:17" s="4" customFormat="1" ht="7.5" customHeight="1" x14ac:dyDescent="0.25">
      <c r="A472" s="437"/>
      <c r="B472" s="207">
        <v>35</v>
      </c>
      <c r="C472" s="1188"/>
      <c r="D472" s="1175"/>
      <c r="E472" s="1173"/>
      <c r="F472" s="1173"/>
      <c r="G472" s="2224"/>
      <c r="H472" s="2224"/>
      <c r="I472" s="1174"/>
      <c r="J472" s="1174"/>
      <c r="K472" s="1174"/>
      <c r="L472" s="1173"/>
      <c r="M472" s="2008"/>
      <c r="N472" s="2009"/>
      <c r="O472" s="2008"/>
      <c r="P472" s="2009"/>
      <c r="Q472" s="437"/>
    </row>
    <row r="473" spans="1:17" s="4" customFormat="1" x14ac:dyDescent="0.25">
      <c r="A473" s="2"/>
      <c r="B473" s="30" t="s">
        <v>11</v>
      </c>
      <c r="C473" s="1015" t="s">
        <v>5</v>
      </c>
      <c r="D473" s="31"/>
      <c r="E473" s="1016"/>
      <c r="F473" s="991"/>
      <c r="G473" s="51"/>
      <c r="H473" s="51"/>
      <c r="L473" s="991"/>
      <c r="M473" s="2008">
        <f>200*20</f>
        <v>4000</v>
      </c>
      <c r="N473" s="2009"/>
      <c r="O473" s="2012"/>
      <c r="P473" s="2009"/>
      <c r="Q473" s="2"/>
    </row>
    <row r="474" spans="1:17" s="4" customFormat="1" x14ac:dyDescent="0.25">
      <c r="A474" s="2"/>
      <c r="B474" s="38" t="s">
        <v>142</v>
      </c>
      <c r="C474" s="1015" t="s">
        <v>143</v>
      </c>
      <c r="D474" s="1016"/>
      <c r="E474" s="1016"/>
      <c r="F474" s="991"/>
      <c r="G474" s="51"/>
      <c r="H474" s="51"/>
      <c r="L474" s="991"/>
      <c r="M474" s="2008">
        <v>500</v>
      </c>
      <c r="N474" s="2009"/>
      <c r="O474" s="994"/>
      <c r="P474" s="995"/>
      <c r="Q474" s="2"/>
    </row>
    <row r="475" spans="1:17" s="4" customFormat="1" x14ac:dyDescent="0.25">
      <c r="A475" s="2"/>
      <c r="B475" s="38" t="s">
        <v>11</v>
      </c>
      <c r="C475" s="1015" t="s">
        <v>13</v>
      </c>
      <c r="D475" s="1016"/>
      <c r="E475" s="1016"/>
      <c r="F475" s="20"/>
      <c r="G475" s="1020"/>
      <c r="H475" s="51"/>
      <c r="L475" s="991"/>
      <c r="M475" s="2008">
        <f>+M473*0.21</f>
        <v>840</v>
      </c>
      <c r="N475" s="2009"/>
      <c r="O475" s="2008"/>
      <c r="P475" s="2009"/>
      <c r="Q475" s="2"/>
    </row>
    <row r="476" spans="1:17" s="4" customFormat="1" x14ac:dyDescent="0.25">
      <c r="A476" s="2"/>
      <c r="B476" s="38" t="s">
        <v>14</v>
      </c>
      <c r="C476" s="1015"/>
      <c r="D476" s="1016"/>
      <c r="E476" s="1016"/>
      <c r="F476" s="20" t="s">
        <v>1</v>
      </c>
      <c r="G476" s="1020" t="s">
        <v>10</v>
      </c>
      <c r="H476" s="51"/>
      <c r="L476" s="991"/>
      <c r="M476" s="993"/>
      <c r="N476" s="995"/>
      <c r="O476" s="2008">
        <f>4000*1.21*0.2</f>
        <v>968</v>
      </c>
      <c r="P476" s="2009"/>
      <c r="Q476" s="2"/>
    </row>
    <row r="477" spans="1:17" s="4" customFormat="1" x14ac:dyDescent="0.25">
      <c r="A477" s="2"/>
      <c r="B477" s="38" t="s">
        <v>17</v>
      </c>
      <c r="C477" s="1015"/>
      <c r="D477" s="1016"/>
      <c r="E477" s="1016"/>
      <c r="F477" s="20" t="s">
        <v>1</v>
      </c>
      <c r="G477" s="1020" t="s">
        <v>2</v>
      </c>
      <c r="H477" s="51"/>
      <c r="L477" s="991"/>
      <c r="M477" s="993"/>
      <c r="N477" s="995"/>
      <c r="O477" s="2008">
        <f>4000*1.21*0.3</f>
        <v>1452</v>
      </c>
      <c r="P477" s="2009"/>
      <c r="Q477" s="2"/>
    </row>
    <row r="478" spans="1:17" s="4" customFormat="1" x14ac:dyDescent="0.25">
      <c r="A478" s="2"/>
      <c r="B478" s="38" t="s">
        <v>17</v>
      </c>
      <c r="C478" s="1015"/>
      <c r="D478" s="1016"/>
      <c r="E478" s="1016"/>
      <c r="F478" s="20" t="s">
        <v>1</v>
      </c>
      <c r="G478" s="1020" t="s">
        <v>6</v>
      </c>
      <c r="H478" s="51"/>
      <c r="L478" s="991"/>
      <c r="M478" s="2008"/>
      <c r="N478" s="2009"/>
      <c r="O478" s="2008">
        <f>+(4000*1.21*0.5)+500</f>
        <v>2920</v>
      </c>
      <c r="P478" s="2009"/>
      <c r="Q478" s="2"/>
    </row>
    <row r="479" spans="1:17" s="4" customFormat="1" ht="7.5" customHeight="1" x14ac:dyDescent="0.25">
      <c r="A479" s="437"/>
      <c r="B479" s="207">
        <v>36</v>
      </c>
      <c r="C479" s="1188"/>
      <c r="D479" s="1175"/>
      <c r="E479" s="1173"/>
      <c r="F479" s="1173"/>
      <c r="G479" s="2224"/>
      <c r="H479" s="2224"/>
      <c r="I479" s="1174"/>
      <c r="J479" s="1174"/>
      <c r="K479" s="1174"/>
      <c r="L479" s="1173"/>
      <c r="M479" s="2008"/>
      <c r="N479" s="2009"/>
      <c r="O479" s="2008"/>
      <c r="P479" s="2009"/>
      <c r="Q479" s="437"/>
    </row>
    <row r="480" spans="1:17" s="4" customFormat="1" x14ac:dyDescent="0.25">
      <c r="A480" s="2"/>
      <c r="B480" s="30" t="s">
        <v>15</v>
      </c>
      <c r="C480" s="1015" t="s">
        <v>319</v>
      </c>
      <c r="D480" s="31"/>
      <c r="E480" s="1016"/>
      <c r="F480" s="991"/>
      <c r="G480" s="51"/>
      <c r="H480" s="51"/>
      <c r="L480" s="991"/>
      <c r="M480" s="2008">
        <f>+M474</f>
        <v>500</v>
      </c>
      <c r="N480" s="2009"/>
      <c r="O480" s="2012"/>
      <c r="P480" s="2009"/>
      <c r="Q480" s="2"/>
    </row>
    <row r="481" spans="1:17" s="4" customFormat="1" x14ac:dyDescent="0.25">
      <c r="A481" s="2"/>
      <c r="B481" s="38" t="s">
        <v>14</v>
      </c>
      <c r="C481" s="1015"/>
      <c r="D481" s="1016"/>
      <c r="E481" s="1016"/>
      <c r="F481" s="20" t="s">
        <v>1</v>
      </c>
      <c r="G481" s="1020" t="str">
        <f>+C474</f>
        <v>Intereses negativos a devengar s/D.a.P.</v>
      </c>
      <c r="H481" s="51"/>
      <c r="L481" s="991"/>
      <c r="M481" s="2008"/>
      <c r="N481" s="2009"/>
      <c r="O481" s="2008">
        <f>+M480</f>
        <v>500</v>
      </c>
      <c r="P481" s="2009"/>
      <c r="Q481" s="2"/>
    </row>
    <row r="482" spans="1:17" s="4" customFormat="1" ht="7.5" customHeight="1" x14ac:dyDescent="0.25">
      <c r="A482" s="437"/>
      <c r="B482" s="207">
        <v>37</v>
      </c>
      <c r="C482" s="1188"/>
      <c r="D482" s="1175"/>
      <c r="E482" s="1173"/>
      <c r="F482" s="1173"/>
      <c r="G482" s="2224"/>
      <c r="H482" s="2224"/>
      <c r="I482" s="1174"/>
      <c r="J482" s="1174"/>
      <c r="K482" s="1174"/>
      <c r="L482" s="1173"/>
      <c r="M482" s="2008"/>
      <c r="N482" s="2009"/>
      <c r="O482" s="2008"/>
      <c r="P482" s="2009"/>
      <c r="Q482" s="437"/>
    </row>
    <row r="483" spans="1:17" s="4" customFormat="1" x14ac:dyDescent="0.25">
      <c r="A483" s="2"/>
      <c r="B483" s="30" t="s">
        <v>207</v>
      </c>
      <c r="C483" s="1015" t="str">
        <f>+G477</f>
        <v>Proveedores</v>
      </c>
      <c r="D483" s="31"/>
      <c r="E483" s="1016"/>
      <c r="F483" s="991"/>
      <c r="G483" s="51"/>
      <c r="H483" s="51"/>
      <c r="L483" s="991"/>
      <c r="M483" s="2008">
        <f>+O477</f>
        <v>1452</v>
      </c>
      <c r="N483" s="2009"/>
      <c r="O483" s="2012"/>
      <c r="P483" s="2009"/>
      <c r="Q483" s="2"/>
    </row>
    <row r="484" spans="1:17" s="4" customFormat="1" x14ac:dyDescent="0.25">
      <c r="A484" s="2"/>
      <c r="B484" s="38" t="s">
        <v>207</v>
      </c>
      <c r="C484" s="1015" t="str">
        <f>+G478</f>
        <v>Documentos a pagar</v>
      </c>
      <c r="D484" s="1016"/>
      <c r="E484" s="1016"/>
      <c r="F484" s="20"/>
      <c r="G484" s="1020"/>
      <c r="H484" s="51"/>
      <c r="L484" s="991"/>
      <c r="M484" s="2008">
        <f>+O478</f>
        <v>2920</v>
      </c>
      <c r="N484" s="2009"/>
      <c r="O484" s="2008"/>
      <c r="P484" s="2009"/>
      <c r="Q484" s="2"/>
    </row>
    <row r="485" spans="1:17" s="4" customFormat="1" x14ac:dyDescent="0.25">
      <c r="A485" s="2"/>
      <c r="B485" s="38" t="s">
        <v>14</v>
      </c>
      <c r="C485" s="1017"/>
      <c r="D485" s="1018"/>
      <c r="E485" s="1018"/>
      <c r="F485" s="35" t="s">
        <v>1</v>
      </c>
      <c r="G485" s="1022" t="s">
        <v>10</v>
      </c>
      <c r="H485" s="24"/>
      <c r="I485" s="3"/>
      <c r="J485" s="3"/>
      <c r="K485" s="3"/>
      <c r="L485" s="1013"/>
      <c r="M485" s="2006"/>
      <c r="N485" s="2007"/>
      <c r="O485" s="2006">
        <f>+M483+M484</f>
        <v>4372</v>
      </c>
      <c r="P485" s="2007"/>
      <c r="Q485" s="2"/>
    </row>
    <row r="486" spans="1:17" s="4" customFormat="1" x14ac:dyDescent="0.25">
      <c r="B486" s="1004"/>
      <c r="C486" s="12"/>
      <c r="D486" s="12"/>
      <c r="E486" s="12"/>
      <c r="F486" s="12"/>
      <c r="G486" s="51"/>
      <c r="H486" s="51"/>
      <c r="M486" s="18"/>
      <c r="N486" s="18"/>
      <c r="O486" s="18"/>
      <c r="P486" s="18"/>
    </row>
    <row r="487" spans="1:17" s="4" customFormat="1" x14ac:dyDescent="0.25">
      <c r="A487" s="3"/>
      <c r="B487" s="1007"/>
      <c r="C487" s="11"/>
      <c r="D487" s="11"/>
      <c r="E487" s="11"/>
      <c r="F487" s="11"/>
      <c r="G487" s="24"/>
      <c r="H487" s="24"/>
      <c r="I487" s="3"/>
      <c r="J487" s="3"/>
      <c r="K487" s="3"/>
      <c r="L487" s="3"/>
      <c r="M487" s="22"/>
      <c r="N487" s="22"/>
      <c r="O487" s="22"/>
      <c r="P487" s="22"/>
      <c r="Q487" s="3"/>
    </row>
    <row r="488" spans="1:17" s="4" customFormat="1" x14ac:dyDescent="0.25">
      <c r="A488" s="1844" t="s">
        <v>20</v>
      </c>
      <c r="B488" s="1845"/>
      <c r="C488" s="1845"/>
      <c r="D488" s="1845"/>
      <c r="E488" s="1845"/>
      <c r="F488" s="1845"/>
      <c r="G488" s="1845"/>
      <c r="H488" s="1845"/>
      <c r="I488" s="1845"/>
      <c r="J488" s="1845"/>
      <c r="K488" s="1845"/>
      <c r="L488" s="1845"/>
      <c r="M488" s="1845"/>
      <c r="N488" s="1845"/>
      <c r="O488" s="1845"/>
      <c r="P488" s="1845"/>
      <c r="Q488" s="1846"/>
    </row>
    <row r="489" spans="1:17" s="4" customFormat="1" x14ac:dyDescent="0.25">
      <c r="A489" s="1847" t="s">
        <v>2014</v>
      </c>
      <c r="B489" s="1848"/>
      <c r="C489" s="1848"/>
      <c r="D489" s="1848"/>
      <c r="E489" s="1848"/>
      <c r="F489" s="1848"/>
      <c r="G489" s="1848"/>
      <c r="H489" s="1848"/>
      <c r="I489" s="1848"/>
      <c r="J489" s="1848"/>
      <c r="K489" s="1848"/>
      <c r="L489" s="1848"/>
      <c r="M489" s="1848"/>
      <c r="N489" s="1848"/>
      <c r="O489" s="1848"/>
      <c r="P489" s="1848"/>
      <c r="Q489" s="1849"/>
    </row>
    <row r="490" spans="1:17" s="4" customFormat="1" x14ac:dyDescent="0.25">
      <c r="B490" s="1004"/>
      <c r="C490" s="12"/>
      <c r="D490" s="12"/>
      <c r="E490" s="12"/>
      <c r="F490" s="12"/>
      <c r="G490" s="51"/>
      <c r="H490" s="51"/>
      <c r="M490" s="18"/>
      <c r="N490" s="18"/>
      <c r="O490" s="18"/>
      <c r="P490" s="18"/>
    </row>
    <row r="491" spans="1:17" s="4" customFormat="1" x14ac:dyDescent="0.25">
      <c r="B491" s="2333" t="s">
        <v>1589</v>
      </c>
      <c r="C491" s="2334"/>
      <c r="D491" s="2335"/>
      <c r="E491" s="2333" t="s">
        <v>2013</v>
      </c>
      <c r="F491" s="2335"/>
      <c r="G491" s="2333" t="s">
        <v>2012</v>
      </c>
      <c r="H491" s="2335"/>
      <c r="J491" s="2333" t="s">
        <v>1560</v>
      </c>
      <c r="K491" s="2334"/>
      <c r="L491" s="2335"/>
      <c r="M491" s="2333" t="s">
        <v>2013</v>
      </c>
      <c r="N491" s="2335"/>
      <c r="O491" s="2333" t="s">
        <v>2012</v>
      </c>
      <c r="P491" s="2335"/>
    </row>
    <row r="492" spans="1:17" s="4" customFormat="1" x14ac:dyDescent="0.25">
      <c r="B492" s="2308" t="s">
        <v>2011</v>
      </c>
      <c r="C492" s="2309"/>
      <c r="D492" s="2310"/>
      <c r="E492" s="2336">
        <v>13500</v>
      </c>
      <c r="F492" s="2337"/>
      <c r="G492" s="2313" t="s">
        <v>1990</v>
      </c>
      <c r="H492" s="2314"/>
      <c r="I492" s="317"/>
      <c r="J492" s="2308" t="s">
        <v>2010</v>
      </c>
      <c r="K492" s="2309"/>
      <c r="L492" s="2310"/>
      <c r="M492" s="2329">
        <v>5300</v>
      </c>
      <c r="N492" s="2330"/>
      <c r="O492" s="2313" t="s">
        <v>1997</v>
      </c>
      <c r="P492" s="2314"/>
    </row>
    <row r="493" spans="1:17" s="4" customFormat="1" x14ac:dyDescent="0.25">
      <c r="B493" s="2308" t="s">
        <v>2009</v>
      </c>
      <c r="C493" s="2309"/>
      <c r="D493" s="2310"/>
      <c r="E493" s="2329">
        <v>5200</v>
      </c>
      <c r="F493" s="2330"/>
      <c r="G493" s="2313" t="s">
        <v>2008</v>
      </c>
      <c r="H493" s="2314"/>
      <c r="I493" s="317"/>
      <c r="J493" s="2308" t="s">
        <v>2007</v>
      </c>
      <c r="K493" s="2309"/>
      <c r="L493" s="2310"/>
      <c r="M493" s="2311">
        <v>-800</v>
      </c>
      <c r="N493" s="2312"/>
      <c r="O493" s="2313" t="s">
        <v>2006</v>
      </c>
      <c r="P493" s="2314"/>
    </row>
    <row r="494" spans="1:17" s="4" customFormat="1" x14ac:dyDescent="0.25">
      <c r="B494" s="2308" t="s">
        <v>2005</v>
      </c>
      <c r="C494" s="2309"/>
      <c r="D494" s="2310"/>
      <c r="E494" s="2329">
        <v>1800</v>
      </c>
      <c r="F494" s="2330"/>
      <c r="G494" s="2313" t="s">
        <v>2004</v>
      </c>
      <c r="H494" s="2314"/>
      <c r="I494" s="317"/>
      <c r="J494" s="2308" t="s">
        <v>2003</v>
      </c>
      <c r="K494" s="2309"/>
      <c r="L494" s="2310"/>
      <c r="M494" s="2329">
        <v>9700</v>
      </c>
      <c r="N494" s="2330"/>
      <c r="O494" s="2313" t="s">
        <v>2002</v>
      </c>
      <c r="P494" s="2314"/>
    </row>
    <row r="495" spans="1:17" s="4" customFormat="1" x14ac:dyDescent="0.25">
      <c r="B495" s="2308" t="s">
        <v>2001</v>
      </c>
      <c r="C495" s="2309"/>
      <c r="D495" s="2310"/>
      <c r="E495" s="2329">
        <v>7200</v>
      </c>
      <c r="F495" s="2330"/>
      <c r="G495" s="2313" t="s">
        <v>1997</v>
      </c>
      <c r="H495" s="2314"/>
      <c r="I495" s="317"/>
      <c r="J495" s="2308" t="s">
        <v>2000</v>
      </c>
      <c r="K495" s="2309"/>
      <c r="L495" s="2310"/>
      <c r="M495" s="2329">
        <v>4200</v>
      </c>
      <c r="N495" s="2330"/>
      <c r="O495" s="2313" t="s">
        <v>1999</v>
      </c>
      <c r="P495" s="2314"/>
    </row>
    <row r="496" spans="1:17" s="4" customFormat="1" x14ac:dyDescent="0.25">
      <c r="B496" s="2308" t="s">
        <v>1998</v>
      </c>
      <c r="C496" s="2309"/>
      <c r="D496" s="2310"/>
      <c r="E496" s="2329">
        <v>3300</v>
      </c>
      <c r="F496" s="2330"/>
      <c r="G496" s="2313" t="s">
        <v>1997</v>
      </c>
      <c r="H496" s="2314"/>
      <c r="I496" s="317"/>
      <c r="J496" s="2308" t="s">
        <v>1996</v>
      </c>
      <c r="K496" s="2309"/>
      <c r="L496" s="2310"/>
      <c r="M496" s="2311">
        <v>5000</v>
      </c>
      <c r="N496" s="2312"/>
      <c r="O496" s="2313" t="s">
        <v>370</v>
      </c>
      <c r="P496" s="2314"/>
    </row>
    <row r="497" spans="2:16" s="4" customFormat="1" x14ac:dyDescent="0.25">
      <c r="B497" s="2308" t="s">
        <v>1995</v>
      </c>
      <c r="C497" s="2309"/>
      <c r="D497" s="2310"/>
      <c r="E497" s="2329">
        <v>1200</v>
      </c>
      <c r="F497" s="2330"/>
      <c r="G497" s="2313" t="s">
        <v>1994</v>
      </c>
      <c r="H497" s="2314"/>
      <c r="I497" s="317"/>
      <c r="J497" s="2315" t="s">
        <v>1993</v>
      </c>
      <c r="K497" s="2316"/>
      <c r="L497" s="2317"/>
      <c r="M497" s="2318">
        <v>2500</v>
      </c>
      <c r="N497" s="2319"/>
      <c r="O497" s="2320" t="s">
        <v>370</v>
      </c>
      <c r="P497" s="2321"/>
    </row>
    <row r="498" spans="2:16" s="4" customFormat="1" x14ac:dyDescent="0.25">
      <c r="B498" s="2308" t="s">
        <v>1992</v>
      </c>
      <c r="C498" s="2309"/>
      <c r="D498" s="2310"/>
      <c r="E498" s="2329">
        <v>4200</v>
      </c>
      <c r="F498" s="2330"/>
      <c r="G498" s="2313" t="s">
        <v>1990</v>
      </c>
      <c r="H498" s="2314"/>
      <c r="I498" s="317"/>
      <c r="J498" s="2322" t="s">
        <v>305</v>
      </c>
      <c r="K498" s="2323"/>
      <c r="L498" s="2324"/>
      <c r="M498" s="2331">
        <v>25900</v>
      </c>
      <c r="N498" s="2332"/>
      <c r="O498" s="1087"/>
      <c r="P498" s="1087"/>
    </row>
    <row r="499" spans="2:16" s="4" customFormat="1" x14ac:dyDescent="0.25">
      <c r="B499" s="2308" t="s">
        <v>1991</v>
      </c>
      <c r="C499" s="2309"/>
      <c r="D499" s="2310"/>
      <c r="E499" s="2311">
        <v>-2800</v>
      </c>
      <c r="F499" s="2312"/>
      <c r="G499" s="2313" t="s">
        <v>1990</v>
      </c>
      <c r="H499" s="2314"/>
      <c r="I499" s="317"/>
      <c r="J499" s="317"/>
      <c r="K499" s="317"/>
      <c r="L499" s="317"/>
      <c r="M499" s="317"/>
      <c r="N499" s="317"/>
      <c r="O499" s="317"/>
      <c r="P499" s="317"/>
    </row>
    <row r="500" spans="2:16" s="4" customFormat="1" x14ac:dyDescent="0.25">
      <c r="B500" s="2315" t="s">
        <v>1989</v>
      </c>
      <c r="C500" s="2316"/>
      <c r="D500" s="2317"/>
      <c r="E500" s="2318">
        <v>3600</v>
      </c>
      <c r="F500" s="2319"/>
      <c r="G500" s="2320" t="s">
        <v>1686</v>
      </c>
      <c r="H500" s="2321"/>
      <c r="I500" s="317"/>
      <c r="J500" s="317"/>
      <c r="K500" s="317"/>
      <c r="L500" s="317"/>
      <c r="M500" s="317"/>
      <c r="N500" s="317"/>
      <c r="O500" s="317"/>
      <c r="P500" s="317"/>
    </row>
    <row r="501" spans="2:16" s="4" customFormat="1" x14ac:dyDescent="0.25">
      <c r="B501" s="2322" t="s">
        <v>305</v>
      </c>
      <c r="C501" s="2323"/>
      <c r="D501" s="2324"/>
      <c r="E501" s="2325">
        <f>+SUM(E492:F500)</f>
        <v>37200</v>
      </c>
      <c r="F501" s="2326"/>
      <c r="G501" s="1087"/>
      <c r="H501" s="1087"/>
      <c r="I501" s="317"/>
      <c r="J501" s="317"/>
      <c r="K501" s="317"/>
      <c r="L501" s="317"/>
      <c r="M501" s="317"/>
      <c r="N501" s="317"/>
      <c r="O501" s="317"/>
      <c r="P501" s="317"/>
    </row>
    <row r="502" spans="2:16" s="4" customFormat="1" x14ac:dyDescent="0.25">
      <c r="B502" s="38"/>
      <c r="C502" s="173"/>
      <c r="D502" s="173"/>
      <c r="E502" s="173"/>
      <c r="F502" s="173"/>
      <c r="G502" s="1087"/>
      <c r="H502" s="1087"/>
      <c r="I502" s="317"/>
      <c r="J502" s="317"/>
      <c r="K502" s="317"/>
      <c r="L502" s="317"/>
      <c r="M502" s="1253"/>
      <c r="N502" s="1253"/>
      <c r="O502" s="1253"/>
      <c r="P502" s="1253"/>
    </row>
    <row r="503" spans="2:16" x14ac:dyDescent="0.25">
      <c r="B503" s="1014"/>
      <c r="C503" s="1257"/>
      <c r="D503" s="320"/>
      <c r="E503" s="1257"/>
      <c r="F503" s="1257"/>
      <c r="G503" s="2327"/>
      <c r="H503" s="2327"/>
      <c r="I503" s="1258"/>
      <c r="J503" s="1258"/>
      <c r="K503" s="1258"/>
      <c r="L503" s="1257"/>
      <c r="M503" s="2328" t="s">
        <v>9</v>
      </c>
      <c r="N503" s="2328"/>
      <c r="O503" s="2328" t="s">
        <v>8</v>
      </c>
      <c r="P503" s="2328"/>
    </row>
    <row r="504" spans="2:16" x14ac:dyDescent="0.25">
      <c r="B504" s="102" t="s">
        <v>11</v>
      </c>
      <c r="C504" s="1089" t="s">
        <v>549</v>
      </c>
      <c r="D504" s="1256"/>
      <c r="E504" s="1088"/>
      <c r="F504" s="320"/>
      <c r="G504" s="1087"/>
      <c r="H504" s="1087"/>
      <c r="I504" s="317"/>
      <c r="J504" s="317"/>
      <c r="K504" s="317"/>
      <c r="L504" s="320"/>
      <c r="M504" s="2222">
        <f>+E497</f>
        <v>1200</v>
      </c>
      <c r="N504" s="2223"/>
      <c r="O504" s="2229"/>
      <c r="P504" s="2223"/>
    </row>
    <row r="505" spans="2:16" x14ac:dyDescent="0.25">
      <c r="B505" s="544" t="s">
        <v>15</v>
      </c>
      <c r="C505" s="1089" t="s">
        <v>936</v>
      </c>
      <c r="D505" s="1088"/>
      <c r="E505" s="1088"/>
      <c r="F505" s="1088"/>
      <c r="G505" s="1087"/>
      <c r="H505" s="1087"/>
      <c r="I505" s="317"/>
      <c r="J505" s="317"/>
      <c r="K505" s="317"/>
      <c r="L505" s="317"/>
      <c r="M505" s="2222">
        <v>3600</v>
      </c>
      <c r="N505" s="2223"/>
      <c r="O505" s="2222"/>
      <c r="P505" s="2223"/>
    </row>
    <row r="506" spans="2:16" x14ac:dyDescent="0.25">
      <c r="B506" s="544" t="s">
        <v>11</v>
      </c>
      <c r="C506" s="1089" t="s">
        <v>478</v>
      </c>
      <c r="D506" s="1088"/>
      <c r="E506" s="1088"/>
      <c r="F506" s="1088"/>
      <c r="G506" s="1087"/>
      <c r="H506" s="1087"/>
      <c r="I506" s="317"/>
      <c r="J506" s="317"/>
      <c r="K506" s="317"/>
      <c r="L506" s="317"/>
      <c r="M506" s="2222">
        <v>7200</v>
      </c>
      <c r="N506" s="2223"/>
      <c r="O506" s="998"/>
      <c r="P506" s="1001"/>
    </row>
    <row r="507" spans="2:16" x14ac:dyDescent="0.25">
      <c r="B507" s="544" t="s">
        <v>11</v>
      </c>
      <c r="C507" s="1089" t="s">
        <v>480</v>
      </c>
      <c r="D507" s="1088"/>
      <c r="E507" s="1088"/>
      <c r="F507" s="1088"/>
      <c r="G507" s="1087"/>
      <c r="H507" s="1087"/>
      <c r="I507" s="317"/>
      <c r="J507" s="317"/>
      <c r="K507" s="317"/>
      <c r="L507" s="317"/>
      <c r="M507" s="2222">
        <v>1800</v>
      </c>
      <c r="N507" s="2223"/>
      <c r="O507" s="998"/>
      <c r="P507" s="1001"/>
    </row>
    <row r="508" spans="2:16" x14ac:dyDescent="0.25">
      <c r="B508" s="544" t="s">
        <v>11</v>
      </c>
      <c r="C508" s="1089" t="s">
        <v>1988</v>
      </c>
      <c r="D508" s="1088"/>
      <c r="E508" s="1088"/>
      <c r="F508" s="1088"/>
      <c r="G508" s="1087"/>
      <c r="H508" s="1087"/>
      <c r="I508" s="317"/>
      <c r="J508" s="317"/>
      <c r="K508" s="317"/>
      <c r="L508" s="317"/>
      <c r="M508" s="2222">
        <v>5200</v>
      </c>
      <c r="N508" s="2223"/>
      <c r="O508" s="998"/>
      <c r="P508" s="1001"/>
    </row>
    <row r="509" spans="2:16" x14ac:dyDescent="0.25">
      <c r="B509" s="544" t="s">
        <v>11</v>
      </c>
      <c r="C509" s="1089" t="s">
        <v>0</v>
      </c>
      <c r="D509" s="1088"/>
      <c r="E509" s="1088"/>
      <c r="F509" s="1088"/>
      <c r="G509" s="1087"/>
      <c r="H509" s="1087"/>
      <c r="I509" s="317"/>
      <c r="J509" s="317"/>
      <c r="K509" s="317"/>
      <c r="L509" s="317"/>
      <c r="M509" s="2222">
        <f>13500+3300+4200</f>
        <v>21000</v>
      </c>
      <c r="N509" s="2223"/>
      <c r="O509" s="998"/>
      <c r="P509" s="1001"/>
    </row>
    <row r="510" spans="2:16" x14ac:dyDescent="0.25">
      <c r="B510" s="544" t="s">
        <v>17</v>
      </c>
      <c r="C510" s="1089"/>
      <c r="D510" s="1088"/>
      <c r="E510" s="1088"/>
      <c r="F510" s="1190" t="s">
        <v>1</v>
      </c>
      <c r="G510" s="1024" t="s">
        <v>233</v>
      </c>
      <c r="H510" s="1087"/>
      <c r="I510" s="317"/>
      <c r="J510" s="317"/>
      <c r="K510" s="317"/>
      <c r="L510" s="317"/>
      <c r="M510" s="2222"/>
      <c r="N510" s="2223"/>
      <c r="O510" s="2222">
        <v>2800</v>
      </c>
      <c r="P510" s="2223"/>
    </row>
    <row r="511" spans="2:16" x14ac:dyDescent="0.25">
      <c r="B511" s="544" t="s">
        <v>14</v>
      </c>
      <c r="C511" s="1089"/>
      <c r="D511" s="1088"/>
      <c r="E511" s="1088"/>
      <c r="F511" s="1190" t="s">
        <v>1</v>
      </c>
      <c r="G511" s="1024" t="s">
        <v>1284</v>
      </c>
      <c r="H511" s="1024"/>
      <c r="I511" s="317"/>
      <c r="J511" s="317"/>
      <c r="K511" s="317"/>
      <c r="L511" s="317"/>
      <c r="M511" s="2222"/>
      <c r="N511" s="2229"/>
      <c r="O511" s="2222">
        <v>37200</v>
      </c>
      <c r="P511" s="2223"/>
    </row>
    <row r="512" spans="2:16" x14ac:dyDescent="0.25">
      <c r="B512" s="544"/>
      <c r="C512" s="1255" t="s">
        <v>1987</v>
      </c>
      <c r="D512" s="1088"/>
      <c r="E512" s="1088"/>
      <c r="F512" s="1190"/>
      <c r="G512" s="1024"/>
      <c r="H512" s="1024"/>
      <c r="I512" s="317"/>
      <c r="J512" s="317"/>
      <c r="K512" s="317"/>
      <c r="L512" s="317"/>
      <c r="M512" s="2222"/>
      <c r="N512" s="2223"/>
      <c r="O512" s="2222"/>
      <c r="P512" s="2223"/>
    </row>
    <row r="513" spans="2:16" x14ac:dyDescent="0.25">
      <c r="B513" s="33"/>
      <c r="C513" s="2305" t="s">
        <v>21</v>
      </c>
      <c r="D513" s="2305"/>
      <c r="E513" s="2305"/>
      <c r="F513" s="2305"/>
      <c r="G513" s="2306"/>
      <c r="H513" s="2306"/>
      <c r="I513" s="2305" t="s">
        <v>21</v>
      </c>
      <c r="J513" s="2305"/>
      <c r="K513" s="2305"/>
      <c r="L513" s="2307"/>
      <c r="M513" s="2222"/>
      <c r="N513" s="2229"/>
      <c r="O513" s="2222"/>
      <c r="P513" s="2223"/>
    </row>
    <row r="514" spans="2:16" x14ac:dyDescent="0.25">
      <c r="B514" s="544" t="s">
        <v>207</v>
      </c>
      <c r="C514" s="1089" t="s">
        <v>1986</v>
      </c>
      <c r="D514" s="1088"/>
      <c r="E514" s="1088"/>
      <c r="F514" s="1088"/>
      <c r="G514" s="1087"/>
      <c r="H514" s="1087"/>
      <c r="I514" s="317"/>
      <c r="J514" s="317"/>
      <c r="K514" s="317"/>
      <c r="L514" s="320"/>
      <c r="M514" s="2222">
        <v>25900</v>
      </c>
      <c r="N514" s="2229"/>
      <c r="O514" s="2222"/>
      <c r="P514" s="2223"/>
    </row>
    <row r="515" spans="2:16" x14ac:dyDescent="0.25">
      <c r="B515" s="544" t="s">
        <v>11</v>
      </c>
      <c r="C515" s="1089" t="s">
        <v>24</v>
      </c>
      <c r="D515" s="1088"/>
      <c r="E515" s="1088"/>
      <c r="F515" s="1088"/>
      <c r="G515" s="1087"/>
      <c r="H515" s="1087"/>
      <c r="I515" s="317"/>
      <c r="J515" s="317"/>
      <c r="K515" s="317"/>
      <c r="L515" s="320"/>
      <c r="M515" s="2222">
        <v>800</v>
      </c>
      <c r="N515" s="2229"/>
      <c r="O515" s="998"/>
      <c r="P515" s="1001"/>
    </row>
    <row r="516" spans="2:16" x14ac:dyDescent="0.25">
      <c r="B516" s="544" t="s">
        <v>17</v>
      </c>
      <c r="C516" s="1089"/>
      <c r="D516" s="1088"/>
      <c r="E516" s="1088"/>
      <c r="F516" s="1190" t="s">
        <v>1</v>
      </c>
      <c r="G516" s="1024" t="s">
        <v>6</v>
      </c>
      <c r="H516" s="1087"/>
      <c r="I516" s="317"/>
      <c r="J516" s="317"/>
      <c r="K516" s="317"/>
      <c r="L516" s="320"/>
      <c r="M516" s="998"/>
      <c r="N516" s="999"/>
      <c r="O516" s="2222">
        <v>4200</v>
      </c>
      <c r="P516" s="2223"/>
    </row>
    <row r="517" spans="2:16" x14ac:dyDescent="0.25">
      <c r="B517" s="544" t="s">
        <v>17</v>
      </c>
      <c r="C517" s="1089"/>
      <c r="D517" s="1088"/>
      <c r="E517" s="1088"/>
      <c r="F517" s="1190" t="s">
        <v>1</v>
      </c>
      <c r="G517" s="1024" t="s">
        <v>1985</v>
      </c>
      <c r="H517" s="1087"/>
      <c r="I517" s="317"/>
      <c r="J517" s="317"/>
      <c r="K517" s="317"/>
      <c r="L517" s="320"/>
      <c r="M517" s="998"/>
      <c r="N517" s="999"/>
      <c r="O517" s="2222">
        <v>2500</v>
      </c>
      <c r="P517" s="2223"/>
    </row>
    <row r="518" spans="2:16" x14ac:dyDescent="0.25">
      <c r="B518" s="544" t="s">
        <v>17</v>
      </c>
      <c r="C518" s="1089"/>
      <c r="D518" s="1088"/>
      <c r="E518" s="1088"/>
      <c r="F518" s="1190" t="s">
        <v>1</v>
      </c>
      <c r="G518" s="1024" t="s">
        <v>1835</v>
      </c>
      <c r="H518" s="1087"/>
      <c r="I518" s="317"/>
      <c r="J518" s="317"/>
      <c r="K518" s="317"/>
      <c r="L518" s="320"/>
      <c r="M518" s="998"/>
      <c r="N518" s="999"/>
      <c r="O518" s="2222">
        <v>5000</v>
      </c>
      <c r="P518" s="2223"/>
    </row>
    <row r="519" spans="2:16" x14ac:dyDescent="0.25">
      <c r="B519" s="544" t="s">
        <v>17</v>
      </c>
      <c r="C519" s="1089"/>
      <c r="D519" s="1088"/>
      <c r="E519" s="1088"/>
      <c r="F519" s="1190" t="s">
        <v>1</v>
      </c>
      <c r="G519" s="1024" t="s">
        <v>2</v>
      </c>
      <c r="H519" s="1087"/>
      <c r="I519" s="317"/>
      <c r="J519" s="317"/>
      <c r="K519" s="317"/>
      <c r="L519" s="320"/>
      <c r="M519" s="998"/>
      <c r="N519" s="999"/>
      <c r="O519" s="2222">
        <f>5300+9700</f>
        <v>15000</v>
      </c>
      <c r="P519" s="2223"/>
    </row>
    <row r="520" spans="2:16" s="4" customFormat="1" x14ac:dyDescent="0.25">
      <c r="B520" s="544"/>
      <c r="C520" s="1132" t="s">
        <v>1984</v>
      </c>
      <c r="D520" s="1131"/>
      <c r="E520" s="1131"/>
      <c r="F520" s="1130"/>
      <c r="G520" s="1129"/>
      <c r="H520" s="1128"/>
      <c r="I520" s="1127"/>
      <c r="J520" s="1127"/>
      <c r="K520" s="1127"/>
      <c r="L520" s="1127"/>
      <c r="M520" s="2302"/>
      <c r="N520" s="2303"/>
      <c r="O520" s="2302"/>
      <c r="P520" s="2304"/>
    </row>
    <row r="521" spans="2:16" s="4" customFormat="1" x14ac:dyDescent="0.25">
      <c r="B521" s="38"/>
      <c r="C521" s="317"/>
      <c r="D521" s="317"/>
      <c r="E521" s="317"/>
      <c r="F521" s="317"/>
      <c r="G521" s="1254"/>
      <c r="H521" s="317"/>
      <c r="I521" s="317"/>
      <c r="J521" s="317"/>
      <c r="K521" s="317"/>
      <c r="L521" s="317"/>
      <c r="M521" s="317"/>
      <c r="N521" s="1253"/>
      <c r="O521" s="1253"/>
      <c r="P521" s="1253"/>
    </row>
    <row r="522" spans="2:16" s="4" customFormat="1" x14ac:dyDescent="0.25">
      <c r="B522" s="38"/>
      <c r="C522" s="173"/>
      <c r="D522" s="173"/>
      <c r="E522" s="173"/>
      <c r="F522" s="173"/>
      <c r="G522" s="1087"/>
      <c r="H522" s="1087"/>
      <c r="I522" s="317"/>
      <c r="J522" s="317"/>
      <c r="K522" s="317"/>
      <c r="L522" s="317"/>
      <c r="M522" s="1253"/>
      <c r="N522" s="1253"/>
      <c r="O522" s="1253"/>
      <c r="P522" s="1253"/>
    </row>
    <row r="523" spans="2:16" s="4" customFormat="1" x14ac:dyDescent="0.25">
      <c r="B523" s="1004"/>
      <c r="C523" s="12"/>
      <c r="D523" s="12"/>
      <c r="E523" s="12"/>
      <c r="F523" s="12"/>
      <c r="G523" s="51"/>
      <c r="H523" s="51"/>
      <c r="M523" s="18"/>
      <c r="N523" s="18"/>
      <c r="O523" s="18"/>
      <c r="P523" s="18"/>
    </row>
    <row r="524" spans="2:16" s="4" customFormat="1" x14ac:dyDescent="0.25">
      <c r="B524" s="1004"/>
      <c r="C524" s="12"/>
      <c r="D524" s="12"/>
      <c r="E524" s="12"/>
      <c r="F524" s="12"/>
      <c r="G524" s="51"/>
      <c r="H524" s="51"/>
      <c r="M524" s="18"/>
      <c r="N524" s="18"/>
      <c r="O524" s="18"/>
      <c r="P524" s="18"/>
    </row>
    <row r="525" spans="2:16" s="4" customFormat="1" x14ac:dyDescent="0.25">
      <c r="B525" s="1004"/>
      <c r="C525" s="12"/>
      <c r="D525" s="12"/>
      <c r="E525" s="12"/>
      <c r="F525" s="12"/>
      <c r="G525" s="51"/>
      <c r="H525" s="51"/>
      <c r="M525" s="18"/>
      <c r="N525" s="18"/>
      <c r="O525" s="18"/>
      <c r="P525" s="18"/>
    </row>
    <row r="526" spans="2:16" s="4" customFormat="1" x14ac:dyDescent="0.25">
      <c r="B526" s="1004"/>
      <c r="C526" s="12"/>
      <c r="D526" s="12"/>
      <c r="E526" s="12"/>
      <c r="F526" s="12"/>
      <c r="G526" s="51"/>
      <c r="H526" s="51"/>
      <c r="M526" s="18"/>
      <c r="N526" s="18"/>
      <c r="O526" s="18"/>
      <c r="P526" s="18"/>
    </row>
    <row r="527" spans="2:16" s="4" customFormat="1" x14ac:dyDescent="0.25">
      <c r="B527" s="1004"/>
      <c r="C527" s="12"/>
      <c r="D527" s="12"/>
      <c r="E527" s="12"/>
      <c r="F527" s="12"/>
      <c r="G527" s="51"/>
      <c r="H527" s="51"/>
      <c r="M527" s="18"/>
      <c r="N527" s="18"/>
      <c r="O527" s="18"/>
      <c r="P527" s="18"/>
    </row>
    <row r="528" spans="2:16" s="4" customFormat="1" x14ac:dyDescent="0.25">
      <c r="B528" s="1004"/>
      <c r="C528" s="12"/>
      <c r="D528" s="12"/>
      <c r="E528" s="12"/>
      <c r="F528" s="12"/>
      <c r="G528" s="51"/>
      <c r="H528" s="51"/>
      <c r="M528" s="18"/>
      <c r="N528" s="18"/>
      <c r="O528" s="18"/>
      <c r="P528" s="18"/>
    </row>
    <row r="529" spans="1:17" s="4" customFormat="1" x14ac:dyDescent="0.25">
      <c r="B529" s="1004"/>
      <c r="C529" s="12"/>
      <c r="D529" s="12"/>
      <c r="E529" s="12"/>
      <c r="F529" s="12"/>
      <c r="G529" s="51"/>
      <c r="H529" s="51"/>
      <c r="M529" s="18"/>
      <c r="N529" s="18"/>
      <c r="O529" s="18"/>
      <c r="P529" s="18"/>
    </row>
    <row r="530" spans="1:17" s="4" customFormat="1" x14ac:dyDescent="0.25">
      <c r="B530" s="1004"/>
      <c r="C530" s="12"/>
      <c r="D530" s="12"/>
      <c r="E530" s="12"/>
      <c r="F530" s="12"/>
      <c r="G530" s="51"/>
      <c r="H530" s="51"/>
      <c r="M530" s="18"/>
      <c r="N530" s="18"/>
      <c r="O530" s="18"/>
      <c r="P530" s="18"/>
    </row>
    <row r="531" spans="1:17" s="4" customFormat="1" x14ac:dyDescent="0.25">
      <c r="B531" s="1004"/>
      <c r="C531" s="12"/>
      <c r="D531" s="12"/>
      <c r="E531" s="12"/>
      <c r="F531" s="12"/>
      <c r="G531" s="51"/>
      <c r="H531" s="51"/>
      <c r="M531" s="18"/>
      <c r="N531" s="18"/>
      <c r="O531" s="18"/>
      <c r="P531" s="18"/>
    </row>
    <row r="532" spans="1:17" s="4" customFormat="1" x14ac:dyDescent="0.25">
      <c r="B532" s="1004"/>
      <c r="C532" s="12"/>
      <c r="D532" s="12"/>
      <c r="E532" s="12"/>
      <c r="F532" s="12"/>
      <c r="G532" s="51"/>
      <c r="H532" s="51"/>
      <c r="M532" s="18"/>
      <c r="N532" s="18"/>
      <c r="O532" s="18"/>
      <c r="P532" s="18"/>
    </row>
    <row r="533" spans="1:17" s="4" customFormat="1" x14ac:dyDescent="0.25">
      <c r="B533" s="1004"/>
      <c r="C533" s="12"/>
      <c r="D533" s="12"/>
      <c r="E533" s="12"/>
      <c r="F533" s="12"/>
      <c r="G533" s="51"/>
      <c r="H533" s="51"/>
      <c r="M533" s="18"/>
      <c r="N533" s="18"/>
      <c r="O533" s="18"/>
      <c r="P533" s="18"/>
    </row>
    <row r="534" spans="1:17" s="4" customFormat="1" x14ac:dyDescent="0.25">
      <c r="B534" s="48"/>
      <c r="C534" s="48"/>
      <c r="D534" s="48"/>
      <c r="E534" s="1063"/>
      <c r="F534" s="1063"/>
      <c r="G534" s="468"/>
      <c r="H534" s="468"/>
      <c r="I534" s="468"/>
      <c r="J534" s="1063"/>
      <c r="K534" s="1063"/>
      <c r="M534" s="18"/>
      <c r="N534" s="18"/>
      <c r="O534" s="18"/>
      <c r="P534" s="18"/>
    </row>
    <row r="535" spans="1:17" s="4" customFormat="1" x14ac:dyDescent="0.25">
      <c r="B535" s="48"/>
      <c r="C535" s="48"/>
      <c r="D535" s="48"/>
      <c r="E535" s="1063"/>
      <c r="F535" s="1063"/>
      <c r="G535" s="468"/>
      <c r="H535" s="468"/>
      <c r="I535" s="468"/>
      <c r="J535" s="1063"/>
      <c r="K535" s="1063"/>
      <c r="M535" s="18"/>
      <c r="N535" s="18"/>
      <c r="O535" s="18"/>
      <c r="P535" s="18"/>
    </row>
    <row r="536" spans="1:17" s="4" customFormat="1" x14ac:dyDescent="0.25">
      <c r="B536" s="48"/>
      <c r="C536" s="48"/>
      <c r="D536" s="48"/>
      <c r="E536" s="1063"/>
      <c r="F536" s="1063"/>
      <c r="G536" s="468"/>
      <c r="H536" s="468"/>
      <c r="I536" s="468"/>
      <c r="J536" s="1063"/>
      <c r="K536" s="1063"/>
      <c r="M536" s="18"/>
      <c r="N536" s="18"/>
      <c r="O536" s="18"/>
      <c r="P536" s="18"/>
    </row>
    <row r="537" spans="1:17" x14ac:dyDescent="0.25">
      <c r="A537" s="3"/>
      <c r="B537" s="1004"/>
      <c r="G537" s="51"/>
      <c r="H537" s="51"/>
      <c r="I537" s="4"/>
      <c r="J537" s="4"/>
      <c r="K537" s="4"/>
      <c r="L537" s="4"/>
      <c r="M537" s="18"/>
      <c r="N537" s="18"/>
      <c r="O537" s="18"/>
      <c r="P537" s="18"/>
      <c r="Q537" s="4"/>
    </row>
    <row r="538" spans="1:17" s="4" customFormat="1" x14ac:dyDescent="0.25">
      <c r="A538" s="1844" t="s">
        <v>20</v>
      </c>
      <c r="B538" s="1845"/>
      <c r="C538" s="1845"/>
      <c r="D538" s="1845"/>
      <c r="E538" s="1845"/>
      <c r="F538" s="1845"/>
      <c r="G538" s="1845"/>
      <c r="H538" s="1845"/>
      <c r="I538" s="1845"/>
      <c r="J538" s="1845"/>
      <c r="K538" s="1845"/>
      <c r="L538" s="1845"/>
      <c r="M538" s="1845"/>
      <c r="N538" s="1845"/>
      <c r="O538" s="1845"/>
      <c r="P538" s="1845"/>
      <c r="Q538" s="1846"/>
    </row>
    <row r="539" spans="1:17" s="4" customFormat="1" x14ac:dyDescent="0.25">
      <c r="A539" s="1847" t="s">
        <v>1983</v>
      </c>
      <c r="B539" s="1848"/>
      <c r="C539" s="1848"/>
      <c r="D539" s="1848"/>
      <c r="E539" s="1848"/>
      <c r="F539" s="1848"/>
      <c r="G539" s="1848"/>
      <c r="H539" s="1848"/>
      <c r="I539" s="1848"/>
      <c r="J539" s="1848"/>
      <c r="K539" s="1848"/>
      <c r="L539" s="1848"/>
      <c r="M539" s="1848"/>
      <c r="N539" s="1848"/>
      <c r="O539" s="1848"/>
      <c r="P539" s="1848"/>
      <c r="Q539" s="1849"/>
    </row>
    <row r="540" spans="1:17" s="4" customFormat="1" x14ac:dyDescent="0.25">
      <c r="B540" s="1004"/>
      <c r="C540" s="12"/>
      <c r="D540" s="12"/>
      <c r="E540" s="12"/>
      <c r="F540" s="12"/>
      <c r="G540" s="51"/>
      <c r="H540" s="51"/>
      <c r="M540" s="18"/>
      <c r="N540" s="18"/>
      <c r="O540" s="18"/>
      <c r="P540" s="18"/>
    </row>
    <row r="541" spans="1:17" s="4" customFormat="1" x14ac:dyDescent="0.25">
      <c r="A541" s="1248"/>
      <c r="B541" s="1247" t="s">
        <v>148</v>
      </c>
      <c r="C541" s="1246" t="s">
        <v>1982</v>
      </c>
      <c r="D541" s="1244"/>
      <c r="E541" s="1244"/>
      <c r="F541" s="1244"/>
      <c r="G541" s="1243"/>
      <c r="H541" s="1243"/>
      <c r="I541" s="1242"/>
      <c r="J541" s="1242"/>
      <c r="K541" s="1242"/>
      <c r="L541" s="1242"/>
      <c r="M541" s="1245"/>
      <c r="N541" s="1245"/>
      <c r="O541" s="1245"/>
      <c r="P541" s="1245"/>
      <c r="Q541" s="1240"/>
    </row>
    <row r="542" spans="1:17" s="4" customFormat="1" x14ac:dyDescent="0.25">
      <c r="B542" s="50"/>
      <c r="C542" s="1239"/>
      <c r="D542" s="1020"/>
      <c r="E542" s="1020"/>
      <c r="F542" s="1020"/>
      <c r="G542" s="1004"/>
      <c r="H542" s="1004"/>
      <c r="M542" s="18"/>
      <c r="N542" s="18"/>
      <c r="O542" s="18"/>
      <c r="P542" s="18"/>
    </row>
    <row r="543" spans="1:17" s="4" customFormat="1" ht="15" customHeight="1" x14ac:dyDescent="0.25">
      <c r="B543" s="2295" t="s">
        <v>1981</v>
      </c>
      <c r="C543" s="2296"/>
      <c r="D543" s="2297"/>
      <c r="E543" s="1010" t="s">
        <v>11</v>
      </c>
      <c r="F543" s="1236" t="s">
        <v>1044</v>
      </c>
      <c r="G543" s="1235"/>
      <c r="H543" s="1235"/>
      <c r="I543" s="1"/>
      <c r="J543" s="1"/>
      <c r="K543" s="1"/>
      <c r="L543" s="1"/>
      <c r="M543" s="2286">
        <f>+(O547+O548)*0.9</f>
        <v>21780</v>
      </c>
      <c r="N543" s="2287"/>
      <c r="O543" s="2286"/>
      <c r="P543" s="2287"/>
      <c r="Q543" s="1249"/>
    </row>
    <row r="544" spans="1:17" s="4" customFormat="1" ht="15" customHeight="1" x14ac:dyDescent="0.25">
      <c r="B544" s="2298"/>
      <c r="C544" s="2299"/>
      <c r="D544" s="2300"/>
      <c r="E544" s="1010" t="s">
        <v>15</v>
      </c>
      <c r="F544" s="1234" t="s">
        <v>1973</v>
      </c>
      <c r="G544" s="362"/>
      <c r="H544" s="362"/>
      <c r="M544" s="2284">
        <f>+O547*0.1</f>
        <v>2000</v>
      </c>
      <c r="N544" s="2285"/>
      <c r="O544" s="2284"/>
      <c r="P544" s="2285"/>
      <c r="Q544" s="1249"/>
    </row>
    <row r="545" spans="1:17" x14ac:dyDescent="0.25">
      <c r="A545" s="4"/>
      <c r="B545" s="2"/>
      <c r="C545" s="2"/>
      <c r="D545" s="2"/>
      <c r="E545" s="1010" t="s">
        <v>11</v>
      </c>
      <c r="F545" s="1234" t="s">
        <v>13</v>
      </c>
      <c r="G545" s="362"/>
      <c r="H545" s="362"/>
      <c r="I545" s="4"/>
      <c r="J545" s="4"/>
      <c r="K545" s="4"/>
      <c r="L545" s="4"/>
      <c r="M545" s="2284">
        <f>+O548*0.1</f>
        <v>420</v>
      </c>
      <c r="N545" s="2285"/>
      <c r="O545" s="2284"/>
      <c r="P545" s="2285"/>
      <c r="Q545" s="1249"/>
    </row>
    <row r="546" spans="1:17" x14ac:dyDescent="0.25">
      <c r="A546" s="4"/>
      <c r="B546" s="1249"/>
      <c r="C546" s="1249"/>
      <c r="D546" s="1249"/>
      <c r="E546" s="1010" t="s">
        <v>11</v>
      </c>
      <c r="F546" s="1234" t="s">
        <v>227</v>
      </c>
      <c r="G546" s="362"/>
      <c r="H546" s="362"/>
      <c r="I546" s="4"/>
      <c r="J546" s="4"/>
      <c r="K546" s="4"/>
      <c r="L546" s="4"/>
      <c r="M546" s="2284">
        <v>200</v>
      </c>
      <c r="N546" s="2285"/>
      <c r="O546" s="2284"/>
      <c r="P546" s="2285"/>
      <c r="Q546" s="1249"/>
    </row>
    <row r="547" spans="1:17" x14ac:dyDescent="0.25">
      <c r="A547" s="4"/>
      <c r="B547" s="1249"/>
      <c r="C547" s="1249"/>
      <c r="D547" s="1249"/>
      <c r="E547" s="1010" t="s">
        <v>16</v>
      </c>
      <c r="F547" s="1234"/>
      <c r="G547" s="1233" t="s">
        <v>1</v>
      </c>
      <c r="H547" s="1252" t="s">
        <v>3</v>
      </c>
      <c r="I547" s="4"/>
      <c r="J547" s="4"/>
      <c r="K547" s="4"/>
      <c r="L547" s="4"/>
      <c r="M547" s="2284"/>
      <c r="N547" s="2285"/>
      <c r="O547" s="2284">
        <f>62.5*320</f>
        <v>20000</v>
      </c>
      <c r="P547" s="2285"/>
    </row>
    <row r="548" spans="1:17" x14ac:dyDescent="0.25">
      <c r="A548" s="4"/>
      <c r="B548" s="10"/>
      <c r="C548" s="10"/>
      <c r="D548" s="10"/>
      <c r="E548" s="1010" t="s">
        <v>17</v>
      </c>
      <c r="F548" s="1234"/>
      <c r="G548" s="1233" t="s">
        <v>1</v>
      </c>
      <c r="H548" s="1252" t="s">
        <v>12</v>
      </c>
      <c r="I548" s="4"/>
      <c r="J548" s="4"/>
      <c r="K548" s="4"/>
      <c r="L548" s="4"/>
      <c r="M548" s="2284"/>
      <c r="N548" s="2285"/>
      <c r="O548" s="2284">
        <f>+O547*0.21</f>
        <v>4200</v>
      </c>
      <c r="P548" s="2285"/>
    </row>
    <row r="549" spans="1:17" x14ac:dyDescent="0.25">
      <c r="A549" s="4"/>
      <c r="B549" s="10"/>
      <c r="C549" s="10"/>
      <c r="D549" s="10"/>
      <c r="E549" s="1010" t="s">
        <v>16</v>
      </c>
      <c r="F549" s="1232"/>
      <c r="G549" s="1231" t="s">
        <v>1</v>
      </c>
      <c r="H549" s="1251" t="s">
        <v>1980</v>
      </c>
      <c r="I549" s="3"/>
      <c r="J549" s="3"/>
      <c r="K549" s="3"/>
      <c r="L549" s="3"/>
      <c r="M549" s="2279"/>
      <c r="N549" s="2280"/>
      <c r="O549" s="2279">
        <v>200</v>
      </c>
      <c r="P549" s="2280"/>
    </row>
    <row r="550" spans="1:17" x14ac:dyDescent="0.25">
      <c r="A550" s="4"/>
      <c r="B550" s="2"/>
      <c r="C550" s="2"/>
      <c r="D550" s="2"/>
      <c r="E550" s="1010" t="s">
        <v>15</v>
      </c>
      <c r="F550" s="1234" t="s">
        <v>1057</v>
      </c>
      <c r="G550" s="1233"/>
      <c r="H550" s="1252"/>
      <c r="I550" s="4"/>
      <c r="J550" s="4"/>
      <c r="K550" s="4"/>
      <c r="L550" s="4"/>
      <c r="M550" s="2286">
        <f>320*20</f>
        <v>6400</v>
      </c>
      <c r="N550" s="2287"/>
      <c r="O550" s="2286"/>
      <c r="P550" s="2287"/>
    </row>
    <row r="551" spans="1:17" x14ac:dyDescent="0.25">
      <c r="A551" s="4"/>
      <c r="B551" s="2"/>
      <c r="C551" s="2"/>
      <c r="D551" s="2"/>
      <c r="E551" s="1010" t="s">
        <v>14</v>
      </c>
      <c r="F551" s="1232"/>
      <c r="G551" s="1231" t="s">
        <v>1</v>
      </c>
      <c r="H551" s="1251" t="s">
        <v>1971</v>
      </c>
      <c r="I551" s="3"/>
      <c r="J551" s="3"/>
      <c r="K551" s="3"/>
      <c r="L551" s="3"/>
      <c r="M551" s="2279"/>
      <c r="N551" s="2280"/>
      <c r="O551" s="2279">
        <f>+M550</f>
        <v>6400</v>
      </c>
      <c r="P551" s="2280"/>
    </row>
    <row r="552" spans="1:17" ht="15" customHeight="1" x14ac:dyDescent="0.25">
      <c r="A552" s="4"/>
      <c r="B552" s="2288" t="s">
        <v>1979</v>
      </c>
      <c r="C552" s="2289"/>
      <c r="D552" s="2290"/>
      <c r="E552" s="1010" t="s">
        <v>11</v>
      </c>
      <c r="F552" s="1236" t="s">
        <v>5</v>
      </c>
      <c r="G552" s="1235"/>
      <c r="H552" s="1235"/>
      <c r="I552" s="1"/>
      <c r="J552" s="1"/>
      <c r="K552" s="1006"/>
      <c r="L552" s="1"/>
      <c r="M552" s="2286">
        <f>+(62.5*320*0.9)+200</f>
        <v>18200</v>
      </c>
      <c r="N552" s="2287"/>
      <c r="O552" s="2301"/>
      <c r="P552" s="2287"/>
      <c r="Q552" s="1249"/>
    </row>
    <row r="553" spans="1:17" x14ac:dyDescent="0.25">
      <c r="A553" s="4"/>
      <c r="B553" s="2291"/>
      <c r="C553" s="2292"/>
      <c r="D553" s="2293"/>
      <c r="E553" s="1010" t="s">
        <v>11</v>
      </c>
      <c r="F553" s="1234" t="s">
        <v>13</v>
      </c>
      <c r="G553" s="362"/>
      <c r="H553" s="362"/>
      <c r="I553" s="4"/>
      <c r="J553" s="4"/>
      <c r="K553" s="1004"/>
      <c r="L553" s="4"/>
      <c r="M553" s="2284">
        <f>(M552-200)*0.21</f>
        <v>3780</v>
      </c>
      <c r="N553" s="2285"/>
      <c r="O553" s="2294"/>
      <c r="P553" s="2285"/>
      <c r="Q553" s="1249"/>
    </row>
    <row r="554" spans="1:17" x14ac:dyDescent="0.25">
      <c r="A554" s="4"/>
      <c r="B554" s="2"/>
      <c r="C554" s="2"/>
      <c r="D554" s="2"/>
      <c r="E554" s="1010" t="s">
        <v>17</v>
      </c>
      <c r="F554" s="1234"/>
      <c r="G554" s="1233" t="s">
        <v>1</v>
      </c>
      <c r="H554" s="362" t="s">
        <v>2</v>
      </c>
      <c r="I554" s="4"/>
      <c r="J554" s="4"/>
      <c r="K554" s="1004"/>
      <c r="L554" s="4"/>
      <c r="M554" s="2284"/>
      <c r="N554" s="2285"/>
      <c r="O554" s="2294">
        <f>320*62.5*0.9*1.21</f>
        <v>21780</v>
      </c>
      <c r="P554" s="2285"/>
      <c r="Q554" s="1249"/>
    </row>
    <row r="555" spans="1:17" x14ac:dyDescent="0.25">
      <c r="A555" s="4"/>
      <c r="B555" s="2"/>
      <c r="C555" s="2"/>
      <c r="D555" s="2"/>
      <c r="E555" s="1010" t="s">
        <v>14</v>
      </c>
      <c r="F555" s="1232"/>
      <c r="G555" s="1231" t="s">
        <v>1</v>
      </c>
      <c r="H555" s="1230" t="s">
        <v>1975</v>
      </c>
      <c r="I555" s="3"/>
      <c r="J555" s="3"/>
      <c r="K555" s="1007"/>
      <c r="L555" s="3"/>
      <c r="M555" s="2279"/>
      <c r="N555" s="2280"/>
      <c r="O555" s="2281">
        <v>200</v>
      </c>
      <c r="P555" s="2280"/>
      <c r="Q555" s="1249"/>
    </row>
    <row r="556" spans="1:17" x14ac:dyDescent="0.25">
      <c r="A556" s="4"/>
      <c r="B556" s="2"/>
      <c r="C556" s="2"/>
      <c r="D556" s="2"/>
      <c r="E556" s="1009"/>
      <c r="F556" s="1020"/>
      <c r="G556" s="1020"/>
      <c r="H556" s="1020"/>
      <c r="I556" s="1020"/>
      <c r="J556" s="1009"/>
      <c r="K556" s="1009"/>
      <c r="M556" s="2294"/>
      <c r="N556" s="2294"/>
      <c r="O556" s="2294"/>
      <c r="P556" s="2294"/>
    </row>
    <row r="557" spans="1:17" x14ac:dyDescent="0.25">
      <c r="A557" s="1248"/>
      <c r="B557" s="1247" t="s">
        <v>160</v>
      </c>
      <c r="C557" s="1246" t="s">
        <v>2410</v>
      </c>
      <c r="D557" s="1245"/>
      <c r="E557" s="1242"/>
      <c r="F557" s="1242"/>
      <c r="G557" s="1244"/>
      <c r="H557" s="1244"/>
      <c r="I557" s="1244"/>
      <c r="J557" s="1243"/>
      <c r="K557" s="1243"/>
      <c r="L557" s="1242"/>
      <c r="M557" s="1245"/>
      <c r="N557" s="1245"/>
      <c r="O557" s="1245"/>
      <c r="P557" s="1245"/>
      <c r="Q557" s="1240"/>
    </row>
    <row r="558" spans="1:17" x14ac:dyDescent="0.25">
      <c r="A558" s="4"/>
      <c r="B558" s="10"/>
      <c r="C558" s="10"/>
      <c r="D558" s="10"/>
      <c r="E558" s="50"/>
      <c r="F558" s="1239"/>
      <c r="G558" s="1020"/>
      <c r="H558" s="1020"/>
      <c r="I558" s="1020"/>
      <c r="J558" s="1009"/>
      <c r="K558" s="1009"/>
      <c r="M558" s="1250"/>
      <c r="N558" s="1250"/>
      <c r="O558" s="1250"/>
      <c r="P558" s="1250"/>
    </row>
    <row r="559" spans="1:17" ht="15" customHeight="1" x14ac:dyDescent="0.25">
      <c r="A559" s="4"/>
      <c r="B559" s="2295" t="s">
        <v>1978</v>
      </c>
      <c r="C559" s="2296"/>
      <c r="D559" s="2297"/>
      <c r="E559" s="1010" t="s">
        <v>11</v>
      </c>
      <c r="F559" s="1236" t="s">
        <v>1977</v>
      </c>
      <c r="G559" s="1235"/>
      <c r="H559" s="1235"/>
      <c r="I559" s="1"/>
      <c r="J559" s="1"/>
      <c r="K559" s="1006"/>
      <c r="L559" s="1"/>
      <c r="M559" s="2286">
        <f>+O560</f>
        <v>21780</v>
      </c>
      <c r="N559" s="2287"/>
      <c r="O559" s="2301"/>
      <c r="P559" s="2287"/>
      <c r="Q559" s="1249"/>
    </row>
    <row r="560" spans="1:17" x14ac:dyDescent="0.25">
      <c r="A560" s="4"/>
      <c r="B560" s="2298"/>
      <c r="C560" s="2299"/>
      <c r="D560" s="2300"/>
      <c r="E560" s="1010" t="s">
        <v>14</v>
      </c>
      <c r="F560" s="1232"/>
      <c r="G560" s="1230"/>
      <c r="H560" s="1230" t="s">
        <v>1044</v>
      </c>
      <c r="I560" s="3"/>
      <c r="J560" s="3"/>
      <c r="K560" s="1007"/>
      <c r="L560" s="3"/>
      <c r="M560" s="2279"/>
      <c r="N560" s="2280"/>
      <c r="O560" s="2281">
        <f>+M543</f>
        <v>21780</v>
      </c>
      <c r="P560" s="2280"/>
      <c r="Q560" s="1249"/>
    </row>
    <row r="561" spans="1:19" x14ac:dyDescent="0.25">
      <c r="A561" s="4"/>
      <c r="B561" s="2288" t="s">
        <v>1976</v>
      </c>
      <c r="C561" s="2289"/>
      <c r="D561" s="2290"/>
      <c r="E561" s="1010" t="s">
        <v>207</v>
      </c>
      <c r="F561" s="1236" t="s">
        <v>2</v>
      </c>
      <c r="G561" s="1235"/>
      <c r="H561" s="1235"/>
      <c r="I561" s="1"/>
      <c r="J561" s="1"/>
      <c r="K561" s="1644"/>
      <c r="L561" s="1"/>
      <c r="M561" s="2286">
        <f>+O554</f>
        <v>21780</v>
      </c>
      <c r="N561" s="2287"/>
      <c r="O561" s="2301"/>
      <c r="P561" s="2287"/>
      <c r="Q561" s="1249"/>
    </row>
    <row r="562" spans="1:19" x14ac:dyDescent="0.25">
      <c r="A562" s="4"/>
      <c r="B562" s="2291"/>
      <c r="C562" s="2292"/>
      <c r="D562" s="2293"/>
      <c r="E562" s="1010" t="s">
        <v>14</v>
      </c>
      <c r="F562" s="1232"/>
      <c r="G562" s="1230"/>
      <c r="H562" s="1230" t="s">
        <v>1975</v>
      </c>
      <c r="I562" s="3"/>
      <c r="J562" s="3"/>
      <c r="K562" s="1643"/>
      <c r="L562" s="3"/>
      <c r="M562" s="2279"/>
      <c r="N562" s="2280"/>
      <c r="O562" s="2281">
        <f>+M561</f>
        <v>21780</v>
      </c>
      <c r="P562" s="2280"/>
      <c r="Q562" s="1249"/>
    </row>
    <row r="563" spans="1:19" x14ac:dyDescent="0.25">
      <c r="A563" s="4"/>
      <c r="B563" s="10"/>
      <c r="C563" s="10"/>
      <c r="D563" s="10"/>
      <c r="E563" s="1009"/>
      <c r="F563" s="1020"/>
      <c r="G563" s="1020"/>
      <c r="H563" s="1020"/>
      <c r="K563" s="1009"/>
      <c r="M563" s="2294"/>
      <c r="N563" s="2294"/>
      <c r="O563" s="2294"/>
      <c r="P563" s="2294"/>
    </row>
    <row r="564" spans="1:19" x14ac:dyDescent="0.25">
      <c r="A564" s="1248"/>
      <c r="B564" s="1247" t="s">
        <v>178</v>
      </c>
      <c r="C564" s="1246" t="s">
        <v>2411</v>
      </c>
      <c r="D564" s="1245"/>
      <c r="E564" s="1242"/>
      <c r="F564" s="1242"/>
      <c r="G564" s="1244"/>
      <c r="H564" s="1244"/>
      <c r="I564" s="1242"/>
      <c r="J564" s="1242"/>
      <c r="K564" s="1243"/>
      <c r="L564" s="1242"/>
      <c r="M564" s="1241"/>
      <c r="N564" s="1241"/>
      <c r="O564" s="1241"/>
      <c r="P564" s="1241"/>
      <c r="Q564" s="1240"/>
    </row>
    <row r="565" spans="1:19" x14ac:dyDescent="0.25">
      <c r="A565" s="4"/>
      <c r="B565" s="10"/>
      <c r="C565" s="10"/>
      <c r="D565" s="10"/>
      <c r="E565" s="50"/>
      <c r="F565" s="1239"/>
      <c r="G565" s="1020"/>
      <c r="H565" s="1020"/>
      <c r="K565" s="1009"/>
      <c r="M565" s="1238"/>
      <c r="N565" s="1238"/>
      <c r="O565" s="1238"/>
      <c r="P565" s="1238"/>
    </row>
    <row r="566" spans="1:19" x14ac:dyDescent="0.25">
      <c r="A566" s="4"/>
      <c r="B566" s="2295" t="s">
        <v>1974</v>
      </c>
      <c r="C566" s="2296"/>
      <c r="D566" s="2297"/>
      <c r="E566" s="1010" t="s">
        <v>15</v>
      </c>
      <c r="F566" s="1236" t="s">
        <v>232</v>
      </c>
      <c r="G566" s="1235"/>
      <c r="H566" s="1235"/>
      <c r="I566" s="1"/>
      <c r="J566" s="1"/>
      <c r="K566" s="1006"/>
      <c r="L566" s="1"/>
      <c r="M566" s="2286">
        <f>40*62.5</f>
        <v>2500</v>
      </c>
      <c r="N566" s="2287"/>
      <c r="O566" s="2301"/>
      <c r="P566" s="2287"/>
    </row>
    <row r="567" spans="1:19" x14ac:dyDescent="0.25">
      <c r="A567" s="4"/>
      <c r="B567" s="2298"/>
      <c r="C567" s="2299"/>
      <c r="D567" s="2300"/>
      <c r="E567" s="1010" t="s">
        <v>11</v>
      </c>
      <c r="F567" s="1234" t="s">
        <v>13</v>
      </c>
      <c r="G567" s="362"/>
      <c r="H567" s="362"/>
      <c r="I567" s="4"/>
      <c r="J567" s="4"/>
      <c r="K567" s="1004"/>
      <c r="L567" s="4"/>
      <c r="M567" s="2284">
        <f>+M566*0.21</f>
        <v>525</v>
      </c>
      <c r="N567" s="2285"/>
      <c r="O567" s="2294"/>
      <c r="P567" s="2285"/>
    </row>
    <row r="568" spans="1:19" x14ac:dyDescent="0.25">
      <c r="A568" s="4"/>
      <c r="B568" s="10"/>
      <c r="C568" s="10"/>
      <c r="D568" s="10"/>
      <c r="E568" s="1010" t="s">
        <v>17</v>
      </c>
      <c r="F568" s="1234"/>
      <c r="G568" s="1233" t="s">
        <v>1</v>
      </c>
      <c r="H568" s="362" t="s">
        <v>233</v>
      </c>
      <c r="I568" s="4"/>
      <c r="J568" s="4"/>
      <c r="K568" s="1004"/>
      <c r="L568" s="4"/>
      <c r="M568" s="2284"/>
      <c r="N568" s="2285"/>
      <c r="O568" s="2294">
        <f>(M566+M567)*0.9</f>
        <v>2722.5</v>
      </c>
      <c r="P568" s="2285"/>
      <c r="S568" s="1237"/>
    </row>
    <row r="569" spans="1:19" x14ac:dyDescent="0.25">
      <c r="A569" s="4"/>
      <c r="B569" s="10"/>
      <c r="C569" s="10"/>
      <c r="D569" s="10"/>
      <c r="E569" s="1654" t="s">
        <v>16</v>
      </c>
      <c r="F569" s="1234"/>
      <c r="G569" s="1233" t="s">
        <v>1</v>
      </c>
      <c r="H569" s="362" t="s">
        <v>1973</v>
      </c>
      <c r="I569" s="4"/>
      <c r="J569" s="4"/>
      <c r="K569" s="1636"/>
      <c r="L569" s="4"/>
      <c r="M569" s="1647"/>
      <c r="N569" s="1648"/>
      <c r="O569" s="2284">
        <f>0.1*M566</f>
        <v>250</v>
      </c>
      <c r="P569" s="2285"/>
    </row>
    <row r="570" spans="1:19" x14ac:dyDescent="0.25">
      <c r="A570" s="4"/>
      <c r="B570" s="10"/>
      <c r="C570" s="10"/>
      <c r="D570" s="10"/>
      <c r="E570" s="1654" t="s">
        <v>17</v>
      </c>
      <c r="F570" s="1232"/>
      <c r="G570" s="1231" t="s">
        <v>1</v>
      </c>
      <c r="H570" s="1230" t="s">
        <v>12</v>
      </c>
      <c r="I570" s="3"/>
      <c r="J570" s="3"/>
      <c r="K570" s="1643"/>
      <c r="L570" s="3"/>
      <c r="M570" s="1645"/>
      <c r="N570" s="1646"/>
      <c r="O570" s="2279">
        <f>0.1*M567</f>
        <v>52.5</v>
      </c>
      <c r="P570" s="2280"/>
    </row>
    <row r="571" spans="1:19" x14ac:dyDescent="0.25">
      <c r="A571" s="4"/>
      <c r="B571" s="10"/>
      <c r="C571" s="10"/>
      <c r="D571" s="10"/>
      <c r="E571" s="1654" t="s">
        <v>15</v>
      </c>
      <c r="F571" s="1234" t="s">
        <v>1972</v>
      </c>
      <c r="G571" s="362"/>
      <c r="H571" s="362"/>
      <c r="I571" s="4"/>
      <c r="J571" s="4"/>
      <c r="K571" s="1636"/>
      <c r="L571" s="4"/>
      <c r="M571" s="2286">
        <f>15*20</f>
        <v>300</v>
      </c>
      <c r="N571" s="2287"/>
      <c r="O571" s="1649"/>
      <c r="P571" s="1648"/>
    </row>
    <row r="572" spans="1:19" x14ac:dyDescent="0.25">
      <c r="A572" s="4"/>
      <c r="B572" s="10"/>
      <c r="C572" s="10"/>
      <c r="D572" s="10"/>
      <c r="E572" s="1654" t="s">
        <v>11</v>
      </c>
      <c r="F572" s="1234" t="s">
        <v>1971</v>
      </c>
      <c r="G572" s="362"/>
      <c r="H572" s="362"/>
      <c r="I572" s="4"/>
      <c r="J572" s="4"/>
      <c r="K572" s="1636"/>
      <c r="L572" s="4"/>
      <c r="M572" s="2284">
        <f>25*20</f>
        <v>500</v>
      </c>
      <c r="N572" s="2285"/>
      <c r="O572" s="1649"/>
      <c r="P572" s="1648"/>
    </row>
    <row r="573" spans="1:19" x14ac:dyDescent="0.25">
      <c r="A573" s="4"/>
      <c r="B573" s="10"/>
      <c r="C573" s="10"/>
      <c r="D573" s="10"/>
      <c r="E573" s="1654" t="s">
        <v>16</v>
      </c>
      <c r="F573" s="1232"/>
      <c r="G573" s="1231" t="s">
        <v>1</v>
      </c>
      <c r="H573" s="1230" t="s">
        <v>1057</v>
      </c>
      <c r="I573" s="3"/>
      <c r="J573" s="3"/>
      <c r="K573" s="1643"/>
      <c r="L573" s="3"/>
      <c r="M573" s="1645"/>
      <c r="N573" s="1646"/>
      <c r="O573" s="2279">
        <f>40*20</f>
        <v>800</v>
      </c>
      <c r="P573" s="2280"/>
    </row>
    <row r="574" spans="1:19" x14ac:dyDescent="0.25">
      <c r="A574" s="4"/>
      <c r="B574" s="2288" t="s">
        <v>1970</v>
      </c>
      <c r="C574" s="2289"/>
      <c r="D574" s="2290"/>
      <c r="E574" s="1654" t="s">
        <v>11</v>
      </c>
      <c r="F574" s="1236" t="s">
        <v>24</v>
      </c>
      <c r="G574" s="1235"/>
      <c r="H574" s="1235"/>
      <c r="I574" s="1"/>
      <c r="J574" s="1"/>
      <c r="K574" s="1644"/>
      <c r="L574" s="1"/>
      <c r="M574" s="2286">
        <f>(O575+O576)</f>
        <v>2722.5</v>
      </c>
      <c r="N574" s="2287"/>
      <c r="O574" s="1651"/>
      <c r="P574" s="1650"/>
    </row>
    <row r="575" spans="1:19" x14ac:dyDescent="0.25">
      <c r="A575" s="4"/>
      <c r="B575" s="2291"/>
      <c r="C575" s="2292"/>
      <c r="D575" s="2293"/>
      <c r="E575" s="1010" t="s">
        <v>14</v>
      </c>
      <c r="F575" s="1234"/>
      <c r="G575" s="1233" t="s">
        <v>1</v>
      </c>
      <c r="H575" s="362" t="s">
        <v>5</v>
      </c>
      <c r="I575" s="4"/>
      <c r="J575" s="4"/>
      <c r="K575" s="1004"/>
      <c r="L575" s="4"/>
      <c r="M575" s="2284"/>
      <c r="N575" s="2285"/>
      <c r="O575" s="2294">
        <f>40*62.5*0.9</f>
        <v>2250</v>
      </c>
      <c r="P575" s="2285"/>
    </row>
    <row r="576" spans="1:19" x14ac:dyDescent="0.25">
      <c r="A576" s="4"/>
      <c r="B576" s="2"/>
      <c r="C576" s="2"/>
      <c r="D576" s="2"/>
      <c r="E576" s="1010" t="s">
        <v>17</v>
      </c>
      <c r="F576" s="1232"/>
      <c r="G576" s="1231" t="s">
        <v>1</v>
      </c>
      <c r="H576" s="1230" t="s">
        <v>12</v>
      </c>
      <c r="I576" s="3"/>
      <c r="J576" s="3"/>
      <c r="K576" s="1007"/>
      <c r="L576" s="3"/>
      <c r="M576" s="2279"/>
      <c r="N576" s="2280"/>
      <c r="O576" s="2281">
        <f>+O575*0.21</f>
        <v>472.5</v>
      </c>
      <c r="P576" s="2280"/>
    </row>
    <row r="577" spans="1:21" x14ac:dyDescent="0.25">
      <c r="A577" s="4"/>
      <c r="B577" s="2"/>
      <c r="C577" s="2"/>
      <c r="D577" s="2"/>
      <c r="E577" s="2"/>
      <c r="F577" s="2"/>
      <c r="G577" s="2"/>
      <c r="H577" s="2"/>
      <c r="M577" s="2"/>
      <c r="N577" s="2"/>
      <c r="O577" s="2"/>
      <c r="P577" s="2"/>
    </row>
    <row r="578" spans="1:21" x14ac:dyDescent="0.25">
      <c r="A578" s="4"/>
      <c r="B578" s="10"/>
      <c r="C578" s="10"/>
      <c r="D578" s="10"/>
      <c r="E578" s="2"/>
      <c r="F578" s="2"/>
      <c r="G578" s="2"/>
      <c r="H578" s="2"/>
      <c r="M578" s="2"/>
      <c r="N578" s="2"/>
      <c r="O578" s="2"/>
      <c r="P578" s="2"/>
    </row>
    <row r="579" spans="1:21" x14ac:dyDescent="0.25">
      <c r="A579" s="4"/>
      <c r="B579" s="10"/>
      <c r="C579" s="10"/>
      <c r="D579" s="10"/>
      <c r="E579" s="2"/>
      <c r="F579" s="2"/>
      <c r="G579" s="2"/>
      <c r="H579" s="2"/>
      <c r="M579" s="2"/>
      <c r="N579" s="2"/>
      <c r="O579" s="2"/>
      <c r="P579" s="2"/>
    </row>
    <row r="580" spans="1:21" x14ac:dyDescent="0.25">
      <c r="A580" s="4"/>
      <c r="B580" s="10"/>
      <c r="C580" s="10"/>
      <c r="D580" s="10"/>
      <c r="E580" s="2"/>
      <c r="F580" s="2"/>
      <c r="G580" s="2"/>
      <c r="H580" s="2"/>
      <c r="M580" s="2"/>
      <c r="N580" s="2"/>
      <c r="O580" s="2"/>
      <c r="P580" s="2"/>
    </row>
    <row r="581" spans="1:21" x14ac:dyDescent="0.25">
      <c r="A581" s="4"/>
      <c r="B581" s="2"/>
      <c r="C581" s="2"/>
      <c r="D581" s="2"/>
      <c r="E581" s="2"/>
      <c r="F581" s="2"/>
      <c r="G581" s="2"/>
      <c r="H581" s="2"/>
      <c r="M581" s="2"/>
      <c r="S581" s="10"/>
      <c r="T581" s="10"/>
      <c r="U581" s="10"/>
    </row>
    <row r="582" spans="1:21" s="4" customFormat="1" x14ac:dyDescent="0.25">
      <c r="B582" s="1004"/>
      <c r="C582" s="1020"/>
      <c r="D582" s="1020"/>
      <c r="E582" s="1020"/>
      <c r="F582" s="1020"/>
      <c r="G582" s="51"/>
      <c r="H582" s="51"/>
      <c r="M582" s="18"/>
      <c r="N582" s="18"/>
      <c r="O582" s="18"/>
      <c r="P582" s="18"/>
    </row>
    <row r="583" spans="1:21" x14ac:dyDescent="0.25">
      <c r="A583" s="3"/>
      <c r="B583" s="1004"/>
      <c r="G583" s="51"/>
      <c r="H583" s="51"/>
      <c r="I583" s="4"/>
      <c r="J583" s="4"/>
      <c r="K583" s="4"/>
      <c r="L583" s="4"/>
      <c r="M583" s="18"/>
      <c r="N583" s="18"/>
      <c r="O583" s="18"/>
      <c r="P583" s="18"/>
      <c r="Q583" s="4"/>
    </row>
    <row r="584" spans="1:21" x14ac:dyDescent="0.25">
      <c r="A584" s="1844" t="s">
        <v>20</v>
      </c>
      <c r="B584" s="1845"/>
      <c r="C584" s="1845"/>
      <c r="D584" s="1845"/>
      <c r="E584" s="1845"/>
      <c r="F584" s="1845"/>
      <c r="G584" s="1845"/>
      <c r="H584" s="1845"/>
      <c r="I584" s="1845"/>
      <c r="J584" s="1845"/>
      <c r="K584" s="1845"/>
      <c r="L584" s="1845"/>
      <c r="M584" s="1845"/>
      <c r="N584" s="1845"/>
      <c r="O584" s="1845"/>
      <c r="P584" s="1845"/>
      <c r="Q584" s="1846"/>
    </row>
    <row r="585" spans="1:21" x14ac:dyDescent="0.25">
      <c r="A585" s="1847" t="s">
        <v>1969</v>
      </c>
      <c r="B585" s="1848"/>
      <c r="C585" s="1848"/>
      <c r="D585" s="1848"/>
      <c r="E585" s="1848"/>
      <c r="F585" s="1848"/>
      <c r="G585" s="1848"/>
      <c r="H585" s="1848"/>
      <c r="I585" s="1848"/>
      <c r="J585" s="1848"/>
      <c r="K585" s="1848"/>
      <c r="L585" s="1848"/>
      <c r="M585" s="1848"/>
      <c r="N585" s="1848"/>
      <c r="O585" s="1848"/>
      <c r="P585" s="1848"/>
      <c r="Q585" s="1849"/>
    </row>
    <row r="586" spans="1:21" x14ac:dyDescent="0.25">
      <c r="A586" s="4"/>
      <c r="B586" s="1004"/>
      <c r="G586" s="51"/>
      <c r="H586" s="51"/>
      <c r="I586" s="4"/>
      <c r="J586" s="4"/>
      <c r="K586" s="4"/>
      <c r="L586" s="4"/>
      <c r="M586" s="18"/>
      <c r="N586" s="18"/>
      <c r="O586" s="18"/>
      <c r="P586" s="18"/>
      <c r="Q586" s="4"/>
    </row>
    <row r="587" spans="1:21" x14ac:dyDescent="0.25">
      <c r="A587" s="4"/>
      <c r="B587" s="258" t="s">
        <v>1968</v>
      </c>
      <c r="G587" s="51"/>
      <c r="H587" s="51"/>
      <c r="I587" s="4"/>
      <c r="J587" s="4"/>
      <c r="K587" s="4"/>
      <c r="L587" s="4"/>
      <c r="M587" s="18"/>
      <c r="N587" s="18"/>
      <c r="O587" s="18"/>
      <c r="P587" s="18"/>
      <c r="Q587" s="4"/>
    </row>
    <row r="588" spans="1:21" x14ac:dyDescent="0.25">
      <c r="A588" s="4"/>
      <c r="B588" s="1004"/>
      <c r="G588" s="51"/>
      <c r="H588" s="51"/>
      <c r="I588" s="4"/>
      <c r="J588" s="4"/>
      <c r="K588" s="4"/>
      <c r="L588" s="4"/>
      <c r="M588" s="18"/>
      <c r="N588" s="18"/>
      <c r="O588" s="18"/>
      <c r="P588" s="18"/>
      <c r="Q588" s="4"/>
    </row>
    <row r="589" spans="1:21" x14ac:dyDescent="0.25">
      <c r="A589" s="4"/>
      <c r="B589" s="2282" t="s">
        <v>1967</v>
      </c>
      <c r="C589" s="2282"/>
      <c r="D589" s="2282"/>
      <c r="E589" s="2282"/>
      <c r="F589" s="2282"/>
      <c r="G589" s="1229" t="s">
        <v>1966</v>
      </c>
      <c r="H589" s="1229" t="s">
        <v>1965</v>
      </c>
      <c r="I589" s="1229" t="s">
        <v>1964</v>
      </c>
      <c r="J589" s="1229" t="s">
        <v>1963</v>
      </c>
      <c r="K589" s="1229" t="s">
        <v>1962</v>
      </c>
      <c r="L589" s="1229" t="s">
        <v>1961</v>
      </c>
      <c r="M589" s="1228" t="s">
        <v>1960</v>
      </c>
      <c r="N589" s="1228" t="s">
        <v>1959</v>
      </c>
      <c r="O589" s="1228" t="s">
        <v>1958</v>
      </c>
      <c r="P589" s="18"/>
      <c r="Q589" s="4"/>
    </row>
    <row r="590" spans="1:21" x14ac:dyDescent="0.25">
      <c r="A590" s="4"/>
      <c r="B590" s="2283" t="s">
        <v>1957</v>
      </c>
      <c r="C590" s="2283"/>
      <c r="D590" s="2283"/>
      <c r="E590" s="2283"/>
      <c r="F590" s="2283"/>
      <c r="G590" s="989">
        <v>31</v>
      </c>
      <c r="H590" s="989">
        <v>28</v>
      </c>
      <c r="I590" s="989">
        <v>31</v>
      </c>
      <c r="J590" s="989">
        <v>0</v>
      </c>
      <c r="K590" s="989">
        <v>0</v>
      </c>
      <c r="L590" s="989">
        <v>0</v>
      </c>
      <c r="M590" s="989">
        <v>0</v>
      </c>
      <c r="N590" s="989">
        <v>0</v>
      </c>
      <c r="O590" s="989">
        <v>0</v>
      </c>
      <c r="P590" s="18"/>
      <c r="Q590" s="4"/>
    </row>
    <row r="591" spans="1:21" x14ac:dyDescent="0.25">
      <c r="A591" s="4"/>
      <c r="B591" s="2283" t="s">
        <v>1956</v>
      </c>
      <c r="C591" s="2283"/>
      <c r="D591" s="2283"/>
      <c r="E591" s="2283"/>
      <c r="F591" s="2283"/>
      <c r="G591" s="989">
        <f>31-15</f>
        <v>16</v>
      </c>
      <c r="H591" s="989">
        <v>28</v>
      </c>
      <c r="I591" s="989">
        <v>31</v>
      </c>
      <c r="J591" s="989">
        <v>30</v>
      </c>
      <c r="K591" s="989">
        <v>31</v>
      </c>
      <c r="L591" s="989">
        <v>30</v>
      </c>
      <c r="M591" s="989">
        <f>180-SUM(G591:L591)</f>
        <v>14</v>
      </c>
      <c r="N591" s="989">
        <v>0</v>
      </c>
      <c r="O591" s="989">
        <v>0</v>
      </c>
      <c r="P591" s="18"/>
      <c r="Q591" s="4"/>
    </row>
    <row r="592" spans="1:21" x14ac:dyDescent="0.25">
      <c r="A592" s="4"/>
      <c r="B592" s="2283" t="s">
        <v>1955</v>
      </c>
      <c r="C592" s="2283"/>
      <c r="D592" s="2283"/>
      <c r="E592" s="2283"/>
      <c r="F592" s="2283"/>
      <c r="G592" s="989">
        <v>0</v>
      </c>
      <c r="H592" s="989">
        <v>9</v>
      </c>
      <c r="I592" s="989">
        <f>30-H592</f>
        <v>21</v>
      </c>
      <c r="J592" s="989">
        <v>0</v>
      </c>
      <c r="K592" s="989">
        <v>0</v>
      </c>
      <c r="L592" s="989">
        <v>0</v>
      </c>
      <c r="M592" s="989">
        <v>0</v>
      </c>
      <c r="N592" s="989">
        <v>0</v>
      </c>
      <c r="O592" s="989">
        <v>0</v>
      </c>
      <c r="P592" s="18"/>
      <c r="Q592" s="4"/>
    </row>
    <row r="593" spans="1:17" x14ac:dyDescent="0.25">
      <c r="A593" s="4"/>
      <c r="B593" s="2283" t="s">
        <v>1954</v>
      </c>
      <c r="C593" s="2283"/>
      <c r="D593" s="2283"/>
      <c r="E593" s="2283"/>
      <c r="F593" s="2283"/>
      <c r="G593" s="989">
        <v>0</v>
      </c>
      <c r="H593" s="989">
        <v>0</v>
      </c>
      <c r="I593" s="989">
        <v>0</v>
      </c>
      <c r="J593" s="1227" t="s">
        <v>1951</v>
      </c>
      <c r="K593" s="1227" t="s">
        <v>1951</v>
      </c>
      <c r="L593" s="1227" t="s">
        <v>1951</v>
      </c>
      <c r="M593" s="1227" t="s">
        <v>1951</v>
      </c>
      <c r="N593" s="1227" t="s">
        <v>1951</v>
      </c>
      <c r="O593" s="1227" t="s">
        <v>1951</v>
      </c>
      <c r="P593" s="18"/>
      <c r="Q593" s="4"/>
    </row>
    <row r="594" spans="1:17" x14ac:dyDescent="0.25">
      <c r="A594" s="4"/>
      <c r="B594" s="2283" t="s">
        <v>1953</v>
      </c>
      <c r="C594" s="2283"/>
      <c r="D594" s="2283"/>
      <c r="E594" s="2283"/>
      <c r="F594" s="2283"/>
      <c r="G594" s="989">
        <v>0</v>
      </c>
      <c r="H594" s="989">
        <v>0</v>
      </c>
      <c r="I594" s="989">
        <v>0</v>
      </c>
      <c r="J594" s="989">
        <v>0</v>
      </c>
      <c r="K594" s="989">
        <v>0</v>
      </c>
      <c r="L594" s="989">
        <v>20</v>
      </c>
      <c r="M594" s="989">
        <v>10</v>
      </c>
      <c r="N594" s="989">
        <v>0</v>
      </c>
      <c r="O594" s="989">
        <v>0</v>
      </c>
      <c r="P594" s="18"/>
      <c r="Q594" s="4"/>
    </row>
    <row r="595" spans="1:17" x14ac:dyDescent="0.25">
      <c r="A595" s="4"/>
      <c r="B595" s="2283" t="s">
        <v>1952</v>
      </c>
      <c r="C595" s="2283"/>
      <c r="D595" s="2283"/>
      <c r="E595" s="2283"/>
      <c r="F595" s="2283"/>
      <c r="G595" s="989">
        <v>0</v>
      </c>
      <c r="H595" s="989">
        <v>0</v>
      </c>
      <c r="I595" s="989">
        <v>0</v>
      </c>
      <c r="J595" s="989">
        <v>0</v>
      </c>
      <c r="K595" s="989">
        <v>0</v>
      </c>
      <c r="L595" s="989">
        <v>0</v>
      </c>
      <c r="M595" s="989">
        <v>0</v>
      </c>
      <c r="N595" s="1227" t="s">
        <v>1951</v>
      </c>
      <c r="O595" s="1227" t="s">
        <v>1951</v>
      </c>
      <c r="P595" s="18"/>
      <c r="Q595" s="4"/>
    </row>
    <row r="596" spans="1:17" x14ac:dyDescent="0.25">
      <c r="A596" s="4"/>
      <c r="B596" s="2283" t="s">
        <v>1950</v>
      </c>
      <c r="C596" s="2283"/>
      <c r="D596" s="2283"/>
      <c r="E596" s="2283"/>
      <c r="F596" s="2283"/>
      <c r="G596" s="989">
        <v>0</v>
      </c>
      <c r="H596" s="989">
        <v>0</v>
      </c>
      <c r="I596" s="989">
        <v>0</v>
      </c>
      <c r="J596" s="989">
        <v>0</v>
      </c>
      <c r="K596" s="989">
        <v>0</v>
      </c>
      <c r="L596" s="989">
        <v>0</v>
      </c>
      <c r="M596" s="989">
        <v>0</v>
      </c>
      <c r="N596" s="989">
        <v>10</v>
      </c>
      <c r="O596" s="989">
        <v>30</v>
      </c>
      <c r="P596" s="18"/>
      <c r="Q596" s="4"/>
    </row>
    <row r="597" spans="1:17" x14ac:dyDescent="0.25">
      <c r="A597" s="4"/>
      <c r="B597" s="1993"/>
      <c r="C597" s="1993"/>
      <c r="D597" s="1993"/>
      <c r="E597" s="1993"/>
      <c r="F597" s="1993"/>
      <c r="G597" s="1004"/>
      <c r="H597" s="1004"/>
      <c r="I597" s="1004"/>
      <c r="J597" s="1004"/>
      <c r="K597" s="1004"/>
      <c r="L597" s="1004"/>
      <c r="M597" s="1004"/>
      <c r="N597" s="1004"/>
      <c r="O597" s="1004"/>
      <c r="P597" s="18"/>
      <c r="Q597" s="4"/>
    </row>
    <row r="598" spans="1:17" ht="7.5" customHeight="1" x14ac:dyDescent="0.25">
      <c r="A598" s="437"/>
      <c r="B598" s="1179"/>
      <c r="C598" s="1178"/>
      <c r="D598" s="1177"/>
      <c r="E598" s="1177"/>
      <c r="F598" s="1177"/>
      <c r="G598" s="435"/>
      <c r="H598" s="435"/>
      <c r="I598" s="437"/>
      <c r="J598" s="437"/>
      <c r="K598" s="437"/>
      <c r="L598" s="437"/>
      <c r="M598" s="2102" t="s">
        <v>9</v>
      </c>
      <c r="N598" s="2102"/>
      <c r="O598" s="2102" t="s">
        <v>8</v>
      </c>
      <c r="P598" s="2102"/>
      <c r="Q598" s="437"/>
    </row>
    <row r="599" spans="1:17" ht="11.25" customHeight="1" x14ac:dyDescent="0.25">
      <c r="A599" s="437"/>
      <c r="B599" s="108">
        <v>1</v>
      </c>
      <c r="C599" s="1188"/>
      <c r="D599" s="1175"/>
      <c r="E599" s="1173"/>
      <c r="F599" s="1173"/>
      <c r="G599" s="2274" t="s">
        <v>1695</v>
      </c>
      <c r="H599" s="2246"/>
      <c r="I599" s="1174"/>
      <c r="J599" s="1174"/>
      <c r="K599" s="1174"/>
      <c r="L599" s="1173"/>
      <c r="M599" s="2103"/>
      <c r="N599" s="2103"/>
      <c r="O599" s="2103" t="s">
        <v>8</v>
      </c>
      <c r="P599" s="2103"/>
      <c r="Q599" s="437"/>
    </row>
    <row r="600" spans="1:17" x14ac:dyDescent="0.25">
      <c r="B600" s="30" t="s">
        <v>11</v>
      </c>
      <c r="C600" s="1015" t="s">
        <v>282</v>
      </c>
      <c r="D600" s="31"/>
      <c r="E600" s="1016"/>
      <c r="F600" s="991"/>
      <c r="G600" s="51"/>
      <c r="H600" s="51"/>
      <c r="I600" s="4"/>
      <c r="J600" s="4"/>
      <c r="K600" s="4"/>
      <c r="L600" s="991"/>
      <c r="M600" s="2008">
        <v>100000</v>
      </c>
      <c r="N600" s="2009"/>
      <c r="O600" s="2012"/>
      <c r="P600" s="2009"/>
    </row>
    <row r="601" spans="1:17" x14ac:dyDescent="0.25">
      <c r="B601" s="38" t="s">
        <v>142</v>
      </c>
      <c r="C601" s="1015" t="s">
        <v>143</v>
      </c>
      <c r="D601" s="1016"/>
      <c r="E601" s="1016"/>
      <c r="F601" s="991"/>
      <c r="G601" s="51"/>
      <c r="H601" s="51"/>
      <c r="I601" s="4"/>
      <c r="J601" s="4"/>
      <c r="K601" s="4"/>
      <c r="L601" s="991"/>
      <c r="M601" s="2008">
        <f>33759/1.21</f>
        <v>27900</v>
      </c>
      <c r="N601" s="2009"/>
      <c r="O601" s="2277"/>
      <c r="P601" s="2278"/>
    </row>
    <row r="602" spans="1:17" x14ac:dyDescent="0.25">
      <c r="B602" s="38" t="s">
        <v>11</v>
      </c>
      <c r="C602" s="1015" t="s">
        <v>13</v>
      </c>
      <c r="D602" s="1016"/>
      <c r="E602" s="1016"/>
      <c r="F602" s="991"/>
      <c r="G602" s="51"/>
      <c r="H602" s="51"/>
      <c r="I602" s="4"/>
      <c r="J602" s="4"/>
      <c r="K602" s="4"/>
      <c r="L602" s="991"/>
      <c r="M602" s="2008">
        <f>+M601*0.21</f>
        <v>5859</v>
      </c>
      <c r="N602" s="2009"/>
      <c r="O602" s="994"/>
      <c r="P602" s="995"/>
    </row>
    <row r="603" spans="1:17" x14ac:dyDescent="0.25">
      <c r="B603" s="1009" t="s">
        <v>17</v>
      </c>
      <c r="C603" s="1015"/>
      <c r="D603" s="1016"/>
      <c r="E603" s="1016"/>
      <c r="F603" s="20" t="s">
        <v>1</v>
      </c>
      <c r="G603" s="1020" t="s">
        <v>6</v>
      </c>
      <c r="H603" s="1020"/>
      <c r="I603" s="4"/>
      <c r="J603" s="4"/>
      <c r="K603" s="4"/>
      <c r="L603" s="4"/>
      <c r="M603" s="2008"/>
      <c r="N603" s="2012"/>
      <c r="O603" s="2008">
        <v>133759</v>
      </c>
      <c r="P603" s="2009"/>
    </row>
    <row r="604" spans="1:17" ht="11.25" customHeight="1" x14ac:dyDescent="0.25">
      <c r="A604" s="437"/>
      <c r="B604" s="108">
        <v>2</v>
      </c>
      <c r="C604" s="2198" t="s">
        <v>1784</v>
      </c>
      <c r="D604" s="2199"/>
      <c r="E604" s="2199"/>
      <c r="F604" s="2199"/>
      <c r="G604" s="2274" t="s">
        <v>1949</v>
      </c>
      <c r="H604" s="2246"/>
      <c r="I604" s="2199" t="s">
        <v>1784</v>
      </c>
      <c r="J604" s="2199"/>
      <c r="K604" s="2199"/>
      <c r="L604" s="2199"/>
      <c r="M604" s="993"/>
      <c r="N604" s="994"/>
      <c r="O604" s="993"/>
      <c r="P604" s="995"/>
      <c r="Q604" s="437"/>
    </row>
    <row r="605" spans="1:17" x14ac:dyDescent="0.25">
      <c r="B605" s="30" t="s">
        <v>11</v>
      </c>
      <c r="C605" s="1015" t="s">
        <v>227</v>
      </c>
      <c r="D605" s="1016"/>
      <c r="E605" s="1016"/>
      <c r="F605" s="991"/>
      <c r="G605" s="51"/>
      <c r="H605" s="51"/>
      <c r="I605" s="4"/>
      <c r="J605" s="4"/>
      <c r="K605" s="4"/>
      <c r="L605" s="991"/>
      <c r="M605" s="2008">
        <f>20000*1.21*0.5</f>
        <v>12100</v>
      </c>
      <c r="N605" s="2009"/>
      <c r="O605" s="2012"/>
      <c r="P605" s="2009"/>
    </row>
    <row r="606" spans="1:17" x14ac:dyDescent="0.25">
      <c r="B606" s="38" t="s">
        <v>11</v>
      </c>
      <c r="C606" s="1015" t="s">
        <v>478</v>
      </c>
      <c r="D606" s="1016"/>
      <c r="E606" s="1016"/>
      <c r="F606" s="991"/>
      <c r="G606" s="51"/>
      <c r="H606" s="51"/>
      <c r="I606" s="4"/>
      <c r="J606" s="4"/>
      <c r="K606" s="4"/>
      <c r="L606" s="991"/>
      <c r="M606" s="2008">
        <f>20000*1.21*0.5</f>
        <v>12100</v>
      </c>
      <c r="N606" s="2009"/>
      <c r="O606" s="994"/>
      <c r="P606" s="995"/>
    </row>
    <row r="607" spans="1:17" x14ac:dyDescent="0.25">
      <c r="B607" s="1009" t="s">
        <v>17</v>
      </c>
      <c r="C607" s="1015"/>
      <c r="D607" s="1016"/>
      <c r="E607" s="1016"/>
      <c r="F607" s="20" t="s">
        <v>1</v>
      </c>
      <c r="G607" s="1020" t="s">
        <v>233</v>
      </c>
      <c r="H607" s="51"/>
      <c r="I607" s="4"/>
      <c r="J607" s="4"/>
      <c r="K607" s="4"/>
      <c r="L607" s="991"/>
      <c r="M607" s="993"/>
      <c r="N607" s="994"/>
      <c r="O607" s="2008">
        <f>+(M605+M606)/1.21</f>
        <v>20000</v>
      </c>
      <c r="P607" s="2009"/>
    </row>
    <row r="608" spans="1:17" x14ac:dyDescent="0.25">
      <c r="B608" s="1009" t="s">
        <v>17</v>
      </c>
      <c r="C608" s="1015"/>
      <c r="D608" s="1016"/>
      <c r="E608" s="1016"/>
      <c r="F608" s="20" t="s">
        <v>1</v>
      </c>
      <c r="G608" s="2" t="s">
        <v>12</v>
      </c>
      <c r="H608" s="1020"/>
      <c r="I608" s="4"/>
      <c r="J608" s="4"/>
      <c r="K608" s="4"/>
      <c r="L608" s="4"/>
      <c r="M608" s="2008"/>
      <c r="N608" s="2012"/>
      <c r="O608" s="2008">
        <f>+O607*0.21</f>
        <v>4200</v>
      </c>
      <c r="P608" s="2009"/>
    </row>
    <row r="609" spans="1:17" ht="11.25" customHeight="1" x14ac:dyDescent="0.25">
      <c r="A609" s="437"/>
      <c r="B609" s="108">
        <v>3</v>
      </c>
      <c r="C609" s="2198" t="s">
        <v>1784</v>
      </c>
      <c r="D609" s="2199"/>
      <c r="E609" s="2199"/>
      <c r="F609" s="2199"/>
      <c r="G609" s="2274" t="s">
        <v>1948</v>
      </c>
      <c r="H609" s="2246"/>
      <c r="I609" s="2199" t="s">
        <v>1784</v>
      </c>
      <c r="J609" s="2199"/>
      <c r="K609" s="2199"/>
      <c r="L609" s="2199"/>
      <c r="M609" s="993"/>
      <c r="N609" s="994"/>
      <c r="O609" s="993"/>
      <c r="P609" s="995"/>
      <c r="Q609" s="437"/>
    </row>
    <row r="610" spans="1:17" x14ac:dyDescent="0.25">
      <c r="B610" s="30" t="s">
        <v>11</v>
      </c>
      <c r="C610" s="1015" t="s">
        <v>279</v>
      </c>
      <c r="D610" s="1016"/>
      <c r="E610" s="1016"/>
      <c r="F610" s="991"/>
      <c r="G610" s="51"/>
      <c r="H610" s="51"/>
      <c r="I610" s="4"/>
      <c r="J610" s="4"/>
      <c r="K610" s="4"/>
      <c r="L610" s="991"/>
      <c r="M610" s="2008">
        <v>18000</v>
      </c>
      <c r="N610" s="2009"/>
      <c r="O610" s="2012"/>
      <c r="P610" s="2009"/>
    </row>
    <row r="611" spans="1:17" x14ac:dyDescent="0.25">
      <c r="B611" s="38" t="s">
        <v>14</v>
      </c>
      <c r="C611" s="1015"/>
      <c r="D611" s="1016"/>
      <c r="E611" s="1016"/>
      <c r="F611" s="20" t="s">
        <v>1</v>
      </c>
      <c r="G611" s="1020" t="s">
        <v>10</v>
      </c>
      <c r="H611" s="51"/>
      <c r="I611" s="4"/>
      <c r="J611" s="4"/>
      <c r="K611" s="4"/>
      <c r="L611" s="991"/>
      <c r="M611" s="2008"/>
      <c r="N611" s="2009"/>
      <c r="O611" s="2008">
        <f>+M610*0.5</f>
        <v>9000</v>
      </c>
      <c r="P611" s="2009"/>
    </row>
    <row r="612" spans="1:17" x14ac:dyDescent="0.25">
      <c r="B612" s="1009" t="s">
        <v>17</v>
      </c>
      <c r="C612" s="1015"/>
      <c r="D612" s="1016"/>
      <c r="E612" s="1016"/>
      <c r="F612" s="20" t="s">
        <v>1</v>
      </c>
      <c r="G612" s="1020" t="s">
        <v>296</v>
      </c>
      <c r="H612" s="1020"/>
      <c r="I612" s="4"/>
      <c r="J612" s="4"/>
      <c r="K612" s="4"/>
      <c r="L612" s="4"/>
      <c r="M612" s="2008"/>
      <c r="N612" s="2012"/>
      <c r="O612" s="2008">
        <f>+O611</f>
        <v>9000</v>
      </c>
      <c r="P612" s="2009"/>
    </row>
    <row r="613" spans="1:17" ht="11.25" customHeight="1" x14ac:dyDescent="0.25">
      <c r="A613" s="437"/>
      <c r="B613" s="108">
        <v>4</v>
      </c>
      <c r="C613" s="2198" t="s">
        <v>1784</v>
      </c>
      <c r="D613" s="2199"/>
      <c r="E613" s="2199"/>
      <c r="F613" s="2199"/>
      <c r="G613" s="2274" t="s">
        <v>1947</v>
      </c>
      <c r="H613" s="2246"/>
      <c r="I613" s="2199" t="s">
        <v>1784</v>
      </c>
      <c r="J613" s="2199"/>
      <c r="K613" s="2199"/>
      <c r="L613" s="2199"/>
      <c r="M613" s="993"/>
      <c r="N613" s="994"/>
      <c r="O613" s="993"/>
      <c r="P613" s="995"/>
      <c r="Q613" s="437"/>
    </row>
    <row r="614" spans="1:17" x14ac:dyDescent="0.25">
      <c r="B614" s="30" t="s">
        <v>11</v>
      </c>
      <c r="C614" s="1015" t="s">
        <v>227</v>
      </c>
      <c r="D614" s="1016"/>
      <c r="E614" s="1016"/>
      <c r="F614" s="991"/>
      <c r="G614" s="51"/>
      <c r="H614" s="51"/>
      <c r="I614" s="4"/>
      <c r="J614" s="4"/>
      <c r="K614" s="4"/>
      <c r="L614" s="991"/>
      <c r="M614" s="2008">
        <v>500</v>
      </c>
      <c r="N614" s="2009"/>
      <c r="O614" s="2012"/>
      <c r="P614" s="2009"/>
    </row>
    <row r="615" spans="1:17" x14ac:dyDescent="0.25">
      <c r="B615" s="1009" t="s">
        <v>17</v>
      </c>
      <c r="C615" s="1015"/>
      <c r="D615" s="1016"/>
      <c r="E615" s="1016"/>
      <c r="F615" s="20" t="s">
        <v>1</v>
      </c>
      <c r="G615" s="1020" t="s">
        <v>233</v>
      </c>
      <c r="H615" s="1020"/>
      <c r="I615" s="4"/>
      <c r="J615" s="4"/>
      <c r="K615" s="4"/>
      <c r="L615" s="4"/>
      <c r="M615" s="2008"/>
      <c r="N615" s="2012"/>
      <c r="O615" s="2008">
        <f>+M614</f>
        <v>500</v>
      </c>
      <c r="P615" s="2009"/>
    </row>
    <row r="616" spans="1:17" ht="11.25" customHeight="1" x14ac:dyDescent="0.25">
      <c r="A616" s="437"/>
      <c r="B616" s="1226" t="s">
        <v>1925</v>
      </c>
      <c r="C616" s="2198" t="s">
        <v>1784</v>
      </c>
      <c r="D616" s="2199"/>
      <c r="E616" s="2199"/>
      <c r="F616" s="2199"/>
      <c r="G616" s="2274" t="s">
        <v>1693</v>
      </c>
      <c r="H616" s="2246"/>
      <c r="I616" s="2199" t="s">
        <v>1784</v>
      </c>
      <c r="J616" s="2199"/>
      <c r="K616" s="2199"/>
      <c r="L616" s="2199"/>
      <c r="M616" s="993"/>
      <c r="N616" s="994"/>
      <c r="O616" s="993"/>
      <c r="P616" s="995"/>
      <c r="Q616" s="437"/>
    </row>
    <row r="617" spans="1:17" x14ac:dyDescent="0.25">
      <c r="B617" s="30" t="s">
        <v>15</v>
      </c>
      <c r="C617" s="1015" t="s">
        <v>299</v>
      </c>
      <c r="D617" s="1016"/>
      <c r="E617" s="1016"/>
      <c r="F617" s="991"/>
      <c r="G617" s="51"/>
      <c r="H617" s="51"/>
      <c r="I617" s="4"/>
      <c r="J617" s="4"/>
      <c r="K617" s="4"/>
      <c r="L617" s="991"/>
      <c r="M617" s="2008">
        <f>+$M$601/90*31</f>
        <v>9610</v>
      </c>
      <c r="N617" s="2009"/>
      <c r="O617" s="2012"/>
      <c r="P617" s="2009"/>
    </row>
    <row r="618" spans="1:17" x14ac:dyDescent="0.25">
      <c r="B618" s="1009" t="s">
        <v>320</v>
      </c>
      <c r="C618" s="1015"/>
      <c r="D618" s="1016"/>
      <c r="E618" s="1016"/>
      <c r="F618" s="20" t="s">
        <v>1</v>
      </c>
      <c r="G618" s="1020" t="str">
        <f>+C601</f>
        <v>Intereses negativos a devengar s/D.a.P.</v>
      </c>
      <c r="H618" s="1020"/>
      <c r="I618" s="4"/>
      <c r="J618" s="4"/>
      <c r="K618" s="4"/>
      <c r="L618" s="4"/>
      <c r="M618" s="2008"/>
      <c r="N618" s="2012"/>
      <c r="O618" s="2008">
        <f>+M617</f>
        <v>9610</v>
      </c>
      <c r="P618" s="2009"/>
    </row>
    <row r="619" spans="1:17" ht="11.25" customHeight="1" x14ac:dyDescent="0.25">
      <c r="A619" s="437"/>
      <c r="B619" s="1226" t="s">
        <v>1925</v>
      </c>
      <c r="C619" s="2198" t="s">
        <v>1784</v>
      </c>
      <c r="D619" s="2199"/>
      <c r="E619" s="2199"/>
      <c r="F619" s="2199"/>
      <c r="G619" s="2274" t="s">
        <v>1693</v>
      </c>
      <c r="H619" s="2246"/>
      <c r="I619" s="2199" t="s">
        <v>1784</v>
      </c>
      <c r="J619" s="2199"/>
      <c r="K619" s="2199"/>
      <c r="L619" s="2199"/>
      <c r="M619" s="993"/>
      <c r="N619" s="994"/>
      <c r="O619" s="993"/>
      <c r="P619" s="995"/>
      <c r="Q619" s="437"/>
    </row>
    <row r="620" spans="1:17" x14ac:dyDescent="0.25">
      <c r="B620" s="30" t="s">
        <v>15</v>
      </c>
      <c r="C620" s="1015" t="s">
        <v>301</v>
      </c>
      <c r="D620" s="1016"/>
      <c r="E620" s="1016"/>
      <c r="F620" s="991"/>
      <c r="G620" s="51"/>
      <c r="H620" s="51"/>
      <c r="I620" s="4"/>
      <c r="J620" s="4"/>
      <c r="K620" s="4"/>
      <c r="L620" s="991"/>
      <c r="M620" s="2008">
        <f>+$M$610/180*G591</f>
        <v>1600</v>
      </c>
      <c r="N620" s="2009"/>
      <c r="O620" s="2012"/>
      <c r="P620" s="2009"/>
    </row>
    <row r="621" spans="1:17" x14ac:dyDescent="0.25">
      <c r="B621" s="1009" t="s">
        <v>14</v>
      </c>
      <c r="C621" s="1015"/>
      <c r="D621" s="1016"/>
      <c r="E621" s="1016"/>
      <c r="F621" s="20" t="s">
        <v>1</v>
      </c>
      <c r="G621" s="1020" t="s">
        <v>279</v>
      </c>
      <c r="H621" s="1020"/>
      <c r="I621" s="4"/>
      <c r="J621" s="4"/>
      <c r="K621" s="4"/>
      <c r="L621" s="4"/>
      <c r="M621" s="2008"/>
      <c r="N621" s="2012"/>
      <c r="O621" s="2008">
        <f>+M620</f>
        <v>1600</v>
      </c>
      <c r="P621" s="2009"/>
    </row>
    <row r="622" spans="1:17" ht="11.25" customHeight="1" x14ac:dyDescent="0.25">
      <c r="A622" s="437"/>
      <c r="B622" s="108">
        <v>5</v>
      </c>
      <c r="C622" s="2198" t="s">
        <v>1784</v>
      </c>
      <c r="D622" s="2199"/>
      <c r="E622" s="2199"/>
      <c r="F622" s="2199"/>
      <c r="G622" s="2274" t="s">
        <v>1946</v>
      </c>
      <c r="H622" s="2246"/>
      <c r="I622" s="2199" t="s">
        <v>1784</v>
      </c>
      <c r="J622" s="2199"/>
      <c r="K622" s="2199"/>
      <c r="L622" s="2199"/>
      <c r="M622" s="993"/>
      <c r="N622" s="994"/>
      <c r="O622" s="993"/>
      <c r="P622" s="995"/>
      <c r="Q622" s="437"/>
    </row>
    <row r="623" spans="1:17" x14ac:dyDescent="0.25">
      <c r="B623" s="30" t="s">
        <v>207</v>
      </c>
      <c r="C623" s="1015" t="s">
        <v>296</v>
      </c>
      <c r="D623" s="1016"/>
      <c r="E623" s="1016"/>
      <c r="F623" s="991"/>
      <c r="G623" s="51"/>
      <c r="H623" s="51"/>
      <c r="I623" s="4"/>
      <c r="J623" s="4"/>
      <c r="K623" s="4"/>
      <c r="L623" s="991"/>
      <c r="M623" s="2008">
        <f>+O612/2</f>
        <v>4500</v>
      </c>
      <c r="N623" s="2009"/>
      <c r="O623" s="2012"/>
      <c r="P623" s="2009"/>
    </row>
    <row r="624" spans="1:17" x14ac:dyDescent="0.25">
      <c r="B624" s="1009" t="s">
        <v>14</v>
      </c>
      <c r="C624" s="1015"/>
      <c r="D624" s="1016"/>
      <c r="E624" s="1016"/>
      <c r="F624" s="20" t="s">
        <v>1</v>
      </c>
      <c r="G624" s="1020" t="s">
        <v>282</v>
      </c>
      <c r="H624" s="1020"/>
      <c r="I624" s="4"/>
      <c r="J624" s="4"/>
      <c r="K624" s="4"/>
      <c r="L624" s="4"/>
      <c r="M624" s="2008"/>
      <c r="N624" s="2012"/>
      <c r="O624" s="2008">
        <f>+M623</f>
        <v>4500</v>
      </c>
      <c r="P624" s="2009"/>
    </row>
    <row r="625" spans="1:17" ht="11.25" customHeight="1" x14ac:dyDescent="0.25">
      <c r="A625" s="437"/>
      <c r="B625" s="108">
        <v>6</v>
      </c>
      <c r="C625" s="2198" t="s">
        <v>1784</v>
      </c>
      <c r="D625" s="2199"/>
      <c r="E625" s="2199"/>
      <c r="F625" s="2199"/>
      <c r="G625" s="2274" t="s">
        <v>1945</v>
      </c>
      <c r="H625" s="2246"/>
      <c r="I625" s="2199" t="s">
        <v>1784</v>
      </c>
      <c r="J625" s="2199"/>
      <c r="K625" s="2199"/>
      <c r="L625" s="2199"/>
      <c r="M625" s="993"/>
      <c r="N625" s="994"/>
      <c r="O625" s="993"/>
      <c r="P625" s="995"/>
      <c r="Q625" s="437"/>
    </row>
    <row r="626" spans="1:17" x14ac:dyDescent="0.25">
      <c r="B626" s="30" t="s">
        <v>207</v>
      </c>
      <c r="C626" s="1015" t="s">
        <v>233</v>
      </c>
      <c r="D626" s="1016"/>
      <c r="E626" s="1016"/>
      <c r="F626" s="991"/>
      <c r="G626" s="51"/>
      <c r="H626" s="51"/>
      <c r="I626" s="4"/>
      <c r="J626" s="4"/>
      <c r="K626" s="4"/>
      <c r="L626" s="991"/>
      <c r="M626" s="2008">
        <f>+O615</f>
        <v>500</v>
      </c>
      <c r="N626" s="2009"/>
      <c r="O626" s="2012"/>
      <c r="P626" s="2009"/>
    </row>
    <row r="627" spans="1:17" x14ac:dyDescent="0.25">
      <c r="B627" s="38" t="s">
        <v>11</v>
      </c>
      <c r="C627" s="1015" t="s">
        <v>0</v>
      </c>
      <c r="D627" s="1016"/>
      <c r="E627" s="1016"/>
      <c r="F627" s="20"/>
      <c r="G627" s="1020"/>
      <c r="H627" s="51"/>
      <c r="I627" s="4"/>
      <c r="J627" s="4"/>
      <c r="K627" s="4"/>
      <c r="L627" s="991"/>
      <c r="M627" s="2008">
        <f>(2000*1.21)-M626</f>
        <v>1920</v>
      </c>
      <c r="N627" s="2009"/>
      <c r="O627" s="2008"/>
      <c r="P627" s="2009"/>
    </row>
    <row r="628" spans="1:17" x14ac:dyDescent="0.25">
      <c r="B628" s="38" t="s">
        <v>16</v>
      </c>
      <c r="C628" s="1015"/>
      <c r="D628" s="1016"/>
      <c r="E628" s="1016"/>
      <c r="F628" s="20" t="s">
        <v>1</v>
      </c>
      <c r="G628" s="1020" t="s">
        <v>3</v>
      </c>
      <c r="H628" s="51"/>
      <c r="I628" s="4"/>
      <c r="J628" s="4"/>
      <c r="K628" s="4"/>
      <c r="L628" s="991"/>
      <c r="M628" s="2008"/>
      <c r="N628" s="2009"/>
      <c r="O628" s="2008">
        <f>2000*0.9</f>
        <v>1800</v>
      </c>
      <c r="P628" s="2009"/>
    </row>
    <row r="629" spans="1:17" x14ac:dyDescent="0.25">
      <c r="B629" s="1009" t="s">
        <v>108</v>
      </c>
      <c r="C629" s="1015"/>
      <c r="D629" s="1016"/>
      <c r="E629" s="1016"/>
      <c r="F629" s="20" t="s">
        <v>1</v>
      </c>
      <c r="G629" s="1020" t="s">
        <v>158</v>
      </c>
      <c r="H629" s="1020"/>
      <c r="I629" s="4"/>
      <c r="J629" s="4"/>
      <c r="K629" s="4"/>
      <c r="L629" s="4"/>
      <c r="M629" s="2008"/>
      <c r="N629" s="2012"/>
      <c r="O629" s="2008">
        <f>2000*0.1</f>
        <v>200</v>
      </c>
      <c r="P629" s="2009"/>
    </row>
    <row r="630" spans="1:17" x14ac:dyDescent="0.25">
      <c r="B630" s="38" t="s">
        <v>17</v>
      </c>
      <c r="C630" s="1015"/>
      <c r="D630" s="1016"/>
      <c r="E630" s="1016"/>
      <c r="F630" s="20" t="s">
        <v>1</v>
      </c>
      <c r="G630" s="1020" t="s">
        <v>12</v>
      </c>
      <c r="H630" s="51"/>
      <c r="I630" s="4"/>
      <c r="J630" s="4"/>
      <c r="K630" s="4"/>
      <c r="L630" s="991"/>
      <c r="M630" s="2008"/>
      <c r="N630" s="2009"/>
      <c r="O630" s="2008">
        <f>2000*0.21</f>
        <v>420</v>
      </c>
      <c r="P630" s="2009"/>
    </row>
    <row r="631" spans="1:17" ht="12" customHeight="1" x14ac:dyDescent="0.25">
      <c r="B631" s="1004"/>
      <c r="C631" s="2198" t="s">
        <v>1784</v>
      </c>
      <c r="D631" s="2199"/>
      <c r="E631" s="2199"/>
      <c r="F631" s="2199"/>
      <c r="G631" s="2054"/>
      <c r="H631" s="2054"/>
      <c r="I631" s="2199" t="s">
        <v>1784</v>
      </c>
      <c r="J631" s="2199"/>
      <c r="K631" s="2199"/>
      <c r="L631" s="2199"/>
      <c r="M631" s="2008"/>
      <c r="N631" s="2009"/>
      <c r="O631" s="2008"/>
      <c r="P631" s="2009"/>
    </row>
    <row r="632" spans="1:17" x14ac:dyDescent="0.25">
      <c r="B632" s="102" t="s">
        <v>15</v>
      </c>
      <c r="C632" s="1015" t="s">
        <v>120</v>
      </c>
      <c r="D632" s="1016"/>
      <c r="E632" s="1016"/>
      <c r="F632" s="991"/>
      <c r="G632" s="51"/>
      <c r="H632" s="51"/>
      <c r="I632" s="4"/>
      <c r="J632" s="4"/>
      <c r="K632" s="4"/>
      <c r="L632" s="991"/>
      <c r="M632" s="2008">
        <v>800</v>
      </c>
      <c r="N632" s="2009"/>
      <c r="O632" s="2012"/>
      <c r="P632" s="2009"/>
    </row>
    <row r="633" spans="1:17" x14ac:dyDescent="0.25">
      <c r="B633" s="38" t="s">
        <v>14</v>
      </c>
      <c r="C633" s="1015"/>
      <c r="D633" s="1016"/>
      <c r="E633" s="1016"/>
      <c r="F633" s="20" t="s">
        <v>1</v>
      </c>
      <c r="G633" s="1020" t="s">
        <v>5</v>
      </c>
      <c r="H633" s="51"/>
      <c r="I633" s="4"/>
      <c r="J633" s="4"/>
      <c r="K633" s="4"/>
      <c r="L633" s="991"/>
      <c r="M633" s="2008"/>
      <c r="N633" s="2009"/>
      <c r="O633" s="2008">
        <f>+M632</f>
        <v>800</v>
      </c>
      <c r="P633" s="2009"/>
    </row>
    <row r="634" spans="1:17" x14ac:dyDescent="0.25">
      <c r="C634" s="2198" t="s">
        <v>1784</v>
      </c>
      <c r="D634" s="2199"/>
      <c r="E634" s="2199"/>
      <c r="F634" s="2199"/>
      <c r="G634" s="2248" t="s">
        <v>222</v>
      </c>
      <c r="H634" s="2248"/>
      <c r="I634" s="2199" t="s">
        <v>1784</v>
      </c>
      <c r="J634" s="2199"/>
      <c r="K634" s="2199"/>
      <c r="L634" s="2199"/>
      <c r="M634" s="2008"/>
      <c r="N634" s="2009"/>
      <c r="O634" s="2008"/>
      <c r="P634" s="2009"/>
    </row>
    <row r="635" spans="1:17" x14ac:dyDescent="0.25">
      <c r="C635" s="1175"/>
      <c r="D635" s="1175"/>
      <c r="E635" s="1175"/>
      <c r="F635" s="1175"/>
      <c r="G635" s="997"/>
      <c r="H635" s="997"/>
      <c r="I635" s="1175"/>
      <c r="J635" s="1175"/>
      <c r="K635" s="1175"/>
      <c r="L635" s="1175"/>
      <c r="M635" s="994"/>
      <c r="N635" s="994"/>
      <c r="O635" s="994"/>
      <c r="P635" s="994"/>
    </row>
    <row r="636" spans="1:17" s="4" customFormat="1" x14ac:dyDescent="0.25">
      <c r="B636" s="1004"/>
      <c r="C636" s="12"/>
      <c r="D636" s="12"/>
      <c r="E636" s="12"/>
      <c r="F636" s="12"/>
      <c r="G636" s="51"/>
      <c r="H636" s="51"/>
      <c r="M636" s="18"/>
      <c r="N636" s="18"/>
      <c r="O636" s="18"/>
      <c r="P636" s="18"/>
    </row>
    <row r="637" spans="1:17" x14ac:dyDescent="0.25">
      <c r="A637" s="4"/>
      <c r="B637" s="1004"/>
      <c r="G637" s="51"/>
      <c r="H637" s="51"/>
      <c r="I637" s="4"/>
      <c r="J637" s="4"/>
      <c r="K637" s="4"/>
      <c r="L637" s="4"/>
      <c r="M637" s="18"/>
      <c r="N637" s="18"/>
      <c r="O637" s="18"/>
      <c r="P637" s="18"/>
      <c r="Q637" s="4"/>
    </row>
    <row r="638" spans="1:17" ht="11.25" customHeight="1" x14ac:dyDescent="0.25">
      <c r="A638" s="437"/>
      <c r="B638" s="1226" t="s">
        <v>1925</v>
      </c>
      <c r="C638" s="2198" t="s">
        <v>1784</v>
      </c>
      <c r="D638" s="2199"/>
      <c r="E638" s="2199"/>
      <c r="F638" s="2199"/>
      <c r="G638" s="2274" t="s">
        <v>1692</v>
      </c>
      <c r="H638" s="2246"/>
      <c r="I638" s="2199" t="s">
        <v>1784</v>
      </c>
      <c r="J638" s="2199"/>
      <c r="K638" s="2199"/>
      <c r="L638" s="2199"/>
      <c r="M638" s="993"/>
      <c r="N638" s="994"/>
      <c r="O638" s="993"/>
      <c r="P638" s="995"/>
      <c r="Q638" s="437"/>
    </row>
    <row r="639" spans="1:17" x14ac:dyDescent="0.25">
      <c r="B639" s="30" t="s">
        <v>15</v>
      </c>
      <c r="C639" s="1015" t="s">
        <v>299</v>
      </c>
      <c r="D639" s="1016"/>
      <c r="E639" s="1016"/>
      <c r="F639" s="991"/>
      <c r="G639" s="51"/>
      <c r="H639" s="51"/>
      <c r="I639" s="4"/>
      <c r="J639" s="4"/>
      <c r="K639" s="4"/>
      <c r="L639" s="991"/>
      <c r="M639" s="2008">
        <f>+$M$601/90*28</f>
        <v>8680</v>
      </c>
      <c r="N639" s="2009"/>
      <c r="O639" s="2012"/>
      <c r="P639" s="2009"/>
    </row>
    <row r="640" spans="1:17" x14ac:dyDescent="0.25">
      <c r="B640" s="1009" t="s">
        <v>320</v>
      </c>
      <c r="C640" s="1015"/>
      <c r="D640" s="1016"/>
      <c r="E640" s="1016"/>
      <c r="F640" s="20" t="s">
        <v>1</v>
      </c>
      <c r="G640" s="1020" t="s">
        <v>143</v>
      </c>
      <c r="H640" s="1020"/>
      <c r="I640" s="4"/>
      <c r="J640" s="4"/>
      <c r="K640" s="4"/>
      <c r="L640" s="4"/>
      <c r="M640" s="2008"/>
      <c r="N640" s="2012"/>
      <c r="O640" s="2008">
        <f>+M639</f>
        <v>8680</v>
      </c>
      <c r="P640" s="2009"/>
    </row>
    <row r="641" spans="1:17" ht="11.25" customHeight="1" x14ac:dyDescent="0.25">
      <c r="A641" s="437"/>
      <c r="B641" s="1226" t="s">
        <v>1925</v>
      </c>
      <c r="C641" s="2198" t="s">
        <v>1784</v>
      </c>
      <c r="D641" s="2199"/>
      <c r="E641" s="2199"/>
      <c r="F641" s="2199"/>
      <c r="G641" s="2274" t="str">
        <f>+G638</f>
        <v>28/02/X0</v>
      </c>
      <c r="H641" s="2246"/>
      <c r="I641" s="2199" t="s">
        <v>1784</v>
      </c>
      <c r="J641" s="2199"/>
      <c r="K641" s="2199"/>
      <c r="L641" s="2199"/>
      <c r="M641" s="993"/>
      <c r="N641" s="994"/>
      <c r="O641" s="993"/>
      <c r="P641" s="995"/>
      <c r="Q641" s="437"/>
    </row>
    <row r="642" spans="1:17" x14ac:dyDescent="0.25">
      <c r="B642" s="30" t="s">
        <v>15</v>
      </c>
      <c r="C642" s="1015" t="s">
        <v>301</v>
      </c>
      <c r="D642" s="1016"/>
      <c r="E642" s="1016"/>
      <c r="F642" s="991"/>
      <c r="G642" s="51"/>
      <c r="H642" s="51"/>
      <c r="I642" s="4"/>
      <c r="J642" s="4"/>
      <c r="K642" s="4"/>
      <c r="L642" s="991"/>
      <c r="M642" s="2008">
        <f>+$M$610/180*28</f>
        <v>2800</v>
      </c>
      <c r="N642" s="2009"/>
      <c r="O642" s="2012"/>
      <c r="P642" s="2009"/>
    </row>
    <row r="643" spans="1:17" x14ac:dyDescent="0.25">
      <c r="B643" s="1009" t="s">
        <v>14</v>
      </c>
      <c r="C643" s="1015"/>
      <c r="D643" s="1016"/>
      <c r="E643" s="1016"/>
      <c r="F643" s="20" t="s">
        <v>1</v>
      </c>
      <c r="G643" s="1020" t="s">
        <v>279</v>
      </c>
      <c r="H643" s="1020"/>
      <c r="I643" s="4"/>
      <c r="J643" s="4"/>
      <c r="K643" s="4"/>
      <c r="L643" s="4"/>
      <c r="M643" s="2008"/>
      <c r="N643" s="2012"/>
      <c r="O643" s="2008">
        <f>+M642</f>
        <v>2800</v>
      </c>
      <c r="P643" s="2009"/>
    </row>
    <row r="644" spans="1:17" ht="11.25" customHeight="1" x14ac:dyDescent="0.25">
      <c r="A644" s="437"/>
      <c r="B644" s="1226" t="s">
        <v>1925</v>
      </c>
      <c r="C644" s="2198" t="s">
        <v>1784</v>
      </c>
      <c r="D644" s="2199"/>
      <c r="E644" s="2199"/>
      <c r="F644" s="2199"/>
      <c r="G644" s="2274" t="str">
        <f>+G641</f>
        <v>28/02/X0</v>
      </c>
      <c r="H644" s="2246"/>
      <c r="I644" s="2199" t="s">
        <v>1784</v>
      </c>
      <c r="J644" s="2199"/>
      <c r="K644" s="2199"/>
      <c r="L644" s="2199"/>
      <c r="M644" s="993"/>
      <c r="N644" s="994"/>
      <c r="O644" s="993"/>
      <c r="P644" s="995"/>
      <c r="Q644" s="437"/>
    </row>
    <row r="645" spans="1:17" x14ac:dyDescent="0.25">
      <c r="B645" s="30" t="s">
        <v>105</v>
      </c>
      <c r="C645" s="1015" t="s">
        <v>158</v>
      </c>
      <c r="D645" s="1016"/>
      <c r="E645" s="1016"/>
      <c r="F645" s="991"/>
      <c r="G645" s="51"/>
      <c r="H645" s="51"/>
      <c r="I645" s="4"/>
      <c r="J645" s="4"/>
      <c r="K645" s="4"/>
      <c r="L645" s="991"/>
      <c r="M645" s="2008">
        <f>+$O$629/30*9</f>
        <v>60</v>
      </c>
      <c r="N645" s="2009"/>
      <c r="O645" s="2012"/>
      <c r="P645" s="2009"/>
    </row>
    <row r="646" spans="1:17" x14ac:dyDescent="0.25">
      <c r="B646" s="1009" t="s">
        <v>16</v>
      </c>
      <c r="C646" s="1015"/>
      <c r="D646" s="1016"/>
      <c r="E646" s="1016"/>
      <c r="F646" s="20" t="s">
        <v>1</v>
      </c>
      <c r="G646" s="1020" t="s">
        <v>1100</v>
      </c>
      <c r="H646" s="1020"/>
      <c r="I646" s="4"/>
      <c r="J646" s="4"/>
      <c r="K646" s="4"/>
      <c r="L646" s="4"/>
      <c r="M646" s="2008"/>
      <c r="N646" s="2012"/>
      <c r="O646" s="2008">
        <f>+M645</f>
        <v>60</v>
      </c>
      <c r="P646" s="2009"/>
    </row>
    <row r="647" spans="1:17" ht="11.25" customHeight="1" x14ac:dyDescent="0.25">
      <c r="A647" s="437"/>
      <c r="B647" s="108">
        <v>7</v>
      </c>
      <c r="C647" s="2198" t="s">
        <v>1784</v>
      </c>
      <c r="D647" s="2199"/>
      <c r="E647" s="2199"/>
      <c r="F647" s="2199"/>
      <c r="G647" s="2274" t="s">
        <v>1944</v>
      </c>
      <c r="H647" s="2246"/>
      <c r="I647" s="2199" t="s">
        <v>1784</v>
      </c>
      <c r="J647" s="2199"/>
      <c r="K647" s="2199"/>
      <c r="L647" s="2199"/>
      <c r="M647" s="993"/>
      <c r="N647" s="994"/>
      <c r="O647" s="993"/>
      <c r="P647" s="995"/>
      <c r="Q647" s="437"/>
    </row>
    <row r="648" spans="1:17" x14ac:dyDescent="0.25">
      <c r="B648" s="30" t="s">
        <v>11</v>
      </c>
      <c r="C648" s="1015" t="s">
        <v>10</v>
      </c>
      <c r="D648" s="1016"/>
      <c r="E648" s="1016"/>
      <c r="F648" s="991"/>
      <c r="G648" s="51"/>
      <c r="H648" s="51"/>
      <c r="I648" s="4"/>
      <c r="J648" s="4"/>
      <c r="K648" s="4"/>
      <c r="L648" s="991"/>
      <c r="M648" s="2008">
        <f>+O651</f>
        <v>12100</v>
      </c>
      <c r="N648" s="2009"/>
      <c r="O648" s="2012"/>
      <c r="P648" s="2009"/>
    </row>
    <row r="649" spans="1:17" x14ac:dyDescent="0.25">
      <c r="B649" s="38" t="s">
        <v>207</v>
      </c>
      <c r="C649" s="1015" t="s">
        <v>233</v>
      </c>
      <c r="D649" s="1016"/>
      <c r="E649" s="1016"/>
      <c r="F649" s="991"/>
      <c r="G649" s="51"/>
      <c r="H649" s="51"/>
      <c r="I649" s="4"/>
      <c r="J649" s="4"/>
      <c r="K649" s="4"/>
      <c r="L649" s="991"/>
      <c r="M649" s="2008">
        <f>+O607</f>
        <v>20000</v>
      </c>
      <c r="N649" s="2009"/>
      <c r="O649" s="994"/>
      <c r="P649" s="995"/>
    </row>
    <row r="650" spans="1:17" x14ac:dyDescent="0.25">
      <c r="B650" s="38" t="s">
        <v>16</v>
      </c>
      <c r="C650" s="1015"/>
      <c r="D650" s="1016"/>
      <c r="E650" s="1016"/>
      <c r="F650" s="20" t="s">
        <v>1</v>
      </c>
      <c r="G650" s="1020" t="s">
        <v>3</v>
      </c>
      <c r="H650" s="51"/>
      <c r="I650" s="4"/>
      <c r="J650" s="4"/>
      <c r="K650" s="4"/>
      <c r="L650" s="991"/>
      <c r="M650" s="2008"/>
      <c r="N650" s="2009"/>
      <c r="O650" s="2008">
        <v>20000</v>
      </c>
      <c r="P650" s="2009"/>
    </row>
    <row r="651" spans="1:17" x14ac:dyDescent="0.25">
      <c r="B651" s="38" t="s">
        <v>14</v>
      </c>
      <c r="C651" s="1015"/>
      <c r="D651" s="1016"/>
      <c r="E651" s="1016"/>
      <c r="F651" s="20" t="s">
        <v>1</v>
      </c>
      <c r="G651" s="2" t="s">
        <v>478</v>
      </c>
      <c r="H651" s="51"/>
      <c r="I651" s="4"/>
      <c r="J651" s="4"/>
      <c r="K651" s="4"/>
      <c r="L651" s="991"/>
      <c r="M651" s="2008"/>
      <c r="N651" s="2009"/>
      <c r="O651" s="2008">
        <f>+M606</f>
        <v>12100</v>
      </c>
      <c r="P651" s="2009"/>
    </row>
    <row r="652" spans="1:17" ht="12" customHeight="1" x14ac:dyDescent="0.25">
      <c r="B652" s="1004"/>
      <c r="C652" s="2198" t="s">
        <v>1784</v>
      </c>
      <c r="D652" s="2199"/>
      <c r="E652" s="2199"/>
      <c r="F652" s="2199"/>
      <c r="G652" s="2054"/>
      <c r="H652" s="2054"/>
      <c r="I652" s="2199" t="s">
        <v>1784</v>
      </c>
      <c r="J652" s="2199"/>
      <c r="K652" s="2199"/>
      <c r="L652" s="2199"/>
      <c r="M652" s="2008"/>
      <c r="N652" s="2009"/>
      <c r="O652" s="2008"/>
      <c r="P652" s="2009"/>
    </row>
    <row r="653" spans="1:17" x14ac:dyDescent="0.25">
      <c r="B653" s="102" t="s">
        <v>15</v>
      </c>
      <c r="C653" s="1015" t="s">
        <v>120</v>
      </c>
      <c r="D653" s="1016"/>
      <c r="E653" s="1016"/>
      <c r="F653" s="991"/>
      <c r="G653" s="51"/>
      <c r="H653" s="51"/>
      <c r="I653" s="4"/>
      <c r="J653" s="4"/>
      <c r="K653" s="4"/>
      <c r="L653" s="991"/>
      <c r="M653" s="2008">
        <v>6500</v>
      </c>
      <c r="N653" s="2009"/>
      <c r="O653" s="2012"/>
      <c r="P653" s="2009"/>
    </row>
    <row r="654" spans="1:17" x14ac:dyDescent="0.25">
      <c r="B654" s="38" t="s">
        <v>14</v>
      </c>
      <c r="C654" s="1015"/>
      <c r="D654" s="1016"/>
      <c r="E654" s="1016"/>
      <c r="F654" s="20" t="s">
        <v>1</v>
      </c>
      <c r="G654" s="1020" t="s">
        <v>5</v>
      </c>
      <c r="H654" s="51"/>
      <c r="I654" s="4"/>
      <c r="J654" s="4"/>
      <c r="K654" s="4"/>
      <c r="L654" s="991"/>
      <c r="M654" s="2008"/>
      <c r="N654" s="2009"/>
      <c r="O654" s="2008">
        <f>+M653</f>
        <v>6500</v>
      </c>
      <c r="P654" s="2009"/>
    </row>
    <row r="655" spans="1:17" ht="11.25" customHeight="1" x14ac:dyDescent="0.25">
      <c r="A655" s="437"/>
      <c r="B655" s="108">
        <v>8</v>
      </c>
      <c r="C655" s="2198" t="s">
        <v>1784</v>
      </c>
      <c r="D655" s="2199"/>
      <c r="E655" s="2199"/>
      <c r="F655" s="2199"/>
      <c r="G655" s="2274" t="s">
        <v>1943</v>
      </c>
      <c r="H655" s="2246"/>
      <c r="I655" s="2199" t="s">
        <v>1784</v>
      </c>
      <c r="J655" s="2199"/>
      <c r="K655" s="2199"/>
      <c r="L655" s="2199"/>
      <c r="M655" s="993"/>
      <c r="N655" s="994"/>
      <c r="O655" s="993"/>
      <c r="P655" s="995"/>
      <c r="Q655" s="437"/>
    </row>
    <row r="656" spans="1:17" x14ac:dyDescent="0.25">
      <c r="B656" s="30" t="s">
        <v>207</v>
      </c>
      <c r="C656" s="1015" t="s">
        <v>296</v>
      </c>
      <c r="D656" s="1016"/>
      <c r="E656" s="1016"/>
      <c r="F656" s="991"/>
      <c r="G656" s="51"/>
      <c r="H656" s="51"/>
      <c r="I656" s="4"/>
      <c r="J656" s="4"/>
      <c r="K656" s="4"/>
      <c r="L656" s="991"/>
      <c r="M656" s="2008">
        <v>4500</v>
      </c>
      <c r="N656" s="2009"/>
      <c r="O656" s="2012"/>
      <c r="P656" s="2009"/>
    </row>
    <row r="657" spans="1:17" x14ac:dyDescent="0.25">
      <c r="B657" s="1009" t="s">
        <v>14</v>
      </c>
      <c r="C657" s="1015"/>
      <c r="D657" s="1016"/>
      <c r="E657" s="1016"/>
      <c r="F657" s="20" t="s">
        <v>1</v>
      </c>
      <c r="G657" s="1020" t="s">
        <v>282</v>
      </c>
      <c r="H657" s="1020"/>
      <c r="I657" s="4"/>
      <c r="J657" s="4"/>
      <c r="K657" s="4"/>
      <c r="L657" s="4"/>
      <c r="M657" s="2008"/>
      <c r="N657" s="2012"/>
      <c r="O657" s="2008">
        <f>+M656</f>
        <v>4500</v>
      </c>
      <c r="P657" s="2009"/>
    </row>
    <row r="658" spans="1:17" ht="11.25" customHeight="1" x14ac:dyDescent="0.25">
      <c r="A658" s="437"/>
      <c r="B658" s="108">
        <v>9</v>
      </c>
      <c r="C658" s="2198" t="s">
        <v>1784</v>
      </c>
      <c r="D658" s="2199"/>
      <c r="E658" s="2199"/>
      <c r="F658" s="2199"/>
      <c r="G658" s="2274" t="s">
        <v>1942</v>
      </c>
      <c r="H658" s="2246"/>
      <c r="I658" s="2199" t="s">
        <v>1784</v>
      </c>
      <c r="J658" s="2199"/>
      <c r="K658" s="2199"/>
      <c r="L658" s="2199"/>
      <c r="M658" s="993"/>
      <c r="N658" s="994"/>
      <c r="O658" s="993"/>
      <c r="P658" s="995"/>
      <c r="Q658" s="437"/>
    </row>
    <row r="659" spans="1:17" x14ac:dyDescent="0.25">
      <c r="B659" s="30"/>
      <c r="C659" s="2275" t="s">
        <v>1941</v>
      </c>
      <c r="D659" s="2248"/>
      <c r="E659" s="2248"/>
      <c r="F659" s="2248"/>
      <c r="G659" s="2248"/>
      <c r="H659" s="2248"/>
      <c r="I659" s="2248"/>
      <c r="J659" s="2248"/>
      <c r="K659" s="2248"/>
      <c r="L659" s="2276"/>
      <c r="M659" s="2008"/>
      <c r="N659" s="2009"/>
      <c r="O659" s="2012"/>
      <c r="P659" s="2009"/>
    </row>
    <row r="660" spans="1:17" ht="11.25" customHeight="1" x14ac:dyDescent="0.25">
      <c r="A660" s="437"/>
      <c r="B660" s="108">
        <v>10</v>
      </c>
      <c r="C660" s="2198" t="s">
        <v>1784</v>
      </c>
      <c r="D660" s="2199"/>
      <c r="E660" s="2199"/>
      <c r="F660" s="2199"/>
      <c r="G660" s="2274" t="s">
        <v>1940</v>
      </c>
      <c r="H660" s="2246"/>
      <c r="I660" s="2199" t="s">
        <v>1784</v>
      </c>
      <c r="J660" s="2199"/>
      <c r="K660" s="2199"/>
      <c r="L660" s="2199"/>
      <c r="M660" s="993"/>
      <c r="N660" s="994"/>
      <c r="O660" s="993"/>
      <c r="P660" s="995"/>
      <c r="Q660" s="437"/>
    </row>
    <row r="661" spans="1:17" x14ac:dyDescent="0.25">
      <c r="B661" s="30" t="s">
        <v>11</v>
      </c>
      <c r="C661" s="1015" t="s">
        <v>10</v>
      </c>
      <c r="D661" s="1016"/>
      <c r="E661" s="1016"/>
      <c r="F661" s="991"/>
      <c r="G661" s="51"/>
      <c r="H661" s="51"/>
      <c r="I661" s="4"/>
      <c r="J661" s="4"/>
      <c r="K661" s="4"/>
      <c r="L661" s="991"/>
      <c r="M661" s="2008">
        <f>+O662</f>
        <v>1920</v>
      </c>
      <c r="N661" s="2009"/>
      <c r="O661" s="2012"/>
      <c r="P661" s="2009"/>
    </row>
    <row r="662" spans="1:17" x14ac:dyDescent="0.25">
      <c r="B662" s="1009" t="s">
        <v>14</v>
      </c>
      <c r="C662" s="1015"/>
      <c r="D662" s="1016"/>
      <c r="E662" s="1016"/>
      <c r="F662" s="20" t="s">
        <v>1</v>
      </c>
      <c r="G662" s="1020" t="s">
        <v>0</v>
      </c>
      <c r="H662" s="1020"/>
      <c r="I662" s="4"/>
      <c r="J662" s="4"/>
      <c r="K662" s="4"/>
      <c r="L662" s="4"/>
      <c r="M662" s="2008"/>
      <c r="N662" s="2012"/>
      <c r="O662" s="2008">
        <f>+M627</f>
        <v>1920</v>
      </c>
      <c r="P662" s="2009"/>
    </row>
    <row r="663" spans="1:17" ht="11.25" customHeight="1" x14ac:dyDescent="0.25">
      <c r="A663" s="437"/>
      <c r="B663" s="108">
        <v>11</v>
      </c>
      <c r="C663" s="2198" t="s">
        <v>1784</v>
      </c>
      <c r="D663" s="2199"/>
      <c r="E663" s="2199"/>
      <c r="F663" s="2199"/>
      <c r="G663" s="2274" t="s">
        <v>1691</v>
      </c>
      <c r="H663" s="2246"/>
      <c r="I663" s="2199" t="s">
        <v>1784</v>
      </c>
      <c r="J663" s="2199"/>
      <c r="K663" s="2199"/>
      <c r="L663" s="2199"/>
      <c r="M663" s="993"/>
      <c r="N663" s="994"/>
      <c r="O663" s="993"/>
      <c r="P663" s="995"/>
      <c r="Q663" s="437"/>
    </row>
    <row r="664" spans="1:17" x14ac:dyDescent="0.25">
      <c r="B664" s="30" t="s">
        <v>207</v>
      </c>
      <c r="C664" s="1015" t="s">
        <v>6</v>
      </c>
      <c r="D664" s="1016"/>
      <c r="E664" s="1016"/>
      <c r="F664" s="991"/>
      <c r="G664" s="51"/>
      <c r="H664" s="51"/>
      <c r="I664" s="4"/>
      <c r="J664" s="4"/>
      <c r="K664" s="4"/>
      <c r="L664" s="991"/>
      <c r="M664" s="2008">
        <f>+O603</f>
        <v>133759</v>
      </c>
      <c r="N664" s="2009"/>
      <c r="O664" s="2012"/>
      <c r="P664" s="2009"/>
    </row>
    <row r="665" spans="1:17" x14ac:dyDescent="0.25">
      <c r="B665" s="1009" t="s">
        <v>14</v>
      </c>
      <c r="C665" s="1015"/>
      <c r="D665" s="1016"/>
      <c r="E665" s="1016"/>
      <c r="F665" s="20" t="s">
        <v>1</v>
      </c>
      <c r="G665" s="1020" t="s">
        <v>282</v>
      </c>
      <c r="H665" s="1020"/>
      <c r="I665" s="4"/>
      <c r="J665" s="4"/>
      <c r="K665" s="4"/>
      <c r="L665" s="4"/>
      <c r="M665" s="2008"/>
      <c r="N665" s="2012"/>
      <c r="O665" s="2008">
        <f>+M664</f>
        <v>133759</v>
      </c>
      <c r="P665" s="2009"/>
    </row>
    <row r="666" spans="1:17" ht="11.25" customHeight="1" x14ac:dyDescent="0.25">
      <c r="A666" s="437"/>
      <c r="B666" s="1226" t="s">
        <v>1925</v>
      </c>
      <c r="C666" s="2198" t="s">
        <v>1784</v>
      </c>
      <c r="D666" s="2199"/>
      <c r="E666" s="2199"/>
      <c r="F666" s="2199"/>
      <c r="G666" s="2274" t="s">
        <v>1691</v>
      </c>
      <c r="H666" s="2246"/>
      <c r="I666" s="2199" t="s">
        <v>1784</v>
      </c>
      <c r="J666" s="2199"/>
      <c r="K666" s="2199"/>
      <c r="L666" s="2199"/>
      <c r="M666" s="993"/>
      <c r="N666" s="994"/>
      <c r="O666" s="993"/>
      <c r="P666" s="995"/>
      <c r="Q666" s="437"/>
    </row>
    <row r="667" spans="1:17" x14ac:dyDescent="0.25">
      <c r="B667" s="30" t="s">
        <v>15</v>
      </c>
      <c r="C667" s="1015" t="s">
        <v>299</v>
      </c>
      <c r="D667" s="1016"/>
      <c r="E667" s="1016"/>
      <c r="F667" s="991"/>
      <c r="G667" s="51"/>
      <c r="H667" s="51"/>
      <c r="I667" s="4"/>
      <c r="J667" s="4"/>
      <c r="K667" s="4"/>
      <c r="L667" s="991"/>
      <c r="M667" s="2008">
        <f>+$M$601/90*31</f>
        <v>9610</v>
      </c>
      <c r="N667" s="2009"/>
      <c r="O667" s="2012"/>
      <c r="P667" s="2009"/>
    </row>
    <row r="668" spans="1:17" x14ac:dyDescent="0.25">
      <c r="B668" s="1009" t="s">
        <v>320</v>
      </c>
      <c r="C668" s="1015"/>
      <c r="D668" s="1016"/>
      <c r="E668" s="1016"/>
      <c r="F668" s="20" t="s">
        <v>1</v>
      </c>
      <c r="G668" s="1020" t="s">
        <v>143</v>
      </c>
      <c r="H668" s="1020"/>
      <c r="I668" s="4"/>
      <c r="J668" s="4"/>
      <c r="K668" s="4"/>
      <c r="L668" s="4"/>
      <c r="M668" s="2008"/>
      <c r="N668" s="2012"/>
      <c r="O668" s="2008">
        <f>+M667</f>
        <v>9610</v>
      </c>
      <c r="P668" s="2009"/>
    </row>
    <row r="669" spans="1:17" ht="11.25" customHeight="1" x14ac:dyDescent="0.25">
      <c r="A669" s="437"/>
      <c r="B669" s="1226" t="s">
        <v>1925</v>
      </c>
      <c r="C669" s="2198" t="s">
        <v>1784</v>
      </c>
      <c r="D669" s="2199"/>
      <c r="E669" s="2199"/>
      <c r="F669" s="2199"/>
      <c r="G669" s="2274" t="str">
        <f>+G666</f>
        <v>31/03/X0</v>
      </c>
      <c r="H669" s="2246"/>
      <c r="I669" s="2199" t="s">
        <v>1784</v>
      </c>
      <c r="J669" s="2199"/>
      <c r="K669" s="2199"/>
      <c r="L669" s="2199"/>
      <c r="M669" s="993"/>
      <c r="N669" s="994"/>
      <c r="O669" s="993"/>
      <c r="P669" s="995"/>
      <c r="Q669" s="437"/>
    </row>
    <row r="670" spans="1:17" x14ac:dyDescent="0.25">
      <c r="B670" s="30" t="s">
        <v>15</v>
      </c>
      <c r="C670" s="1015" t="s">
        <v>301</v>
      </c>
      <c r="D670" s="1016"/>
      <c r="E670" s="1016"/>
      <c r="F670" s="991"/>
      <c r="G670" s="51"/>
      <c r="H670" s="51"/>
      <c r="I670" s="4"/>
      <c r="J670" s="4"/>
      <c r="K670" s="4"/>
      <c r="L670" s="991"/>
      <c r="M670" s="2008">
        <f>+$M$610/180*31</f>
        <v>3100</v>
      </c>
      <c r="N670" s="2009"/>
      <c r="O670" s="2012"/>
      <c r="P670" s="2009"/>
    </row>
    <row r="671" spans="1:17" x14ac:dyDescent="0.25">
      <c r="B671" s="1009" t="s">
        <v>14</v>
      </c>
      <c r="C671" s="1015"/>
      <c r="D671" s="1016"/>
      <c r="E671" s="1016"/>
      <c r="F671" s="20" t="s">
        <v>1</v>
      </c>
      <c r="G671" s="1020" t="s">
        <v>279</v>
      </c>
      <c r="H671" s="1020"/>
      <c r="I671" s="4"/>
      <c r="J671" s="4"/>
      <c r="K671" s="4"/>
      <c r="L671" s="4"/>
      <c r="M671" s="2008"/>
      <c r="N671" s="2012"/>
      <c r="O671" s="2008">
        <f>+M670</f>
        <v>3100</v>
      </c>
      <c r="P671" s="2009"/>
    </row>
    <row r="672" spans="1:17" ht="11.25" customHeight="1" x14ac:dyDescent="0.25">
      <c r="A672" s="437"/>
      <c r="B672" s="1226" t="s">
        <v>1925</v>
      </c>
      <c r="C672" s="2198" t="s">
        <v>1784</v>
      </c>
      <c r="D672" s="2199"/>
      <c r="E672" s="2199"/>
      <c r="F672" s="2199"/>
      <c r="G672" s="2274" t="str">
        <f>+G669</f>
        <v>31/03/X0</v>
      </c>
      <c r="H672" s="2246"/>
      <c r="I672" s="2199" t="s">
        <v>1784</v>
      </c>
      <c r="J672" s="2199"/>
      <c r="K672" s="2199"/>
      <c r="L672" s="2199"/>
      <c r="M672" s="993"/>
      <c r="N672" s="994"/>
      <c r="O672" s="993"/>
      <c r="P672" s="995"/>
      <c r="Q672" s="437"/>
    </row>
    <row r="673" spans="1:17" x14ac:dyDescent="0.25">
      <c r="B673" s="30" t="s">
        <v>105</v>
      </c>
      <c r="C673" s="1015" t="s">
        <v>158</v>
      </c>
      <c r="D673" s="1016"/>
      <c r="E673" s="1016"/>
      <c r="F673" s="991"/>
      <c r="G673" s="51"/>
      <c r="H673" s="51"/>
      <c r="I673" s="4"/>
      <c r="J673" s="4"/>
      <c r="K673" s="4"/>
      <c r="L673" s="991"/>
      <c r="M673" s="2008">
        <f>+$O$629/30*21</f>
        <v>140</v>
      </c>
      <c r="N673" s="2009"/>
      <c r="O673" s="2012"/>
      <c r="P673" s="2009"/>
    </row>
    <row r="674" spans="1:17" x14ac:dyDescent="0.25">
      <c r="B674" s="1009" t="s">
        <v>16</v>
      </c>
      <c r="C674" s="1015"/>
      <c r="D674" s="1016"/>
      <c r="E674" s="1016"/>
      <c r="F674" s="20" t="s">
        <v>1</v>
      </c>
      <c r="G674" s="1020" t="s">
        <v>1100</v>
      </c>
      <c r="H674" s="1020"/>
      <c r="I674" s="4"/>
      <c r="J674" s="4"/>
      <c r="K674" s="4"/>
      <c r="L674" s="4"/>
      <c r="M674" s="2008"/>
      <c r="N674" s="2012"/>
      <c r="O674" s="2008">
        <f>+M673</f>
        <v>140</v>
      </c>
      <c r="P674" s="2009"/>
    </row>
    <row r="675" spans="1:17" ht="11.25" customHeight="1" x14ac:dyDescent="0.25">
      <c r="A675" s="437"/>
      <c r="B675" s="108">
        <v>12</v>
      </c>
      <c r="C675" s="2198" t="s">
        <v>1784</v>
      </c>
      <c r="D675" s="2199"/>
      <c r="E675" s="2199"/>
      <c r="F675" s="2199"/>
      <c r="G675" s="2274" t="s">
        <v>1939</v>
      </c>
      <c r="H675" s="2246"/>
      <c r="I675" s="2199" t="s">
        <v>1784</v>
      </c>
      <c r="J675" s="2199"/>
      <c r="K675" s="2199"/>
      <c r="L675" s="2199"/>
      <c r="M675" s="993"/>
      <c r="N675" s="994"/>
      <c r="O675" s="993"/>
      <c r="P675" s="995"/>
      <c r="Q675" s="437"/>
    </row>
    <row r="676" spans="1:17" x14ac:dyDescent="0.25">
      <c r="B676" s="30" t="s">
        <v>11</v>
      </c>
      <c r="C676" s="1015" t="s">
        <v>1922</v>
      </c>
      <c r="D676" s="1016"/>
      <c r="E676" s="1016"/>
      <c r="F676" s="991"/>
      <c r="G676" s="51"/>
      <c r="H676" s="51"/>
      <c r="I676" s="4"/>
      <c r="J676" s="4"/>
      <c r="K676" s="4"/>
      <c r="L676" s="991"/>
      <c r="M676" s="2008">
        <v>240000</v>
      </c>
      <c r="N676" s="2009"/>
      <c r="O676" s="2012"/>
      <c r="P676" s="2009"/>
    </row>
    <row r="677" spans="1:17" x14ac:dyDescent="0.25">
      <c r="B677" s="1009" t="s">
        <v>17</v>
      </c>
      <c r="C677" s="1015"/>
      <c r="D677" s="1016"/>
      <c r="E677" s="1016"/>
      <c r="F677" s="20" t="s">
        <v>1</v>
      </c>
      <c r="G677" s="1020" t="s">
        <v>1923</v>
      </c>
      <c r="H677" s="1020"/>
      <c r="I677" s="4"/>
      <c r="J677" s="4"/>
      <c r="K677" s="4"/>
      <c r="L677" s="4"/>
      <c r="M677" s="2008"/>
      <c r="N677" s="2012"/>
      <c r="O677" s="2008">
        <f>+M676</f>
        <v>240000</v>
      </c>
      <c r="P677" s="2009"/>
    </row>
    <row r="678" spans="1:17" ht="11.25" customHeight="1" x14ac:dyDescent="0.25">
      <c r="A678" s="437"/>
      <c r="B678" s="108">
        <v>13</v>
      </c>
      <c r="C678" s="2198" t="s">
        <v>1784</v>
      </c>
      <c r="D678" s="2199"/>
      <c r="E678" s="2199"/>
      <c r="F678" s="2199"/>
      <c r="G678" s="2274" t="s">
        <v>33</v>
      </c>
      <c r="H678" s="2246"/>
      <c r="I678" s="2199" t="s">
        <v>1784</v>
      </c>
      <c r="J678" s="2199"/>
      <c r="K678" s="2199"/>
      <c r="L678" s="2199"/>
      <c r="M678" s="993"/>
      <c r="N678" s="994"/>
      <c r="O678" s="993"/>
      <c r="P678" s="995"/>
      <c r="Q678" s="437"/>
    </row>
    <row r="679" spans="1:17" x14ac:dyDescent="0.25">
      <c r="B679" s="30" t="s">
        <v>11</v>
      </c>
      <c r="C679" s="1015" t="s">
        <v>10</v>
      </c>
      <c r="D679" s="1016"/>
      <c r="E679" s="1016"/>
      <c r="F679" s="991"/>
      <c r="G679" s="51"/>
      <c r="H679" s="51"/>
      <c r="I679" s="4"/>
      <c r="J679" s="4"/>
      <c r="K679" s="4"/>
      <c r="L679" s="991"/>
      <c r="M679" s="2008">
        <v>2000</v>
      </c>
      <c r="N679" s="2009"/>
      <c r="O679" s="2012"/>
      <c r="P679" s="2009"/>
    </row>
    <row r="680" spans="1:17" x14ac:dyDescent="0.25">
      <c r="B680" s="1009" t="s">
        <v>17</v>
      </c>
      <c r="C680" s="1015"/>
      <c r="D680" s="1016"/>
      <c r="E680" s="1016"/>
      <c r="F680" s="20" t="s">
        <v>1</v>
      </c>
      <c r="G680" s="1020" t="s">
        <v>233</v>
      </c>
      <c r="H680" s="1020"/>
      <c r="I680" s="4"/>
      <c r="J680" s="4"/>
      <c r="K680" s="4"/>
      <c r="L680" s="4"/>
      <c r="M680" s="2008"/>
      <c r="N680" s="2012"/>
      <c r="O680" s="2008">
        <f>+M679</f>
        <v>2000</v>
      </c>
      <c r="P680" s="2009"/>
    </row>
    <row r="681" spans="1:17" ht="11.25" customHeight="1" x14ac:dyDescent="0.25">
      <c r="A681" s="437"/>
      <c r="B681" s="1226" t="s">
        <v>1925</v>
      </c>
      <c r="C681" s="2198" t="s">
        <v>1784</v>
      </c>
      <c r="D681" s="2199"/>
      <c r="E681" s="2199"/>
      <c r="F681" s="2221"/>
      <c r="G681" s="2274" t="s">
        <v>1938</v>
      </c>
      <c r="H681" s="2246"/>
      <c r="I681" s="2198" t="s">
        <v>1784</v>
      </c>
      <c r="J681" s="2199"/>
      <c r="K681" s="2199"/>
      <c r="L681" s="2221"/>
      <c r="M681" s="993"/>
      <c r="N681" s="994"/>
      <c r="O681" s="993"/>
      <c r="P681" s="995"/>
      <c r="Q681" s="437"/>
    </row>
    <row r="682" spans="1:17" x14ac:dyDescent="0.25">
      <c r="B682" s="30" t="s">
        <v>15</v>
      </c>
      <c r="C682" s="1015" t="s">
        <v>301</v>
      </c>
      <c r="D682" s="1016"/>
      <c r="E682" s="1016"/>
      <c r="F682" s="991"/>
      <c r="G682" s="51"/>
      <c r="H682" s="51"/>
      <c r="I682" s="4"/>
      <c r="J682" s="4"/>
      <c r="K682" s="4"/>
      <c r="L682" s="991"/>
      <c r="M682" s="2008">
        <f>+$M$610/180*30</f>
        <v>3000</v>
      </c>
      <c r="N682" s="2009"/>
      <c r="O682" s="2008"/>
      <c r="P682" s="2009"/>
    </row>
    <row r="683" spans="1:17" x14ac:dyDescent="0.25">
      <c r="B683" s="1009" t="s">
        <v>14</v>
      </c>
      <c r="C683" s="1015"/>
      <c r="D683" s="1016"/>
      <c r="E683" s="1016"/>
      <c r="F683" s="20" t="s">
        <v>1</v>
      </c>
      <c r="G683" s="1020" t="s">
        <v>279</v>
      </c>
      <c r="H683" s="1020"/>
      <c r="I683" s="4"/>
      <c r="J683" s="4"/>
      <c r="K683" s="4"/>
      <c r="L683" s="4"/>
      <c r="M683" s="2008"/>
      <c r="N683" s="2009"/>
      <c r="O683" s="2008">
        <f>+M682</f>
        <v>3000</v>
      </c>
      <c r="P683" s="2009"/>
    </row>
    <row r="684" spans="1:17" ht="11.25" customHeight="1" x14ac:dyDescent="0.25">
      <c r="A684" s="437"/>
      <c r="B684" s="1226" t="s">
        <v>1925</v>
      </c>
      <c r="C684" s="2198" t="s">
        <v>1784</v>
      </c>
      <c r="D684" s="2199"/>
      <c r="E684" s="2199"/>
      <c r="F684" s="2221"/>
      <c r="G684" s="2274" t="str">
        <f>+G681</f>
        <v>30/04/X0</v>
      </c>
      <c r="H684" s="2246"/>
      <c r="I684" s="2198" t="s">
        <v>1784</v>
      </c>
      <c r="J684" s="2199"/>
      <c r="K684" s="2199"/>
      <c r="L684" s="2221"/>
      <c r="M684" s="993"/>
      <c r="N684" s="994"/>
      <c r="O684" s="993"/>
      <c r="P684" s="995"/>
      <c r="Q684" s="437"/>
    </row>
    <row r="685" spans="1:17" x14ac:dyDescent="0.25">
      <c r="B685" s="30" t="s">
        <v>15</v>
      </c>
      <c r="C685" s="1015" t="s">
        <v>299</v>
      </c>
      <c r="D685" s="1016"/>
      <c r="E685" s="1016"/>
      <c r="F685" s="991"/>
      <c r="G685" s="51"/>
      <c r="H685" s="51"/>
      <c r="I685" s="4"/>
      <c r="J685" s="4"/>
      <c r="K685" s="4"/>
      <c r="L685" s="991"/>
      <c r="M685" s="2008">
        <f>240000*0.01</f>
        <v>2400</v>
      </c>
      <c r="N685" s="2009"/>
      <c r="O685" s="2008"/>
      <c r="P685" s="2009"/>
    </row>
    <row r="686" spans="1:17" x14ac:dyDescent="0.25">
      <c r="B686" s="1009" t="s">
        <v>17</v>
      </c>
      <c r="C686" s="1015"/>
      <c r="D686" s="1016"/>
      <c r="E686" s="1016"/>
      <c r="F686" s="20" t="s">
        <v>1</v>
      </c>
      <c r="G686" s="1020" t="s">
        <v>300</v>
      </c>
      <c r="H686" s="1020"/>
      <c r="I686" s="4"/>
      <c r="J686" s="4"/>
      <c r="K686" s="4"/>
      <c r="L686" s="4"/>
      <c r="M686" s="2008"/>
      <c r="N686" s="2009"/>
      <c r="O686" s="2008">
        <f>+M685</f>
        <v>2400</v>
      </c>
      <c r="P686" s="2009"/>
    </row>
    <row r="687" spans="1:17" x14ac:dyDescent="0.25">
      <c r="C687" s="2198" t="s">
        <v>1784</v>
      </c>
      <c r="D687" s="2199"/>
      <c r="E687" s="2199"/>
      <c r="F687" s="2199"/>
      <c r="G687" s="2248" t="s">
        <v>222</v>
      </c>
      <c r="H687" s="2248"/>
      <c r="I687" s="2199" t="s">
        <v>1784</v>
      </c>
      <c r="J687" s="2199"/>
      <c r="K687" s="2199"/>
      <c r="L687" s="2221"/>
      <c r="M687" s="993"/>
      <c r="N687" s="994"/>
      <c r="O687" s="993"/>
      <c r="P687" s="995"/>
    </row>
    <row r="688" spans="1:17" s="4" customFormat="1" x14ac:dyDescent="0.25">
      <c r="B688" s="1004"/>
      <c r="C688" s="1016"/>
      <c r="D688" s="1016"/>
      <c r="E688" s="1016"/>
      <c r="F688" s="20"/>
      <c r="G688" s="1020"/>
      <c r="H688" s="1020"/>
      <c r="M688" s="994"/>
      <c r="N688" s="994"/>
      <c r="O688" s="994"/>
      <c r="P688" s="994"/>
    </row>
    <row r="689" spans="1:17" s="4" customFormat="1" x14ac:dyDescent="0.25">
      <c r="B689" s="1004"/>
      <c r="C689" s="1016"/>
      <c r="D689" s="1016"/>
      <c r="E689" s="1016"/>
      <c r="F689" s="20"/>
      <c r="G689" s="1020"/>
      <c r="H689" s="1020"/>
      <c r="M689" s="994"/>
      <c r="N689" s="994"/>
      <c r="O689" s="994"/>
      <c r="P689" s="994"/>
    </row>
    <row r="690" spans="1:17" x14ac:dyDescent="0.25">
      <c r="A690" s="4"/>
      <c r="B690" s="1004"/>
      <c r="C690" s="1016"/>
      <c r="D690" s="1016"/>
      <c r="E690" s="1016"/>
      <c r="F690" s="20"/>
      <c r="G690" s="1020"/>
      <c r="H690" s="1020"/>
      <c r="I690" s="4"/>
      <c r="J690" s="4"/>
      <c r="K690" s="4"/>
      <c r="L690" s="4"/>
      <c r="M690" s="994"/>
      <c r="N690" s="994"/>
      <c r="O690" s="994"/>
      <c r="P690" s="994"/>
      <c r="Q690" s="4"/>
    </row>
    <row r="691" spans="1:17" ht="11.25" customHeight="1" x14ac:dyDescent="0.25">
      <c r="A691" s="437"/>
      <c r="B691" s="108">
        <v>14</v>
      </c>
      <c r="C691" s="2198" t="s">
        <v>1784</v>
      </c>
      <c r="D691" s="2199"/>
      <c r="E691" s="2199"/>
      <c r="F691" s="2199"/>
      <c r="G691" s="2274" t="s">
        <v>1864</v>
      </c>
      <c r="H691" s="2246"/>
      <c r="I691" s="2199" t="s">
        <v>1784</v>
      </c>
      <c r="J691" s="2199"/>
      <c r="K691" s="2199"/>
      <c r="L691" s="2199"/>
      <c r="M691" s="993"/>
      <c r="N691" s="994"/>
      <c r="O691" s="993"/>
      <c r="P691" s="995"/>
      <c r="Q691" s="437"/>
    </row>
    <row r="692" spans="1:17" x14ac:dyDescent="0.25">
      <c r="B692" s="30" t="s">
        <v>207</v>
      </c>
      <c r="C692" s="1015" t="s">
        <v>233</v>
      </c>
      <c r="D692" s="1016"/>
      <c r="E692" s="1016"/>
      <c r="F692" s="991"/>
      <c r="G692" s="51"/>
      <c r="H692" s="51"/>
      <c r="I692" s="4"/>
      <c r="J692" s="4"/>
      <c r="K692" s="4"/>
      <c r="L692" s="991"/>
      <c r="M692" s="2008">
        <f>+O680</f>
        <v>2000</v>
      </c>
      <c r="N692" s="2009"/>
      <c r="O692" s="2012"/>
      <c r="P692" s="2009"/>
    </row>
    <row r="693" spans="1:17" x14ac:dyDescent="0.25">
      <c r="B693" s="38" t="s">
        <v>11</v>
      </c>
      <c r="C693" s="1015" t="s">
        <v>0</v>
      </c>
      <c r="D693" s="1016"/>
      <c r="E693" s="1016"/>
      <c r="F693" s="991"/>
      <c r="G693" s="51"/>
      <c r="H693" s="51"/>
      <c r="I693" s="4"/>
      <c r="J693" s="4"/>
      <c r="K693" s="4"/>
      <c r="L693" s="991"/>
      <c r="M693" s="2008">
        <f>+O694+O695-M692</f>
        <v>7680</v>
      </c>
      <c r="N693" s="2009"/>
      <c r="O693" s="994"/>
      <c r="P693" s="995"/>
    </row>
    <row r="694" spans="1:17" x14ac:dyDescent="0.25">
      <c r="B694" s="38" t="s">
        <v>16</v>
      </c>
      <c r="C694" s="1015"/>
      <c r="D694" s="1016"/>
      <c r="E694" s="1016"/>
      <c r="F694" s="20" t="s">
        <v>1</v>
      </c>
      <c r="G694" s="1020" t="s">
        <v>3</v>
      </c>
      <c r="H694" s="51"/>
      <c r="I694" s="4"/>
      <c r="J694" s="4"/>
      <c r="K694" s="4"/>
      <c r="L694" s="991"/>
      <c r="M694" s="2008"/>
      <c r="N694" s="2009"/>
      <c r="O694" s="2008">
        <v>8000</v>
      </c>
      <c r="P694" s="2009"/>
    </row>
    <row r="695" spans="1:17" x14ac:dyDescent="0.25">
      <c r="B695" s="1009" t="s">
        <v>17</v>
      </c>
      <c r="C695" s="1015"/>
      <c r="D695" s="1016"/>
      <c r="E695" s="1016"/>
      <c r="F695" s="20" t="s">
        <v>1</v>
      </c>
      <c r="G695" s="1020" t="s">
        <v>12</v>
      </c>
      <c r="H695" s="1020"/>
      <c r="I695" s="4"/>
      <c r="J695" s="4"/>
      <c r="K695" s="4"/>
      <c r="L695" s="4"/>
      <c r="M695" s="2008"/>
      <c r="N695" s="2012"/>
      <c r="O695" s="2008">
        <f>+O694*0.21</f>
        <v>1680</v>
      </c>
      <c r="P695" s="2009"/>
    </row>
    <row r="696" spans="1:17" ht="12" customHeight="1" x14ac:dyDescent="0.25">
      <c r="B696" s="1004"/>
      <c r="C696" s="2198" t="s">
        <v>1784</v>
      </c>
      <c r="D696" s="2199"/>
      <c r="E696" s="2199"/>
      <c r="F696" s="2199"/>
      <c r="G696" s="2054"/>
      <c r="H696" s="2054"/>
      <c r="I696" s="2199" t="s">
        <v>1784</v>
      </c>
      <c r="J696" s="2199"/>
      <c r="K696" s="2199"/>
      <c r="L696" s="2199"/>
      <c r="M696" s="2008"/>
      <c r="N696" s="2009"/>
      <c r="O696" s="2008"/>
      <c r="P696" s="2009"/>
    </row>
    <row r="697" spans="1:17" x14ac:dyDescent="0.25">
      <c r="B697" s="102" t="s">
        <v>15</v>
      </c>
      <c r="C697" s="1015" t="s">
        <v>120</v>
      </c>
      <c r="D697" s="1016"/>
      <c r="E697" s="1016"/>
      <c r="F697" s="991"/>
      <c r="G697" s="51"/>
      <c r="H697" s="51"/>
      <c r="I697" s="4"/>
      <c r="J697" s="4"/>
      <c r="K697" s="4"/>
      <c r="L697" s="991"/>
      <c r="M697" s="2008">
        <v>3500</v>
      </c>
      <c r="N697" s="2009"/>
      <c r="O697" s="2012"/>
      <c r="P697" s="2009"/>
    </row>
    <row r="698" spans="1:17" x14ac:dyDescent="0.25">
      <c r="B698" s="38" t="s">
        <v>14</v>
      </c>
      <c r="C698" s="1015"/>
      <c r="D698" s="1016"/>
      <c r="E698" s="1016"/>
      <c r="F698" s="20" t="s">
        <v>1</v>
      </c>
      <c r="G698" s="1020" t="s">
        <v>5</v>
      </c>
      <c r="H698" s="51"/>
      <c r="I698" s="4"/>
      <c r="J698" s="4"/>
      <c r="K698" s="4"/>
      <c r="L698" s="991"/>
      <c r="M698" s="2008"/>
      <c r="N698" s="2009"/>
      <c r="O698" s="2008">
        <f>+M697</f>
        <v>3500</v>
      </c>
      <c r="P698" s="2009"/>
    </row>
    <row r="699" spans="1:17" ht="11.25" customHeight="1" x14ac:dyDescent="0.25">
      <c r="A699" s="437"/>
      <c r="B699" s="1226" t="s">
        <v>1925</v>
      </c>
      <c r="C699" s="2198" t="s">
        <v>1784</v>
      </c>
      <c r="D699" s="2199"/>
      <c r="E699" s="2199"/>
      <c r="F699" s="2221"/>
      <c r="G699" s="2274" t="s">
        <v>1681</v>
      </c>
      <c r="H699" s="2246"/>
      <c r="I699" s="2198" t="s">
        <v>1784</v>
      </c>
      <c r="J699" s="2199"/>
      <c r="K699" s="2199"/>
      <c r="L699" s="2221"/>
      <c r="M699" s="993"/>
      <c r="N699" s="994"/>
      <c r="O699" s="993"/>
      <c r="P699" s="995"/>
      <c r="Q699" s="437"/>
    </row>
    <row r="700" spans="1:17" x14ac:dyDescent="0.25">
      <c r="B700" s="30" t="s">
        <v>15</v>
      </c>
      <c r="C700" s="1015" t="s">
        <v>301</v>
      </c>
      <c r="D700" s="1016"/>
      <c r="E700" s="1016"/>
      <c r="F700" s="991"/>
      <c r="G700" s="51"/>
      <c r="H700" s="51"/>
      <c r="I700" s="4"/>
      <c r="J700" s="4"/>
      <c r="K700" s="4"/>
      <c r="L700" s="991"/>
      <c r="M700" s="2008">
        <f>+$M$610/180*31</f>
        <v>3100</v>
      </c>
      <c r="N700" s="2009"/>
      <c r="O700" s="2008"/>
      <c r="P700" s="2009"/>
    </row>
    <row r="701" spans="1:17" x14ac:dyDescent="0.25">
      <c r="B701" s="1009" t="s">
        <v>14</v>
      </c>
      <c r="C701" s="1015"/>
      <c r="D701" s="1016"/>
      <c r="E701" s="1016"/>
      <c r="F701" s="20" t="s">
        <v>1</v>
      </c>
      <c r="G701" s="1020" t="s">
        <v>279</v>
      </c>
      <c r="H701" s="1020"/>
      <c r="I701" s="4"/>
      <c r="J701" s="4"/>
      <c r="K701" s="4"/>
      <c r="L701" s="4"/>
      <c r="M701" s="2008"/>
      <c r="N701" s="2009"/>
      <c r="O701" s="2008">
        <f>+M700</f>
        <v>3100</v>
      </c>
      <c r="P701" s="2009"/>
    </row>
    <row r="702" spans="1:17" ht="11.25" customHeight="1" x14ac:dyDescent="0.25">
      <c r="A702" s="437"/>
      <c r="B702" s="1226" t="s">
        <v>1925</v>
      </c>
      <c r="C702" s="2198" t="s">
        <v>1784</v>
      </c>
      <c r="D702" s="2199"/>
      <c r="E702" s="2199"/>
      <c r="F702" s="2221"/>
      <c r="G702" s="2274" t="str">
        <f>+G699</f>
        <v>31/05/X0</v>
      </c>
      <c r="H702" s="2246"/>
      <c r="I702" s="2198" t="s">
        <v>1784</v>
      </c>
      <c r="J702" s="2199"/>
      <c r="K702" s="2199"/>
      <c r="L702" s="2221"/>
      <c r="M702" s="993"/>
      <c r="N702" s="994"/>
      <c r="O702" s="993"/>
      <c r="P702" s="995"/>
      <c r="Q702" s="437"/>
    </row>
    <row r="703" spans="1:17" x14ac:dyDescent="0.25">
      <c r="B703" s="30" t="s">
        <v>15</v>
      </c>
      <c r="C703" s="1015" t="s">
        <v>299</v>
      </c>
      <c r="D703" s="1016"/>
      <c r="E703" s="1016"/>
      <c r="F703" s="991"/>
      <c r="G703" s="51"/>
      <c r="H703" s="51"/>
      <c r="I703" s="4"/>
      <c r="J703" s="4"/>
      <c r="K703" s="4"/>
      <c r="L703" s="991"/>
      <c r="M703" s="2008">
        <f>240000*0.01</f>
        <v>2400</v>
      </c>
      <c r="N703" s="2009"/>
      <c r="O703" s="2008"/>
      <c r="P703" s="2009"/>
    </row>
    <row r="704" spans="1:17" x14ac:dyDescent="0.25">
      <c r="B704" s="1009" t="s">
        <v>17</v>
      </c>
      <c r="C704" s="1015"/>
      <c r="D704" s="1016"/>
      <c r="E704" s="1016"/>
      <c r="F704" s="20" t="s">
        <v>1</v>
      </c>
      <c r="G704" s="1020" t="s">
        <v>300</v>
      </c>
      <c r="H704" s="1020"/>
      <c r="I704" s="4"/>
      <c r="J704" s="4"/>
      <c r="K704" s="4"/>
      <c r="L704" s="4"/>
      <c r="M704" s="2008"/>
      <c r="N704" s="2009"/>
      <c r="O704" s="2008">
        <f>+M703</f>
        <v>2400</v>
      </c>
      <c r="P704" s="2009"/>
    </row>
    <row r="705" spans="1:17" ht="11.25" customHeight="1" x14ac:dyDescent="0.25">
      <c r="A705" s="437"/>
      <c r="B705" s="108">
        <v>15</v>
      </c>
      <c r="C705" s="2198" t="s">
        <v>1784</v>
      </c>
      <c r="D705" s="2199"/>
      <c r="E705" s="2199"/>
      <c r="F705" s="2199"/>
      <c r="G705" s="2274" t="s">
        <v>1937</v>
      </c>
      <c r="H705" s="2246"/>
      <c r="I705" s="2199" t="s">
        <v>1784</v>
      </c>
      <c r="J705" s="2199"/>
      <c r="K705" s="2199"/>
      <c r="L705" s="2199"/>
      <c r="M705" s="993"/>
      <c r="N705" s="994"/>
      <c r="O705" s="993"/>
      <c r="P705" s="995"/>
      <c r="Q705" s="437"/>
    </row>
    <row r="706" spans="1:17" x14ac:dyDescent="0.25">
      <c r="B706" s="30" t="s">
        <v>207</v>
      </c>
      <c r="C706" s="1015" t="str">
        <f>+G677</f>
        <v>Hipotecas a pagar Banco Asiático</v>
      </c>
      <c r="D706" s="1016"/>
      <c r="E706" s="1016"/>
      <c r="F706" s="991"/>
      <c r="G706" s="51"/>
      <c r="H706" s="51"/>
      <c r="I706" s="4"/>
      <c r="J706" s="4"/>
      <c r="K706" s="4"/>
      <c r="L706" s="991"/>
      <c r="M706" s="2008">
        <v>80000</v>
      </c>
      <c r="N706" s="2009"/>
      <c r="O706" s="2012"/>
      <c r="P706" s="2009"/>
    </row>
    <row r="707" spans="1:17" x14ac:dyDescent="0.25">
      <c r="B707" s="38" t="s">
        <v>207</v>
      </c>
      <c r="C707" s="1015" t="str">
        <f>+G704</f>
        <v>Intereses financieros a pagar</v>
      </c>
      <c r="D707" s="1016"/>
      <c r="E707" s="1016"/>
      <c r="F707" s="991"/>
      <c r="G707" s="51"/>
      <c r="H707" s="51"/>
      <c r="I707" s="4"/>
      <c r="J707" s="4"/>
      <c r="K707" s="4"/>
      <c r="L707" s="991"/>
      <c r="M707" s="2008">
        <f>+O704*2</f>
        <v>4800</v>
      </c>
      <c r="N707" s="2009"/>
      <c r="O707" s="994"/>
      <c r="P707" s="995"/>
    </row>
    <row r="708" spans="1:17" x14ac:dyDescent="0.25">
      <c r="B708" s="38" t="s">
        <v>14</v>
      </c>
      <c r="C708" s="1015"/>
      <c r="D708" s="1016"/>
      <c r="E708" s="1016"/>
      <c r="F708" s="20" t="s">
        <v>1</v>
      </c>
      <c r="G708" s="1020" t="s">
        <v>1922</v>
      </c>
      <c r="H708" s="51"/>
      <c r="I708" s="4"/>
      <c r="J708" s="4"/>
      <c r="K708" s="4"/>
      <c r="L708" s="991"/>
      <c r="M708" s="2008"/>
      <c r="N708" s="2009"/>
      <c r="O708" s="2008">
        <f>+M706+M707</f>
        <v>84800</v>
      </c>
      <c r="P708" s="2009"/>
    </row>
    <row r="709" spans="1:17" ht="11.25" customHeight="1" x14ac:dyDescent="0.25">
      <c r="A709" s="437"/>
      <c r="B709" s="108">
        <v>16</v>
      </c>
      <c r="C709" s="2198" t="s">
        <v>1784</v>
      </c>
      <c r="D709" s="2199"/>
      <c r="E709" s="2199"/>
      <c r="F709" s="2199"/>
      <c r="G709" s="2274" t="s">
        <v>1936</v>
      </c>
      <c r="H709" s="2246"/>
      <c r="I709" s="2199" t="s">
        <v>1784</v>
      </c>
      <c r="J709" s="2199"/>
      <c r="K709" s="2199"/>
      <c r="L709" s="2199"/>
      <c r="M709" s="993"/>
      <c r="N709" s="994"/>
      <c r="O709" s="993"/>
      <c r="P709" s="995"/>
      <c r="Q709" s="437"/>
    </row>
    <row r="710" spans="1:17" x14ac:dyDescent="0.25">
      <c r="B710" s="30" t="s">
        <v>11</v>
      </c>
      <c r="C710" s="1015" t="s">
        <v>1934</v>
      </c>
      <c r="D710" s="1016"/>
      <c r="E710" s="1016"/>
      <c r="F710" s="991"/>
      <c r="G710" s="51"/>
      <c r="H710" s="51"/>
      <c r="I710" s="4"/>
      <c r="J710" s="4"/>
      <c r="K710" s="4"/>
      <c r="L710" s="991"/>
      <c r="M710" s="2008">
        <f>+O711+O712</f>
        <v>726</v>
      </c>
      <c r="N710" s="2009"/>
      <c r="O710" s="2012"/>
      <c r="P710" s="2009"/>
    </row>
    <row r="711" spans="1:17" x14ac:dyDescent="0.25">
      <c r="B711" s="38" t="s">
        <v>16</v>
      </c>
      <c r="C711" s="1015"/>
      <c r="D711" s="1016"/>
      <c r="E711" s="1016"/>
      <c r="F711" s="20" t="s">
        <v>1</v>
      </c>
      <c r="G711" s="1020" t="s">
        <v>1100</v>
      </c>
      <c r="H711" s="51"/>
      <c r="I711" s="4"/>
      <c r="J711" s="4"/>
      <c r="K711" s="4"/>
      <c r="L711" s="991"/>
      <c r="M711" s="2008"/>
      <c r="N711" s="2009"/>
      <c r="O711" s="2008">
        <v>600</v>
      </c>
      <c r="P711" s="2009"/>
    </row>
    <row r="712" spans="1:17" x14ac:dyDescent="0.25">
      <c r="B712" s="38" t="s">
        <v>17</v>
      </c>
      <c r="C712" s="1015"/>
      <c r="D712" s="1016"/>
      <c r="E712" s="1016"/>
      <c r="F712" s="20" t="s">
        <v>1</v>
      </c>
      <c r="G712" s="1020" t="s">
        <v>12</v>
      </c>
      <c r="H712" s="51"/>
      <c r="I712" s="4"/>
      <c r="J712" s="4"/>
      <c r="K712" s="4"/>
      <c r="L712" s="991"/>
      <c r="M712" s="2008"/>
      <c r="N712" s="2009"/>
      <c r="O712" s="2008">
        <f>+O711*0.21</f>
        <v>126</v>
      </c>
      <c r="P712" s="2009"/>
    </row>
    <row r="713" spans="1:17" ht="11.25" customHeight="1" x14ac:dyDescent="0.25">
      <c r="A713" s="437"/>
      <c r="B713" s="108">
        <v>17</v>
      </c>
      <c r="C713" s="2198" t="s">
        <v>1784</v>
      </c>
      <c r="D713" s="2199"/>
      <c r="E713" s="2199"/>
      <c r="F713" s="2199"/>
      <c r="G713" s="2274" t="s">
        <v>1935</v>
      </c>
      <c r="H713" s="2246"/>
      <c r="I713" s="2199" t="s">
        <v>1784</v>
      </c>
      <c r="J713" s="2199"/>
      <c r="K713" s="2199"/>
      <c r="L713" s="2199"/>
      <c r="M713" s="993"/>
      <c r="N713" s="994"/>
      <c r="O713" s="993"/>
      <c r="P713" s="995"/>
      <c r="Q713" s="437"/>
    </row>
    <row r="714" spans="1:17" x14ac:dyDescent="0.25">
      <c r="B714" s="30" t="s">
        <v>11</v>
      </c>
      <c r="C714" s="1015" t="s">
        <v>478</v>
      </c>
      <c r="D714" s="1016"/>
      <c r="E714" s="1016"/>
      <c r="F714" s="991"/>
      <c r="G714" s="51"/>
      <c r="H714" s="51"/>
      <c r="I714" s="4"/>
      <c r="J714" s="4"/>
      <c r="K714" s="4"/>
      <c r="L714" s="991"/>
      <c r="M714" s="2008">
        <f>+O715+O716+O717</f>
        <v>9306</v>
      </c>
      <c r="N714" s="2009"/>
      <c r="O714" s="2012"/>
      <c r="P714" s="2009"/>
    </row>
    <row r="715" spans="1:17" x14ac:dyDescent="0.25">
      <c r="B715" s="38" t="s">
        <v>14</v>
      </c>
      <c r="C715" s="1015"/>
      <c r="D715" s="1016"/>
      <c r="E715" s="1016"/>
      <c r="F715" s="20" t="s">
        <v>1</v>
      </c>
      <c r="G715" s="1020" t="s">
        <v>0</v>
      </c>
      <c r="H715" s="51"/>
      <c r="I715" s="4"/>
      <c r="J715" s="4"/>
      <c r="K715" s="4"/>
      <c r="L715" s="991"/>
      <c r="M715" s="993"/>
      <c r="N715" s="995"/>
      <c r="O715" s="2008">
        <f>+M693</f>
        <v>7680</v>
      </c>
      <c r="P715" s="2009"/>
    </row>
    <row r="716" spans="1:17" x14ac:dyDescent="0.25">
      <c r="B716" s="38" t="s">
        <v>14</v>
      </c>
      <c r="C716" s="1015"/>
      <c r="D716" s="1016"/>
      <c r="E716" s="1016"/>
      <c r="F716" s="20" t="s">
        <v>1</v>
      </c>
      <c r="G716" s="1020" t="s">
        <v>1934</v>
      </c>
      <c r="H716" s="51"/>
      <c r="I716" s="4"/>
      <c r="J716" s="4"/>
      <c r="K716" s="4"/>
      <c r="L716" s="991"/>
      <c r="M716" s="2008"/>
      <c r="N716" s="2009"/>
      <c r="O716" s="2008">
        <f>+M710</f>
        <v>726</v>
      </c>
      <c r="P716" s="2009"/>
    </row>
    <row r="717" spans="1:17" x14ac:dyDescent="0.25">
      <c r="B717" s="38" t="s">
        <v>108</v>
      </c>
      <c r="C717" s="1015"/>
      <c r="D717" s="1016"/>
      <c r="E717" s="1016"/>
      <c r="F717" s="20" t="s">
        <v>1</v>
      </c>
      <c r="G717" s="1020" t="s">
        <v>543</v>
      </c>
      <c r="H717" s="51"/>
      <c r="I717" s="4"/>
      <c r="J717" s="4"/>
      <c r="K717" s="4"/>
      <c r="L717" s="991"/>
      <c r="M717" s="2008"/>
      <c r="N717" s="2009"/>
      <c r="O717" s="2008">
        <v>900</v>
      </c>
      <c r="P717" s="2009"/>
    </row>
    <row r="718" spans="1:17" ht="11.25" customHeight="1" x14ac:dyDescent="0.25">
      <c r="A718" s="437"/>
      <c r="B718" s="1226" t="s">
        <v>1925</v>
      </c>
      <c r="C718" s="2198" t="s">
        <v>1784</v>
      </c>
      <c r="D718" s="2199"/>
      <c r="E718" s="2199"/>
      <c r="F718" s="2221"/>
      <c r="G718" s="2274" t="s">
        <v>1933</v>
      </c>
      <c r="H718" s="2246"/>
      <c r="I718" s="2198" t="s">
        <v>1784</v>
      </c>
      <c r="J718" s="2199"/>
      <c r="K718" s="2199"/>
      <c r="L718" s="2221"/>
      <c r="M718" s="993"/>
      <c r="N718" s="994"/>
      <c r="O718" s="993"/>
      <c r="P718" s="995"/>
      <c r="Q718" s="437"/>
    </row>
    <row r="719" spans="1:17" x14ac:dyDescent="0.25">
      <c r="B719" s="30" t="s">
        <v>15</v>
      </c>
      <c r="C719" s="1015" t="s">
        <v>301</v>
      </c>
      <c r="D719" s="1016"/>
      <c r="E719" s="1016"/>
      <c r="F719" s="991"/>
      <c r="G719" s="51"/>
      <c r="H719" s="51"/>
      <c r="I719" s="4"/>
      <c r="J719" s="4"/>
      <c r="K719" s="4"/>
      <c r="L719" s="991"/>
      <c r="M719" s="2008">
        <f>+$M$610/180*30</f>
        <v>3000</v>
      </c>
      <c r="N719" s="2009"/>
      <c r="O719" s="2008"/>
      <c r="P719" s="2009"/>
    </row>
    <row r="720" spans="1:17" x14ac:dyDescent="0.25">
      <c r="B720" s="1009" t="s">
        <v>14</v>
      </c>
      <c r="C720" s="1015"/>
      <c r="D720" s="1016"/>
      <c r="E720" s="1016"/>
      <c r="F720" s="20" t="s">
        <v>1</v>
      </c>
      <c r="G720" s="1020" t="s">
        <v>279</v>
      </c>
      <c r="H720" s="1020"/>
      <c r="I720" s="4"/>
      <c r="J720" s="4"/>
      <c r="K720" s="4"/>
      <c r="L720" s="4"/>
      <c r="M720" s="2008"/>
      <c r="N720" s="2009"/>
      <c r="O720" s="2008">
        <f>+M719</f>
        <v>3000</v>
      </c>
      <c r="P720" s="2009"/>
    </row>
    <row r="721" spans="1:17" ht="11.25" customHeight="1" x14ac:dyDescent="0.25">
      <c r="A721" s="437"/>
      <c r="B721" s="1226" t="s">
        <v>1925</v>
      </c>
      <c r="C721" s="2198" t="s">
        <v>1784</v>
      </c>
      <c r="D721" s="2199"/>
      <c r="E721" s="2199"/>
      <c r="F721" s="2221"/>
      <c r="G721" s="2274" t="str">
        <f>+G718</f>
        <v>30/06/X0</v>
      </c>
      <c r="H721" s="2246"/>
      <c r="I721" s="2198" t="s">
        <v>1784</v>
      </c>
      <c r="J721" s="2199"/>
      <c r="K721" s="2199"/>
      <c r="L721" s="2221"/>
      <c r="M721" s="993"/>
      <c r="N721" s="994"/>
      <c r="O721" s="993"/>
      <c r="P721" s="995"/>
      <c r="Q721" s="437"/>
    </row>
    <row r="722" spans="1:17" x14ac:dyDescent="0.25">
      <c r="B722" s="30" t="s">
        <v>15</v>
      </c>
      <c r="C722" s="1015" t="s">
        <v>299</v>
      </c>
      <c r="D722" s="1016"/>
      <c r="E722" s="1016"/>
      <c r="F722" s="991"/>
      <c r="G722" s="51"/>
      <c r="H722" s="51"/>
      <c r="I722" s="4"/>
      <c r="J722" s="4"/>
      <c r="K722" s="4"/>
      <c r="L722" s="991"/>
      <c r="M722" s="2008">
        <f>(240000-80000)*0.01</f>
        <v>1600</v>
      </c>
      <c r="N722" s="2009"/>
      <c r="O722" s="2008"/>
      <c r="P722" s="2009"/>
    </row>
    <row r="723" spans="1:17" x14ac:dyDescent="0.25">
      <c r="B723" s="1009" t="s">
        <v>17</v>
      </c>
      <c r="C723" s="1015"/>
      <c r="D723" s="1016"/>
      <c r="E723" s="1016"/>
      <c r="F723" s="20" t="s">
        <v>1</v>
      </c>
      <c r="G723" s="1020" t="s">
        <v>300</v>
      </c>
      <c r="H723" s="1020"/>
      <c r="I723" s="4"/>
      <c r="J723" s="4"/>
      <c r="K723" s="4"/>
      <c r="L723" s="4"/>
      <c r="M723" s="2008"/>
      <c r="N723" s="2009"/>
      <c r="O723" s="2008">
        <f>+M722</f>
        <v>1600</v>
      </c>
      <c r="P723" s="2009"/>
    </row>
    <row r="724" spans="1:17" ht="11.25" customHeight="1" x14ac:dyDescent="0.25">
      <c r="A724" s="437"/>
      <c r="B724" s="1226" t="s">
        <v>1925</v>
      </c>
      <c r="C724" s="2198" t="s">
        <v>1784</v>
      </c>
      <c r="D724" s="2199"/>
      <c r="E724" s="2199"/>
      <c r="F724" s="2221"/>
      <c r="G724" s="2274" t="str">
        <f>+G721</f>
        <v>30/06/X0</v>
      </c>
      <c r="H724" s="2246"/>
      <c r="I724" s="2198" t="s">
        <v>1784</v>
      </c>
      <c r="J724" s="2199"/>
      <c r="K724" s="2199"/>
      <c r="L724" s="2221"/>
      <c r="M724" s="993"/>
      <c r="N724" s="994"/>
      <c r="O724" s="993"/>
      <c r="P724" s="995"/>
      <c r="Q724" s="437"/>
    </row>
    <row r="725" spans="1:17" x14ac:dyDescent="0.25">
      <c r="B725" s="30" t="s">
        <v>105</v>
      </c>
      <c r="C725" s="1015" t="s">
        <v>543</v>
      </c>
      <c r="D725" s="1016"/>
      <c r="E725" s="1016"/>
      <c r="F725" s="991"/>
      <c r="G725" s="51"/>
      <c r="H725" s="51"/>
      <c r="I725" s="4"/>
      <c r="J725" s="4"/>
      <c r="K725" s="4"/>
      <c r="L725" s="991"/>
      <c r="M725" s="2008">
        <f>+O717/30*20</f>
        <v>600</v>
      </c>
      <c r="N725" s="2009"/>
      <c r="O725" s="2008"/>
      <c r="P725" s="2009"/>
    </row>
    <row r="726" spans="1:17" x14ac:dyDescent="0.25">
      <c r="B726" s="1009" t="s">
        <v>16</v>
      </c>
      <c r="C726" s="1015"/>
      <c r="D726" s="1016"/>
      <c r="E726" s="1016"/>
      <c r="F726" s="20" t="s">
        <v>1</v>
      </c>
      <c r="G726" s="1020" t="s">
        <v>1100</v>
      </c>
      <c r="H726" s="1020"/>
      <c r="I726" s="4"/>
      <c r="J726" s="4"/>
      <c r="K726" s="4"/>
      <c r="L726" s="4"/>
      <c r="M726" s="2008"/>
      <c r="N726" s="2009"/>
      <c r="O726" s="2008">
        <f>+M725</f>
        <v>600</v>
      </c>
      <c r="P726" s="2009"/>
    </row>
    <row r="727" spans="1:17" ht="11.25" customHeight="1" x14ac:dyDescent="0.25">
      <c r="A727" s="437"/>
      <c r="B727" s="108">
        <v>18</v>
      </c>
      <c r="C727" s="2198" t="s">
        <v>1784</v>
      </c>
      <c r="D727" s="2199"/>
      <c r="E727" s="2199"/>
      <c r="F727" s="2199"/>
      <c r="G727" s="2274" t="s">
        <v>1932</v>
      </c>
      <c r="H727" s="2246"/>
      <c r="I727" s="2199" t="s">
        <v>1784</v>
      </c>
      <c r="J727" s="2199"/>
      <c r="K727" s="2199"/>
      <c r="L727" s="2199"/>
      <c r="M727" s="993"/>
      <c r="N727" s="994"/>
      <c r="O727" s="993"/>
      <c r="P727" s="995"/>
      <c r="Q727" s="437"/>
    </row>
    <row r="728" spans="1:17" x14ac:dyDescent="0.25">
      <c r="B728" s="30" t="s">
        <v>11</v>
      </c>
      <c r="C728" s="1015" t="s">
        <v>227</v>
      </c>
      <c r="D728" s="1016"/>
      <c r="E728" s="1016"/>
      <c r="F728" s="991"/>
      <c r="G728" s="51"/>
      <c r="H728" s="51"/>
      <c r="I728" s="4"/>
      <c r="J728" s="4"/>
      <c r="K728" s="4"/>
      <c r="L728" s="991"/>
      <c r="M728" s="2008">
        <f>+M714</f>
        <v>9306</v>
      </c>
      <c r="N728" s="2009"/>
      <c r="O728" s="2012"/>
      <c r="P728" s="2009"/>
    </row>
    <row r="729" spans="1:17" x14ac:dyDescent="0.25">
      <c r="B729" s="38" t="s">
        <v>14</v>
      </c>
      <c r="C729" s="1015"/>
      <c r="D729" s="1016"/>
      <c r="E729" s="1016"/>
      <c r="F729" s="20" t="s">
        <v>1</v>
      </c>
      <c r="G729" s="1020" t="s">
        <v>478</v>
      </c>
      <c r="H729" s="51"/>
      <c r="I729" s="4"/>
      <c r="J729" s="4"/>
      <c r="K729" s="4"/>
      <c r="L729" s="991"/>
      <c r="M729" s="993"/>
      <c r="N729" s="995"/>
      <c r="O729" s="2008">
        <f>+M728</f>
        <v>9306</v>
      </c>
      <c r="P729" s="2009"/>
    </row>
    <row r="730" spans="1:17" ht="11.25" customHeight="1" x14ac:dyDescent="0.25">
      <c r="A730" s="437"/>
      <c r="B730" s="108">
        <v>19</v>
      </c>
      <c r="C730" s="2198" t="s">
        <v>1784</v>
      </c>
      <c r="D730" s="2199"/>
      <c r="E730" s="2199"/>
      <c r="F730" s="2199"/>
      <c r="G730" s="2274" t="s">
        <v>1931</v>
      </c>
      <c r="H730" s="2246"/>
      <c r="I730" s="2199" t="s">
        <v>1784</v>
      </c>
      <c r="J730" s="2199"/>
      <c r="K730" s="2199"/>
      <c r="L730" s="2199"/>
      <c r="M730" s="993"/>
      <c r="N730" s="994"/>
      <c r="O730" s="993"/>
      <c r="P730" s="995"/>
      <c r="Q730" s="437"/>
    </row>
    <row r="731" spans="1:17" x14ac:dyDescent="0.25">
      <c r="B731" s="30" t="s">
        <v>11</v>
      </c>
      <c r="C731" s="1015" t="s">
        <v>1922</v>
      </c>
      <c r="D731" s="1016"/>
      <c r="E731" s="1016"/>
      <c r="F731" s="991"/>
      <c r="G731" s="51"/>
      <c r="H731" s="51"/>
      <c r="I731" s="4"/>
      <c r="J731" s="4"/>
      <c r="K731" s="4"/>
      <c r="L731" s="991"/>
      <c r="M731" s="2008">
        <f>+O729</f>
        <v>9306</v>
      </c>
      <c r="N731" s="2009"/>
      <c r="O731" s="2012"/>
      <c r="P731" s="2009"/>
    </row>
    <row r="732" spans="1:17" x14ac:dyDescent="0.25">
      <c r="B732" s="38" t="s">
        <v>14</v>
      </c>
      <c r="C732" s="1015"/>
      <c r="D732" s="1016"/>
      <c r="E732" s="1016"/>
      <c r="F732" s="20" t="s">
        <v>1</v>
      </c>
      <c r="G732" s="1020" t="s">
        <v>227</v>
      </c>
      <c r="H732" s="51"/>
      <c r="I732" s="4"/>
      <c r="J732" s="4"/>
      <c r="K732" s="4"/>
      <c r="L732" s="991"/>
      <c r="M732" s="993"/>
      <c r="N732" s="995"/>
      <c r="O732" s="2008">
        <f>+M731</f>
        <v>9306</v>
      </c>
      <c r="P732" s="2009"/>
    </row>
    <row r="733" spans="1:17" ht="11.25" customHeight="1" x14ac:dyDescent="0.25">
      <c r="A733" s="437"/>
      <c r="B733" s="108">
        <v>20</v>
      </c>
      <c r="C733" s="2198" t="s">
        <v>1784</v>
      </c>
      <c r="D733" s="2199"/>
      <c r="E733" s="2199"/>
      <c r="F733" s="2199"/>
      <c r="G733" s="2274" t="s">
        <v>1930</v>
      </c>
      <c r="H733" s="2246"/>
      <c r="I733" s="2199" t="s">
        <v>1784</v>
      </c>
      <c r="J733" s="2199"/>
      <c r="K733" s="2199"/>
      <c r="L733" s="2199"/>
      <c r="M733" s="993"/>
      <c r="N733" s="994"/>
      <c r="O733" s="993"/>
      <c r="P733" s="995"/>
      <c r="Q733" s="437"/>
    </row>
    <row r="734" spans="1:17" x14ac:dyDescent="0.25">
      <c r="B734" s="30" t="s">
        <v>11</v>
      </c>
      <c r="C734" s="1015" t="s">
        <v>10</v>
      </c>
      <c r="D734" s="1016"/>
      <c r="E734" s="1016"/>
      <c r="F734" s="991"/>
      <c r="G734" s="51"/>
      <c r="H734" s="51"/>
      <c r="I734" s="4"/>
      <c r="J734" s="4"/>
      <c r="K734" s="4"/>
      <c r="L734" s="991"/>
      <c r="M734" s="2008">
        <f>5000*2*1.21*0.4</f>
        <v>4840</v>
      </c>
      <c r="N734" s="2009"/>
      <c r="O734" s="2012"/>
      <c r="P734" s="2009"/>
    </row>
    <row r="735" spans="1:17" x14ac:dyDescent="0.25">
      <c r="B735" s="38" t="s">
        <v>11</v>
      </c>
      <c r="C735" s="1015" t="s">
        <v>0</v>
      </c>
      <c r="D735" s="1016"/>
      <c r="E735" s="1016"/>
      <c r="F735" s="991"/>
      <c r="G735" s="51"/>
      <c r="H735" s="51"/>
      <c r="I735" s="4"/>
      <c r="J735" s="4"/>
      <c r="K735" s="4"/>
      <c r="L735" s="991"/>
      <c r="M735" s="2008">
        <f>5000*2*1.21*0.6</f>
        <v>7260</v>
      </c>
      <c r="N735" s="2009"/>
      <c r="O735" s="994"/>
      <c r="P735" s="995"/>
    </row>
    <row r="736" spans="1:17" x14ac:dyDescent="0.25">
      <c r="B736" s="38" t="s">
        <v>17</v>
      </c>
      <c r="C736" s="1015"/>
      <c r="D736" s="1016"/>
      <c r="E736" s="1016"/>
      <c r="F736" s="20" t="s">
        <v>1</v>
      </c>
      <c r="G736" s="1020" t="s">
        <v>233</v>
      </c>
      <c r="H736" s="51"/>
      <c r="I736" s="4"/>
      <c r="J736" s="4"/>
      <c r="K736" s="4"/>
      <c r="L736" s="991"/>
      <c r="M736" s="993"/>
      <c r="N736" s="995"/>
      <c r="O736" s="2008">
        <f>+M734+M735</f>
        <v>12100</v>
      </c>
      <c r="P736" s="2009"/>
    </row>
    <row r="737" spans="1:17" ht="11.25" customHeight="1" x14ac:dyDescent="0.25">
      <c r="A737" s="437"/>
      <c r="B737" s="1226" t="s">
        <v>1925</v>
      </c>
      <c r="C737" s="2198" t="s">
        <v>1784</v>
      </c>
      <c r="D737" s="2199"/>
      <c r="E737" s="2199"/>
      <c r="F737" s="2221"/>
      <c r="G737" s="2274" t="s">
        <v>1929</v>
      </c>
      <c r="H737" s="2246"/>
      <c r="I737" s="2198" t="s">
        <v>1784</v>
      </c>
      <c r="J737" s="2199"/>
      <c r="K737" s="2199"/>
      <c r="L737" s="2221"/>
      <c r="M737" s="993"/>
      <c r="N737" s="994"/>
      <c r="O737" s="993"/>
      <c r="P737" s="995"/>
      <c r="Q737" s="437"/>
    </row>
    <row r="738" spans="1:17" x14ac:dyDescent="0.25">
      <c r="B738" s="30" t="s">
        <v>15</v>
      </c>
      <c r="C738" s="1015" t="s">
        <v>301</v>
      </c>
      <c r="D738" s="1016"/>
      <c r="E738" s="1016"/>
      <c r="F738" s="991"/>
      <c r="G738" s="51"/>
      <c r="H738" s="51"/>
      <c r="I738" s="4"/>
      <c r="J738" s="4"/>
      <c r="K738" s="4"/>
      <c r="L738" s="991"/>
      <c r="M738" s="2008">
        <f>+$M$610/180*14</f>
        <v>1400</v>
      </c>
      <c r="N738" s="2009"/>
      <c r="O738" s="2008"/>
      <c r="P738" s="2009"/>
    </row>
    <row r="739" spans="1:17" x14ac:dyDescent="0.25">
      <c r="B739" s="1009" t="s">
        <v>14</v>
      </c>
      <c r="C739" s="1015"/>
      <c r="D739" s="1016"/>
      <c r="E739" s="1016"/>
      <c r="F739" s="20" t="s">
        <v>1</v>
      </c>
      <c r="G739" s="1020" t="s">
        <v>279</v>
      </c>
      <c r="H739" s="1020"/>
      <c r="I739" s="4"/>
      <c r="J739" s="4"/>
      <c r="K739" s="4"/>
      <c r="L739" s="4"/>
      <c r="M739" s="2008"/>
      <c r="N739" s="2009"/>
      <c r="O739" s="2008">
        <f>+M738</f>
        <v>1400</v>
      </c>
      <c r="P739" s="2009"/>
    </row>
    <row r="740" spans="1:17" x14ac:dyDescent="0.25">
      <c r="B740" s="1004"/>
      <c r="C740" s="2198" t="s">
        <v>1784</v>
      </c>
      <c r="D740" s="2199"/>
      <c r="E740" s="2199"/>
      <c r="F740" s="2199"/>
      <c r="G740" s="2248" t="s">
        <v>222</v>
      </c>
      <c r="H740" s="2248"/>
      <c r="I740" s="2199" t="s">
        <v>1784</v>
      </c>
      <c r="J740" s="2199"/>
      <c r="K740" s="2199"/>
      <c r="L740" s="2199"/>
      <c r="M740" s="993"/>
      <c r="N740" s="994"/>
      <c r="O740" s="993"/>
      <c r="P740" s="995"/>
    </row>
    <row r="741" spans="1:17" x14ac:dyDescent="0.25">
      <c r="B741" s="1004"/>
      <c r="C741" s="1175"/>
      <c r="D741" s="1175"/>
      <c r="E741" s="1175"/>
      <c r="F741" s="1175"/>
      <c r="G741" s="997"/>
      <c r="H741" s="997"/>
      <c r="I741" s="1175"/>
      <c r="J741" s="1175"/>
      <c r="K741" s="1175"/>
      <c r="L741" s="1175"/>
      <c r="M741" s="994"/>
      <c r="N741" s="994"/>
      <c r="O741" s="994"/>
      <c r="P741" s="994"/>
    </row>
    <row r="742" spans="1:17" s="4" customFormat="1" x14ac:dyDescent="0.25">
      <c r="B742" s="1004"/>
      <c r="C742" s="1175"/>
      <c r="D742" s="1175"/>
      <c r="E742" s="1175"/>
      <c r="F742" s="1175"/>
      <c r="G742" s="997"/>
      <c r="H742" s="997"/>
      <c r="I742" s="1175"/>
      <c r="J742" s="1175"/>
      <c r="K742" s="1175"/>
      <c r="L742" s="1175"/>
      <c r="M742" s="994"/>
      <c r="N742" s="994"/>
      <c r="O742" s="994"/>
      <c r="P742" s="994"/>
    </row>
    <row r="743" spans="1:17" x14ac:dyDescent="0.25">
      <c r="A743" s="4"/>
      <c r="B743" s="1004"/>
      <c r="C743" s="1016"/>
      <c r="D743" s="1016"/>
      <c r="E743" s="1016"/>
      <c r="F743" s="20"/>
      <c r="G743" s="1020"/>
      <c r="H743" s="1020"/>
      <c r="I743" s="4"/>
      <c r="J743" s="4"/>
      <c r="K743" s="4"/>
      <c r="L743" s="4"/>
      <c r="M743" s="994"/>
      <c r="N743" s="994"/>
      <c r="O743" s="994"/>
      <c r="P743" s="994"/>
      <c r="Q743" s="4"/>
    </row>
    <row r="744" spans="1:17" ht="11.25" customHeight="1" x14ac:dyDescent="0.25">
      <c r="A744" s="437"/>
      <c r="B744" s="1226" t="s">
        <v>1925</v>
      </c>
      <c r="C744" s="2198" t="s">
        <v>1784</v>
      </c>
      <c r="D744" s="2199"/>
      <c r="E744" s="2199"/>
      <c r="F744" s="2221"/>
      <c r="G744" s="2274" t="str">
        <f>+G737</f>
        <v>31/07/X0</v>
      </c>
      <c r="H744" s="2246"/>
      <c r="I744" s="2198" t="s">
        <v>1784</v>
      </c>
      <c r="J744" s="2199"/>
      <c r="K744" s="2199"/>
      <c r="L744" s="2221"/>
      <c r="M744" s="993"/>
      <c r="N744" s="994"/>
      <c r="O744" s="993"/>
      <c r="P744" s="995"/>
      <c r="Q744" s="437"/>
    </row>
    <row r="745" spans="1:17" x14ac:dyDescent="0.25">
      <c r="B745" s="30" t="s">
        <v>15</v>
      </c>
      <c r="C745" s="1015" t="s">
        <v>299</v>
      </c>
      <c r="D745" s="1016"/>
      <c r="E745" s="1016"/>
      <c r="F745" s="991"/>
      <c r="G745" s="51"/>
      <c r="H745" s="51"/>
      <c r="I745" s="4"/>
      <c r="J745" s="4"/>
      <c r="K745" s="4"/>
      <c r="L745" s="991"/>
      <c r="M745" s="2008">
        <f>(240000-80000)*0.01</f>
        <v>1600</v>
      </c>
      <c r="N745" s="2009"/>
      <c r="O745" s="2008"/>
      <c r="P745" s="2009"/>
    </row>
    <row r="746" spans="1:17" x14ac:dyDescent="0.25">
      <c r="B746" s="1009" t="s">
        <v>17</v>
      </c>
      <c r="C746" s="1015"/>
      <c r="D746" s="1016"/>
      <c r="E746" s="1016"/>
      <c r="F746" s="20" t="s">
        <v>1</v>
      </c>
      <c r="G746" s="1020" t="s">
        <v>300</v>
      </c>
      <c r="H746" s="1020"/>
      <c r="I746" s="4"/>
      <c r="J746" s="4"/>
      <c r="K746" s="4"/>
      <c r="L746" s="4"/>
      <c r="M746" s="2008"/>
      <c r="N746" s="2009"/>
      <c r="O746" s="2008">
        <f>+M745</f>
        <v>1600</v>
      </c>
      <c r="P746" s="2009"/>
    </row>
    <row r="747" spans="1:17" ht="11.25" customHeight="1" x14ac:dyDescent="0.25">
      <c r="A747" s="437"/>
      <c r="B747" s="1226" t="s">
        <v>1925</v>
      </c>
      <c r="C747" s="2198" t="s">
        <v>1784</v>
      </c>
      <c r="D747" s="2199"/>
      <c r="E747" s="2199"/>
      <c r="F747" s="2221"/>
      <c r="G747" s="2274" t="str">
        <f>+G744</f>
        <v>31/07/X0</v>
      </c>
      <c r="H747" s="2246"/>
      <c r="I747" s="2198" t="s">
        <v>1784</v>
      </c>
      <c r="J747" s="2199"/>
      <c r="K747" s="2199"/>
      <c r="L747" s="2221"/>
      <c r="M747" s="993"/>
      <c r="N747" s="994"/>
      <c r="O747" s="993"/>
      <c r="P747" s="995"/>
      <c r="Q747" s="437"/>
    </row>
    <row r="748" spans="1:17" x14ac:dyDescent="0.25">
      <c r="B748" s="30" t="s">
        <v>105</v>
      </c>
      <c r="C748" s="1015" t="s">
        <v>543</v>
      </c>
      <c r="D748" s="1016"/>
      <c r="E748" s="1016"/>
      <c r="F748" s="991"/>
      <c r="G748" s="51"/>
      <c r="H748" s="51"/>
      <c r="I748" s="4"/>
      <c r="J748" s="4"/>
      <c r="K748" s="4"/>
      <c r="L748" s="991"/>
      <c r="M748" s="2008">
        <f>+O717-M725</f>
        <v>300</v>
      </c>
      <c r="N748" s="2009"/>
      <c r="O748" s="2008"/>
      <c r="P748" s="2009"/>
    </row>
    <row r="749" spans="1:17" x14ac:dyDescent="0.25">
      <c r="B749" s="1009" t="s">
        <v>16</v>
      </c>
      <c r="C749" s="1015"/>
      <c r="D749" s="1016"/>
      <c r="E749" s="1016"/>
      <c r="F749" s="20" t="s">
        <v>1</v>
      </c>
      <c r="G749" s="1020" t="s">
        <v>1100</v>
      </c>
      <c r="H749" s="1020"/>
      <c r="I749" s="4"/>
      <c r="J749" s="4"/>
      <c r="K749" s="4"/>
      <c r="L749" s="4"/>
      <c r="M749" s="2008"/>
      <c r="N749" s="2009"/>
      <c r="O749" s="2008">
        <f>+M748</f>
        <v>300</v>
      </c>
      <c r="P749" s="2009"/>
    </row>
    <row r="750" spans="1:17" ht="11.25" customHeight="1" x14ac:dyDescent="0.25">
      <c r="A750" s="437"/>
      <c r="B750" s="108">
        <v>21</v>
      </c>
      <c r="C750" s="2198" t="s">
        <v>1784</v>
      </c>
      <c r="D750" s="2199"/>
      <c r="E750" s="2199"/>
      <c r="F750" s="2199"/>
      <c r="G750" s="2274" t="s">
        <v>1928</v>
      </c>
      <c r="H750" s="2246"/>
      <c r="I750" s="2199" t="s">
        <v>1784</v>
      </c>
      <c r="J750" s="2199"/>
      <c r="K750" s="2199"/>
      <c r="L750" s="2199"/>
      <c r="M750" s="993"/>
      <c r="N750" s="994"/>
      <c r="O750" s="993"/>
      <c r="P750" s="995"/>
      <c r="Q750" s="437"/>
    </row>
    <row r="751" spans="1:17" x14ac:dyDescent="0.25">
      <c r="B751" s="30" t="s">
        <v>207</v>
      </c>
      <c r="C751" s="1015" t="s">
        <v>1923</v>
      </c>
      <c r="D751" s="1016"/>
      <c r="E751" s="1016"/>
      <c r="F751" s="991"/>
      <c r="G751" s="51"/>
      <c r="H751" s="51"/>
      <c r="I751" s="4"/>
      <c r="J751" s="4"/>
      <c r="K751" s="4"/>
      <c r="L751" s="991"/>
      <c r="M751" s="2008">
        <v>80000</v>
      </c>
      <c r="N751" s="2009"/>
      <c r="O751" s="2012"/>
      <c r="P751" s="2009"/>
    </row>
    <row r="752" spans="1:17" x14ac:dyDescent="0.25">
      <c r="B752" s="38" t="s">
        <v>207</v>
      </c>
      <c r="C752" s="1015" t="s">
        <v>300</v>
      </c>
      <c r="D752" s="1016"/>
      <c r="E752" s="1016"/>
      <c r="F752" s="991"/>
      <c r="G752" s="51"/>
      <c r="H752" s="51"/>
      <c r="I752" s="4"/>
      <c r="J752" s="4"/>
      <c r="K752" s="4"/>
      <c r="L752" s="991"/>
      <c r="M752" s="2008">
        <f>+O746*2</f>
        <v>3200</v>
      </c>
      <c r="N752" s="2009"/>
      <c r="O752" s="994"/>
      <c r="P752" s="995"/>
    </row>
    <row r="753" spans="1:17" x14ac:dyDescent="0.25">
      <c r="B753" s="38" t="s">
        <v>14</v>
      </c>
      <c r="C753" s="1015"/>
      <c r="D753" s="1016"/>
      <c r="E753" s="1016"/>
      <c r="F753" s="20" t="s">
        <v>1</v>
      </c>
      <c r="G753" s="1020" t="s">
        <v>1922</v>
      </c>
      <c r="H753" s="51"/>
      <c r="I753" s="4"/>
      <c r="J753" s="4"/>
      <c r="K753" s="4"/>
      <c r="L753" s="991"/>
      <c r="M753" s="2008"/>
      <c r="N753" s="2009"/>
      <c r="O753" s="2008">
        <f>+M751+M752</f>
        <v>83200</v>
      </c>
      <c r="P753" s="2009"/>
    </row>
    <row r="754" spans="1:17" ht="11.25" customHeight="1" x14ac:dyDescent="0.25">
      <c r="A754" s="437"/>
      <c r="B754" s="108">
        <v>22</v>
      </c>
      <c r="C754" s="2198" t="s">
        <v>1784</v>
      </c>
      <c r="D754" s="2199"/>
      <c r="E754" s="2199"/>
      <c r="F754" s="2199"/>
      <c r="G754" s="2274" t="s">
        <v>1927</v>
      </c>
      <c r="H754" s="2246"/>
      <c r="I754" s="2199" t="s">
        <v>1784</v>
      </c>
      <c r="J754" s="2199"/>
      <c r="K754" s="2199"/>
      <c r="L754" s="2199"/>
      <c r="M754" s="993"/>
      <c r="N754" s="994"/>
      <c r="O754" s="993"/>
      <c r="P754" s="995"/>
      <c r="Q754" s="437"/>
    </row>
    <row r="755" spans="1:17" x14ac:dyDescent="0.25">
      <c r="B755" s="30" t="s">
        <v>11</v>
      </c>
      <c r="C755" s="1015" t="s">
        <v>478</v>
      </c>
      <c r="D755" s="1016"/>
      <c r="E755" s="1016"/>
      <c r="F755" s="991"/>
      <c r="G755" s="51"/>
      <c r="H755" s="51"/>
      <c r="I755" s="4"/>
      <c r="J755" s="4"/>
      <c r="K755" s="4"/>
      <c r="L755" s="991"/>
      <c r="M755" s="2008">
        <f>+O756+O757</f>
        <v>7760</v>
      </c>
      <c r="N755" s="2009"/>
      <c r="O755" s="2012"/>
      <c r="P755" s="2009"/>
    </row>
    <row r="756" spans="1:17" x14ac:dyDescent="0.25">
      <c r="B756" s="38" t="s">
        <v>14</v>
      </c>
      <c r="C756" s="1015"/>
      <c r="D756" s="1016"/>
      <c r="E756" s="1016"/>
      <c r="F756" s="20" t="s">
        <v>1</v>
      </c>
      <c r="G756" s="1020" t="s">
        <v>0</v>
      </c>
      <c r="H756" s="51"/>
      <c r="I756" s="4"/>
      <c r="J756" s="4"/>
      <c r="K756" s="4"/>
      <c r="L756" s="991"/>
      <c r="M756" s="2008"/>
      <c r="N756" s="2009"/>
      <c r="O756" s="2008">
        <f>+M735</f>
        <v>7260</v>
      </c>
      <c r="P756" s="2009"/>
    </row>
    <row r="757" spans="1:17" x14ac:dyDescent="0.25">
      <c r="B757" s="38" t="s">
        <v>108</v>
      </c>
      <c r="C757" s="1015"/>
      <c r="D757" s="1016"/>
      <c r="E757" s="1016"/>
      <c r="F757" s="20" t="s">
        <v>1</v>
      </c>
      <c r="G757" s="1020" t="s">
        <v>543</v>
      </c>
      <c r="H757" s="51"/>
      <c r="I757" s="4"/>
      <c r="J757" s="4"/>
      <c r="K757" s="4"/>
      <c r="L757" s="991"/>
      <c r="M757" s="2008"/>
      <c r="N757" s="2009"/>
      <c r="O757" s="2008">
        <v>500</v>
      </c>
      <c r="P757" s="2009"/>
    </row>
    <row r="758" spans="1:17" ht="11.25" customHeight="1" x14ac:dyDescent="0.25">
      <c r="A758" s="437"/>
      <c r="B758" s="1226" t="s">
        <v>1925</v>
      </c>
      <c r="C758" s="2198" t="s">
        <v>1784</v>
      </c>
      <c r="D758" s="2199"/>
      <c r="E758" s="2199"/>
      <c r="F758" s="2221"/>
      <c r="G758" s="2274" t="s">
        <v>1926</v>
      </c>
      <c r="H758" s="2246"/>
      <c r="I758" s="2198" t="s">
        <v>1784</v>
      </c>
      <c r="J758" s="2199"/>
      <c r="K758" s="2199"/>
      <c r="L758" s="2221"/>
      <c r="M758" s="993"/>
      <c r="N758" s="994"/>
      <c r="O758" s="993"/>
      <c r="P758" s="995"/>
      <c r="Q758" s="437"/>
    </row>
    <row r="759" spans="1:17" x14ac:dyDescent="0.25">
      <c r="B759" s="30" t="s">
        <v>15</v>
      </c>
      <c r="C759" s="1015" t="s">
        <v>299</v>
      </c>
      <c r="D759" s="1016"/>
      <c r="E759" s="1016"/>
      <c r="F759" s="991"/>
      <c r="G759" s="51"/>
      <c r="H759" s="51"/>
      <c r="I759" s="4"/>
      <c r="J759" s="4"/>
      <c r="K759" s="4"/>
      <c r="L759" s="991"/>
      <c r="M759" s="2008">
        <f>(240000-160000)*0.01</f>
        <v>800</v>
      </c>
      <c r="N759" s="2009"/>
      <c r="O759" s="2008"/>
      <c r="P759" s="2009"/>
    </row>
    <row r="760" spans="1:17" x14ac:dyDescent="0.25">
      <c r="B760" s="1009" t="s">
        <v>17</v>
      </c>
      <c r="C760" s="1015"/>
      <c r="D760" s="1016"/>
      <c r="E760" s="1016"/>
      <c r="F760" s="20" t="s">
        <v>1</v>
      </c>
      <c r="G760" s="1020" t="s">
        <v>300</v>
      </c>
      <c r="H760" s="1020"/>
      <c r="I760" s="4"/>
      <c r="J760" s="4"/>
      <c r="K760" s="4"/>
      <c r="L760" s="4"/>
      <c r="M760" s="2008"/>
      <c r="N760" s="2009"/>
      <c r="O760" s="2008">
        <f>+M759</f>
        <v>800</v>
      </c>
      <c r="P760" s="2009"/>
    </row>
    <row r="761" spans="1:17" ht="11.25" customHeight="1" x14ac:dyDescent="0.25">
      <c r="A761" s="437"/>
      <c r="B761" s="1226" t="s">
        <v>1925</v>
      </c>
      <c r="C761" s="2198" t="s">
        <v>1784</v>
      </c>
      <c r="D761" s="2199"/>
      <c r="E761" s="2199"/>
      <c r="F761" s="2221"/>
      <c r="G761" s="2274" t="s">
        <v>1926</v>
      </c>
      <c r="H761" s="2246"/>
      <c r="I761" s="2198" t="s">
        <v>1784</v>
      </c>
      <c r="J761" s="2199"/>
      <c r="K761" s="2199"/>
      <c r="L761" s="2221"/>
      <c r="M761" s="993"/>
      <c r="N761" s="994"/>
      <c r="O761" s="993"/>
      <c r="P761" s="995"/>
      <c r="Q761" s="437"/>
    </row>
    <row r="762" spans="1:17" x14ac:dyDescent="0.25">
      <c r="B762" s="30" t="s">
        <v>207</v>
      </c>
      <c r="C762" s="1015" t="s">
        <v>233</v>
      </c>
      <c r="D762" s="1016"/>
      <c r="E762" s="1016"/>
      <c r="F762" s="991"/>
      <c r="G762" s="51"/>
      <c r="H762" s="51"/>
      <c r="I762" s="4"/>
      <c r="J762" s="4"/>
      <c r="K762" s="4"/>
      <c r="L762" s="991"/>
      <c r="M762" s="2008">
        <f>+O736/2</f>
        <v>6050</v>
      </c>
      <c r="N762" s="2009"/>
      <c r="O762" s="2008"/>
      <c r="P762" s="2009"/>
    </row>
    <row r="763" spans="1:17" x14ac:dyDescent="0.25">
      <c r="B763" s="1009" t="s">
        <v>16</v>
      </c>
      <c r="C763" s="1015"/>
      <c r="D763" s="1016"/>
      <c r="E763" s="1016"/>
      <c r="F763" s="20" t="s">
        <v>1</v>
      </c>
      <c r="G763" s="1020" t="s">
        <v>3</v>
      </c>
      <c r="H763" s="1020"/>
      <c r="I763" s="4"/>
      <c r="J763" s="4"/>
      <c r="K763" s="4"/>
      <c r="L763" s="4"/>
      <c r="M763" s="2008"/>
      <c r="N763" s="2009"/>
      <c r="O763" s="2008">
        <v>5000</v>
      </c>
      <c r="P763" s="2009"/>
    </row>
    <row r="764" spans="1:17" x14ac:dyDescent="0.25">
      <c r="B764" s="1009" t="s">
        <v>17</v>
      </c>
      <c r="C764" s="1015"/>
      <c r="D764" s="1016"/>
      <c r="E764" s="1016"/>
      <c r="F764" s="20" t="s">
        <v>1</v>
      </c>
      <c r="G764" s="1020" t="s">
        <v>12</v>
      </c>
      <c r="H764" s="1020"/>
      <c r="I764" s="4"/>
      <c r="J764" s="4"/>
      <c r="K764" s="4"/>
      <c r="L764" s="4"/>
      <c r="M764" s="2008"/>
      <c r="N764" s="2009"/>
      <c r="O764" s="2008">
        <f>+O763*0.21</f>
        <v>1050</v>
      </c>
      <c r="P764" s="2009"/>
    </row>
    <row r="765" spans="1:17" ht="11.25" customHeight="1" x14ac:dyDescent="0.25">
      <c r="A765" s="437"/>
      <c r="B765" s="1226" t="s">
        <v>1925</v>
      </c>
      <c r="C765" s="2198" t="s">
        <v>1784</v>
      </c>
      <c r="D765" s="2199"/>
      <c r="E765" s="2199"/>
      <c r="F765" s="2221"/>
      <c r="G765" s="2274" t="s">
        <v>1926</v>
      </c>
      <c r="H765" s="2246"/>
      <c r="I765" s="2198" t="s">
        <v>1784</v>
      </c>
      <c r="J765" s="2199"/>
      <c r="K765" s="2199"/>
      <c r="L765" s="2221"/>
      <c r="M765" s="993"/>
      <c r="N765" s="994"/>
      <c r="O765" s="993"/>
      <c r="P765" s="995"/>
      <c r="Q765" s="437"/>
    </row>
    <row r="766" spans="1:17" x14ac:dyDescent="0.25">
      <c r="B766" s="30" t="s">
        <v>105</v>
      </c>
      <c r="C766" s="1015" t="str">
        <f>+G757</f>
        <v>Intereses positivos a devengar s/D.a.C.</v>
      </c>
      <c r="D766" s="1016"/>
      <c r="E766" s="1016"/>
      <c r="F766" s="991"/>
      <c r="G766" s="51"/>
      <c r="H766" s="51"/>
      <c r="I766" s="4"/>
      <c r="J766" s="4"/>
      <c r="K766" s="4"/>
      <c r="L766" s="991"/>
      <c r="M766" s="2008">
        <f>+O757/40*10</f>
        <v>125</v>
      </c>
      <c r="N766" s="2009"/>
      <c r="O766" s="2008"/>
      <c r="P766" s="2009"/>
    </row>
    <row r="767" spans="1:17" x14ac:dyDescent="0.25">
      <c r="B767" s="1009" t="s">
        <v>16</v>
      </c>
      <c r="C767" s="1015"/>
      <c r="D767" s="1016"/>
      <c r="E767" s="1016"/>
      <c r="F767" s="20" t="s">
        <v>1</v>
      </c>
      <c r="G767" s="1020" t="s">
        <v>1100</v>
      </c>
      <c r="H767" s="1020"/>
      <c r="I767" s="4"/>
      <c r="J767" s="4"/>
      <c r="K767" s="4"/>
      <c r="L767" s="4"/>
      <c r="M767" s="2008"/>
      <c r="N767" s="2009"/>
      <c r="O767" s="2008">
        <f>+M766</f>
        <v>125</v>
      </c>
      <c r="P767" s="2009"/>
    </row>
    <row r="768" spans="1:17" ht="11.25" customHeight="1" x14ac:dyDescent="0.25">
      <c r="A768" s="437"/>
      <c r="B768" s="1226" t="s">
        <v>1925</v>
      </c>
      <c r="C768" s="2198" t="s">
        <v>1784</v>
      </c>
      <c r="D768" s="2199"/>
      <c r="E768" s="2199"/>
      <c r="F768" s="2221"/>
      <c r="G768" s="2274" t="s">
        <v>1665</v>
      </c>
      <c r="H768" s="2246"/>
      <c r="I768" s="2198" t="s">
        <v>1784</v>
      </c>
      <c r="J768" s="2199"/>
      <c r="K768" s="2199"/>
      <c r="L768" s="2221"/>
      <c r="M768" s="993"/>
      <c r="N768" s="994"/>
      <c r="O768" s="993"/>
      <c r="P768" s="995"/>
      <c r="Q768" s="437"/>
    </row>
    <row r="769" spans="1:17" x14ac:dyDescent="0.25">
      <c r="B769" s="30" t="s">
        <v>15</v>
      </c>
      <c r="C769" s="1015" t="s">
        <v>299</v>
      </c>
      <c r="D769" s="1016"/>
      <c r="E769" s="1016"/>
      <c r="F769" s="991"/>
      <c r="G769" s="51"/>
      <c r="H769" s="51"/>
      <c r="I769" s="4"/>
      <c r="J769" s="4"/>
      <c r="K769" s="4"/>
      <c r="L769" s="991"/>
      <c r="M769" s="2008">
        <f>(240000-160000)*0.01</f>
        <v>800</v>
      </c>
      <c r="N769" s="2009"/>
      <c r="O769" s="2008"/>
      <c r="P769" s="2009"/>
    </row>
    <row r="770" spans="1:17" x14ac:dyDescent="0.25">
      <c r="B770" s="1009" t="s">
        <v>17</v>
      </c>
      <c r="C770" s="1015"/>
      <c r="D770" s="1016"/>
      <c r="E770" s="1016"/>
      <c r="F770" s="20" t="s">
        <v>1</v>
      </c>
      <c r="G770" s="1020" t="s">
        <v>300</v>
      </c>
      <c r="H770" s="1020"/>
      <c r="I770" s="4"/>
      <c r="J770" s="4"/>
      <c r="K770" s="4"/>
      <c r="L770" s="4"/>
      <c r="M770" s="2008"/>
      <c r="N770" s="2009"/>
      <c r="O770" s="2008">
        <f>+M769</f>
        <v>800</v>
      </c>
      <c r="P770" s="2009"/>
    </row>
    <row r="771" spans="1:17" ht="11.25" customHeight="1" x14ac:dyDescent="0.25">
      <c r="A771" s="437"/>
      <c r="B771" s="1226" t="s">
        <v>1925</v>
      </c>
      <c r="C771" s="2198" t="s">
        <v>1784</v>
      </c>
      <c r="D771" s="2199"/>
      <c r="E771" s="2199"/>
      <c r="F771" s="2221"/>
      <c r="G771" s="2274" t="str">
        <f>+G768</f>
        <v>30/09/X0</v>
      </c>
      <c r="H771" s="2246"/>
      <c r="I771" s="2198" t="s">
        <v>1784</v>
      </c>
      <c r="J771" s="2199"/>
      <c r="K771" s="2199"/>
      <c r="L771" s="2221"/>
      <c r="M771" s="993"/>
      <c r="N771" s="994"/>
      <c r="O771" s="993"/>
      <c r="P771" s="995"/>
      <c r="Q771" s="437"/>
    </row>
    <row r="772" spans="1:17" x14ac:dyDescent="0.25">
      <c r="B772" s="30" t="s">
        <v>207</v>
      </c>
      <c r="C772" s="1015" t="s">
        <v>233</v>
      </c>
      <c r="D772" s="1016"/>
      <c r="E772" s="1016"/>
      <c r="F772" s="991"/>
      <c r="G772" s="51"/>
      <c r="H772" s="51"/>
      <c r="I772" s="4"/>
      <c r="J772" s="4"/>
      <c r="K772" s="4"/>
      <c r="L772" s="991"/>
      <c r="M772" s="2008">
        <f>+M762</f>
        <v>6050</v>
      </c>
      <c r="N772" s="2009"/>
      <c r="O772" s="2008"/>
      <c r="P772" s="2009"/>
    </row>
    <row r="773" spans="1:17" x14ac:dyDescent="0.25">
      <c r="B773" s="1009" t="s">
        <v>16</v>
      </c>
      <c r="C773" s="1015"/>
      <c r="D773" s="1016"/>
      <c r="E773" s="1016"/>
      <c r="F773" s="20" t="s">
        <v>1</v>
      </c>
      <c r="G773" s="1020" t="s">
        <v>3</v>
      </c>
      <c r="H773" s="1020"/>
      <c r="I773" s="4"/>
      <c r="J773" s="4"/>
      <c r="K773" s="4"/>
      <c r="L773" s="4"/>
      <c r="M773" s="2008"/>
      <c r="N773" s="2009"/>
      <c r="O773" s="2008">
        <v>5000</v>
      </c>
      <c r="P773" s="2009"/>
    </row>
    <row r="774" spans="1:17" x14ac:dyDescent="0.25">
      <c r="B774" s="1009" t="s">
        <v>17</v>
      </c>
      <c r="C774" s="1015"/>
      <c r="D774" s="1016"/>
      <c r="E774" s="1016"/>
      <c r="F774" s="20" t="s">
        <v>1</v>
      </c>
      <c r="G774" s="1020" t="s">
        <v>12</v>
      </c>
      <c r="H774" s="1020"/>
      <c r="I774" s="4"/>
      <c r="J774" s="4"/>
      <c r="K774" s="4"/>
      <c r="L774" s="4"/>
      <c r="M774" s="2008"/>
      <c r="N774" s="2009"/>
      <c r="O774" s="2008">
        <f>+O773*0.21</f>
        <v>1050</v>
      </c>
      <c r="P774" s="2009"/>
    </row>
    <row r="775" spans="1:17" ht="11.25" customHeight="1" x14ac:dyDescent="0.25">
      <c r="A775" s="437"/>
      <c r="B775" s="1226" t="s">
        <v>1925</v>
      </c>
      <c r="C775" s="2198" t="s">
        <v>1784</v>
      </c>
      <c r="D775" s="2199"/>
      <c r="E775" s="2199"/>
      <c r="F775" s="2221"/>
      <c r="G775" s="2274" t="str">
        <f>+G771</f>
        <v>30/09/X0</v>
      </c>
      <c r="H775" s="2246"/>
      <c r="I775" s="2198" t="s">
        <v>1784</v>
      </c>
      <c r="J775" s="2199"/>
      <c r="K775" s="2199"/>
      <c r="L775" s="2221"/>
      <c r="M775" s="993"/>
      <c r="N775" s="994"/>
      <c r="O775" s="993"/>
      <c r="P775" s="995"/>
      <c r="Q775" s="437"/>
    </row>
    <row r="776" spans="1:17" x14ac:dyDescent="0.25">
      <c r="B776" s="30" t="s">
        <v>105</v>
      </c>
      <c r="C776" s="1015" t="str">
        <f>+C766</f>
        <v>Intereses positivos a devengar s/D.a.C.</v>
      </c>
      <c r="D776" s="1016"/>
      <c r="E776" s="1016"/>
      <c r="F776" s="991"/>
      <c r="G776" s="51"/>
      <c r="H776" s="51"/>
      <c r="I776" s="4"/>
      <c r="J776" s="4"/>
      <c r="K776" s="4"/>
      <c r="L776" s="991"/>
      <c r="M776" s="2008">
        <f>+O757/40*30</f>
        <v>375</v>
      </c>
      <c r="N776" s="2009"/>
      <c r="O776" s="2008"/>
      <c r="P776" s="2009"/>
    </row>
    <row r="777" spans="1:17" x14ac:dyDescent="0.25">
      <c r="B777" s="1009" t="s">
        <v>16</v>
      </c>
      <c r="C777" s="1015"/>
      <c r="D777" s="1016"/>
      <c r="E777" s="1016"/>
      <c r="F777" s="20" t="s">
        <v>1</v>
      </c>
      <c r="G777" s="1020" t="s">
        <v>1100</v>
      </c>
      <c r="H777" s="1020"/>
      <c r="I777" s="4"/>
      <c r="J777" s="4"/>
      <c r="K777" s="4"/>
      <c r="L777" s="4"/>
      <c r="M777" s="2008"/>
      <c r="N777" s="2009"/>
      <c r="O777" s="2008">
        <f>+M776</f>
        <v>375</v>
      </c>
      <c r="P777" s="2009"/>
    </row>
    <row r="778" spans="1:17" ht="11.25" customHeight="1" x14ac:dyDescent="0.25">
      <c r="A778" s="437"/>
      <c r="B778" s="108">
        <v>23</v>
      </c>
      <c r="C778" s="2198" t="s">
        <v>1784</v>
      </c>
      <c r="D778" s="2199"/>
      <c r="E778" s="2199"/>
      <c r="F778" s="2199"/>
      <c r="G778" s="2274" t="s">
        <v>1924</v>
      </c>
      <c r="H778" s="2246"/>
      <c r="I778" s="2199" t="s">
        <v>1784</v>
      </c>
      <c r="J778" s="2199"/>
      <c r="K778" s="2199"/>
      <c r="L778" s="2199"/>
      <c r="M778" s="993"/>
      <c r="N778" s="994"/>
      <c r="O778" s="993"/>
      <c r="P778" s="995"/>
      <c r="Q778" s="437"/>
    </row>
    <row r="779" spans="1:17" x14ac:dyDescent="0.25">
      <c r="B779" s="30" t="s">
        <v>207</v>
      </c>
      <c r="C779" s="1015" t="s">
        <v>1923</v>
      </c>
      <c r="D779" s="1016"/>
      <c r="E779" s="1016"/>
      <c r="F779" s="991"/>
      <c r="G779" s="51"/>
      <c r="H779" s="51"/>
      <c r="I779" s="4"/>
      <c r="J779" s="4"/>
      <c r="K779" s="4"/>
      <c r="L779" s="991"/>
      <c r="M779" s="2008">
        <v>80000</v>
      </c>
      <c r="N779" s="2009"/>
      <c r="O779" s="2012"/>
      <c r="P779" s="2009"/>
    </row>
    <row r="780" spans="1:17" x14ac:dyDescent="0.25">
      <c r="B780" s="38" t="s">
        <v>207</v>
      </c>
      <c r="C780" s="1015" t="s">
        <v>300</v>
      </c>
      <c r="D780" s="1016"/>
      <c r="E780" s="1016"/>
      <c r="F780" s="991"/>
      <c r="G780" s="51"/>
      <c r="H780" s="51"/>
      <c r="I780" s="4"/>
      <c r="J780" s="4"/>
      <c r="K780" s="4"/>
      <c r="L780" s="991"/>
      <c r="M780" s="2008">
        <f>+O770*2</f>
        <v>1600</v>
      </c>
      <c r="N780" s="2009"/>
      <c r="O780" s="994"/>
      <c r="P780" s="995"/>
    </row>
    <row r="781" spans="1:17" x14ac:dyDescent="0.25">
      <c r="B781" s="38" t="s">
        <v>14</v>
      </c>
      <c r="C781" s="1015"/>
      <c r="D781" s="1016"/>
      <c r="E781" s="1016"/>
      <c r="F781" s="20" t="s">
        <v>1</v>
      </c>
      <c r="G781" s="1020" t="s">
        <v>1922</v>
      </c>
      <c r="H781" s="51"/>
      <c r="I781" s="4"/>
      <c r="J781" s="4"/>
      <c r="K781" s="4"/>
      <c r="L781" s="991"/>
      <c r="M781" s="2008"/>
      <c r="N781" s="2009"/>
      <c r="O781" s="2008">
        <f>+M779+M780</f>
        <v>81600</v>
      </c>
      <c r="P781" s="2009"/>
    </row>
    <row r="782" spans="1:17" ht="11.25" customHeight="1" x14ac:dyDescent="0.25">
      <c r="A782" s="437"/>
      <c r="B782" s="108">
        <v>24</v>
      </c>
      <c r="C782" s="2198" t="s">
        <v>1784</v>
      </c>
      <c r="D782" s="2199"/>
      <c r="E782" s="2199"/>
      <c r="F782" s="2199"/>
      <c r="G782" s="2274" t="str">
        <f>+G778</f>
        <v>01/10/X0</v>
      </c>
      <c r="H782" s="2246"/>
      <c r="I782" s="2199" t="s">
        <v>1784</v>
      </c>
      <c r="J782" s="2199"/>
      <c r="K782" s="2199"/>
      <c r="L782" s="2199"/>
      <c r="M782" s="993"/>
      <c r="N782" s="994"/>
      <c r="O782" s="993"/>
      <c r="P782" s="995"/>
      <c r="Q782" s="437"/>
    </row>
    <row r="783" spans="1:17" x14ac:dyDescent="0.25">
      <c r="B783" s="30" t="s">
        <v>11</v>
      </c>
      <c r="C783" s="1015" t="s">
        <v>227</v>
      </c>
      <c r="D783" s="1016"/>
      <c r="E783" s="1016"/>
      <c r="F783" s="991"/>
      <c r="G783" s="51"/>
      <c r="H783" s="51"/>
      <c r="I783" s="4"/>
      <c r="J783" s="4"/>
      <c r="K783" s="4"/>
      <c r="L783" s="991"/>
      <c r="M783" s="2008">
        <f>+O784</f>
        <v>7760</v>
      </c>
      <c r="N783" s="2009"/>
      <c r="O783" s="2012"/>
      <c r="P783" s="2009"/>
    </row>
    <row r="784" spans="1:17" x14ac:dyDescent="0.25">
      <c r="B784" s="38" t="s">
        <v>14</v>
      </c>
      <c r="C784" s="1017"/>
      <c r="D784" s="1018"/>
      <c r="E784" s="1018"/>
      <c r="F784" s="35" t="s">
        <v>1</v>
      </c>
      <c r="G784" s="1022" t="s">
        <v>478</v>
      </c>
      <c r="H784" s="24"/>
      <c r="I784" s="3"/>
      <c r="J784" s="3"/>
      <c r="K784" s="3"/>
      <c r="L784" s="1013"/>
      <c r="M784" s="2006"/>
      <c r="N784" s="2007"/>
      <c r="O784" s="2006">
        <f>+M755</f>
        <v>7760</v>
      </c>
      <c r="P784" s="2007"/>
    </row>
    <row r="795" spans="1:17" s="4" customFormat="1" x14ac:dyDescent="0.25">
      <c r="B795" s="1004"/>
      <c r="C795" s="12"/>
      <c r="D795" s="12"/>
      <c r="E795" s="12"/>
      <c r="F795" s="12"/>
      <c r="G795" s="51"/>
      <c r="H795" s="51"/>
      <c r="M795" s="18"/>
      <c r="N795" s="18"/>
      <c r="O795" s="18"/>
      <c r="P795" s="18"/>
    </row>
    <row r="796" spans="1:17" x14ac:dyDescent="0.25">
      <c r="A796" s="3"/>
      <c r="B796" s="1004"/>
      <c r="G796" s="51"/>
      <c r="H796" s="51"/>
      <c r="I796" s="4"/>
      <c r="J796" s="4"/>
      <c r="K796" s="4"/>
      <c r="L796" s="4"/>
      <c r="M796" s="18"/>
      <c r="N796" s="18"/>
      <c r="O796" s="18"/>
      <c r="P796" s="18"/>
      <c r="Q796" s="4"/>
    </row>
    <row r="797" spans="1:17" x14ac:dyDescent="0.25">
      <c r="A797" s="1844" t="s">
        <v>20</v>
      </c>
      <c r="B797" s="1845"/>
      <c r="C797" s="1845"/>
      <c r="D797" s="1845"/>
      <c r="E797" s="1845"/>
      <c r="F797" s="1845"/>
      <c r="G797" s="1845"/>
      <c r="H797" s="1845"/>
      <c r="I797" s="1845"/>
      <c r="J797" s="1845"/>
      <c r="K797" s="1845"/>
      <c r="L797" s="1845"/>
      <c r="M797" s="1845"/>
      <c r="N797" s="1845"/>
      <c r="O797" s="1845"/>
      <c r="P797" s="1845"/>
      <c r="Q797" s="1846"/>
    </row>
    <row r="798" spans="1:17" x14ac:dyDescent="0.25">
      <c r="A798" s="1847" t="s">
        <v>1921</v>
      </c>
      <c r="B798" s="1848"/>
      <c r="C798" s="1848"/>
      <c r="D798" s="1848"/>
      <c r="E798" s="1848"/>
      <c r="F798" s="1848"/>
      <c r="G798" s="1848"/>
      <c r="H798" s="1848"/>
      <c r="I798" s="1848"/>
      <c r="J798" s="1848"/>
      <c r="K798" s="1848"/>
      <c r="L798" s="1848"/>
      <c r="M798" s="1848"/>
      <c r="N798" s="1848"/>
      <c r="O798" s="1848"/>
      <c r="P798" s="1848"/>
      <c r="Q798" s="1849"/>
    </row>
    <row r="799" spans="1:17" x14ac:dyDescent="0.25">
      <c r="A799" s="4"/>
      <c r="B799" s="1004"/>
      <c r="G799" s="51"/>
      <c r="H799" s="51"/>
      <c r="I799" s="4"/>
      <c r="J799" s="4"/>
      <c r="K799" s="4"/>
      <c r="L799" s="4"/>
      <c r="M799" s="18"/>
      <c r="N799" s="18"/>
      <c r="O799" s="18"/>
      <c r="P799" s="18"/>
      <c r="Q799" s="4"/>
    </row>
    <row r="800" spans="1:17" x14ac:dyDescent="0.25">
      <c r="A800" s="437"/>
      <c r="B800" s="207">
        <v>1</v>
      </c>
      <c r="C800" s="1188"/>
      <c r="D800" s="1175"/>
      <c r="E800" s="1173"/>
      <c r="F800" s="1173"/>
      <c r="G800" s="2224"/>
      <c r="H800" s="2224"/>
      <c r="I800" s="1174"/>
      <c r="J800" s="1174"/>
      <c r="K800" s="1174"/>
      <c r="L800" s="1173"/>
      <c r="M800" s="2103" t="s">
        <v>9</v>
      </c>
      <c r="N800" s="2103"/>
      <c r="O800" s="2103" t="s">
        <v>8</v>
      </c>
      <c r="P800" s="2103"/>
      <c r="Q800" s="437"/>
    </row>
    <row r="801" spans="1:17" x14ac:dyDescent="0.25">
      <c r="B801" s="30" t="s">
        <v>11</v>
      </c>
      <c r="C801" s="1015" t="s">
        <v>1918</v>
      </c>
      <c r="D801" s="31"/>
      <c r="E801" s="1016"/>
      <c r="F801" s="991"/>
      <c r="G801" s="51"/>
      <c r="H801" s="51"/>
      <c r="I801" s="4"/>
      <c r="J801" s="4"/>
      <c r="K801" s="4"/>
      <c r="L801" s="991"/>
      <c r="M801" s="2008">
        <v>5000</v>
      </c>
      <c r="N801" s="2009"/>
      <c r="O801" s="2012"/>
      <c r="P801" s="2009"/>
    </row>
    <row r="802" spans="1:17" x14ac:dyDescent="0.25">
      <c r="B802" s="1009" t="s">
        <v>14</v>
      </c>
      <c r="C802" s="1015"/>
      <c r="D802" s="1016"/>
      <c r="E802" s="1016"/>
      <c r="F802" s="20" t="s">
        <v>1</v>
      </c>
      <c r="G802" s="1020" t="s">
        <v>22</v>
      </c>
      <c r="H802" s="1020"/>
      <c r="I802" s="4"/>
      <c r="J802" s="4"/>
      <c r="K802" s="4"/>
      <c r="L802" s="4"/>
      <c r="M802" s="2008"/>
      <c r="N802" s="2012"/>
      <c r="O802" s="2008">
        <v>5000</v>
      </c>
      <c r="P802" s="2009"/>
    </row>
    <row r="803" spans="1:17" x14ac:dyDescent="0.25">
      <c r="A803" s="437"/>
      <c r="B803" s="207">
        <v>2</v>
      </c>
      <c r="C803" s="2198" t="s">
        <v>1784</v>
      </c>
      <c r="D803" s="2199"/>
      <c r="E803" s="2199"/>
      <c r="F803" s="2199"/>
      <c r="G803" s="2220"/>
      <c r="H803" s="2220"/>
      <c r="I803" s="2199" t="s">
        <v>1784</v>
      </c>
      <c r="J803" s="2199"/>
      <c r="K803" s="2199"/>
      <c r="L803" s="2199"/>
      <c r="M803" s="993"/>
      <c r="N803" s="994"/>
      <c r="O803" s="993"/>
      <c r="P803" s="995"/>
      <c r="Q803" s="437"/>
    </row>
    <row r="804" spans="1:17" x14ac:dyDescent="0.25">
      <c r="B804" s="30" t="s">
        <v>15</v>
      </c>
      <c r="C804" s="1015" t="s">
        <v>1920</v>
      </c>
      <c r="D804" s="1016"/>
      <c r="E804" s="1016"/>
      <c r="F804" s="991"/>
      <c r="G804" s="51"/>
      <c r="H804" s="51"/>
      <c r="I804" s="4"/>
      <c r="J804" s="4"/>
      <c r="K804" s="4"/>
      <c r="L804" s="991"/>
      <c r="M804" s="2008">
        <v>150000</v>
      </c>
      <c r="N804" s="2009"/>
      <c r="O804" s="2012"/>
      <c r="P804" s="2009"/>
    </row>
    <row r="805" spans="1:17" x14ac:dyDescent="0.25">
      <c r="B805" s="38" t="s">
        <v>15</v>
      </c>
      <c r="C805" s="1015" t="s">
        <v>1919</v>
      </c>
      <c r="D805" s="1016"/>
      <c r="E805" s="1016"/>
      <c r="F805" s="991"/>
      <c r="G805" s="51"/>
      <c r="H805" s="51"/>
      <c r="I805" s="4"/>
      <c r="J805" s="4"/>
      <c r="K805" s="4"/>
      <c r="L805" s="991"/>
      <c r="M805" s="2008">
        <f>+M804*0.23</f>
        <v>34500</v>
      </c>
      <c r="N805" s="2009"/>
      <c r="O805" s="2008"/>
      <c r="P805" s="2009"/>
    </row>
    <row r="806" spans="1:17" x14ac:dyDescent="0.25">
      <c r="B806" s="38" t="s">
        <v>14</v>
      </c>
      <c r="C806" s="1015"/>
      <c r="D806" s="1016"/>
      <c r="E806" s="1016"/>
      <c r="F806" s="20" t="s">
        <v>1</v>
      </c>
      <c r="G806" s="1020" t="s">
        <v>1918</v>
      </c>
      <c r="H806" s="51"/>
      <c r="I806" s="4"/>
      <c r="J806" s="4"/>
      <c r="K806" s="4"/>
      <c r="L806" s="991"/>
      <c r="M806" s="2008"/>
      <c r="N806" s="2009"/>
      <c r="O806" s="2008">
        <f>3000+5000</f>
        <v>8000</v>
      </c>
      <c r="P806" s="2009"/>
    </row>
    <row r="807" spans="1:17" x14ac:dyDescent="0.25">
      <c r="B807" s="38" t="s">
        <v>17</v>
      </c>
      <c r="C807" s="1015"/>
      <c r="D807" s="1016"/>
      <c r="E807" s="1016"/>
      <c r="F807" s="20" t="s">
        <v>1</v>
      </c>
      <c r="G807" s="1020" t="s">
        <v>289</v>
      </c>
      <c r="H807" s="51"/>
      <c r="I807" s="4"/>
      <c r="J807" s="4"/>
      <c r="K807" s="4"/>
      <c r="L807" s="991"/>
      <c r="M807" s="993"/>
      <c r="N807" s="995"/>
      <c r="O807" s="2008">
        <f>+SUM(M804:N804)*0.4</f>
        <v>60000</v>
      </c>
      <c r="P807" s="2009"/>
    </row>
    <row r="808" spans="1:17" x14ac:dyDescent="0.25">
      <c r="B808" s="38" t="s">
        <v>17</v>
      </c>
      <c r="C808" s="1015"/>
      <c r="D808" s="1016"/>
      <c r="E808" s="1016"/>
      <c r="F808" s="20" t="s">
        <v>1</v>
      </c>
      <c r="G808" s="1020" t="s">
        <v>1917</v>
      </c>
      <c r="H808" s="51"/>
      <c r="I808" s="4"/>
      <c r="J808" s="4"/>
      <c r="K808" s="4"/>
      <c r="L808" s="991"/>
      <c r="M808" s="2008"/>
      <c r="N808" s="2009"/>
      <c r="O808" s="2008">
        <v>4000</v>
      </c>
      <c r="P808" s="2009"/>
    </row>
    <row r="809" spans="1:17" x14ac:dyDescent="0.25">
      <c r="B809" s="38" t="s">
        <v>14</v>
      </c>
      <c r="C809" s="1015"/>
      <c r="D809" s="1016"/>
      <c r="E809" s="1016"/>
      <c r="F809" s="20" t="s">
        <v>1</v>
      </c>
      <c r="G809" s="1020" t="s">
        <v>22</v>
      </c>
      <c r="H809" s="51"/>
      <c r="I809" s="4"/>
      <c r="J809" s="4"/>
      <c r="K809" s="4"/>
      <c r="L809" s="991"/>
      <c r="M809" s="2008"/>
      <c r="N809" s="2009"/>
      <c r="O809" s="2008">
        <f>+(SUM($M$804:$N$805)-SUM($O$806:$P$808))*0.2</f>
        <v>22500</v>
      </c>
      <c r="P809" s="2009"/>
    </row>
    <row r="810" spans="1:17" x14ac:dyDescent="0.25">
      <c r="B810" s="38" t="s">
        <v>17</v>
      </c>
      <c r="C810" s="1015"/>
      <c r="D810" s="1016"/>
      <c r="E810" s="1016"/>
      <c r="F810" s="20" t="s">
        <v>1</v>
      </c>
      <c r="G810" s="1020" t="s">
        <v>288</v>
      </c>
      <c r="H810" s="51"/>
      <c r="I810" s="4"/>
      <c r="J810" s="4"/>
      <c r="K810" s="4"/>
      <c r="L810" s="991"/>
      <c r="M810" s="2008"/>
      <c r="N810" s="2009"/>
      <c r="O810" s="2008">
        <f>+(SUM($M$804:$N$805)-SUM($O$806:$P$808))*0.8</f>
        <v>90000</v>
      </c>
      <c r="P810" s="2009"/>
    </row>
    <row r="811" spans="1:17" x14ac:dyDescent="0.25">
      <c r="A811" s="437"/>
      <c r="B811" s="207">
        <v>3</v>
      </c>
      <c r="C811" s="2198" t="s">
        <v>1784</v>
      </c>
      <c r="D811" s="2199"/>
      <c r="E811" s="2199"/>
      <c r="F811" s="2199"/>
      <c r="G811" s="2220"/>
      <c r="H811" s="2220"/>
      <c r="I811" s="2199" t="s">
        <v>1784</v>
      </c>
      <c r="J811" s="2199"/>
      <c r="K811" s="2199"/>
      <c r="L811" s="2199"/>
      <c r="M811" s="993"/>
      <c r="N811" s="994"/>
      <c r="O811" s="993"/>
      <c r="P811" s="995"/>
      <c r="Q811" s="437"/>
    </row>
    <row r="812" spans="1:17" x14ac:dyDescent="0.25">
      <c r="B812" s="30" t="s">
        <v>15</v>
      </c>
      <c r="C812" s="1015" t="s">
        <v>1916</v>
      </c>
      <c r="D812" s="1016"/>
      <c r="E812" s="1016"/>
      <c r="F812" s="991"/>
      <c r="G812" s="51"/>
      <c r="H812" s="51"/>
      <c r="I812" s="4"/>
      <c r="J812" s="4"/>
      <c r="K812" s="4"/>
      <c r="L812" s="991"/>
      <c r="M812" s="2008">
        <f>+M804/12</f>
        <v>12500</v>
      </c>
      <c r="N812" s="2009"/>
      <c r="O812" s="2012"/>
      <c r="P812" s="2009"/>
    </row>
    <row r="813" spans="1:17" x14ac:dyDescent="0.25">
      <c r="B813" s="38" t="s">
        <v>15</v>
      </c>
      <c r="C813" s="1015" t="s">
        <v>1915</v>
      </c>
      <c r="D813" s="1016"/>
      <c r="E813" s="1016"/>
      <c r="F813" s="991"/>
      <c r="G813" s="51"/>
      <c r="H813" s="51"/>
      <c r="I813" s="4"/>
      <c r="J813" s="4"/>
      <c r="K813" s="4"/>
      <c r="L813" s="991"/>
      <c r="M813" s="2008">
        <f>+M812*0.23</f>
        <v>2875</v>
      </c>
      <c r="N813" s="2009"/>
      <c r="O813" s="2008"/>
      <c r="P813" s="2009"/>
    </row>
    <row r="814" spans="1:17" x14ac:dyDescent="0.25">
      <c r="B814" s="38" t="s">
        <v>17</v>
      </c>
      <c r="C814" s="1015"/>
      <c r="D814" s="1016"/>
      <c r="E814" s="1016"/>
      <c r="F814" s="20" t="s">
        <v>1</v>
      </c>
      <c r="G814" s="1020" t="s">
        <v>448</v>
      </c>
      <c r="H814" s="51"/>
      <c r="I814" s="4"/>
      <c r="J814" s="4"/>
      <c r="K814" s="4"/>
      <c r="L814" s="991"/>
      <c r="M814" s="2008"/>
      <c r="N814" s="2009"/>
      <c r="O814" s="2008">
        <f>+SUM(M812:N813)</f>
        <v>15375</v>
      </c>
      <c r="P814" s="2009"/>
    </row>
    <row r="815" spans="1:17" x14ac:dyDescent="0.25">
      <c r="B815" s="38"/>
      <c r="C815" s="2198" t="s">
        <v>1784</v>
      </c>
      <c r="D815" s="2199"/>
      <c r="E815" s="2199"/>
      <c r="F815" s="2199"/>
      <c r="G815" s="2220"/>
      <c r="H815" s="2220"/>
      <c r="I815" s="2199" t="s">
        <v>1784</v>
      </c>
      <c r="J815" s="2199"/>
      <c r="K815" s="2199"/>
      <c r="L815" s="2199"/>
      <c r="M815" s="993"/>
      <c r="N815" s="995"/>
      <c r="O815" s="2008"/>
      <c r="P815" s="2009"/>
    </row>
    <row r="816" spans="1:17" x14ac:dyDescent="0.25">
      <c r="B816" s="38" t="s">
        <v>15</v>
      </c>
      <c r="C816" s="1015" t="s">
        <v>1916</v>
      </c>
      <c r="D816" s="1016"/>
      <c r="E816" s="1016"/>
      <c r="F816" s="991"/>
      <c r="G816" s="51"/>
      <c r="H816" s="51"/>
      <c r="I816" s="4"/>
      <c r="J816" s="4"/>
      <c r="K816" s="4"/>
      <c r="L816" s="991"/>
      <c r="M816" s="2008">
        <v>5000</v>
      </c>
      <c r="N816" s="2009"/>
      <c r="O816" s="2012"/>
      <c r="P816" s="2009"/>
    </row>
    <row r="817" spans="2:16" x14ac:dyDescent="0.25">
      <c r="B817" s="38" t="s">
        <v>15</v>
      </c>
      <c r="C817" s="1015" t="s">
        <v>1915</v>
      </c>
      <c r="D817" s="1016"/>
      <c r="E817" s="1016"/>
      <c r="F817" s="991"/>
      <c r="G817" s="51"/>
      <c r="H817" s="51"/>
      <c r="I817" s="4"/>
      <c r="J817" s="4"/>
      <c r="K817" s="4"/>
      <c r="L817" s="991"/>
      <c r="M817" s="2008">
        <f>+M816*0.23</f>
        <v>1150</v>
      </c>
      <c r="N817" s="2009"/>
      <c r="O817" s="2008"/>
      <c r="P817" s="2009"/>
    </row>
    <row r="818" spans="2:16" x14ac:dyDescent="0.25">
      <c r="B818" s="38" t="s">
        <v>17</v>
      </c>
      <c r="C818" s="1015"/>
      <c r="D818" s="1016"/>
      <c r="E818" s="1016"/>
      <c r="F818" s="20" t="s">
        <v>1</v>
      </c>
      <c r="G818" s="1020" t="s">
        <v>448</v>
      </c>
      <c r="H818" s="51"/>
      <c r="I818" s="4"/>
      <c r="J818" s="4"/>
      <c r="K818" s="4"/>
      <c r="L818" s="991"/>
      <c r="M818" s="2008"/>
      <c r="N818" s="2009"/>
      <c r="O818" s="2008">
        <f>+SUM(M816:N817)</f>
        <v>6150</v>
      </c>
      <c r="P818" s="2009"/>
    </row>
    <row r="819" spans="2:16" x14ac:dyDescent="0.25">
      <c r="C819" s="1225" t="s">
        <v>1914</v>
      </c>
      <c r="D819" s="1018"/>
      <c r="E819" s="1018"/>
      <c r="F819" s="35"/>
      <c r="G819" s="1022"/>
      <c r="H819" s="24"/>
      <c r="I819" s="3"/>
      <c r="J819" s="3"/>
      <c r="K819" s="3"/>
      <c r="L819" s="1013"/>
      <c r="M819" s="2006"/>
      <c r="N819" s="2007"/>
      <c r="O819" s="2006"/>
      <c r="P819" s="2007"/>
    </row>
    <row r="822" spans="2:16" x14ac:dyDescent="0.25">
      <c r="C822" s="1224" t="s">
        <v>1913</v>
      </c>
    </row>
    <row r="824" spans="2:16" x14ac:dyDescent="0.25">
      <c r="B824" s="1223" t="s">
        <v>461</v>
      </c>
      <c r="C824" s="988" t="s">
        <v>1912</v>
      </c>
      <c r="H824" s="2"/>
      <c r="J824" s="2269">
        <f>+O814</f>
        <v>15375</v>
      </c>
      <c r="K824" s="2269"/>
    </row>
    <row r="825" spans="2:16" x14ac:dyDescent="0.25">
      <c r="B825" s="1223" t="s">
        <v>461</v>
      </c>
      <c r="C825" s="988" t="s">
        <v>1911</v>
      </c>
      <c r="H825" s="2"/>
      <c r="J825" s="2269">
        <f>+J824*2</f>
        <v>30750</v>
      </c>
      <c r="K825" s="2269"/>
      <c r="L825" s="1222" t="s">
        <v>1910</v>
      </c>
    </row>
    <row r="826" spans="2:16" x14ac:dyDescent="0.25">
      <c r="B826" s="1223" t="s">
        <v>461</v>
      </c>
      <c r="C826" s="988" t="s">
        <v>1909</v>
      </c>
      <c r="H826" s="2"/>
      <c r="J826" s="2269">
        <v>24600</v>
      </c>
      <c r="K826" s="2269"/>
      <c r="L826" s="1222" t="s">
        <v>1908</v>
      </c>
    </row>
    <row r="827" spans="2:16" x14ac:dyDescent="0.25">
      <c r="B827" s="1223" t="s">
        <v>461</v>
      </c>
      <c r="C827" s="988" t="s">
        <v>1907</v>
      </c>
      <c r="J827" s="2273">
        <f>+J825-J826</f>
        <v>6150</v>
      </c>
      <c r="K827" s="2273"/>
      <c r="L827" s="1222" t="s">
        <v>1906</v>
      </c>
      <c r="O827" s="1920"/>
      <c r="P827" s="1920"/>
    </row>
    <row r="828" spans="2:16" x14ac:dyDescent="0.25">
      <c r="B828" s="1223" t="s">
        <v>461</v>
      </c>
      <c r="C828" s="988" t="s">
        <v>1905</v>
      </c>
      <c r="J828" s="2270">
        <f>+J827/1.23</f>
        <v>5000</v>
      </c>
      <c r="K828" s="2147"/>
      <c r="L828" s="1222" t="s">
        <v>1904</v>
      </c>
    </row>
    <row r="829" spans="2:16" x14ac:dyDescent="0.25">
      <c r="B829" s="1223" t="s">
        <v>461</v>
      </c>
      <c r="C829" s="988" t="s">
        <v>1903</v>
      </c>
      <c r="J829" s="2271">
        <f>+J828*0.23</f>
        <v>1150</v>
      </c>
      <c r="K829" s="2272"/>
      <c r="L829" s="1222" t="s">
        <v>1902</v>
      </c>
    </row>
    <row r="831" spans="2:16" x14ac:dyDescent="0.25">
      <c r="J831" s="1917"/>
      <c r="K831" s="1917"/>
    </row>
    <row r="845" spans="1:17" s="4" customFormat="1" x14ac:dyDescent="0.25">
      <c r="B845" s="1004"/>
      <c r="C845" s="12"/>
      <c r="D845" s="12"/>
      <c r="E845" s="12"/>
      <c r="F845" s="12"/>
      <c r="G845" s="51"/>
      <c r="H845" s="51"/>
      <c r="M845" s="18"/>
      <c r="N845" s="18"/>
      <c r="O845" s="18"/>
      <c r="P845" s="18"/>
    </row>
    <row r="846" spans="1:17" x14ac:dyDescent="0.25">
      <c r="A846" s="3"/>
      <c r="B846" s="1004"/>
      <c r="G846" s="51"/>
      <c r="H846" s="51"/>
      <c r="I846" s="4"/>
      <c r="J846" s="4"/>
      <c r="K846" s="4"/>
      <c r="L846" s="4"/>
      <c r="M846" s="18"/>
      <c r="N846" s="18"/>
      <c r="O846" s="18"/>
      <c r="P846" s="18"/>
      <c r="Q846" s="4"/>
    </row>
    <row r="847" spans="1:17" x14ac:dyDescent="0.25">
      <c r="A847" s="1844" t="s">
        <v>20</v>
      </c>
      <c r="B847" s="1845"/>
      <c r="C847" s="1845"/>
      <c r="D847" s="1845"/>
      <c r="E847" s="1845"/>
      <c r="F847" s="1845"/>
      <c r="G847" s="1845"/>
      <c r="H847" s="1845"/>
      <c r="I847" s="1845"/>
      <c r="J847" s="1845"/>
      <c r="K847" s="1845"/>
      <c r="L847" s="1845"/>
      <c r="M847" s="1845"/>
      <c r="N847" s="1845"/>
      <c r="O847" s="1845"/>
      <c r="P847" s="1845"/>
      <c r="Q847" s="1846"/>
    </row>
    <row r="848" spans="1:17" x14ac:dyDescent="0.25">
      <c r="A848" s="1847" t="s">
        <v>1901</v>
      </c>
      <c r="B848" s="1848"/>
      <c r="C848" s="1848"/>
      <c r="D848" s="1848"/>
      <c r="E848" s="1848"/>
      <c r="F848" s="1848"/>
      <c r="G848" s="1848"/>
      <c r="H848" s="1848"/>
      <c r="I848" s="1848"/>
      <c r="J848" s="1848"/>
      <c r="K848" s="1848"/>
      <c r="L848" s="1848"/>
      <c r="M848" s="1848"/>
      <c r="N848" s="1848"/>
      <c r="O848" s="1848"/>
      <c r="P848" s="1848"/>
      <c r="Q848" s="1849"/>
    </row>
    <row r="849" spans="1:18" x14ac:dyDescent="0.25">
      <c r="A849" s="4"/>
      <c r="B849" s="1004"/>
      <c r="G849" s="51"/>
      <c r="H849" s="51"/>
      <c r="I849" s="4"/>
      <c r="J849" s="4"/>
      <c r="K849" s="4"/>
      <c r="L849" s="4"/>
      <c r="M849" s="18"/>
      <c r="N849" s="18"/>
      <c r="O849" s="18"/>
      <c r="P849" s="18"/>
      <c r="Q849" s="4"/>
    </row>
    <row r="850" spans="1:18" x14ac:dyDescent="0.25">
      <c r="A850" s="437"/>
      <c r="B850" s="108">
        <v>1</v>
      </c>
      <c r="C850" s="1188"/>
      <c r="D850" s="1175"/>
      <c r="E850" s="1173"/>
      <c r="F850" s="1173"/>
      <c r="G850" s="2267">
        <v>42186</v>
      </c>
      <c r="H850" s="2268"/>
      <c r="I850" s="1174"/>
      <c r="J850" s="1174"/>
      <c r="K850" s="1174"/>
      <c r="L850" s="1173"/>
      <c r="M850" s="2103" t="s">
        <v>9</v>
      </c>
      <c r="N850" s="2103"/>
      <c r="O850" s="2103" t="s">
        <v>8</v>
      </c>
      <c r="P850" s="2103"/>
      <c r="Q850" s="437"/>
    </row>
    <row r="851" spans="1:18" x14ac:dyDescent="0.25">
      <c r="B851" s="30" t="s">
        <v>11</v>
      </c>
      <c r="C851" s="1015" t="s">
        <v>478</v>
      </c>
      <c r="D851" s="31"/>
      <c r="E851" s="1016"/>
      <c r="F851" s="991"/>
      <c r="G851" s="51"/>
      <c r="H851" s="51"/>
      <c r="I851" s="4"/>
      <c r="J851" s="4"/>
      <c r="K851" s="4"/>
      <c r="L851" s="991"/>
      <c r="M851" s="2008">
        <f>+O852+O853+O854</f>
        <v>12826</v>
      </c>
      <c r="N851" s="2009"/>
      <c r="O851" s="2012"/>
      <c r="P851" s="2009"/>
    </row>
    <row r="852" spans="1:18" x14ac:dyDescent="0.25">
      <c r="B852" s="38" t="s">
        <v>16</v>
      </c>
      <c r="C852" s="1015"/>
      <c r="D852" s="1016"/>
      <c r="E852" s="1016"/>
      <c r="F852" s="20" t="s">
        <v>1</v>
      </c>
      <c r="G852" s="1020" t="s">
        <v>3</v>
      </c>
      <c r="H852" s="51"/>
      <c r="I852" s="4"/>
      <c r="J852" s="4"/>
      <c r="K852" s="4"/>
      <c r="L852" s="991"/>
      <c r="M852" s="2008"/>
      <c r="N852" s="2009"/>
      <c r="O852" s="2008">
        <f>7000/0.7</f>
        <v>10000</v>
      </c>
      <c r="P852" s="2009"/>
      <c r="R852" s="4"/>
    </row>
    <row r="853" spans="1:18" x14ac:dyDescent="0.25">
      <c r="B853" s="1009" t="s">
        <v>108</v>
      </c>
      <c r="C853" s="1015"/>
      <c r="D853" s="1016"/>
      <c r="E853" s="1016"/>
      <c r="F853" s="20" t="s">
        <v>1</v>
      </c>
      <c r="G853" s="1020" t="s">
        <v>543</v>
      </c>
      <c r="H853" s="1020"/>
      <c r="I853" s="4"/>
      <c r="J853" s="4"/>
      <c r="K853" s="4"/>
      <c r="L853" s="4"/>
      <c r="M853" s="2008"/>
      <c r="N853" s="2012"/>
      <c r="O853" s="2008">
        <v>600</v>
      </c>
      <c r="P853" s="2009"/>
      <c r="R853" s="4"/>
    </row>
    <row r="854" spans="1:18" x14ac:dyDescent="0.25">
      <c r="B854" s="38" t="s">
        <v>17</v>
      </c>
      <c r="C854" s="1015"/>
      <c r="D854" s="1016"/>
      <c r="E854" s="1016"/>
      <c r="F854" s="20" t="s">
        <v>1</v>
      </c>
      <c r="G854" s="1020" t="s">
        <v>12</v>
      </c>
      <c r="H854" s="51"/>
      <c r="I854" s="4"/>
      <c r="J854" s="4"/>
      <c r="K854" s="4"/>
      <c r="L854" s="991"/>
      <c r="M854" s="2008"/>
      <c r="N854" s="2009"/>
      <c r="O854" s="2008">
        <f>+(O852+O853)*0.21</f>
        <v>2226</v>
      </c>
      <c r="P854" s="2009"/>
      <c r="R854" s="4"/>
    </row>
    <row r="855" spans="1:18" x14ac:dyDescent="0.25">
      <c r="C855" s="2198" t="s">
        <v>1784</v>
      </c>
      <c r="D855" s="2199"/>
      <c r="E855" s="2199"/>
      <c r="F855" s="2199"/>
      <c r="G855" s="2220"/>
      <c r="H855" s="2220"/>
      <c r="I855" s="2199" t="s">
        <v>1784</v>
      </c>
      <c r="J855" s="2199"/>
      <c r="K855" s="2199"/>
      <c r="L855" s="2199"/>
      <c r="M855" s="993"/>
      <c r="N855" s="994"/>
      <c r="O855" s="993"/>
      <c r="P855" s="995"/>
      <c r="R855" s="4"/>
    </row>
    <row r="856" spans="1:18" x14ac:dyDescent="0.25">
      <c r="B856" s="1009" t="s">
        <v>15</v>
      </c>
      <c r="C856" s="1015" t="s">
        <v>120</v>
      </c>
      <c r="D856" s="1016"/>
      <c r="E856" s="1016"/>
      <c r="F856" s="20"/>
      <c r="G856" s="1020"/>
      <c r="H856" s="1020"/>
      <c r="I856" s="4"/>
      <c r="J856" s="4"/>
      <c r="K856" s="4"/>
      <c r="L856" s="4"/>
      <c r="M856" s="2008">
        <v>7000</v>
      </c>
      <c r="N856" s="2009"/>
      <c r="O856" s="993"/>
      <c r="P856" s="995"/>
      <c r="R856" s="4"/>
    </row>
    <row r="857" spans="1:18" x14ac:dyDescent="0.25">
      <c r="B857" s="1009" t="s">
        <v>14</v>
      </c>
      <c r="C857" s="1015"/>
      <c r="D857" s="1016"/>
      <c r="E857" s="1016"/>
      <c r="F857" s="20" t="s">
        <v>1</v>
      </c>
      <c r="G857" s="1020" t="s">
        <v>5</v>
      </c>
      <c r="H857" s="1020"/>
      <c r="I857" s="4"/>
      <c r="J857" s="4"/>
      <c r="K857" s="4"/>
      <c r="L857" s="4"/>
      <c r="M857" s="993"/>
      <c r="N857" s="994"/>
      <c r="O857" s="2008">
        <v>7000</v>
      </c>
      <c r="P857" s="2009"/>
    </row>
    <row r="858" spans="1:18" x14ac:dyDescent="0.25">
      <c r="A858" s="437"/>
      <c r="B858" s="108">
        <v>2</v>
      </c>
      <c r="C858" s="2198" t="s">
        <v>1784</v>
      </c>
      <c r="D858" s="2199"/>
      <c r="E858" s="2199"/>
      <c r="F858" s="2199"/>
      <c r="G858" s="2267">
        <v>42186</v>
      </c>
      <c r="H858" s="2268"/>
      <c r="I858" s="2199" t="s">
        <v>1784</v>
      </c>
      <c r="J858" s="2199"/>
      <c r="K858" s="2199"/>
      <c r="L858" s="2199"/>
      <c r="M858" s="993"/>
      <c r="N858" s="994"/>
      <c r="O858" s="993"/>
      <c r="P858" s="995"/>
      <c r="Q858" s="437"/>
    </row>
    <row r="859" spans="1:18" x14ac:dyDescent="0.25">
      <c r="B859" s="30" t="s">
        <v>11</v>
      </c>
      <c r="C859" s="1015" t="s">
        <v>1897</v>
      </c>
      <c r="D859" s="1016"/>
      <c r="E859" s="1016"/>
      <c r="F859" s="991"/>
      <c r="G859" s="51"/>
      <c r="H859" s="51"/>
      <c r="I859" s="4"/>
      <c r="J859" s="4"/>
      <c r="K859" s="4"/>
      <c r="L859" s="991"/>
      <c r="M859" s="2008">
        <f>1000*5</f>
        <v>5000</v>
      </c>
      <c r="N859" s="2009"/>
      <c r="O859" s="2012"/>
      <c r="P859" s="2009"/>
    </row>
    <row r="860" spans="1:18" x14ac:dyDescent="0.25">
      <c r="B860" s="38" t="s">
        <v>14</v>
      </c>
      <c r="C860" s="1015"/>
      <c r="D860" s="1016"/>
      <c r="E860" s="1016"/>
      <c r="F860" s="20" t="s">
        <v>1</v>
      </c>
      <c r="G860" s="1020" t="s">
        <v>1900</v>
      </c>
      <c r="H860" s="51"/>
      <c r="I860" s="4"/>
      <c r="J860" s="4"/>
      <c r="K860" s="4"/>
      <c r="L860" s="991"/>
      <c r="M860" s="2008"/>
      <c r="N860" s="2009"/>
      <c r="O860" s="2008">
        <f>+M859</f>
        <v>5000</v>
      </c>
      <c r="P860" s="2009"/>
    </row>
    <row r="861" spans="1:18" x14ac:dyDescent="0.25">
      <c r="A861" s="437"/>
      <c r="B861" s="108">
        <v>3</v>
      </c>
      <c r="C861" s="2198" t="s">
        <v>1784</v>
      </c>
      <c r="D861" s="2199"/>
      <c r="E861" s="2199"/>
      <c r="F861" s="2199"/>
      <c r="G861" s="2267">
        <v>42200</v>
      </c>
      <c r="H861" s="2268"/>
      <c r="I861" s="2199" t="s">
        <v>1784</v>
      </c>
      <c r="J861" s="2199"/>
      <c r="K861" s="2199"/>
      <c r="L861" s="2199"/>
      <c r="M861" s="993"/>
      <c r="N861" s="994"/>
      <c r="O861" s="993"/>
      <c r="P861" s="995"/>
      <c r="Q861" s="437"/>
      <c r="R861" s="4"/>
    </row>
    <row r="862" spans="1:18" x14ac:dyDescent="0.25">
      <c r="B862" s="30" t="s">
        <v>11</v>
      </c>
      <c r="C862" s="1015" t="s">
        <v>1089</v>
      </c>
      <c r="D862" s="1016"/>
      <c r="E862" s="1016"/>
      <c r="F862" s="991"/>
      <c r="G862" s="51"/>
      <c r="H862" s="51"/>
      <c r="I862" s="4"/>
      <c r="J862" s="4"/>
      <c r="K862" s="4"/>
      <c r="L862" s="991"/>
      <c r="M862" s="2008">
        <f>15000*0.8</f>
        <v>12000</v>
      </c>
      <c r="N862" s="2009"/>
      <c r="O862" s="2012"/>
      <c r="P862" s="2009"/>
      <c r="R862" s="4"/>
    </row>
    <row r="863" spans="1:18" x14ac:dyDescent="0.25">
      <c r="B863" s="38" t="s">
        <v>142</v>
      </c>
      <c r="C863" s="1015" t="s">
        <v>143</v>
      </c>
      <c r="D863" s="1016"/>
      <c r="E863" s="1016"/>
      <c r="F863" s="991"/>
      <c r="G863" s="51"/>
      <c r="H863" s="51"/>
      <c r="I863" s="4"/>
      <c r="J863" s="4"/>
      <c r="K863" s="4"/>
      <c r="L863" s="991"/>
      <c r="M863" s="2008">
        <f>15000*0.2</f>
        <v>3000</v>
      </c>
      <c r="N863" s="2009"/>
      <c r="O863" s="994"/>
      <c r="P863" s="995"/>
      <c r="R863" s="4"/>
    </row>
    <row r="864" spans="1:18" x14ac:dyDescent="0.25">
      <c r="B864" s="38" t="s">
        <v>11</v>
      </c>
      <c r="C864" s="1015" t="s">
        <v>13</v>
      </c>
      <c r="D864" s="1016"/>
      <c r="E864" s="1016"/>
      <c r="F864" s="991"/>
      <c r="G864" s="51"/>
      <c r="H864" s="51"/>
      <c r="I864" s="4"/>
      <c r="J864" s="4"/>
      <c r="K864" s="4"/>
      <c r="L864" s="991"/>
      <c r="M864" s="2008">
        <f>15000*0.21</f>
        <v>3150</v>
      </c>
      <c r="N864" s="2009"/>
      <c r="O864" s="2008"/>
      <c r="P864" s="2009"/>
      <c r="R864" s="4"/>
    </row>
    <row r="865" spans="1:18" x14ac:dyDescent="0.25">
      <c r="B865" s="38" t="s">
        <v>17</v>
      </c>
      <c r="C865" s="1015"/>
      <c r="D865" s="1016"/>
      <c r="E865" s="1016"/>
      <c r="F865" s="20" t="s">
        <v>1</v>
      </c>
      <c r="G865" s="1020" t="s">
        <v>6</v>
      </c>
      <c r="H865" s="51"/>
      <c r="I865" s="4"/>
      <c r="J865" s="4"/>
      <c r="K865" s="4"/>
      <c r="L865" s="991"/>
      <c r="M865" s="993"/>
      <c r="N865" s="995"/>
      <c r="O865" s="2008">
        <f>+SUM(M862:N864)</f>
        <v>18150</v>
      </c>
      <c r="P865" s="2009"/>
      <c r="R865" s="4"/>
    </row>
    <row r="866" spans="1:18" x14ac:dyDescent="0.25">
      <c r="B866" s="108">
        <v>4</v>
      </c>
      <c r="C866" s="2198" t="s">
        <v>1784</v>
      </c>
      <c r="D866" s="2199"/>
      <c r="E866" s="2199"/>
      <c r="F866" s="2199"/>
      <c r="G866" s="2267">
        <v>42200</v>
      </c>
      <c r="H866" s="2268"/>
      <c r="I866" s="2199" t="s">
        <v>1784</v>
      </c>
      <c r="J866" s="2199"/>
      <c r="K866" s="2199"/>
      <c r="L866" s="2199"/>
      <c r="M866" s="993"/>
      <c r="N866" s="994"/>
      <c r="O866" s="993"/>
      <c r="P866" s="995"/>
      <c r="R866" s="4"/>
    </row>
    <row r="867" spans="1:18" x14ac:dyDescent="0.25">
      <c r="B867" s="30" t="s">
        <v>11</v>
      </c>
      <c r="C867" s="1015" t="s">
        <v>1900</v>
      </c>
      <c r="D867" s="1016"/>
      <c r="E867" s="1016"/>
      <c r="F867" s="991"/>
      <c r="G867" s="51"/>
      <c r="H867" s="51"/>
      <c r="I867" s="4"/>
      <c r="J867" s="4"/>
      <c r="K867" s="4"/>
      <c r="L867" s="991"/>
      <c r="M867" s="2008">
        <f>5000*6</f>
        <v>30000</v>
      </c>
      <c r="N867" s="2009"/>
      <c r="O867" s="2012"/>
      <c r="P867" s="2009"/>
    </row>
    <row r="868" spans="1:18" x14ac:dyDescent="0.25">
      <c r="B868" s="38" t="s">
        <v>17</v>
      </c>
      <c r="C868" s="1015"/>
      <c r="D868" s="1016"/>
      <c r="E868" s="1016"/>
      <c r="F868" s="20" t="s">
        <v>1</v>
      </c>
      <c r="G868" s="1020" t="s">
        <v>1899</v>
      </c>
      <c r="H868" s="51"/>
      <c r="I868" s="4"/>
      <c r="J868" s="4"/>
      <c r="K868" s="4"/>
      <c r="L868" s="991"/>
      <c r="M868" s="2008"/>
      <c r="N868" s="2009"/>
      <c r="O868" s="2008">
        <f>+M867</f>
        <v>30000</v>
      </c>
      <c r="P868" s="2009"/>
    </row>
    <row r="869" spans="1:18" x14ac:dyDescent="0.25">
      <c r="B869" s="38"/>
      <c r="C869" s="101" t="s">
        <v>1898</v>
      </c>
      <c r="D869" s="1016"/>
      <c r="E869" s="1016"/>
      <c r="F869" s="20"/>
      <c r="G869" s="1020"/>
      <c r="H869" s="51"/>
      <c r="I869" s="4"/>
      <c r="J869" s="4"/>
      <c r="K869" s="4"/>
      <c r="L869" s="991"/>
      <c r="M869" s="993"/>
      <c r="N869" s="994"/>
      <c r="O869" s="993"/>
      <c r="P869" s="995"/>
    </row>
    <row r="870" spans="1:18" x14ac:dyDescent="0.25">
      <c r="B870" s="108">
        <v>5</v>
      </c>
      <c r="C870" s="2198" t="s">
        <v>1784</v>
      </c>
      <c r="D870" s="2199"/>
      <c r="E870" s="2199"/>
      <c r="F870" s="2199"/>
      <c r="G870" s="2267">
        <v>42208</v>
      </c>
      <c r="H870" s="2268"/>
      <c r="I870" s="2199" t="s">
        <v>1784</v>
      </c>
      <c r="J870" s="2199"/>
      <c r="K870" s="2199"/>
      <c r="L870" s="2199"/>
      <c r="M870" s="993"/>
      <c r="N870" s="994"/>
      <c r="O870" s="993"/>
      <c r="P870" s="995"/>
    </row>
    <row r="871" spans="1:18" x14ac:dyDescent="0.25">
      <c r="B871" s="30" t="s">
        <v>11</v>
      </c>
      <c r="C871" s="1015" t="s">
        <v>1897</v>
      </c>
      <c r="D871" s="1016"/>
      <c r="E871" s="1016"/>
      <c r="F871" s="991"/>
      <c r="G871" s="51"/>
      <c r="H871" s="51"/>
      <c r="I871" s="4"/>
      <c r="J871" s="4"/>
      <c r="K871" s="4"/>
      <c r="L871" s="991"/>
      <c r="M871" s="2008">
        <f>1000*2</f>
        <v>2000</v>
      </c>
      <c r="N871" s="2009"/>
      <c r="O871" s="2012"/>
      <c r="P871" s="2009"/>
    </row>
    <row r="872" spans="1:18" x14ac:dyDescent="0.25">
      <c r="B872" s="38" t="s">
        <v>16</v>
      </c>
      <c r="C872" s="1015"/>
      <c r="D872" s="1016"/>
      <c r="E872" s="1016"/>
      <c r="F872" s="20" t="s">
        <v>1</v>
      </c>
      <c r="G872" s="1020" t="s">
        <v>1772</v>
      </c>
      <c r="H872" s="51"/>
      <c r="I872" s="4"/>
      <c r="J872" s="4"/>
      <c r="K872" s="4"/>
      <c r="L872" s="991"/>
      <c r="M872" s="993"/>
      <c r="N872" s="995"/>
      <c r="O872" s="2008">
        <f>+SUM(M871:N871)</f>
        <v>2000</v>
      </c>
      <c r="P872" s="2009"/>
    </row>
    <row r="873" spans="1:18" x14ac:dyDescent="0.25">
      <c r="A873" s="437"/>
      <c r="B873" s="323"/>
      <c r="C873" s="2198" t="s">
        <v>1784</v>
      </c>
      <c r="D873" s="2199"/>
      <c r="E873" s="2199"/>
      <c r="F873" s="2199"/>
      <c r="G873" s="2267">
        <v>42208</v>
      </c>
      <c r="H873" s="2268"/>
      <c r="I873" s="2199" t="s">
        <v>1784</v>
      </c>
      <c r="J873" s="2199"/>
      <c r="K873" s="2199"/>
      <c r="L873" s="2199"/>
      <c r="M873" s="993"/>
      <c r="N873" s="994"/>
      <c r="O873" s="993"/>
      <c r="P873" s="995"/>
      <c r="Q873" s="437"/>
    </row>
    <row r="874" spans="1:18" x14ac:dyDescent="0.25">
      <c r="B874" s="102" t="s">
        <v>11</v>
      </c>
      <c r="C874" s="1015" t="s">
        <v>5</v>
      </c>
      <c r="D874" s="1016"/>
      <c r="E874" s="1016"/>
      <c r="F874" s="991"/>
      <c r="G874" s="51"/>
      <c r="H874" s="51"/>
      <c r="I874" s="4"/>
      <c r="J874" s="4"/>
      <c r="K874" s="4"/>
      <c r="L874" s="991"/>
      <c r="M874" s="2008">
        <f>3000*7</f>
        <v>21000</v>
      </c>
      <c r="N874" s="2009"/>
      <c r="O874" s="2012"/>
      <c r="P874" s="2009"/>
    </row>
    <row r="875" spans="1:18" x14ac:dyDescent="0.25">
      <c r="B875" s="38" t="s">
        <v>14</v>
      </c>
      <c r="C875" s="1015"/>
      <c r="D875" s="1016"/>
      <c r="E875" s="1016"/>
      <c r="F875" s="20" t="s">
        <v>1</v>
      </c>
      <c r="G875" s="1020" t="s">
        <v>1897</v>
      </c>
      <c r="H875" s="51"/>
      <c r="I875" s="4"/>
      <c r="J875" s="4"/>
      <c r="K875" s="4"/>
      <c r="L875" s="991"/>
      <c r="M875" s="2008"/>
      <c r="N875" s="2009"/>
      <c r="O875" s="2008">
        <f>+M859+M871</f>
        <v>7000</v>
      </c>
      <c r="P875" s="2009"/>
    </row>
    <row r="876" spans="1:18" x14ac:dyDescent="0.25">
      <c r="B876" s="38" t="s">
        <v>17</v>
      </c>
      <c r="C876" s="1015"/>
      <c r="D876" s="1016"/>
      <c r="E876" s="1016"/>
      <c r="F876" s="20" t="s">
        <v>1</v>
      </c>
      <c r="G876" s="2" t="s">
        <v>1892</v>
      </c>
      <c r="H876" s="51"/>
      <c r="I876" s="4"/>
      <c r="J876" s="4"/>
      <c r="K876" s="4"/>
      <c r="L876" s="991"/>
      <c r="M876" s="993"/>
      <c r="N876" s="995"/>
      <c r="O876" s="2008">
        <f>+M874-O875</f>
        <v>14000</v>
      </c>
      <c r="P876" s="2009"/>
    </row>
    <row r="877" spans="1:18" x14ac:dyDescent="0.25">
      <c r="B877" s="108">
        <v>6</v>
      </c>
      <c r="C877" s="2198" t="s">
        <v>1784</v>
      </c>
      <c r="D877" s="2199"/>
      <c r="E877" s="2199"/>
      <c r="F877" s="2199"/>
      <c r="G877" s="2267">
        <v>42216</v>
      </c>
      <c r="H877" s="2268"/>
      <c r="I877" s="2199" t="s">
        <v>1784</v>
      </c>
      <c r="J877" s="2199"/>
      <c r="K877" s="2199"/>
      <c r="L877" s="2199"/>
      <c r="M877" s="993"/>
      <c r="N877" s="994"/>
      <c r="O877" s="993"/>
      <c r="P877" s="995"/>
    </row>
    <row r="878" spans="1:18" x14ac:dyDescent="0.25">
      <c r="B878" s="30" t="s">
        <v>15</v>
      </c>
      <c r="C878" s="1015" t="s">
        <v>894</v>
      </c>
      <c r="D878" s="1016"/>
      <c r="E878" s="1016"/>
      <c r="F878" s="991"/>
      <c r="G878" s="51"/>
      <c r="H878" s="51"/>
      <c r="I878" s="4"/>
      <c r="J878" s="4"/>
      <c r="K878" s="4"/>
      <c r="L878" s="991"/>
      <c r="M878" s="2008">
        <f>1000*2</f>
        <v>2000</v>
      </c>
      <c r="N878" s="2009"/>
      <c r="O878" s="2012"/>
      <c r="P878" s="2009"/>
    </row>
    <row r="879" spans="1:18" x14ac:dyDescent="0.25">
      <c r="B879" s="38" t="s">
        <v>17</v>
      </c>
      <c r="C879" s="1015"/>
      <c r="D879" s="1016"/>
      <c r="E879" s="1016"/>
      <c r="F879" s="20" t="s">
        <v>1</v>
      </c>
      <c r="G879" s="1020" t="s">
        <v>1888</v>
      </c>
      <c r="H879" s="51"/>
      <c r="I879" s="4"/>
      <c r="J879" s="4"/>
      <c r="K879" s="4"/>
      <c r="L879" s="991"/>
      <c r="M879" s="993"/>
      <c r="N879" s="995"/>
      <c r="O879" s="2008">
        <f>+SUM(M878:N878)</f>
        <v>2000</v>
      </c>
      <c r="P879" s="2009"/>
    </row>
    <row r="880" spans="1:18" x14ac:dyDescent="0.25">
      <c r="B880" s="108">
        <v>7</v>
      </c>
      <c r="C880" s="2198" t="s">
        <v>1784</v>
      </c>
      <c r="D880" s="2199"/>
      <c r="E880" s="2199"/>
      <c r="F880" s="2199"/>
      <c r="G880" s="2267">
        <v>42216</v>
      </c>
      <c r="H880" s="2268"/>
      <c r="I880" s="2199" t="s">
        <v>1784</v>
      </c>
      <c r="J880" s="2199"/>
      <c r="K880" s="2199"/>
      <c r="L880" s="2199"/>
      <c r="M880" s="993"/>
      <c r="N880" s="994"/>
      <c r="O880" s="993"/>
      <c r="P880" s="995"/>
    </row>
    <row r="881" spans="1:17" x14ac:dyDescent="0.25">
      <c r="B881" s="30" t="s">
        <v>105</v>
      </c>
      <c r="C881" s="1015" t="s">
        <v>543</v>
      </c>
      <c r="D881" s="1016"/>
      <c r="E881" s="1016"/>
      <c r="F881" s="991"/>
      <c r="G881" s="51"/>
      <c r="H881" s="51"/>
      <c r="I881" s="4"/>
      <c r="J881" s="4"/>
      <c r="K881" s="4"/>
      <c r="L881" s="991"/>
      <c r="M881" s="2008">
        <v>200</v>
      </c>
      <c r="N881" s="2009"/>
      <c r="O881" s="2012"/>
      <c r="P881" s="2009"/>
    </row>
    <row r="882" spans="1:17" x14ac:dyDescent="0.25">
      <c r="B882" s="38" t="s">
        <v>16</v>
      </c>
      <c r="C882" s="1015"/>
      <c r="D882" s="1016"/>
      <c r="E882" s="1016"/>
      <c r="F882" s="20" t="s">
        <v>1</v>
      </c>
      <c r="G882" s="1020" t="s">
        <v>1100</v>
      </c>
      <c r="H882" s="51"/>
      <c r="I882" s="4"/>
      <c r="J882" s="4"/>
      <c r="K882" s="4"/>
      <c r="L882" s="991"/>
      <c r="M882" s="993"/>
      <c r="N882" s="995"/>
      <c r="O882" s="2008">
        <f>+SUM(M881:N881)</f>
        <v>200</v>
      </c>
      <c r="P882" s="2009"/>
    </row>
    <row r="883" spans="1:17" x14ac:dyDescent="0.25">
      <c r="B883" s="38"/>
      <c r="C883" s="797" t="s">
        <v>1896</v>
      </c>
      <c r="D883" s="1016"/>
      <c r="E883" s="1016"/>
      <c r="F883" s="20"/>
      <c r="G883" s="1020"/>
      <c r="H883" s="51"/>
      <c r="I883" s="4"/>
      <c r="J883" s="4"/>
      <c r="K883" s="4"/>
      <c r="L883" s="991"/>
      <c r="M883" s="993"/>
      <c r="N883" s="994"/>
      <c r="O883" s="993"/>
      <c r="P883" s="995"/>
    </row>
    <row r="884" spans="1:17" x14ac:dyDescent="0.25">
      <c r="B884" s="323"/>
      <c r="C884" s="2198" t="s">
        <v>1784</v>
      </c>
      <c r="D884" s="2199"/>
      <c r="E884" s="2199"/>
      <c r="F884" s="2199"/>
      <c r="G884" s="2220"/>
      <c r="H884" s="2220"/>
      <c r="I884" s="2199" t="s">
        <v>1784</v>
      </c>
      <c r="J884" s="2199"/>
      <c r="K884" s="2199"/>
      <c r="L884" s="2199"/>
      <c r="M884" s="993"/>
      <c r="N884" s="994"/>
      <c r="O884" s="993"/>
      <c r="P884" s="995"/>
    </row>
    <row r="885" spans="1:17" x14ac:dyDescent="0.25">
      <c r="B885" s="102" t="s">
        <v>15</v>
      </c>
      <c r="C885" s="1015" t="s">
        <v>319</v>
      </c>
      <c r="D885" s="1016"/>
      <c r="E885" s="1016"/>
      <c r="F885" s="991"/>
      <c r="G885" s="51"/>
      <c r="H885" s="51"/>
      <c r="I885" s="4"/>
      <c r="J885" s="4"/>
      <c r="K885" s="4"/>
      <c r="L885" s="991"/>
      <c r="M885" s="2008">
        <f>+(M863/15)/2</f>
        <v>100</v>
      </c>
      <c r="N885" s="2009"/>
      <c r="O885" s="2012"/>
      <c r="P885" s="2009"/>
    </row>
    <row r="886" spans="1:17" x14ac:dyDescent="0.25">
      <c r="B886" s="38" t="s">
        <v>320</v>
      </c>
      <c r="C886" s="1015"/>
      <c r="D886" s="1016"/>
      <c r="E886" s="1016"/>
      <c r="F886" s="20" t="s">
        <v>1</v>
      </c>
      <c r="G886" s="1020" t="s">
        <v>143</v>
      </c>
      <c r="H886" s="51"/>
      <c r="I886" s="4"/>
      <c r="J886" s="4"/>
      <c r="K886" s="4"/>
      <c r="L886" s="991"/>
      <c r="M886" s="993"/>
      <c r="N886" s="995"/>
      <c r="O886" s="2008">
        <f>+SUM(M885:N885)</f>
        <v>100</v>
      </c>
      <c r="P886" s="2009"/>
    </row>
    <row r="887" spans="1:17" x14ac:dyDescent="0.25">
      <c r="B887" s="38"/>
      <c r="C887" s="797" t="s">
        <v>1895</v>
      </c>
      <c r="D887" s="1016"/>
      <c r="E887" s="1016"/>
      <c r="F887" s="20"/>
      <c r="G887" s="1020"/>
      <c r="H887" s="51"/>
      <c r="I887" s="4"/>
      <c r="J887" s="4"/>
      <c r="K887" s="4"/>
      <c r="L887" s="991"/>
      <c r="M887" s="993"/>
      <c r="N887" s="994"/>
      <c r="O887" s="993"/>
      <c r="P887" s="995"/>
    </row>
    <row r="888" spans="1:17" x14ac:dyDescent="0.25">
      <c r="B888" s="323"/>
      <c r="C888" s="2198" t="s">
        <v>1784</v>
      </c>
      <c r="D888" s="2199"/>
      <c r="E888" s="2199"/>
      <c r="F888" s="2199"/>
      <c r="G888" s="2220"/>
      <c r="H888" s="2220"/>
      <c r="I888" s="2199" t="s">
        <v>1784</v>
      </c>
      <c r="J888" s="2199"/>
      <c r="K888" s="2199"/>
      <c r="L888" s="2199"/>
      <c r="M888" s="993"/>
      <c r="N888" s="994"/>
      <c r="O888" s="993"/>
      <c r="P888" s="995"/>
    </row>
    <row r="889" spans="1:17" x14ac:dyDescent="0.25">
      <c r="B889" s="102" t="s">
        <v>15</v>
      </c>
      <c r="C889" s="1015" t="s">
        <v>299</v>
      </c>
      <c r="D889" s="1016"/>
      <c r="E889" s="1016"/>
      <c r="F889" s="991"/>
      <c r="G889" s="51"/>
      <c r="H889" s="51"/>
      <c r="I889" s="4"/>
      <c r="J889" s="4"/>
      <c r="K889" s="4"/>
      <c r="L889" s="991"/>
      <c r="M889" s="2008">
        <f>5000*6*0.12/12/2</f>
        <v>150</v>
      </c>
      <c r="N889" s="2009"/>
      <c r="O889" s="2012"/>
      <c r="P889" s="2009"/>
    </row>
    <row r="890" spans="1:17" x14ac:dyDescent="0.25">
      <c r="B890" s="38" t="s">
        <v>17</v>
      </c>
      <c r="C890" s="1015"/>
      <c r="D890" s="1016"/>
      <c r="E890" s="1016"/>
      <c r="F890" s="20" t="s">
        <v>1</v>
      </c>
      <c r="G890" s="1020" t="s">
        <v>1893</v>
      </c>
      <c r="H890" s="51"/>
      <c r="I890" s="4"/>
      <c r="J890" s="4"/>
      <c r="K890" s="4"/>
      <c r="L890" s="991"/>
      <c r="M890" s="993"/>
      <c r="N890" s="995"/>
      <c r="O890" s="2008">
        <f>+SUM(M889:N889)</f>
        <v>150</v>
      </c>
      <c r="P890" s="2009"/>
    </row>
    <row r="891" spans="1:17" x14ac:dyDescent="0.25">
      <c r="B891" s="38"/>
      <c r="C891" s="797" t="s">
        <v>1894</v>
      </c>
      <c r="D891" s="1016"/>
      <c r="E891" s="1016"/>
      <c r="F891" s="20"/>
      <c r="G891" s="1020"/>
      <c r="H891" s="51"/>
      <c r="I891" s="4"/>
      <c r="J891" s="4"/>
      <c r="K891" s="4"/>
      <c r="L891" s="991"/>
      <c r="M891" s="993"/>
      <c r="N891" s="994"/>
      <c r="O891" s="993"/>
      <c r="P891" s="995"/>
    </row>
    <row r="892" spans="1:17" x14ac:dyDescent="0.25">
      <c r="B892" s="323"/>
      <c r="C892" s="2198" t="s">
        <v>1784</v>
      </c>
      <c r="D892" s="2199"/>
      <c r="E892" s="2199"/>
      <c r="F892" s="2199"/>
      <c r="G892" s="2248" t="s">
        <v>222</v>
      </c>
      <c r="H892" s="2248"/>
      <c r="I892" s="2199" t="s">
        <v>1784</v>
      </c>
      <c r="J892" s="2199"/>
      <c r="K892" s="2199"/>
      <c r="L892" s="2199"/>
      <c r="M892" s="993"/>
      <c r="N892" s="994"/>
      <c r="O892" s="993"/>
      <c r="P892" s="995"/>
    </row>
    <row r="893" spans="1:17" x14ac:dyDescent="0.25">
      <c r="B893" s="323"/>
      <c r="C893" s="1175"/>
      <c r="D893" s="1175"/>
      <c r="E893" s="1175"/>
      <c r="F893" s="1175"/>
      <c r="G893" s="1221"/>
      <c r="H893" s="1221"/>
      <c r="I893" s="1175"/>
      <c r="J893" s="1175"/>
      <c r="K893" s="1175"/>
      <c r="L893" s="1175"/>
      <c r="M893" s="994"/>
      <c r="N893" s="994"/>
      <c r="O893" s="994"/>
      <c r="P893" s="994"/>
    </row>
    <row r="894" spans="1:17" x14ac:dyDescent="0.25">
      <c r="B894" s="323"/>
      <c r="C894" s="1175"/>
      <c r="D894" s="1175"/>
      <c r="E894" s="1175"/>
      <c r="F894" s="1175"/>
      <c r="G894" s="1221"/>
      <c r="H894" s="1221"/>
      <c r="I894" s="1175"/>
      <c r="J894" s="1175"/>
      <c r="K894" s="1175"/>
      <c r="L894" s="1175"/>
      <c r="M894" s="994"/>
      <c r="N894" s="994"/>
      <c r="O894" s="994"/>
      <c r="P894" s="994"/>
    </row>
    <row r="895" spans="1:17" s="4" customFormat="1" x14ac:dyDescent="0.25">
      <c r="B895" s="323"/>
      <c r="C895" s="1175"/>
      <c r="D895" s="1175"/>
      <c r="E895" s="1175"/>
      <c r="F895" s="1175"/>
      <c r="G895" s="1221"/>
      <c r="H895" s="1221"/>
      <c r="I895" s="1175"/>
      <c r="J895" s="1175"/>
      <c r="K895" s="1175"/>
      <c r="L895" s="1175"/>
      <c r="M895" s="994"/>
      <c r="N895" s="994"/>
      <c r="O895" s="994"/>
      <c r="P895" s="994"/>
    </row>
    <row r="896" spans="1:17" x14ac:dyDescent="0.25">
      <c r="A896" s="4"/>
      <c r="B896" s="323"/>
      <c r="C896" s="1175"/>
      <c r="D896" s="1175"/>
      <c r="E896" s="1175"/>
      <c r="F896" s="1175"/>
      <c r="G896" s="1221"/>
      <c r="H896" s="1221"/>
      <c r="I896" s="1175"/>
      <c r="J896" s="1175"/>
      <c r="K896" s="1175"/>
      <c r="L896" s="1175"/>
      <c r="M896" s="994"/>
      <c r="N896" s="994"/>
      <c r="O896" s="994"/>
      <c r="P896" s="994"/>
      <c r="Q896" s="4"/>
    </row>
    <row r="897" spans="2:16" x14ac:dyDescent="0.25">
      <c r="B897" s="323"/>
      <c r="C897" s="2198" t="s">
        <v>1784</v>
      </c>
      <c r="D897" s="2199"/>
      <c r="E897" s="2199"/>
      <c r="F897" s="2199"/>
      <c r="G897" s="1221"/>
      <c r="H897" s="1221"/>
      <c r="I897" s="2199" t="s">
        <v>1784</v>
      </c>
      <c r="J897" s="2199"/>
      <c r="K897" s="2199"/>
      <c r="L897" s="2199"/>
      <c r="M897" s="993"/>
      <c r="N897" s="994"/>
      <c r="O897" s="993"/>
      <c r="P897" s="995"/>
    </row>
    <row r="898" spans="2:16" x14ac:dyDescent="0.25">
      <c r="B898" s="102" t="s">
        <v>15</v>
      </c>
      <c r="C898" s="1015" t="s">
        <v>1772</v>
      </c>
      <c r="D898" s="1016"/>
      <c r="E898" s="1016"/>
      <c r="F898" s="991"/>
      <c r="G898" s="51"/>
      <c r="H898" s="51"/>
      <c r="I898" s="4"/>
      <c r="J898" s="4"/>
      <c r="K898" s="4"/>
      <c r="L898" s="991"/>
      <c r="M898" s="2008">
        <f>+O899+O900+O901</f>
        <v>12050</v>
      </c>
      <c r="N898" s="2009"/>
      <c r="O898" s="2012"/>
      <c r="P898" s="2009"/>
    </row>
    <row r="899" spans="2:16" x14ac:dyDescent="0.25">
      <c r="B899" s="38" t="s">
        <v>17</v>
      </c>
      <c r="C899" s="1015"/>
      <c r="D899" s="1016"/>
      <c r="E899" s="1016"/>
      <c r="F899" s="20" t="s">
        <v>1</v>
      </c>
      <c r="G899" s="1020" t="str">
        <f>+G868</f>
        <v>Préstamo Banco Internacional - ME</v>
      </c>
      <c r="H899" s="51"/>
      <c r="I899" s="4"/>
      <c r="J899" s="4"/>
      <c r="K899" s="4"/>
      <c r="L899" s="991"/>
      <c r="M899" s="993"/>
      <c r="N899" s="995"/>
      <c r="O899" s="2008">
        <f>5000*(8-6)</f>
        <v>10000</v>
      </c>
      <c r="P899" s="2009"/>
    </row>
    <row r="900" spans="2:16" x14ac:dyDescent="0.25">
      <c r="B900" s="38" t="s">
        <v>17</v>
      </c>
      <c r="C900" s="1015"/>
      <c r="D900" s="1016"/>
      <c r="E900" s="1016"/>
      <c r="F900" s="20" t="s">
        <v>1</v>
      </c>
      <c r="G900" s="1020" t="s">
        <v>1893</v>
      </c>
      <c r="H900" s="51"/>
      <c r="I900" s="4"/>
      <c r="J900" s="4"/>
      <c r="K900" s="4"/>
      <c r="L900" s="991"/>
      <c r="M900" s="993"/>
      <c r="N900" s="995"/>
      <c r="O900" s="2008">
        <f>25*2</f>
        <v>50</v>
      </c>
      <c r="P900" s="2009"/>
    </row>
    <row r="901" spans="2:16" x14ac:dyDescent="0.25">
      <c r="B901" s="38" t="s">
        <v>17</v>
      </c>
      <c r="C901" s="1015"/>
      <c r="D901" s="1016"/>
      <c r="E901" s="1016"/>
      <c r="F901" s="20" t="s">
        <v>1</v>
      </c>
      <c r="G901" s="1020" t="s">
        <v>1892</v>
      </c>
      <c r="H901" s="51"/>
      <c r="I901" s="4"/>
      <c r="J901" s="4"/>
      <c r="K901" s="4"/>
      <c r="L901" s="991"/>
      <c r="M901" s="993"/>
      <c r="N901" s="995"/>
      <c r="O901" s="2008">
        <v>2000</v>
      </c>
      <c r="P901" s="2009"/>
    </row>
    <row r="902" spans="2:16" x14ac:dyDescent="0.25">
      <c r="B902" s="38"/>
      <c r="C902" s="797" t="s">
        <v>1891</v>
      </c>
      <c r="D902" s="1016"/>
      <c r="E902" s="1016"/>
      <c r="F902" s="20"/>
      <c r="G902" s="1020"/>
      <c r="H902" s="51"/>
      <c r="I902" s="4"/>
      <c r="J902" s="4"/>
      <c r="K902" s="4"/>
      <c r="L902" s="991"/>
      <c r="M902" s="993"/>
      <c r="N902" s="994"/>
      <c r="O902" s="993"/>
      <c r="P902" s="995"/>
    </row>
    <row r="903" spans="2:16" x14ac:dyDescent="0.25">
      <c r="B903" s="323"/>
      <c r="C903" s="2198" t="s">
        <v>1784</v>
      </c>
      <c r="D903" s="2199"/>
      <c r="E903" s="2199"/>
      <c r="F903" s="2199"/>
      <c r="G903" s="1221"/>
      <c r="H903" s="1221"/>
      <c r="I903" s="2199" t="s">
        <v>1784</v>
      </c>
      <c r="J903" s="2199"/>
      <c r="K903" s="2199"/>
      <c r="L903" s="2199"/>
      <c r="M903" s="993"/>
      <c r="N903" s="994"/>
      <c r="O903" s="993"/>
      <c r="P903" s="995"/>
    </row>
    <row r="904" spans="2:16" x14ac:dyDescent="0.25">
      <c r="B904" s="102" t="s">
        <v>15</v>
      </c>
      <c r="C904" s="1015" t="s">
        <v>319</v>
      </c>
      <c r="D904" s="1016"/>
      <c r="E904" s="1016"/>
      <c r="F904" s="991"/>
      <c r="G904" s="51"/>
      <c r="H904" s="51"/>
      <c r="I904" s="4"/>
      <c r="J904" s="4"/>
      <c r="K904" s="4"/>
      <c r="L904" s="991"/>
      <c r="M904" s="2008">
        <f>80*8</f>
        <v>640</v>
      </c>
      <c r="N904" s="2009"/>
      <c r="O904" s="2012"/>
      <c r="P904" s="2009"/>
    </row>
    <row r="905" spans="2:16" x14ac:dyDescent="0.25">
      <c r="B905" s="38" t="s">
        <v>17</v>
      </c>
      <c r="C905" s="1015"/>
      <c r="D905" s="1016"/>
      <c r="E905" s="1016"/>
      <c r="F905" s="20" t="s">
        <v>1</v>
      </c>
      <c r="G905" s="1020" t="s">
        <v>1890</v>
      </c>
      <c r="H905" s="51"/>
      <c r="I905" s="4"/>
      <c r="J905" s="4"/>
      <c r="K905" s="4"/>
      <c r="L905" s="991"/>
      <c r="M905" s="993"/>
      <c r="N905" s="995"/>
      <c r="O905" s="2008">
        <f>+M904</f>
        <v>640</v>
      </c>
      <c r="P905" s="2009"/>
    </row>
    <row r="906" spans="2:16" x14ac:dyDescent="0.25">
      <c r="B906" s="38"/>
      <c r="C906" s="797" t="s">
        <v>1889</v>
      </c>
      <c r="D906" s="1016"/>
      <c r="E906" s="1016"/>
      <c r="F906" s="20"/>
      <c r="G906" s="1020"/>
      <c r="H906" s="51"/>
      <c r="I906" s="4"/>
      <c r="J906" s="4"/>
      <c r="K906" s="4"/>
      <c r="L906" s="991"/>
      <c r="M906" s="993"/>
      <c r="N906" s="994"/>
      <c r="O906" s="993"/>
      <c r="P906" s="995"/>
    </row>
    <row r="907" spans="2:16" x14ac:dyDescent="0.25">
      <c r="B907" s="108">
        <v>8</v>
      </c>
      <c r="C907" s="2198" t="s">
        <v>1784</v>
      </c>
      <c r="D907" s="2199"/>
      <c r="E907" s="2199"/>
      <c r="F907" s="2199"/>
      <c r="G907" s="2220"/>
      <c r="H907" s="2220"/>
      <c r="I907" s="2199" t="s">
        <v>1784</v>
      </c>
      <c r="J907" s="2199"/>
      <c r="K907" s="2199"/>
      <c r="L907" s="2199"/>
      <c r="M907" s="993"/>
      <c r="N907" s="994"/>
      <c r="O907" s="993"/>
      <c r="P907" s="995"/>
    </row>
    <row r="908" spans="2:16" x14ac:dyDescent="0.25">
      <c r="B908" s="30" t="s">
        <v>207</v>
      </c>
      <c r="C908" s="1015" t="s">
        <v>1888</v>
      </c>
      <c r="D908" s="1175"/>
      <c r="E908" s="1175"/>
      <c r="F908" s="1175"/>
      <c r="G908" s="1221"/>
      <c r="H908" s="1221"/>
      <c r="I908" s="1175"/>
      <c r="J908" s="1175"/>
      <c r="K908" s="1175"/>
      <c r="L908" s="1175"/>
      <c r="M908" s="2008">
        <f>+O879</f>
        <v>2000</v>
      </c>
      <c r="N908" s="2009"/>
      <c r="O908" s="994"/>
      <c r="P908" s="995"/>
    </row>
    <row r="909" spans="2:16" x14ac:dyDescent="0.25">
      <c r="B909" s="38" t="s">
        <v>15</v>
      </c>
      <c r="C909" s="1015" t="s">
        <v>894</v>
      </c>
      <c r="D909" s="1016"/>
      <c r="E909" s="1016"/>
      <c r="F909" s="991"/>
      <c r="G909" s="51"/>
      <c r="H909" s="51"/>
      <c r="I909" s="4"/>
      <c r="J909" s="4"/>
      <c r="K909" s="4"/>
      <c r="L909" s="991"/>
      <c r="M909" s="2008">
        <v>200</v>
      </c>
      <c r="N909" s="2009"/>
      <c r="O909" s="2012"/>
      <c r="P909" s="2009"/>
    </row>
    <row r="910" spans="2:16" x14ac:dyDescent="0.25">
      <c r="B910" s="38" t="s">
        <v>11</v>
      </c>
      <c r="C910" s="1015" t="s">
        <v>13</v>
      </c>
      <c r="D910" s="1016"/>
      <c r="E910" s="1016"/>
      <c r="F910" s="20"/>
      <c r="G910" s="1020"/>
      <c r="H910" s="51"/>
      <c r="I910" s="4"/>
      <c r="J910" s="4"/>
      <c r="K910" s="4"/>
      <c r="L910" s="991"/>
      <c r="M910" s="2008">
        <f>2200*0.21</f>
        <v>462</v>
      </c>
      <c r="N910" s="2009"/>
      <c r="O910" s="2008"/>
      <c r="P910" s="2009"/>
    </row>
    <row r="911" spans="2:16" x14ac:dyDescent="0.25">
      <c r="B911" s="38" t="s">
        <v>17</v>
      </c>
      <c r="C911" s="1017"/>
      <c r="D911" s="1018"/>
      <c r="E911" s="1018"/>
      <c r="F911" s="35" t="s">
        <v>1</v>
      </c>
      <c r="G911" s="1022" t="s">
        <v>235</v>
      </c>
      <c r="H911" s="24"/>
      <c r="I911" s="3"/>
      <c r="J911" s="3"/>
      <c r="K911" s="3"/>
      <c r="L911" s="1013"/>
      <c r="M911" s="2006"/>
      <c r="N911" s="2007"/>
      <c r="O911" s="2006">
        <f>+SUM(M908:N910)</f>
        <v>2662</v>
      </c>
      <c r="P911" s="2007"/>
    </row>
    <row r="914" spans="1:21" s="10" customFormat="1" x14ac:dyDescent="0.25">
      <c r="A914" s="2"/>
      <c r="B914" s="1220" t="s">
        <v>1887</v>
      </c>
      <c r="C914" s="12"/>
      <c r="D914" s="12"/>
      <c r="E914" s="12"/>
      <c r="F914" s="12"/>
      <c r="G914" s="27"/>
      <c r="H914" s="27"/>
      <c r="I914" s="2"/>
      <c r="J914" s="2"/>
      <c r="K914" s="2"/>
      <c r="L914" s="2"/>
      <c r="Q914" s="2"/>
      <c r="R914" s="2"/>
      <c r="S914" s="2"/>
      <c r="T914" s="2"/>
      <c r="U914" s="2"/>
    </row>
    <row r="916" spans="1:21" s="10" customFormat="1" x14ac:dyDescent="0.25">
      <c r="A916" s="2"/>
      <c r="B916" s="1009"/>
      <c r="C916" s="2265"/>
      <c r="D916" s="2265"/>
      <c r="E916" s="2265"/>
      <c r="F916" s="2266" t="s">
        <v>1886</v>
      </c>
      <c r="G916" s="2266"/>
      <c r="H916" s="2266" t="s">
        <v>1885</v>
      </c>
      <c r="I916" s="2266"/>
      <c r="J916" s="2266" t="s">
        <v>1884</v>
      </c>
      <c r="K916" s="2266"/>
      <c r="L916" s="2266" t="s">
        <v>1883</v>
      </c>
      <c r="M916" s="2266"/>
      <c r="Q916" s="2"/>
      <c r="R916" s="2"/>
      <c r="S916" s="2"/>
      <c r="T916" s="2"/>
      <c r="U916" s="2"/>
    </row>
    <row r="917" spans="1:21" s="10" customFormat="1" x14ac:dyDescent="0.25">
      <c r="A917" s="2"/>
      <c r="B917" s="1009"/>
      <c r="C917" s="2263" t="s">
        <v>502</v>
      </c>
      <c r="D917" s="2263"/>
      <c r="E917" s="2263"/>
      <c r="F917" s="2264">
        <v>5000</v>
      </c>
      <c r="G917" s="2264"/>
      <c r="H917" s="2264">
        <f>+F917*6</f>
        <v>30000</v>
      </c>
      <c r="I917" s="2264"/>
      <c r="J917" s="2264">
        <f>+F917*8</f>
        <v>40000</v>
      </c>
      <c r="K917" s="2264"/>
      <c r="L917" s="2264">
        <f>+J917-H917</f>
        <v>10000</v>
      </c>
      <c r="M917" s="2264"/>
      <c r="Q917" s="2"/>
      <c r="R917" s="2"/>
      <c r="S917" s="2"/>
      <c r="T917" s="2"/>
      <c r="U917" s="2"/>
    </row>
    <row r="918" spans="1:21" s="10" customFormat="1" x14ac:dyDescent="0.25">
      <c r="A918" s="2"/>
      <c r="B918" s="1009"/>
      <c r="C918" s="2263" t="s">
        <v>1882</v>
      </c>
      <c r="D918" s="2263"/>
      <c r="E918" s="2263"/>
      <c r="F918" s="2264">
        <f>+F917*0.12</f>
        <v>600</v>
      </c>
      <c r="G918" s="2264"/>
      <c r="H918" s="2264">
        <f>+F918*6</f>
        <v>3600</v>
      </c>
      <c r="I918" s="2264"/>
      <c r="J918" s="2264">
        <f>+F918*8</f>
        <v>4800</v>
      </c>
      <c r="K918" s="2264"/>
      <c r="L918" s="2264">
        <f>+J918-H918</f>
        <v>1200</v>
      </c>
      <c r="M918" s="2264"/>
      <c r="Q918" s="2"/>
      <c r="R918" s="2"/>
      <c r="S918" s="2"/>
      <c r="T918" s="2"/>
      <c r="U918" s="2"/>
    </row>
    <row r="919" spans="1:21" s="10" customFormat="1" x14ac:dyDescent="0.25">
      <c r="A919" s="2"/>
      <c r="B919" s="1009"/>
      <c r="C919" s="2263" t="s">
        <v>1881</v>
      </c>
      <c r="D919" s="2263"/>
      <c r="E919" s="2263"/>
      <c r="F919" s="2264">
        <f>+F918/12</f>
        <v>50</v>
      </c>
      <c r="G919" s="2264"/>
      <c r="H919" s="2264">
        <f>+F919*6</f>
        <v>300</v>
      </c>
      <c r="I919" s="2264"/>
      <c r="J919" s="2264">
        <f>+F919*8</f>
        <v>400</v>
      </c>
      <c r="K919" s="2264"/>
      <c r="L919" s="2264">
        <f>+J919-H919</f>
        <v>100</v>
      </c>
      <c r="M919" s="2264"/>
      <c r="Q919" s="2"/>
      <c r="R919" s="2"/>
      <c r="S919" s="2"/>
      <c r="T919" s="2"/>
      <c r="U919" s="2"/>
    </row>
    <row r="920" spans="1:21" s="10" customFormat="1" x14ac:dyDescent="0.25">
      <c r="A920" s="2"/>
      <c r="B920" s="1009"/>
      <c r="C920" s="2263" t="s">
        <v>1880</v>
      </c>
      <c r="D920" s="2263"/>
      <c r="E920" s="2263"/>
      <c r="F920" s="2264">
        <f>+F919/2</f>
        <v>25</v>
      </c>
      <c r="G920" s="2264"/>
      <c r="H920" s="2264">
        <f>+F920*6</f>
        <v>150</v>
      </c>
      <c r="I920" s="2264"/>
      <c r="J920" s="2264">
        <f>+F920*8</f>
        <v>200</v>
      </c>
      <c r="K920" s="2264"/>
      <c r="L920" s="2264">
        <f>+J920-H920</f>
        <v>50</v>
      </c>
      <c r="M920" s="2264"/>
      <c r="Q920" s="2"/>
      <c r="R920" s="2"/>
      <c r="S920" s="2"/>
      <c r="T920" s="2"/>
      <c r="U920" s="2"/>
    </row>
    <row r="944" spans="2:16" s="4" customFormat="1" x14ac:dyDescent="0.25">
      <c r="B944" s="1004"/>
      <c r="C944" s="12"/>
      <c r="D944" s="12"/>
      <c r="E944" s="12"/>
      <c r="F944" s="12"/>
      <c r="G944" s="51"/>
      <c r="H944" s="51"/>
      <c r="M944" s="18"/>
      <c r="N944" s="18"/>
      <c r="O944" s="18"/>
      <c r="P944" s="18"/>
    </row>
  </sheetData>
  <sheetProtection algorithmName="SHA-512" hashValue="d+u//zlcRQhg+LvPl2ML9rqZ/i5b5uG/8RoPq5xW5KQpcgoyOE8LxQP/PkDvuSCVMKao9NTZW6At8NmDULlqAA==" saltValue="AjoMMDyfVTpEO6Wfnu1Seg==" spinCount="100000" sheet="1" objects="1" scenarios="1"/>
  <mergeCells count="1665">
    <mergeCell ref="A2:Q2"/>
    <mergeCell ref="A3:Q3"/>
    <mergeCell ref="B5:H5"/>
    <mergeCell ref="J5:P5"/>
    <mergeCell ref="D7:E7"/>
    <mergeCell ref="L7:M7"/>
    <mergeCell ref="D40:E40"/>
    <mergeCell ref="L40:M40"/>
    <mergeCell ref="B12:B13"/>
    <mergeCell ref="C14:F15"/>
    <mergeCell ref="C8:H9"/>
    <mergeCell ref="K8:P9"/>
    <mergeCell ref="D11:E11"/>
    <mergeCell ref="L11:M11"/>
    <mergeCell ref="H14:H15"/>
    <mergeCell ref="K14:N15"/>
    <mergeCell ref="P14:P15"/>
    <mergeCell ref="K12:N13"/>
    <mergeCell ref="C12:F13"/>
    <mergeCell ref="D18:E18"/>
    <mergeCell ref="L18:M18"/>
    <mergeCell ref="C19:H20"/>
    <mergeCell ref="K19:P20"/>
    <mergeCell ref="D22:E22"/>
    <mergeCell ref="L22:M22"/>
    <mergeCell ref="D27:E27"/>
    <mergeCell ref="L27:M27"/>
    <mergeCell ref="K28:P29"/>
    <mergeCell ref="D32:E32"/>
    <mergeCell ref="L32:M32"/>
    <mergeCell ref="C33:F34"/>
    <mergeCell ref="G33:G34"/>
    <mergeCell ref="K34:N35"/>
    <mergeCell ref="P34:P35"/>
    <mergeCell ref="K41:P42"/>
    <mergeCell ref="D45:E45"/>
    <mergeCell ref="L45:M45"/>
    <mergeCell ref="A52:Q52"/>
    <mergeCell ref="A53:Q53"/>
    <mergeCell ref="M56:N57"/>
    <mergeCell ref="O56:P57"/>
    <mergeCell ref="G57:H57"/>
    <mergeCell ref="M58:N58"/>
    <mergeCell ref="O58:P58"/>
    <mergeCell ref="M59:N59"/>
    <mergeCell ref="M60:N60"/>
    <mergeCell ref="M61:N61"/>
    <mergeCell ref="O61:P61"/>
    <mergeCell ref="C62:F62"/>
    <mergeCell ref="G62:H62"/>
    <mergeCell ref="I62:L62"/>
    <mergeCell ref="M63:N63"/>
    <mergeCell ref="O63:P63"/>
    <mergeCell ref="M64:N64"/>
    <mergeCell ref="M65:N65"/>
    <mergeCell ref="O65:P65"/>
    <mergeCell ref="C66:F66"/>
    <mergeCell ref="G66:H66"/>
    <mergeCell ref="I66:L66"/>
    <mergeCell ref="M67:N67"/>
    <mergeCell ref="O67:P67"/>
    <mergeCell ref="M68:N68"/>
    <mergeCell ref="M69:N69"/>
    <mergeCell ref="O69:P69"/>
    <mergeCell ref="C70:F70"/>
    <mergeCell ref="G70:H70"/>
    <mergeCell ref="I70:L70"/>
    <mergeCell ref="M71:N71"/>
    <mergeCell ref="O71:P71"/>
    <mergeCell ref="M72:N72"/>
    <mergeCell ref="M73:N73"/>
    <mergeCell ref="O73:P73"/>
    <mergeCell ref="M74:N74"/>
    <mergeCell ref="O74:P74"/>
    <mergeCell ref="C75:F75"/>
    <mergeCell ref="G75:H75"/>
    <mergeCell ref="I75:L75"/>
    <mergeCell ref="M76:N76"/>
    <mergeCell ref="O76:P76"/>
    <mergeCell ref="M77:N77"/>
    <mergeCell ref="M78:N78"/>
    <mergeCell ref="O78:P78"/>
    <mergeCell ref="C79:F79"/>
    <mergeCell ref="G79:H79"/>
    <mergeCell ref="I79:L79"/>
    <mergeCell ref="M80:N80"/>
    <mergeCell ref="O80:P80"/>
    <mergeCell ref="M90:N90"/>
    <mergeCell ref="O90:P90"/>
    <mergeCell ref="C91:F91"/>
    <mergeCell ref="G91:H91"/>
    <mergeCell ref="I91:L91"/>
    <mergeCell ref="M92:N92"/>
    <mergeCell ref="O92:P92"/>
    <mergeCell ref="M93:N93"/>
    <mergeCell ref="O93:P93"/>
    <mergeCell ref="M94:N94"/>
    <mergeCell ref="O94:P94"/>
    <mergeCell ref="C95:F95"/>
    <mergeCell ref="G95:H95"/>
    <mergeCell ref="I95:L95"/>
    <mergeCell ref="M81:N81"/>
    <mergeCell ref="M82:N82"/>
    <mergeCell ref="M83:N83"/>
    <mergeCell ref="O83:P83"/>
    <mergeCell ref="M84:N84"/>
    <mergeCell ref="O84:P84"/>
    <mergeCell ref="C85:F85"/>
    <mergeCell ref="G85:H85"/>
    <mergeCell ref="I85:L85"/>
    <mergeCell ref="M86:N86"/>
    <mergeCell ref="O86:P86"/>
    <mergeCell ref="M87:N87"/>
    <mergeCell ref="O87:P87"/>
    <mergeCell ref="C88:F88"/>
    <mergeCell ref="G88:H88"/>
    <mergeCell ref="I88:L88"/>
    <mergeCell ref="M89:N89"/>
    <mergeCell ref="O89:P89"/>
    <mergeCell ref="M96:N96"/>
    <mergeCell ref="O96:P96"/>
    <mergeCell ref="M97:N97"/>
    <mergeCell ref="M98:N98"/>
    <mergeCell ref="O98:P98"/>
    <mergeCell ref="M99:N99"/>
    <mergeCell ref="O99:P99"/>
    <mergeCell ref="C100:F100"/>
    <mergeCell ref="G100:H100"/>
    <mergeCell ref="I100:L100"/>
    <mergeCell ref="M101:N101"/>
    <mergeCell ref="O101:P101"/>
    <mergeCell ref="M102:N102"/>
    <mergeCell ref="O102:P102"/>
    <mergeCell ref="C103:F103"/>
    <mergeCell ref="G103:H104"/>
    <mergeCell ref="I103:L103"/>
    <mergeCell ref="I121:J121"/>
    <mergeCell ref="K121:L121"/>
    <mergeCell ref="M121:N121"/>
    <mergeCell ref="O121:P121"/>
    <mergeCell ref="C107:F107"/>
    <mergeCell ref="G107:H107"/>
    <mergeCell ref="I107:L107"/>
    <mergeCell ref="M108:N108"/>
    <mergeCell ref="O108:P108"/>
    <mergeCell ref="M109:N109"/>
    <mergeCell ref="M110:N110"/>
    <mergeCell ref="O110:P110"/>
    <mergeCell ref="C111:F111"/>
    <mergeCell ref="G111:H111"/>
    <mergeCell ref="I111:L111"/>
    <mergeCell ref="M112:N112"/>
    <mergeCell ref="O112:P112"/>
    <mergeCell ref="M113:N113"/>
    <mergeCell ref="O113:P113"/>
    <mergeCell ref="M114:N114"/>
    <mergeCell ref="O114:P114"/>
    <mergeCell ref="G122:H122"/>
    <mergeCell ref="I122:J122"/>
    <mergeCell ref="K122:L122"/>
    <mergeCell ref="M122:N122"/>
    <mergeCell ref="O122:P122"/>
    <mergeCell ref="G123:H123"/>
    <mergeCell ref="I123:J123"/>
    <mergeCell ref="K123:L123"/>
    <mergeCell ref="M123:N123"/>
    <mergeCell ref="O123:P123"/>
    <mergeCell ref="G124:H124"/>
    <mergeCell ref="I124:J124"/>
    <mergeCell ref="K124:L124"/>
    <mergeCell ref="M124:N124"/>
    <mergeCell ref="O124:P124"/>
    <mergeCell ref="B118:F118"/>
    <mergeCell ref="G118:H118"/>
    <mergeCell ref="I118:J118"/>
    <mergeCell ref="K118:L118"/>
    <mergeCell ref="M118:N118"/>
    <mergeCell ref="O118:P118"/>
    <mergeCell ref="G119:H119"/>
    <mergeCell ref="I119:J119"/>
    <mergeCell ref="K119:L119"/>
    <mergeCell ref="M119:N119"/>
    <mergeCell ref="O119:P119"/>
    <mergeCell ref="G120:H120"/>
    <mergeCell ref="I120:J120"/>
    <mergeCell ref="K120:L120"/>
    <mergeCell ref="M120:N120"/>
    <mergeCell ref="O120:P120"/>
    <mergeCell ref="G121:H121"/>
    <mergeCell ref="G125:H125"/>
    <mergeCell ref="I125:J125"/>
    <mergeCell ref="K125:L125"/>
    <mergeCell ref="M125:N125"/>
    <mergeCell ref="O125:P125"/>
    <mergeCell ref="G126:H126"/>
    <mergeCell ref="I126:J126"/>
    <mergeCell ref="K126:L126"/>
    <mergeCell ref="M126:N126"/>
    <mergeCell ref="O126:P126"/>
    <mergeCell ref="G127:H127"/>
    <mergeCell ref="I127:J127"/>
    <mergeCell ref="K127:L127"/>
    <mergeCell ref="M127:N127"/>
    <mergeCell ref="O127:P127"/>
    <mergeCell ref="G128:H128"/>
    <mergeCell ref="I128:J128"/>
    <mergeCell ref="K128:L128"/>
    <mergeCell ref="M128:N128"/>
    <mergeCell ref="O128:P128"/>
    <mergeCell ref="G129:H129"/>
    <mergeCell ref="I129:J129"/>
    <mergeCell ref="K129:L129"/>
    <mergeCell ref="M129:N129"/>
    <mergeCell ref="O129:P129"/>
    <mergeCell ref="G130:H130"/>
    <mergeCell ref="I130:J130"/>
    <mergeCell ref="K130:L130"/>
    <mergeCell ref="M130:N130"/>
    <mergeCell ref="O130:P130"/>
    <mergeCell ref="G131:H131"/>
    <mergeCell ref="I131:J131"/>
    <mergeCell ref="K131:L131"/>
    <mergeCell ref="M131:N131"/>
    <mergeCell ref="O131:P131"/>
    <mergeCell ref="G132:H132"/>
    <mergeCell ref="I132:J132"/>
    <mergeCell ref="K132:L132"/>
    <mergeCell ref="M132:N132"/>
    <mergeCell ref="O132:P132"/>
    <mergeCell ref="G133:H133"/>
    <mergeCell ref="I133:J133"/>
    <mergeCell ref="K133:L133"/>
    <mergeCell ref="M133:N133"/>
    <mergeCell ref="O133:P133"/>
    <mergeCell ref="G134:H134"/>
    <mergeCell ref="I134:J134"/>
    <mergeCell ref="K134:L134"/>
    <mergeCell ref="M134:N134"/>
    <mergeCell ref="O134:P134"/>
    <mergeCell ref="G135:H135"/>
    <mergeCell ref="I135:J135"/>
    <mergeCell ref="K135:L135"/>
    <mergeCell ref="M135:N135"/>
    <mergeCell ref="O135:P135"/>
    <mergeCell ref="G136:H136"/>
    <mergeCell ref="I136:J136"/>
    <mergeCell ref="K136:L136"/>
    <mergeCell ref="M136:N136"/>
    <mergeCell ref="O136:P136"/>
    <mergeCell ref="G137:H137"/>
    <mergeCell ref="I137:J137"/>
    <mergeCell ref="K137:L137"/>
    <mergeCell ref="M137:N137"/>
    <mergeCell ref="O137:P137"/>
    <mergeCell ref="B141:F141"/>
    <mergeCell ref="G141:P141"/>
    <mergeCell ref="E142:F142"/>
    <mergeCell ref="G142:I142"/>
    <mergeCell ref="J142:K142"/>
    <mergeCell ref="O142:P142"/>
    <mergeCell ref="E143:F143"/>
    <mergeCell ref="G143:I143"/>
    <mergeCell ref="J143:K143"/>
    <mergeCell ref="O143:P143"/>
    <mergeCell ref="E144:F144"/>
    <mergeCell ref="G144:I144"/>
    <mergeCell ref="J144:K144"/>
    <mergeCell ref="O144:P144"/>
    <mergeCell ref="E145:F145"/>
    <mergeCell ref="G145:I145"/>
    <mergeCell ref="J145:K145"/>
    <mergeCell ref="O145:P145"/>
    <mergeCell ref="E146:F146"/>
    <mergeCell ref="G146:I146"/>
    <mergeCell ref="J146:K146"/>
    <mergeCell ref="O146:P146"/>
    <mergeCell ref="E147:F147"/>
    <mergeCell ref="G147:I147"/>
    <mergeCell ref="J147:K147"/>
    <mergeCell ref="O147:P147"/>
    <mergeCell ref="E148:F148"/>
    <mergeCell ref="G148:I148"/>
    <mergeCell ref="J148:K148"/>
    <mergeCell ref="O148:P148"/>
    <mergeCell ref="E149:F149"/>
    <mergeCell ref="G149:I149"/>
    <mergeCell ref="J149:K149"/>
    <mergeCell ref="L149:N149"/>
    <mergeCell ref="O149:P149"/>
    <mergeCell ref="H150:J150"/>
    <mergeCell ref="K150:L150"/>
    <mergeCell ref="G151:H151"/>
    <mergeCell ref="I151:J151"/>
    <mergeCell ref="K151:L151"/>
    <mergeCell ref="M151:N151"/>
    <mergeCell ref="B152:F152"/>
    <mergeCell ref="G152:H152"/>
    <mergeCell ref="I152:J152"/>
    <mergeCell ref="K152:L152"/>
    <mergeCell ref="M152:N152"/>
    <mergeCell ref="G153:H153"/>
    <mergeCell ref="I153:J153"/>
    <mergeCell ref="K153:L153"/>
    <mergeCell ref="M153:N153"/>
    <mergeCell ref="G154:H154"/>
    <mergeCell ref="I154:J154"/>
    <mergeCell ref="K154:L154"/>
    <mergeCell ref="M154:N154"/>
    <mergeCell ref="A157:Q157"/>
    <mergeCell ref="A158:Q158"/>
    <mergeCell ref="M161:N162"/>
    <mergeCell ref="O161:P162"/>
    <mergeCell ref="G162:H162"/>
    <mergeCell ref="M163:N163"/>
    <mergeCell ref="O163:P163"/>
    <mergeCell ref="M164:N164"/>
    <mergeCell ref="M165:N165"/>
    <mergeCell ref="O165:P165"/>
    <mergeCell ref="C166:F166"/>
    <mergeCell ref="G166:H166"/>
    <mergeCell ref="I166:L166"/>
    <mergeCell ref="M167:N167"/>
    <mergeCell ref="O167:P167"/>
    <mergeCell ref="M168:N168"/>
    <mergeCell ref="O168:P168"/>
    <mergeCell ref="C169:F169"/>
    <mergeCell ref="G169:H169"/>
    <mergeCell ref="I169:L169"/>
    <mergeCell ref="M170:N170"/>
    <mergeCell ref="O170:P170"/>
    <mergeCell ref="M171:N171"/>
    <mergeCell ref="O171:P171"/>
    <mergeCell ref="C172:F172"/>
    <mergeCell ref="G172:H172"/>
    <mergeCell ref="I172:L172"/>
    <mergeCell ref="M173:N173"/>
    <mergeCell ref="O173:P173"/>
    <mergeCell ref="O174:P174"/>
    <mergeCell ref="M175:N175"/>
    <mergeCell ref="O175:P175"/>
    <mergeCell ref="C176:F176"/>
    <mergeCell ref="G176:H176"/>
    <mergeCell ref="I176:L176"/>
    <mergeCell ref="M177:N177"/>
    <mergeCell ref="O177:P177"/>
    <mergeCell ref="M178:N178"/>
    <mergeCell ref="O178:P178"/>
    <mergeCell ref="C179:F179"/>
    <mergeCell ref="G179:H179"/>
    <mergeCell ref="I179:L179"/>
    <mergeCell ref="C180:L180"/>
    <mergeCell ref="M180:N180"/>
    <mergeCell ref="O180:P180"/>
    <mergeCell ref="C181:F181"/>
    <mergeCell ref="G181:H181"/>
    <mergeCell ref="I181:L181"/>
    <mergeCell ref="C182:L182"/>
    <mergeCell ref="M182:N182"/>
    <mergeCell ref="O182:P182"/>
    <mergeCell ref="C183:F183"/>
    <mergeCell ref="G183:H183"/>
    <mergeCell ref="I183:L183"/>
    <mergeCell ref="M184:N184"/>
    <mergeCell ref="O184:P184"/>
    <mergeCell ref="M185:N185"/>
    <mergeCell ref="M186:N186"/>
    <mergeCell ref="O186:P186"/>
    <mergeCell ref="C187:F187"/>
    <mergeCell ref="G187:H187"/>
    <mergeCell ref="I187:L187"/>
    <mergeCell ref="C188:L188"/>
    <mergeCell ref="M188:N188"/>
    <mergeCell ref="O188:P188"/>
    <mergeCell ref="C189:F189"/>
    <mergeCell ref="G189:H189"/>
    <mergeCell ref="I189:L189"/>
    <mergeCell ref="M190:N190"/>
    <mergeCell ref="O190:P190"/>
    <mergeCell ref="M191:N191"/>
    <mergeCell ref="M192:N192"/>
    <mergeCell ref="O192:P192"/>
    <mergeCell ref="C193:F193"/>
    <mergeCell ref="G193:H193"/>
    <mergeCell ref="I193:L193"/>
    <mergeCell ref="M194:N194"/>
    <mergeCell ref="O194:P194"/>
    <mergeCell ref="M195:N195"/>
    <mergeCell ref="M196:N196"/>
    <mergeCell ref="O196:P196"/>
    <mergeCell ref="C197:F197"/>
    <mergeCell ref="G197:H197"/>
    <mergeCell ref="I197:L197"/>
    <mergeCell ref="M198:N198"/>
    <mergeCell ref="O198:P198"/>
    <mergeCell ref="M199:N199"/>
    <mergeCell ref="M200:N200"/>
    <mergeCell ref="O200:P200"/>
    <mergeCell ref="M201:N201"/>
    <mergeCell ref="O201:P201"/>
    <mergeCell ref="C202:F202"/>
    <mergeCell ref="G202:H202"/>
    <mergeCell ref="I202:L202"/>
    <mergeCell ref="M203:N203"/>
    <mergeCell ref="O203:P203"/>
    <mergeCell ref="M204:N204"/>
    <mergeCell ref="M205:N205"/>
    <mergeCell ref="O205:P205"/>
    <mergeCell ref="C206:F206"/>
    <mergeCell ref="G206:H206"/>
    <mergeCell ref="I206:L206"/>
    <mergeCell ref="M207:N207"/>
    <mergeCell ref="O207:P207"/>
    <mergeCell ref="M208:N208"/>
    <mergeCell ref="M209:N209"/>
    <mergeCell ref="M210:N210"/>
    <mergeCell ref="O210:P210"/>
    <mergeCell ref="C211:F211"/>
    <mergeCell ref="G211:H212"/>
    <mergeCell ref="I211:L211"/>
    <mergeCell ref="C215:F215"/>
    <mergeCell ref="G215:H215"/>
    <mergeCell ref="I215:L215"/>
    <mergeCell ref="M216:N216"/>
    <mergeCell ref="M217:N217"/>
    <mergeCell ref="O217:P217"/>
    <mergeCell ref="M218:N218"/>
    <mergeCell ref="O218:P218"/>
    <mergeCell ref="C219:F219"/>
    <mergeCell ref="G219:H219"/>
    <mergeCell ref="I219:L219"/>
    <mergeCell ref="M220:N220"/>
    <mergeCell ref="O220:P220"/>
    <mergeCell ref="M221:N221"/>
    <mergeCell ref="O221:P221"/>
    <mergeCell ref="C222:F222"/>
    <mergeCell ref="G222:H222"/>
    <mergeCell ref="I222:L222"/>
    <mergeCell ref="M223:N223"/>
    <mergeCell ref="O223:P223"/>
    <mergeCell ref="M224:N224"/>
    <mergeCell ref="M225:N225"/>
    <mergeCell ref="O225:P225"/>
    <mergeCell ref="C226:F226"/>
    <mergeCell ref="G226:H226"/>
    <mergeCell ref="I226:L226"/>
    <mergeCell ref="M227:N227"/>
    <mergeCell ref="O227:P227"/>
    <mergeCell ref="M228:N228"/>
    <mergeCell ref="M229:N229"/>
    <mergeCell ref="O229:P229"/>
    <mergeCell ref="M230:N230"/>
    <mergeCell ref="O230:P230"/>
    <mergeCell ref="C231:F231"/>
    <mergeCell ref="G231:H231"/>
    <mergeCell ref="I231:L231"/>
    <mergeCell ref="M232:N232"/>
    <mergeCell ref="O232:P232"/>
    <mergeCell ref="M233:N233"/>
    <mergeCell ref="M234:N234"/>
    <mergeCell ref="O234:P234"/>
    <mergeCell ref="B238:H238"/>
    <mergeCell ref="I238:J238"/>
    <mergeCell ref="K238:L238"/>
    <mergeCell ref="M238:N238"/>
    <mergeCell ref="O238:P238"/>
    <mergeCell ref="I239:J239"/>
    <mergeCell ref="K239:L239"/>
    <mergeCell ref="M239:N239"/>
    <mergeCell ref="O239:P239"/>
    <mergeCell ref="I240:J240"/>
    <mergeCell ref="K240:L240"/>
    <mergeCell ref="M240:N240"/>
    <mergeCell ref="O240:P240"/>
    <mergeCell ref="I241:J241"/>
    <mergeCell ref="K241:L241"/>
    <mergeCell ref="M241:N241"/>
    <mergeCell ref="O241:P241"/>
    <mergeCell ref="I242:J242"/>
    <mergeCell ref="K242:L242"/>
    <mergeCell ref="M242:N242"/>
    <mergeCell ref="O242:P242"/>
    <mergeCell ref="I243:J243"/>
    <mergeCell ref="K243:L243"/>
    <mergeCell ref="M243:N243"/>
    <mergeCell ref="O243:P243"/>
    <mergeCell ref="I244:J244"/>
    <mergeCell ref="K244:L244"/>
    <mergeCell ref="M244:N244"/>
    <mergeCell ref="O244:P244"/>
    <mergeCell ref="I245:J245"/>
    <mergeCell ref="K245:L245"/>
    <mergeCell ref="M245:N245"/>
    <mergeCell ref="O245:P245"/>
    <mergeCell ref="I246:J246"/>
    <mergeCell ref="K246:L246"/>
    <mergeCell ref="M246:N246"/>
    <mergeCell ref="O246:P246"/>
    <mergeCell ref="I247:J247"/>
    <mergeCell ref="K247:L247"/>
    <mergeCell ref="M247:N247"/>
    <mergeCell ref="O247:P247"/>
    <mergeCell ref="I248:J248"/>
    <mergeCell ref="K248:L248"/>
    <mergeCell ref="M248:N248"/>
    <mergeCell ref="O248:P248"/>
    <mergeCell ref="I249:J249"/>
    <mergeCell ref="K249:L249"/>
    <mergeCell ref="M249:N249"/>
    <mergeCell ref="O249:P249"/>
    <mergeCell ref="I250:J250"/>
    <mergeCell ref="K250:L250"/>
    <mergeCell ref="M250:N250"/>
    <mergeCell ref="O250:P250"/>
    <mergeCell ref="I251:J251"/>
    <mergeCell ref="K251:L251"/>
    <mergeCell ref="M251:N251"/>
    <mergeCell ref="O251:P251"/>
    <mergeCell ref="I252:J252"/>
    <mergeCell ref="K252:L252"/>
    <mergeCell ref="M252:N252"/>
    <mergeCell ref="O252:P252"/>
    <mergeCell ref="I253:J253"/>
    <mergeCell ref="K253:L253"/>
    <mergeCell ref="M253:N253"/>
    <mergeCell ref="O253:P253"/>
    <mergeCell ref="I254:J254"/>
    <mergeCell ref="K254:L254"/>
    <mergeCell ref="M254:N254"/>
    <mergeCell ref="O254:P254"/>
    <mergeCell ref="I255:J255"/>
    <mergeCell ref="K255:L255"/>
    <mergeCell ref="M255:N255"/>
    <mergeCell ref="O255:P255"/>
    <mergeCell ref="I256:J256"/>
    <mergeCell ref="K256:L256"/>
    <mergeCell ref="M256:N256"/>
    <mergeCell ref="O256:P256"/>
    <mergeCell ref="I257:J257"/>
    <mergeCell ref="K257:L257"/>
    <mergeCell ref="M257:N257"/>
    <mergeCell ref="O257:P257"/>
    <mergeCell ref="I258:J258"/>
    <mergeCell ref="K258:L258"/>
    <mergeCell ref="M258:N258"/>
    <mergeCell ref="O258:P258"/>
    <mergeCell ref="I259:J259"/>
    <mergeCell ref="K259:L259"/>
    <mergeCell ref="M259:N259"/>
    <mergeCell ref="O259:P259"/>
    <mergeCell ref="I260:J260"/>
    <mergeCell ref="K260:L260"/>
    <mergeCell ref="M260:N260"/>
    <mergeCell ref="O260:P260"/>
    <mergeCell ref="I262:J262"/>
    <mergeCell ref="K262:L262"/>
    <mergeCell ref="M262:N262"/>
    <mergeCell ref="O262:P262"/>
    <mergeCell ref="L270:M270"/>
    <mergeCell ref="C271:J271"/>
    <mergeCell ref="L272:M272"/>
    <mergeCell ref="I273:J273"/>
    <mergeCell ref="I274:J274"/>
    <mergeCell ref="L274:M274"/>
    <mergeCell ref="I275:J275"/>
    <mergeCell ref="L275:M275"/>
    <mergeCell ref="I276:J276"/>
    <mergeCell ref="L276:M276"/>
    <mergeCell ref="I277:J277"/>
    <mergeCell ref="L277:M277"/>
    <mergeCell ref="I278:J278"/>
    <mergeCell ref="L278:M278"/>
    <mergeCell ref="I279:J279"/>
    <mergeCell ref="L279:M279"/>
    <mergeCell ref="I280:J280"/>
    <mergeCell ref="L280:M280"/>
    <mergeCell ref="C283:P283"/>
    <mergeCell ref="H285:I285"/>
    <mergeCell ref="N285:O285"/>
    <mergeCell ref="H286:I286"/>
    <mergeCell ref="N286:O286"/>
    <mergeCell ref="H287:I287"/>
    <mergeCell ref="N287:O287"/>
    <mergeCell ref="H288:I288"/>
    <mergeCell ref="N288:O288"/>
    <mergeCell ref="H289:I289"/>
    <mergeCell ref="N289:O289"/>
    <mergeCell ref="H290:I290"/>
    <mergeCell ref="N290:O290"/>
    <mergeCell ref="H291:I291"/>
    <mergeCell ref="N291:O291"/>
    <mergeCell ref="H292:I292"/>
    <mergeCell ref="N292:O292"/>
    <mergeCell ref="N293:O293"/>
    <mergeCell ref="A319:Q319"/>
    <mergeCell ref="A320:Q320"/>
    <mergeCell ref="M322:N323"/>
    <mergeCell ref="O322:P323"/>
    <mergeCell ref="G323:H323"/>
    <mergeCell ref="M324:N324"/>
    <mergeCell ref="O324:P324"/>
    <mergeCell ref="M325:N325"/>
    <mergeCell ref="O325:P325"/>
    <mergeCell ref="C326:F326"/>
    <mergeCell ref="G326:H326"/>
    <mergeCell ref="I326:L326"/>
    <mergeCell ref="M327:N327"/>
    <mergeCell ref="O327:P327"/>
    <mergeCell ref="M328:N328"/>
    <mergeCell ref="O328:P328"/>
    <mergeCell ref="C329:F329"/>
    <mergeCell ref="G329:H329"/>
    <mergeCell ref="I329:L329"/>
    <mergeCell ref="M330:N330"/>
    <mergeCell ref="O330:P330"/>
    <mergeCell ref="M331:N331"/>
    <mergeCell ref="O331:P331"/>
    <mergeCell ref="C332:F332"/>
    <mergeCell ref="G332:H332"/>
    <mergeCell ref="I332:L332"/>
    <mergeCell ref="M333:N333"/>
    <mergeCell ref="O333:P333"/>
    <mergeCell ref="M334:N334"/>
    <mergeCell ref="M335:N335"/>
    <mergeCell ref="M336:N336"/>
    <mergeCell ref="O336:P336"/>
    <mergeCell ref="C337:F337"/>
    <mergeCell ref="G337:H337"/>
    <mergeCell ref="I337:L337"/>
    <mergeCell ref="M338:N338"/>
    <mergeCell ref="O338:P338"/>
    <mergeCell ref="M339:N339"/>
    <mergeCell ref="O339:P339"/>
    <mergeCell ref="M340:N340"/>
    <mergeCell ref="O340:P340"/>
    <mergeCell ref="C341:F341"/>
    <mergeCell ref="G341:H341"/>
    <mergeCell ref="I341:L341"/>
    <mergeCell ref="M342:N342"/>
    <mergeCell ref="O342:P342"/>
    <mergeCell ref="M343:N343"/>
    <mergeCell ref="O343:P343"/>
    <mergeCell ref="M344:N344"/>
    <mergeCell ref="O344:P344"/>
    <mergeCell ref="C345:F345"/>
    <mergeCell ref="G345:H345"/>
    <mergeCell ref="I345:L345"/>
    <mergeCell ref="M346:N346"/>
    <mergeCell ref="O346:P346"/>
    <mergeCell ref="M347:N347"/>
    <mergeCell ref="O347:P347"/>
    <mergeCell ref="M348:N348"/>
    <mergeCell ref="O348:P348"/>
    <mergeCell ref="C349:F349"/>
    <mergeCell ref="G349:H349"/>
    <mergeCell ref="I349:L349"/>
    <mergeCell ref="M350:N350"/>
    <mergeCell ref="O350:P350"/>
    <mergeCell ref="M351:N351"/>
    <mergeCell ref="O351:P351"/>
    <mergeCell ref="C352:F352"/>
    <mergeCell ref="G352:H352"/>
    <mergeCell ref="I352:L352"/>
    <mergeCell ref="M353:N353"/>
    <mergeCell ref="O353:P353"/>
    <mergeCell ref="M354:N354"/>
    <mergeCell ref="O354:P354"/>
    <mergeCell ref="C359:F359"/>
    <mergeCell ref="G359:H359"/>
    <mergeCell ref="I359:L359"/>
    <mergeCell ref="M360:N360"/>
    <mergeCell ref="O360:P360"/>
    <mergeCell ref="C355:F355"/>
    <mergeCell ref="G355:H355"/>
    <mergeCell ref="I355:L355"/>
    <mergeCell ref="M356:N356"/>
    <mergeCell ref="O356:P356"/>
    <mergeCell ref="M357:N357"/>
    <mergeCell ref="O357:P357"/>
    <mergeCell ref="O358:P358"/>
    <mergeCell ref="M363:N363"/>
    <mergeCell ref="O363:P363"/>
    <mergeCell ref="M365:N365"/>
    <mergeCell ref="O365:P365"/>
    <mergeCell ref="G365:H365"/>
    <mergeCell ref="M366:N366"/>
    <mergeCell ref="O366:P366"/>
    <mergeCell ref="M367:N367"/>
    <mergeCell ref="M368:N368"/>
    <mergeCell ref="O368:P368"/>
    <mergeCell ref="M369:N369"/>
    <mergeCell ref="O369:P369"/>
    <mergeCell ref="M370:N370"/>
    <mergeCell ref="O370:P370"/>
    <mergeCell ref="C371:F371"/>
    <mergeCell ref="G371:H371"/>
    <mergeCell ref="I371:L371"/>
    <mergeCell ref="M372:N372"/>
    <mergeCell ref="O372:P372"/>
    <mergeCell ref="M373:N373"/>
    <mergeCell ref="O373:P373"/>
    <mergeCell ref="C374:F374"/>
    <mergeCell ref="G374:H375"/>
    <mergeCell ref="I374:L374"/>
    <mergeCell ref="G377:H377"/>
    <mergeCell ref="M378:N378"/>
    <mergeCell ref="O378:P378"/>
    <mergeCell ref="M379:N379"/>
    <mergeCell ref="O379:P379"/>
    <mergeCell ref="M380:N380"/>
    <mergeCell ref="O380:P380"/>
    <mergeCell ref="C381:F381"/>
    <mergeCell ref="G381:H381"/>
    <mergeCell ref="I381:L381"/>
    <mergeCell ref="M382:N382"/>
    <mergeCell ref="O382:P382"/>
    <mergeCell ref="M383:N383"/>
    <mergeCell ref="O383:P383"/>
    <mergeCell ref="C384:F384"/>
    <mergeCell ref="G384:H384"/>
    <mergeCell ref="I384:L384"/>
    <mergeCell ref="M385:N385"/>
    <mergeCell ref="O385:P385"/>
    <mergeCell ref="M386:N386"/>
    <mergeCell ref="O386:P386"/>
    <mergeCell ref="C390:F390"/>
    <mergeCell ref="G390:H390"/>
    <mergeCell ref="I390:L390"/>
    <mergeCell ref="M391:N391"/>
    <mergeCell ref="O391:P391"/>
    <mergeCell ref="M392:N392"/>
    <mergeCell ref="C387:F387"/>
    <mergeCell ref="G387:H387"/>
    <mergeCell ref="I387:L387"/>
    <mergeCell ref="M388:N388"/>
    <mergeCell ref="O388:P388"/>
    <mergeCell ref="M389:N389"/>
    <mergeCell ref="O389:P389"/>
    <mergeCell ref="M393:N393"/>
    <mergeCell ref="O393:P393"/>
    <mergeCell ref="C394:F394"/>
    <mergeCell ref="G394:H394"/>
    <mergeCell ref="I394:L394"/>
    <mergeCell ref="M395:N395"/>
    <mergeCell ref="O395:P395"/>
    <mergeCell ref="M396:N396"/>
    <mergeCell ref="O396:P396"/>
    <mergeCell ref="C397:F397"/>
    <mergeCell ref="G397:H397"/>
    <mergeCell ref="I397:L397"/>
    <mergeCell ref="M398:N398"/>
    <mergeCell ref="O398:P398"/>
    <mergeCell ref="M399:N399"/>
    <mergeCell ref="O399:P399"/>
    <mergeCell ref="C400:F400"/>
    <mergeCell ref="G400:H400"/>
    <mergeCell ref="I400:L400"/>
    <mergeCell ref="M401:N401"/>
    <mergeCell ref="O401:P401"/>
    <mergeCell ref="M402:N402"/>
    <mergeCell ref="O402:P402"/>
    <mergeCell ref="M403:N403"/>
    <mergeCell ref="O403:P403"/>
    <mergeCell ref="C404:F404"/>
    <mergeCell ref="G404:H404"/>
    <mergeCell ref="I404:L404"/>
    <mergeCell ref="M405:N405"/>
    <mergeCell ref="O405:P405"/>
    <mergeCell ref="O406:P406"/>
    <mergeCell ref="M407:N407"/>
    <mergeCell ref="O407:P407"/>
    <mergeCell ref="C408:F408"/>
    <mergeCell ref="G408:H408"/>
    <mergeCell ref="I408:L408"/>
    <mergeCell ref="M409:N409"/>
    <mergeCell ref="O409:P409"/>
    <mergeCell ref="O410:P410"/>
    <mergeCell ref="C411:F411"/>
    <mergeCell ref="G411:H411"/>
    <mergeCell ref="I411:L411"/>
    <mergeCell ref="M412:N412"/>
    <mergeCell ref="O412:P412"/>
    <mergeCell ref="O413:P413"/>
    <mergeCell ref="M416:N417"/>
    <mergeCell ref="O416:P417"/>
    <mergeCell ref="G417:H417"/>
    <mergeCell ref="M418:N418"/>
    <mergeCell ref="O418:P418"/>
    <mergeCell ref="M419:N419"/>
    <mergeCell ref="M420:N420"/>
    <mergeCell ref="O420:P420"/>
    <mergeCell ref="M421:N421"/>
    <mergeCell ref="O421:P421"/>
    <mergeCell ref="G422:H422"/>
    <mergeCell ref="M422:N422"/>
    <mergeCell ref="O422:P422"/>
    <mergeCell ref="M423:N423"/>
    <mergeCell ref="O423:P423"/>
    <mergeCell ref="M424:N424"/>
    <mergeCell ref="O424:P424"/>
    <mergeCell ref="G425:H425"/>
    <mergeCell ref="M425:N425"/>
    <mergeCell ref="O425:P425"/>
    <mergeCell ref="M426:N426"/>
    <mergeCell ref="O426:P426"/>
    <mergeCell ref="M427:N427"/>
    <mergeCell ref="O427:P427"/>
    <mergeCell ref="G432:H432"/>
    <mergeCell ref="O451:P451"/>
    <mergeCell ref="M436:N437"/>
    <mergeCell ref="O436:P437"/>
    <mergeCell ref="G437:H437"/>
    <mergeCell ref="M438:N438"/>
    <mergeCell ref="O438:P438"/>
    <mergeCell ref="M439:N439"/>
    <mergeCell ref="M440:N440"/>
    <mergeCell ref="O440:P440"/>
    <mergeCell ref="M441:N441"/>
    <mergeCell ref="O441:P441"/>
    <mergeCell ref="G442:H442"/>
    <mergeCell ref="M442:N442"/>
    <mergeCell ref="O442:P442"/>
    <mergeCell ref="M443:N443"/>
    <mergeCell ref="O443:P443"/>
    <mergeCell ref="M444:N444"/>
    <mergeCell ref="O444:P444"/>
    <mergeCell ref="M452:N452"/>
    <mergeCell ref="O452:P452"/>
    <mergeCell ref="M453:N453"/>
    <mergeCell ref="O453:P453"/>
    <mergeCell ref="G454:H454"/>
    <mergeCell ref="M454:N454"/>
    <mergeCell ref="O454:P454"/>
    <mergeCell ref="M455:N455"/>
    <mergeCell ref="O455:P455"/>
    <mergeCell ref="M456:N456"/>
    <mergeCell ref="O456:P456"/>
    <mergeCell ref="G457:H457"/>
    <mergeCell ref="M457:N457"/>
    <mergeCell ref="O457:P457"/>
    <mergeCell ref="M458:N458"/>
    <mergeCell ref="O458:P458"/>
    <mergeCell ref="G445:H445"/>
    <mergeCell ref="M445:N445"/>
    <mergeCell ref="O445:P445"/>
    <mergeCell ref="M446:N446"/>
    <mergeCell ref="O446:P446"/>
    <mergeCell ref="M447:N447"/>
    <mergeCell ref="O447:P447"/>
    <mergeCell ref="G448:H448"/>
    <mergeCell ref="M448:N448"/>
    <mergeCell ref="O448:P448"/>
    <mergeCell ref="M449:N449"/>
    <mergeCell ref="O449:P449"/>
    <mergeCell ref="M450:N450"/>
    <mergeCell ref="O450:P450"/>
    <mergeCell ref="G451:H451"/>
    <mergeCell ref="M451:N451"/>
    <mergeCell ref="M459:N459"/>
    <mergeCell ref="O459:P459"/>
    <mergeCell ref="G460:H460"/>
    <mergeCell ref="M460:N460"/>
    <mergeCell ref="O460:P460"/>
    <mergeCell ref="M461:N461"/>
    <mergeCell ref="O461:P461"/>
    <mergeCell ref="M462:N462"/>
    <mergeCell ref="O462:P462"/>
    <mergeCell ref="G463:H463"/>
    <mergeCell ref="M463:N463"/>
    <mergeCell ref="O463:P463"/>
    <mergeCell ref="M464:N464"/>
    <mergeCell ref="O464:P464"/>
    <mergeCell ref="M465:N465"/>
    <mergeCell ref="O465:P465"/>
    <mergeCell ref="G466:H466"/>
    <mergeCell ref="M466:N466"/>
    <mergeCell ref="O466:P466"/>
    <mergeCell ref="M467:N467"/>
    <mergeCell ref="O467:P467"/>
    <mergeCell ref="M468:N468"/>
    <mergeCell ref="O468:P468"/>
    <mergeCell ref="G469:H469"/>
    <mergeCell ref="M469:N469"/>
    <mergeCell ref="O469:P469"/>
    <mergeCell ref="M470:N470"/>
    <mergeCell ref="O470:P470"/>
    <mergeCell ref="M471:N471"/>
    <mergeCell ref="O471:P471"/>
    <mergeCell ref="G472:H472"/>
    <mergeCell ref="M472:N472"/>
    <mergeCell ref="O472:P472"/>
    <mergeCell ref="M473:N473"/>
    <mergeCell ref="O473:P473"/>
    <mergeCell ref="M474:N474"/>
    <mergeCell ref="M475:N475"/>
    <mergeCell ref="O475:P475"/>
    <mergeCell ref="O476:P476"/>
    <mergeCell ref="O477:P477"/>
    <mergeCell ref="M478:N478"/>
    <mergeCell ref="O478:P478"/>
    <mergeCell ref="G479:H479"/>
    <mergeCell ref="M479:N479"/>
    <mergeCell ref="O479:P479"/>
    <mergeCell ref="M480:N480"/>
    <mergeCell ref="O480:P480"/>
    <mergeCell ref="M481:N481"/>
    <mergeCell ref="O481:P481"/>
    <mergeCell ref="G482:H482"/>
    <mergeCell ref="M482:N482"/>
    <mergeCell ref="O482:P482"/>
    <mergeCell ref="M483:N483"/>
    <mergeCell ref="O483:P483"/>
    <mergeCell ref="M484:N484"/>
    <mergeCell ref="O484:P484"/>
    <mergeCell ref="M485:N485"/>
    <mergeCell ref="O485:P485"/>
    <mergeCell ref="A488:Q488"/>
    <mergeCell ref="A489:Q489"/>
    <mergeCell ref="B491:D491"/>
    <mergeCell ref="E491:F491"/>
    <mergeCell ref="G491:H491"/>
    <mergeCell ref="J491:L491"/>
    <mergeCell ref="M491:N491"/>
    <mergeCell ref="O491:P491"/>
    <mergeCell ref="B492:D492"/>
    <mergeCell ref="E492:F492"/>
    <mergeCell ref="G492:H492"/>
    <mergeCell ref="J492:L492"/>
    <mergeCell ref="M492:N492"/>
    <mergeCell ref="O492:P492"/>
    <mergeCell ref="B493:D493"/>
    <mergeCell ref="E493:F493"/>
    <mergeCell ref="G493:H493"/>
    <mergeCell ref="J493:L493"/>
    <mergeCell ref="M493:N493"/>
    <mergeCell ref="O493:P493"/>
    <mergeCell ref="B494:D494"/>
    <mergeCell ref="E494:F494"/>
    <mergeCell ref="G494:H494"/>
    <mergeCell ref="J494:L494"/>
    <mergeCell ref="M494:N494"/>
    <mergeCell ref="O494:P494"/>
    <mergeCell ref="B495:D495"/>
    <mergeCell ref="E495:F495"/>
    <mergeCell ref="G495:H495"/>
    <mergeCell ref="J495:L495"/>
    <mergeCell ref="M495:N495"/>
    <mergeCell ref="O495:P495"/>
    <mergeCell ref="B496:D496"/>
    <mergeCell ref="E496:F496"/>
    <mergeCell ref="G496:H496"/>
    <mergeCell ref="J496:L496"/>
    <mergeCell ref="M496:N496"/>
    <mergeCell ref="O496:P496"/>
    <mergeCell ref="B497:D497"/>
    <mergeCell ref="E497:F497"/>
    <mergeCell ref="G497:H497"/>
    <mergeCell ref="J497:L497"/>
    <mergeCell ref="M497:N497"/>
    <mergeCell ref="O497:P497"/>
    <mergeCell ref="B498:D498"/>
    <mergeCell ref="E498:F498"/>
    <mergeCell ref="G498:H498"/>
    <mergeCell ref="J498:L498"/>
    <mergeCell ref="M498:N498"/>
    <mergeCell ref="B499:D499"/>
    <mergeCell ref="E499:F499"/>
    <mergeCell ref="G499:H499"/>
    <mergeCell ref="B500:D500"/>
    <mergeCell ref="E500:F500"/>
    <mergeCell ref="G500:H500"/>
    <mergeCell ref="B501:D501"/>
    <mergeCell ref="E501:F501"/>
    <mergeCell ref="G503:H503"/>
    <mergeCell ref="M503:N503"/>
    <mergeCell ref="O503:P503"/>
    <mergeCell ref="M504:N504"/>
    <mergeCell ref="O504:P504"/>
    <mergeCell ref="M505:N505"/>
    <mergeCell ref="O505:P505"/>
    <mergeCell ref="M506:N506"/>
    <mergeCell ref="M507:N507"/>
    <mergeCell ref="M508:N508"/>
    <mergeCell ref="M509:N509"/>
    <mergeCell ref="M510:N510"/>
    <mergeCell ref="O510:P510"/>
    <mergeCell ref="M511:N511"/>
    <mergeCell ref="O511:P511"/>
    <mergeCell ref="M512:N512"/>
    <mergeCell ref="O512:P512"/>
    <mergeCell ref="C513:F513"/>
    <mergeCell ref="G513:H513"/>
    <mergeCell ref="I513:L513"/>
    <mergeCell ref="M513:N513"/>
    <mergeCell ref="O513:P513"/>
    <mergeCell ref="M514:N514"/>
    <mergeCell ref="O514:P514"/>
    <mergeCell ref="M515:N515"/>
    <mergeCell ref="O516:P516"/>
    <mergeCell ref="O517:P517"/>
    <mergeCell ref="O518:P518"/>
    <mergeCell ref="O519:P519"/>
    <mergeCell ref="M520:N520"/>
    <mergeCell ref="O520:P520"/>
    <mergeCell ref="A538:Q538"/>
    <mergeCell ref="A539:Q539"/>
    <mergeCell ref="B543:D544"/>
    <mergeCell ref="M543:N543"/>
    <mergeCell ref="O543:P543"/>
    <mergeCell ref="M544:N544"/>
    <mergeCell ref="O544:P544"/>
    <mergeCell ref="M545:N545"/>
    <mergeCell ref="O545:P545"/>
    <mergeCell ref="M546:N546"/>
    <mergeCell ref="O546:P546"/>
    <mergeCell ref="M547:N547"/>
    <mergeCell ref="O547:P547"/>
    <mergeCell ref="M556:N556"/>
    <mergeCell ref="O556:P556"/>
    <mergeCell ref="B559:D560"/>
    <mergeCell ref="M559:N559"/>
    <mergeCell ref="O559:P559"/>
    <mergeCell ref="M560:N560"/>
    <mergeCell ref="O560:P560"/>
    <mergeCell ref="B561:D562"/>
    <mergeCell ref="M561:N561"/>
    <mergeCell ref="O561:P561"/>
    <mergeCell ref="M562:N562"/>
    <mergeCell ref="O562:P562"/>
    <mergeCell ref="M548:N548"/>
    <mergeCell ref="O548:P548"/>
    <mergeCell ref="M549:N549"/>
    <mergeCell ref="O549:P549"/>
    <mergeCell ref="M550:N550"/>
    <mergeCell ref="O550:P550"/>
    <mergeCell ref="M551:N551"/>
    <mergeCell ref="O551:P551"/>
    <mergeCell ref="B552:D553"/>
    <mergeCell ref="M552:N552"/>
    <mergeCell ref="O552:P552"/>
    <mergeCell ref="M553:N553"/>
    <mergeCell ref="O553:P553"/>
    <mergeCell ref="M554:N554"/>
    <mergeCell ref="O554:P554"/>
    <mergeCell ref="M555:N555"/>
    <mergeCell ref="O555:P555"/>
    <mergeCell ref="M572:N572"/>
    <mergeCell ref="O573:P573"/>
    <mergeCell ref="M574:N574"/>
    <mergeCell ref="B574:D575"/>
    <mergeCell ref="M575:N575"/>
    <mergeCell ref="O575:P575"/>
    <mergeCell ref="M563:N563"/>
    <mergeCell ref="O563:P563"/>
    <mergeCell ref="B566:D567"/>
    <mergeCell ref="M566:N566"/>
    <mergeCell ref="O566:P566"/>
    <mergeCell ref="M567:N567"/>
    <mergeCell ref="O567:P567"/>
    <mergeCell ref="M568:N568"/>
    <mergeCell ref="O568:P568"/>
    <mergeCell ref="O569:P569"/>
    <mergeCell ref="O570:P570"/>
    <mergeCell ref="M571:N571"/>
    <mergeCell ref="M576:N576"/>
    <mergeCell ref="O576:P576"/>
    <mergeCell ref="A584:Q584"/>
    <mergeCell ref="A585:Q585"/>
    <mergeCell ref="B589:F589"/>
    <mergeCell ref="B590:F590"/>
    <mergeCell ref="B591:F591"/>
    <mergeCell ref="B592:F592"/>
    <mergeCell ref="B593:F593"/>
    <mergeCell ref="B594:F594"/>
    <mergeCell ref="B595:F595"/>
    <mergeCell ref="B596:F596"/>
    <mergeCell ref="B597:F597"/>
    <mergeCell ref="M598:N599"/>
    <mergeCell ref="O598:P599"/>
    <mergeCell ref="G599:H599"/>
    <mergeCell ref="M600:N600"/>
    <mergeCell ref="O600:P600"/>
    <mergeCell ref="M601:N601"/>
    <mergeCell ref="M602:N602"/>
    <mergeCell ref="O601:P601"/>
    <mergeCell ref="M603:N603"/>
    <mergeCell ref="O603:P603"/>
    <mergeCell ref="C604:F604"/>
    <mergeCell ref="G604:H604"/>
    <mergeCell ref="I604:L604"/>
    <mergeCell ref="M605:N605"/>
    <mergeCell ref="O605:P605"/>
    <mergeCell ref="M606:N606"/>
    <mergeCell ref="M608:N608"/>
    <mergeCell ref="O607:P607"/>
    <mergeCell ref="C609:F609"/>
    <mergeCell ref="G609:H609"/>
    <mergeCell ref="I609:L609"/>
    <mergeCell ref="O608:P608"/>
    <mergeCell ref="M610:N610"/>
    <mergeCell ref="O610:P610"/>
    <mergeCell ref="M611:N611"/>
    <mergeCell ref="O611:P611"/>
    <mergeCell ref="M612:N612"/>
    <mergeCell ref="O612:P612"/>
    <mergeCell ref="C613:F613"/>
    <mergeCell ref="G613:H613"/>
    <mergeCell ref="I613:L613"/>
    <mergeCell ref="M614:N614"/>
    <mergeCell ref="O614:P614"/>
    <mergeCell ref="M615:N615"/>
    <mergeCell ref="O615:P615"/>
    <mergeCell ref="C616:F616"/>
    <mergeCell ref="G616:H616"/>
    <mergeCell ref="I616:L616"/>
    <mergeCell ref="M617:N617"/>
    <mergeCell ref="O617:P617"/>
    <mergeCell ref="M618:N618"/>
    <mergeCell ref="O618:P618"/>
    <mergeCell ref="C619:F619"/>
    <mergeCell ref="G619:H619"/>
    <mergeCell ref="I619:L619"/>
    <mergeCell ref="M620:N620"/>
    <mergeCell ref="O620:P620"/>
    <mergeCell ref="M621:N621"/>
    <mergeCell ref="O621:P621"/>
    <mergeCell ref="C622:F622"/>
    <mergeCell ref="G622:H622"/>
    <mergeCell ref="I622:L622"/>
    <mergeCell ref="M623:N623"/>
    <mergeCell ref="O623:P623"/>
    <mergeCell ref="M624:N624"/>
    <mergeCell ref="O624:P624"/>
    <mergeCell ref="C625:F625"/>
    <mergeCell ref="G625:H625"/>
    <mergeCell ref="I625:L625"/>
    <mergeCell ref="M626:N626"/>
    <mergeCell ref="O626:P626"/>
    <mergeCell ref="M627:N627"/>
    <mergeCell ref="O627:P627"/>
    <mergeCell ref="M628:N628"/>
    <mergeCell ref="O628:P628"/>
    <mergeCell ref="M629:N629"/>
    <mergeCell ref="O629:P629"/>
    <mergeCell ref="M630:N630"/>
    <mergeCell ref="O630:P630"/>
    <mergeCell ref="C631:F631"/>
    <mergeCell ref="G631:H631"/>
    <mergeCell ref="I631:L631"/>
    <mergeCell ref="M631:N631"/>
    <mergeCell ref="O631:P631"/>
    <mergeCell ref="M632:N632"/>
    <mergeCell ref="O632:P632"/>
    <mergeCell ref="M633:N633"/>
    <mergeCell ref="O633:P633"/>
    <mergeCell ref="C634:F634"/>
    <mergeCell ref="G634:H634"/>
    <mergeCell ref="I634:L634"/>
    <mergeCell ref="M634:N634"/>
    <mergeCell ref="O634:P634"/>
    <mergeCell ref="C638:F638"/>
    <mergeCell ref="G638:H638"/>
    <mergeCell ref="I638:L638"/>
    <mergeCell ref="M639:N639"/>
    <mergeCell ref="O639:P639"/>
    <mergeCell ref="M640:N640"/>
    <mergeCell ref="O640:P640"/>
    <mergeCell ref="C641:F641"/>
    <mergeCell ref="G641:H641"/>
    <mergeCell ref="I641:L641"/>
    <mergeCell ref="M642:N642"/>
    <mergeCell ref="O642:P642"/>
    <mergeCell ref="M643:N643"/>
    <mergeCell ref="O643:P643"/>
    <mergeCell ref="C644:F644"/>
    <mergeCell ref="G644:H644"/>
    <mergeCell ref="I644:L644"/>
    <mergeCell ref="M645:N645"/>
    <mergeCell ref="O645:P645"/>
    <mergeCell ref="M646:N646"/>
    <mergeCell ref="O646:P646"/>
    <mergeCell ref="M650:N650"/>
    <mergeCell ref="O650:P650"/>
    <mergeCell ref="M651:N651"/>
    <mergeCell ref="O651:P651"/>
    <mergeCell ref="C647:F647"/>
    <mergeCell ref="G647:H647"/>
    <mergeCell ref="I647:L647"/>
    <mergeCell ref="M648:N648"/>
    <mergeCell ref="O648:P648"/>
    <mergeCell ref="M649:N649"/>
    <mergeCell ref="C652:F652"/>
    <mergeCell ref="G652:H652"/>
    <mergeCell ref="I652:L652"/>
    <mergeCell ref="M652:N652"/>
    <mergeCell ref="O652:P652"/>
    <mergeCell ref="M653:N653"/>
    <mergeCell ref="O653:P653"/>
    <mergeCell ref="M654:N654"/>
    <mergeCell ref="O654:P654"/>
    <mergeCell ref="C655:F655"/>
    <mergeCell ref="G655:H655"/>
    <mergeCell ref="I655:L655"/>
    <mergeCell ref="M656:N656"/>
    <mergeCell ref="O656:P656"/>
    <mergeCell ref="M657:N657"/>
    <mergeCell ref="O657:P657"/>
    <mergeCell ref="C658:F658"/>
    <mergeCell ref="G658:H658"/>
    <mergeCell ref="I658:L658"/>
    <mergeCell ref="C659:L659"/>
    <mergeCell ref="M659:N659"/>
    <mergeCell ref="O659:P659"/>
    <mergeCell ref="C660:F660"/>
    <mergeCell ref="G660:H660"/>
    <mergeCell ref="I660:L660"/>
    <mergeCell ref="M661:N661"/>
    <mergeCell ref="O661:P661"/>
    <mergeCell ref="M662:N662"/>
    <mergeCell ref="O662:P662"/>
    <mergeCell ref="C663:F663"/>
    <mergeCell ref="G663:H663"/>
    <mergeCell ref="I663:L663"/>
    <mergeCell ref="M664:N664"/>
    <mergeCell ref="O664:P664"/>
    <mergeCell ref="M665:N665"/>
    <mergeCell ref="O665:P665"/>
    <mergeCell ref="C666:F666"/>
    <mergeCell ref="G666:H666"/>
    <mergeCell ref="I666:L666"/>
    <mergeCell ref="M667:N667"/>
    <mergeCell ref="O667:P667"/>
    <mergeCell ref="M668:N668"/>
    <mergeCell ref="O668:P668"/>
    <mergeCell ref="C669:F669"/>
    <mergeCell ref="G669:H669"/>
    <mergeCell ref="I669:L669"/>
    <mergeCell ref="M670:N670"/>
    <mergeCell ref="O670:P670"/>
    <mergeCell ref="M671:N671"/>
    <mergeCell ref="O671:P671"/>
    <mergeCell ref="C672:F672"/>
    <mergeCell ref="G672:H672"/>
    <mergeCell ref="I672:L672"/>
    <mergeCell ref="M673:N673"/>
    <mergeCell ref="O673:P673"/>
    <mergeCell ref="M674:N674"/>
    <mergeCell ref="O674:P674"/>
    <mergeCell ref="C675:F675"/>
    <mergeCell ref="G675:H675"/>
    <mergeCell ref="I675:L675"/>
    <mergeCell ref="M676:N676"/>
    <mergeCell ref="O676:P676"/>
    <mergeCell ref="M677:N677"/>
    <mergeCell ref="O677:P677"/>
    <mergeCell ref="C678:F678"/>
    <mergeCell ref="G678:H678"/>
    <mergeCell ref="I678:L678"/>
    <mergeCell ref="M679:N679"/>
    <mergeCell ref="O679:P679"/>
    <mergeCell ref="M680:N680"/>
    <mergeCell ref="O680:P680"/>
    <mergeCell ref="C681:F681"/>
    <mergeCell ref="G681:H681"/>
    <mergeCell ref="I681:L681"/>
    <mergeCell ref="M682:N682"/>
    <mergeCell ref="O682:P682"/>
    <mergeCell ref="M683:N683"/>
    <mergeCell ref="O683:P683"/>
    <mergeCell ref="C684:F684"/>
    <mergeCell ref="G684:H684"/>
    <mergeCell ref="I684:L684"/>
    <mergeCell ref="M685:N685"/>
    <mergeCell ref="O685:P685"/>
    <mergeCell ref="M686:N686"/>
    <mergeCell ref="O686:P686"/>
    <mergeCell ref="C687:F687"/>
    <mergeCell ref="G687:H687"/>
    <mergeCell ref="I687:L687"/>
    <mergeCell ref="C691:F691"/>
    <mergeCell ref="G691:H691"/>
    <mergeCell ref="I691:L691"/>
    <mergeCell ref="M692:N692"/>
    <mergeCell ref="O692:P692"/>
    <mergeCell ref="M693:N693"/>
    <mergeCell ref="M694:N694"/>
    <mergeCell ref="O694:P694"/>
    <mergeCell ref="M695:N695"/>
    <mergeCell ref="O695:P695"/>
    <mergeCell ref="C696:F696"/>
    <mergeCell ref="G696:H696"/>
    <mergeCell ref="I696:L696"/>
    <mergeCell ref="M696:N696"/>
    <mergeCell ref="O696:P696"/>
    <mergeCell ref="M697:N697"/>
    <mergeCell ref="O697:P697"/>
    <mergeCell ref="M698:N698"/>
    <mergeCell ref="O698:P698"/>
    <mergeCell ref="C699:F699"/>
    <mergeCell ref="G699:H699"/>
    <mergeCell ref="I699:L699"/>
    <mergeCell ref="M700:N700"/>
    <mergeCell ref="O700:P700"/>
    <mergeCell ref="M701:N701"/>
    <mergeCell ref="O701:P701"/>
    <mergeCell ref="C702:F702"/>
    <mergeCell ref="G702:H702"/>
    <mergeCell ref="I702:L702"/>
    <mergeCell ref="M703:N703"/>
    <mergeCell ref="O703:P703"/>
    <mergeCell ref="M704:N704"/>
    <mergeCell ref="O704:P704"/>
    <mergeCell ref="C705:F705"/>
    <mergeCell ref="G705:H705"/>
    <mergeCell ref="I705:L705"/>
    <mergeCell ref="M706:N706"/>
    <mergeCell ref="O706:P706"/>
    <mergeCell ref="M707:N707"/>
    <mergeCell ref="M708:N708"/>
    <mergeCell ref="O708:P708"/>
    <mergeCell ref="C709:F709"/>
    <mergeCell ref="G709:H709"/>
    <mergeCell ref="I709:L709"/>
    <mergeCell ref="M710:N710"/>
    <mergeCell ref="O710:P710"/>
    <mergeCell ref="M711:N711"/>
    <mergeCell ref="O711:P711"/>
    <mergeCell ref="M712:N712"/>
    <mergeCell ref="O712:P712"/>
    <mergeCell ref="C713:F713"/>
    <mergeCell ref="G713:H713"/>
    <mergeCell ref="I713:L713"/>
    <mergeCell ref="M714:N714"/>
    <mergeCell ref="O714:P714"/>
    <mergeCell ref="O715:P715"/>
    <mergeCell ref="M716:N716"/>
    <mergeCell ref="O716:P716"/>
    <mergeCell ref="M717:N717"/>
    <mergeCell ref="O717:P717"/>
    <mergeCell ref="C718:F718"/>
    <mergeCell ref="G718:H718"/>
    <mergeCell ref="I718:L718"/>
    <mergeCell ref="M719:N719"/>
    <mergeCell ref="O719:P719"/>
    <mergeCell ref="M720:N720"/>
    <mergeCell ref="O720:P720"/>
    <mergeCell ref="C721:F721"/>
    <mergeCell ref="G721:H721"/>
    <mergeCell ref="I721:L721"/>
    <mergeCell ref="M722:N722"/>
    <mergeCell ref="O722:P722"/>
    <mergeCell ref="M723:N723"/>
    <mergeCell ref="O723:P723"/>
    <mergeCell ref="C724:F724"/>
    <mergeCell ref="G724:H724"/>
    <mergeCell ref="I724:L724"/>
    <mergeCell ref="M725:N725"/>
    <mergeCell ref="O725:P725"/>
    <mergeCell ref="M726:N726"/>
    <mergeCell ref="O726:P726"/>
    <mergeCell ref="C727:F727"/>
    <mergeCell ref="G727:H727"/>
    <mergeCell ref="I727:L727"/>
    <mergeCell ref="M728:N728"/>
    <mergeCell ref="O728:P728"/>
    <mergeCell ref="O729:P729"/>
    <mergeCell ref="C730:F730"/>
    <mergeCell ref="G730:H730"/>
    <mergeCell ref="I730:L730"/>
    <mergeCell ref="M731:N731"/>
    <mergeCell ref="O731:P731"/>
    <mergeCell ref="O732:P732"/>
    <mergeCell ref="C733:F733"/>
    <mergeCell ref="G733:H733"/>
    <mergeCell ref="I733:L733"/>
    <mergeCell ref="M734:N734"/>
    <mergeCell ref="O734:P734"/>
    <mergeCell ref="M735:N735"/>
    <mergeCell ref="O736:P736"/>
    <mergeCell ref="C737:F737"/>
    <mergeCell ref="G737:H737"/>
    <mergeCell ref="I737:L737"/>
    <mergeCell ref="M738:N738"/>
    <mergeCell ref="O738:P738"/>
    <mergeCell ref="M739:N739"/>
    <mergeCell ref="O739:P739"/>
    <mergeCell ref="C740:F740"/>
    <mergeCell ref="G740:H740"/>
    <mergeCell ref="I740:L740"/>
    <mergeCell ref="C744:F744"/>
    <mergeCell ref="G744:H744"/>
    <mergeCell ref="I744:L744"/>
    <mergeCell ref="M745:N745"/>
    <mergeCell ref="O745:P745"/>
    <mergeCell ref="M746:N746"/>
    <mergeCell ref="O746:P746"/>
    <mergeCell ref="C747:F747"/>
    <mergeCell ref="G747:H747"/>
    <mergeCell ref="I747:L747"/>
    <mergeCell ref="M748:N748"/>
    <mergeCell ref="O748:P748"/>
    <mergeCell ref="M749:N749"/>
    <mergeCell ref="O749:P749"/>
    <mergeCell ref="C750:F750"/>
    <mergeCell ref="G750:H750"/>
    <mergeCell ref="I750:L750"/>
    <mergeCell ref="M751:N751"/>
    <mergeCell ref="O751:P751"/>
    <mergeCell ref="M752:N752"/>
    <mergeCell ref="M753:N753"/>
    <mergeCell ref="O753:P753"/>
    <mergeCell ref="C754:F754"/>
    <mergeCell ref="G754:H754"/>
    <mergeCell ref="I754:L754"/>
    <mergeCell ref="M755:N755"/>
    <mergeCell ref="O755:P755"/>
    <mergeCell ref="M756:N756"/>
    <mergeCell ref="O756:P756"/>
    <mergeCell ref="M757:N757"/>
    <mergeCell ref="O757:P757"/>
    <mergeCell ref="C758:F758"/>
    <mergeCell ref="G758:H758"/>
    <mergeCell ref="I758:L758"/>
    <mergeCell ref="M759:N759"/>
    <mergeCell ref="O759:P759"/>
    <mergeCell ref="M760:N760"/>
    <mergeCell ref="O760:P760"/>
    <mergeCell ref="C761:F761"/>
    <mergeCell ref="G761:H761"/>
    <mergeCell ref="I761:L761"/>
    <mergeCell ref="M762:N762"/>
    <mergeCell ref="O762:P762"/>
    <mergeCell ref="M763:N763"/>
    <mergeCell ref="O763:P763"/>
    <mergeCell ref="M764:N764"/>
    <mergeCell ref="O764:P764"/>
    <mergeCell ref="C765:F765"/>
    <mergeCell ref="G765:H765"/>
    <mergeCell ref="I765:L765"/>
    <mergeCell ref="M766:N766"/>
    <mergeCell ref="O766:P766"/>
    <mergeCell ref="M767:N767"/>
    <mergeCell ref="O767:P767"/>
    <mergeCell ref="C768:F768"/>
    <mergeCell ref="G768:H768"/>
    <mergeCell ref="I768:L768"/>
    <mergeCell ref="M769:N769"/>
    <mergeCell ref="O769:P769"/>
    <mergeCell ref="M770:N770"/>
    <mergeCell ref="O770:P770"/>
    <mergeCell ref="C771:F771"/>
    <mergeCell ref="G771:H771"/>
    <mergeCell ref="I771:L771"/>
    <mergeCell ref="M772:N772"/>
    <mergeCell ref="O772:P772"/>
    <mergeCell ref="M773:N773"/>
    <mergeCell ref="O773:P773"/>
    <mergeCell ref="M774:N774"/>
    <mergeCell ref="O774:P774"/>
    <mergeCell ref="C775:F775"/>
    <mergeCell ref="G775:H775"/>
    <mergeCell ref="I775:L775"/>
    <mergeCell ref="M776:N776"/>
    <mergeCell ref="O776:P776"/>
    <mergeCell ref="M777:N777"/>
    <mergeCell ref="O777:P777"/>
    <mergeCell ref="C778:F778"/>
    <mergeCell ref="G778:H778"/>
    <mergeCell ref="I778:L778"/>
    <mergeCell ref="M779:N779"/>
    <mergeCell ref="O779:P779"/>
    <mergeCell ref="M780:N780"/>
    <mergeCell ref="M781:N781"/>
    <mergeCell ref="O781:P781"/>
    <mergeCell ref="C782:F782"/>
    <mergeCell ref="G782:H782"/>
    <mergeCell ref="I782:L782"/>
    <mergeCell ref="M783:N783"/>
    <mergeCell ref="O783:P783"/>
    <mergeCell ref="M784:N784"/>
    <mergeCell ref="O784:P784"/>
    <mergeCell ref="A797:Q797"/>
    <mergeCell ref="A798:Q798"/>
    <mergeCell ref="G800:H800"/>
    <mergeCell ref="M800:N800"/>
    <mergeCell ref="O800:P800"/>
    <mergeCell ref="M801:N801"/>
    <mergeCell ref="O801:P801"/>
    <mergeCell ref="M802:N802"/>
    <mergeCell ref="O802:P802"/>
    <mergeCell ref="C803:F803"/>
    <mergeCell ref="G803:H803"/>
    <mergeCell ref="I803:L803"/>
    <mergeCell ref="M804:N804"/>
    <mergeCell ref="O804:P804"/>
    <mergeCell ref="M805:N805"/>
    <mergeCell ref="O805:P805"/>
    <mergeCell ref="O812:P812"/>
    <mergeCell ref="M806:N806"/>
    <mergeCell ref="O806:P806"/>
    <mergeCell ref="O807:P807"/>
    <mergeCell ref="M808:N808"/>
    <mergeCell ref="O808:P808"/>
    <mergeCell ref="M809:N809"/>
    <mergeCell ref="O809:P809"/>
    <mergeCell ref="C815:F815"/>
    <mergeCell ref="G815:H815"/>
    <mergeCell ref="I815:L815"/>
    <mergeCell ref="O815:P815"/>
    <mergeCell ref="M810:N810"/>
    <mergeCell ref="O810:P810"/>
    <mergeCell ref="C811:F811"/>
    <mergeCell ref="G811:H811"/>
    <mergeCell ref="I811:L811"/>
    <mergeCell ref="M812:N812"/>
    <mergeCell ref="J828:K828"/>
    <mergeCell ref="J829:K829"/>
    <mergeCell ref="J831:K831"/>
    <mergeCell ref="M813:N813"/>
    <mergeCell ref="O813:P813"/>
    <mergeCell ref="M814:N814"/>
    <mergeCell ref="O814:P814"/>
    <mergeCell ref="J827:K827"/>
    <mergeCell ref="O827:P827"/>
    <mergeCell ref="M816:N816"/>
    <mergeCell ref="O816:P816"/>
    <mergeCell ref="M817:N817"/>
    <mergeCell ref="O817:P817"/>
    <mergeCell ref="M818:N818"/>
    <mergeCell ref="O818:P818"/>
    <mergeCell ref="A847:Q847"/>
    <mergeCell ref="A848:Q848"/>
    <mergeCell ref="G850:H850"/>
    <mergeCell ref="M850:N850"/>
    <mergeCell ref="O850:P850"/>
    <mergeCell ref="M819:N819"/>
    <mergeCell ref="O819:P819"/>
    <mergeCell ref="J824:K824"/>
    <mergeCell ref="J825:K825"/>
    <mergeCell ref="J826:K826"/>
    <mergeCell ref="M851:N851"/>
    <mergeCell ref="O851:P851"/>
    <mergeCell ref="M852:N852"/>
    <mergeCell ref="O852:P852"/>
    <mergeCell ref="M853:N853"/>
    <mergeCell ref="O853:P853"/>
    <mergeCell ref="M854:N854"/>
    <mergeCell ref="O854:P854"/>
    <mergeCell ref="C855:F855"/>
    <mergeCell ref="G855:H855"/>
    <mergeCell ref="I855:L855"/>
    <mergeCell ref="M856:N856"/>
    <mergeCell ref="O857:P857"/>
    <mergeCell ref="C858:F858"/>
    <mergeCell ref="G858:H858"/>
    <mergeCell ref="I858:L858"/>
    <mergeCell ref="M859:N859"/>
    <mergeCell ref="O859:P859"/>
    <mergeCell ref="M860:N860"/>
    <mergeCell ref="O860:P860"/>
    <mergeCell ref="C861:F861"/>
    <mergeCell ref="G861:H861"/>
    <mergeCell ref="I861:L861"/>
    <mergeCell ref="M862:N862"/>
    <mergeCell ref="O862:P862"/>
    <mergeCell ref="M863:N863"/>
    <mergeCell ref="M864:N864"/>
    <mergeCell ref="O865:P865"/>
    <mergeCell ref="C866:F866"/>
    <mergeCell ref="G866:H866"/>
    <mergeCell ref="I866:L866"/>
    <mergeCell ref="O864:P864"/>
    <mergeCell ref="O867:P867"/>
    <mergeCell ref="M868:N868"/>
    <mergeCell ref="O868:P868"/>
    <mergeCell ref="C870:F870"/>
    <mergeCell ref="G870:H870"/>
    <mergeCell ref="I870:L870"/>
    <mergeCell ref="M867:N867"/>
    <mergeCell ref="M871:N871"/>
    <mergeCell ref="O871:P871"/>
    <mergeCell ref="O872:P872"/>
    <mergeCell ref="C873:F873"/>
    <mergeCell ref="G873:H873"/>
    <mergeCell ref="I873:L873"/>
    <mergeCell ref="M874:N874"/>
    <mergeCell ref="O874:P874"/>
    <mergeCell ref="M875:N875"/>
    <mergeCell ref="O875:P875"/>
    <mergeCell ref="O876:P876"/>
    <mergeCell ref="C877:F877"/>
    <mergeCell ref="G877:H877"/>
    <mergeCell ref="I877:L877"/>
    <mergeCell ref="C897:F897"/>
    <mergeCell ref="I897:L897"/>
    <mergeCell ref="M898:N898"/>
    <mergeCell ref="O878:P878"/>
    <mergeCell ref="O879:P879"/>
    <mergeCell ref="C880:F880"/>
    <mergeCell ref="G880:H880"/>
    <mergeCell ref="I880:L880"/>
    <mergeCell ref="M878:N878"/>
    <mergeCell ref="M881:N881"/>
    <mergeCell ref="O881:P881"/>
    <mergeCell ref="O882:P882"/>
    <mergeCell ref="C884:F884"/>
    <mergeCell ref="G884:H884"/>
    <mergeCell ref="I884:L884"/>
    <mergeCell ref="C892:F892"/>
    <mergeCell ref="G892:H892"/>
    <mergeCell ref="I892:L892"/>
    <mergeCell ref="M885:N885"/>
    <mergeCell ref="O885:P885"/>
    <mergeCell ref="O886:P886"/>
    <mergeCell ref="J917:K917"/>
    <mergeCell ref="L917:M917"/>
    <mergeCell ref="C888:F888"/>
    <mergeCell ref="G888:H888"/>
    <mergeCell ref="I888:L888"/>
    <mergeCell ref="O898:P898"/>
    <mergeCell ref="O899:P899"/>
    <mergeCell ref="O900:P900"/>
    <mergeCell ref="M889:N889"/>
    <mergeCell ref="O889:P889"/>
    <mergeCell ref="O890:P890"/>
    <mergeCell ref="O901:P901"/>
    <mergeCell ref="C903:F903"/>
    <mergeCell ref="I903:L903"/>
    <mergeCell ref="M904:N904"/>
    <mergeCell ref="O904:P904"/>
    <mergeCell ref="O905:P905"/>
    <mergeCell ref="C907:F907"/>
    <mergeCell ref="G907:H907"/>
    <mergeCell ref="I907:L907"/>
    <mergeCell ref="O362:P362"/>
    <mergeCell ref="M361:N361"/>
    <mergeCell ref="C918:E918"/>
    <mergeCell ref="F918:G918"/>
    <mergeCell ref="H918:I918"/>
    <mergeCell ref="J918:K918"/>
    <mergeCell ref="L918:M918"/>
    <mergeCell ref="C919:E919"/>
    <mergeCell ref="F919:G919"/>
    <mergeCell ref="H919:I919"/>
    <mergeCell ref="J919:K919"/>
    <mergeCell ref="L919:M919"/>
    <mergeCell ref="C920:E920"/>
    <mergeCell ref="F920:G920"/>
    <mergeCell ref="H920:I920"/>
    <mergeCell ref="J920:K920"/>
    <mergeCell ref="L920:M920"/>
    <mergeCell ref="M908:N908"/>
    <mergeCell ref="M909:N909"/>
    <mergeCell ref="O909:P909"/>
    <mergeCell ref="O910:P910"/>
    <mergeCell ref="M911:N911"/>
    <mergeCell ref="O911:P911"/>
    <mergeCell ref="C916:E916"/>
    <mergeCell ref="F916:G916"/>
    <mergeCell ref="H916:I916"/>
    <mergeCell ref="J916:K916"/>
    <mergeCell ref="L916:M916"/>
    <mergeCell ref="M910:N910"/>
    <mergeCell ref="C917:E917"/>
    <mergeCell ref="F917:G917"/>
    <mergeCell ref="H917:I917"/>
  </mergeCells>
  <printOptions horizontalCentered="1"/>
  <pageMargins left="0.51181102362204722" right="0.51181102362204722" top="0.74803149606299213" bottom="0.74803149606299213"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&amp;"Garamond,Cursiva"Unidades 5 y 6: Registración de operaciones básicas</oddHeader>
    <oddFooter xml:space="preserve">&amp;R&amp;"Garamond,Normal"
</oddFooter>
  </headerFooter>
  <rowBreaks count="17" manualBreakCount="17">
    <brk id="50" max="16383" man="1"/>
    <brk id="105" max="16383" man="1"/>
    <brk id="155" max="16383" man="1"/>
    <brk id="213" max="16383" man="1"/>
    <brk id="267" max="16383" man="1"/>
    <brk id="317" max="16383" man="1"/>
    <brk id="375" max="16383" man="1"/>
    <brk id="433" max="16383" man="1"/>
    <brk id="486" max="16383" man="1"/>
    <brk id="536" max="16383" man="1"/>
    <brk id="582" max="16383" man="1"/>
    <brk id="636" max="16383" man="1"/>
    <brk id="689" max="16383" man="1"/>
    <brk id="742" max="16383" man="1"/>
    <brk id="795" max="16383" man="1"/>
    <brk id="845" max="16383" man="1"/>
    <brk id="895"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I14"/>
  <sheetViews>
    <sheetView view="pageBreakPreview" zoomScale="90" zoomScaleNormal="100" zoomScaleSheetLayoutView="90" workbookViewId="0">
      <selection activeCell="M8" sqref="M8:N8"/>
    </sheetView>
  </sheetViews>
  <sheetFormatPr baseColWidth="10" defaultColWidth="11.42578125" defaultRowHeight="15.75" x14ac:dyDescent="0.25"/>
  <cols>
    <col min="1" max="1" width="11.42578125" style="691"/>
    <col min="2" max="2" width="27.7109375" style="691" bestFit="1" customWidth="1"/>
    <col min="3" max="3" width="11.42578125" style="691" bestFit="1" customWidth="1"/>
    <col min="4" max="4" width="34.140625" style="691" bestFit="1" customWidth="1"/>
    <col min="5" max="5" width="11.42578125" style="691" bestFit="1" customWidth="1"/>
    <col min="6" max="8" width="11.42578125" style="691"/>
    <col min="9" max="9" width="14.140625" style="691" bestFit="1" customWidth="1"/>
    <col min="10" max="16384" width="11.42578125" style="691"/>
  </cols>
  <sheetData>
    <row r="2" spans="2:9" x14ac:dyDescent="0.25">
      <c r="B2" s="2409" t="s">
        <v>2103</v>
      </c>
      <c r="C2" s="2409"/>
      <c r="D2" s="2409"/>
      <c r="E2" s="2409"/>
    </row>
    <row r="3" spans="2:9" x14ac:dyDescent="0.25">
      <c r="B3" s="2410" t="s">
        <v>2102</v>
      </c>
      <c r="C3" s="2410"/>
      <c r="D3" s="2410"/>
      <c r="E3" s="2410"/>
    </row>
    <row r="4" spans="2:9" x14ac:dyDescent="0.25">
      <c r="B4" s="1305" t="s">
        <v>10</v>
      </c>
      <c r="C4" s="1307">
        <v>180000</v>
      </c>
      <c r="D4" s="1305" t="s">
        <v>2</v>
      </c>
      <c r="E4" s="1304">
        <v>85000</v>
      </c>
    </row>
    <row r="5" spans="2:9" x14ac:dyDescent="0.25">
      <c r="B5" s="1303" t="s">
        <v>22</v>
      </c>
      <c r="C5" s="1306">
        <v>540000</v>
      </c>
      <c r="D5" s="1303" t="s">
        <v>1195</v>
      </c>
      <c r="E5" s="1302">
        <v>14000</v>
      </c>
    </row>
    <row r="6" spans="2:9" x14ac:dyDescent="0.25">
      <c r="B6" s="1303" t="s">
        <v>2101</v>
      </c>
      <c r="C6" s="1306">
        <v>360000</v>
      </c>
      <c r="D6" s="1303" t="s">
        <v>2100</v>
      </c>
      <c r="E6" s="1302">
        <v>20000</v>
      </c>
    </row>
    <row r="7" spans="2:9" x14ac:dyDescent="0.25">
      <c r="B7" s="1303" t="s">
        <v>1284</v>
      </c>
      <c r="C7" s="1306">
        <v>315000</v>
      </c>
      <c r="D7" s="1303" t="s">
        <v>448</v>
      </c>
      <c r="E7" s="1302">
        <v>24600</v>
      </c>
    </row>
    <row r="8" spans="2:9" x14ac:dyDescent="0.25">
      <c r="B8" s="1303" t="s">
        <v>1918</v>
      </c>
      <c r="C8" s="1306">
        <v>3000</v>
      </c>
      <c r="D8" s="1303" t="s">
        <v>545</v>
      </c>
      <c r="E8" s="1302">
        <v>450000</v>
      </c>
    </row>
    <row r="9" spans="2:9" x14ac:dyDescent="0.25">
      <c r="B9" s="1303" t="s">
        <v>5</v>
      </c>
      <c r="C9" s="1306">
        <v>112000</v>
      </c>
      <c r="D9" s="1305" t="s">
        <v>506</v>
      </c>
      <c r="E9" s="1304">
        <v>590000</v>
      </c>
    </row>
    <row r="10" spans="2:9" x14ac:dyDescent="0.25">
      <c r="B10" s="1303" t="s">
        <v>4</v>
      </c>
      <c r="C10" s="1302">
        <v>820000</v>
      </c>
      <c r="D10" s="1301" t="s">
        <v>7</v>
      </c>
      <c r="E10" s="1300">
        <f>+C11-SUM(E4:E9)</f>
        <v>1146400</v>
      </c>
      <c r="I10" s="1293"/>
    </row>
    <row r="11" spans="2:9" x14ac:dyDescent="0.25">
      <c r="B11" s="1299" t="s">
        <v>2099</v>
      </c>
      <c r="C11" s="1298">
        <f>SUM(C4:C10)</f>
        <v>2330000</v>
      </c>
      <c r="D11" s="1297" t="s">
        <v>428</v>
      </c>
      <c r="E11" s="1296">
        <f>+SUM(E4:E10)</f>
        <v>2330000</v>
      </c>
    </row>
    <row r="12" spans="2:9" x14ac:dyDescent="0.25">
      <c r="D12" s="1295"/>
      <c r="E12" s="1294"/>
    </row>
    <row r="14" spans="2:9" x14ac:dyDescent="0.25">
      <c r="B14" s="1293"/>
    </row>
  </sheetData>
  <mergeCells count="2">
    <mergeCell ref="B2:E2"/>
    <mergeCell ref="B3:E3"/>
  </mergeCells>
  <printOptions horizontalCentered="1"/>
  <pageMargins left="0.51181102362204722" right="1.0629921259842521" top="0.74803149606299213" bottom="0.74803149606299213" header="0.31496062992125984" footer="0.31496062992125984"/>
  <pageSetup paperSize="9" scale="79" orientation="portrait" r:id="rId1"/>
  <headerFooter>
    <oddHeader>&amp;L&amp;"Garamond,Normal"Universidad de San Andrés
Fundamentos de Contabilidad&amp;C&amp;"Garamond,Normal"&amp;12
  &amp;"-,Regular"&amp;11
&amp;R&amp;"Garamond,Negrita"Solución Adicionales&amp;"Garamond,Normal"
&amp;"Garamond,Cursiva"Unidad 3: Introducción a los Estados Contables básicos</oddHeader>
    <oddFooter xml:space="preserve">&amp;R&amp;"Garamond,Normal"Página | &amp;"Garamond,Negrita"&amp;P </oddFooter>
  </headerFooter>
  <colBreaks count="1" manualBreakCount="1">
    <brk id="6"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0"/>
  <sheetViews>
    <sheetView showGridLines="0" workbookViewId="0">
      <selection activeCell="M8" sqref="M8:N8"/>
    </sheetView>
  </sheetViews>
  <sheetFormatPr baseColWidth="10" defaultColWidth="11.42578125" defaultRowHeight="15" x14ac:dyDescent="0.25"/>
  <cols>
    <col min="1" max="1" width="35.28515625" style="592" bestFit="1" customWidth="1"/>
    <col min="2" max="5" width="13.42578125" style="592" customWidth="1"/>
    <col min="6" max="16384" width="11.42578125" style="592"/>
  </cols>
  <sheetData>
    <row r="1" spans="1:6" ht="30" x14ac:dyDescent="0.25">
      <c r="A1" s="1317" t="s">
        <v>952</v>
      </c>
      <c r="B1" s="1317" t="s">
        <v>2108</v>
      </c>
      <c r="C1" s="1317" t="s">
        <v>2107</v>
      </c>
      <c r="D1" s="1317" t="s">
        <v>2106</v>
      </c>
      <c r="E1" s="1317" t="s">
        <v>2105</v>
      </c>
    </row>
    <row r="2" spans="1:6" x14ac:dyDescent="0.25">
      <c r="A2" s="1315" t="s">
        <v>233</v>
      </c>
      <c r="B2" s="1314">
        <f>+SUMIF('U6.2'!$C$600:$C$784,HongKong!A2,'U6.2'!$M$600:$M$784)</f>
        <v>34600</v>
      </c>
      <c r="C2" s="1314">
        <f>+SUMIF('U6.2'!$G$600:$G$784,HongKong!A2,'U6.2'!$O$600:$O$784)</f>
        <v>34600</v>
      </c>
      <c r="D2" s="1314">
        <f t="shared" ref="D2:D25" si="0">+IF(B2&gt;C2,B2-C2,0)</f>
        <v>0</v>
      </c>
      <c r="E2" s="1314">
        <f t="shared" ref="E2:E25" si="1">+IF(C2&gt;B2,C2-B2,0)</f>
        <v>0</v>
      </c>
      <c r="F2" s="1316" t="s">
        <v>2104</v>
      </c>
    </row>
    <row r="3" spans="1:6" x14ac:dyDescent="0.25">
      <c r="A3" s="1315" t="s">
        <v>1922</v>
      </c>
      <c r="B3" s="1314">
        <f>+SUMIF('U6.2'!$C$600:$C$784,HongKong!A3,'U6.2'!$M$600:$M$784)</f>
        <v>249306</v>
      </c>
      <c r="C3" s="1314">
        <f>+SUMIF('U6.2'!$G$600:$G$784,HongKong!A3,'U6.2'!$O$600:$O$784)</f>
        <v>249600</v>
      </c>
      <c r="D3" s="1314">
        <f t="shared" si="0"/>
        <v>0</v>
      </c>
      <c r="E3" s="1313">
        <f t="shared" si="1"/>
        <v>294</v>
      </c>
      <c r="F3" s="991"/>
    </row>
    <row r="4" spans="1:6" x14ac:dyDescent="0.25">
      <c r="A4" s="1315" t="s">
        <v>282</v>
      </c>
      <c r="B4" s="1314">
        <f>+SUMIF('U6.2'!$C$600:$C$784,HongKong!A4,'U6.2'!$M$600:$M$784)</f>
        <v>100000</v>
      </c>
      <c r="C4" s="1314">
        <f>+SUMIF('U6.2'!$G$600:$G$784,HongKong!A4,'U6.2'!$O$600:$O$784)</f>
        <v>142759</v>
      </c>
      <c r="D4" s="1314">
        <f t="shared" si="0"/>
        <v>0</v>
      </c>
      <c r="E4" s="1313">
        <f t="shared" si="1"/>
        <v>42759</v>
      </c>
      <c r="F4" s="991"/>
    </row>
    <row r="5" spans="1:6" x14ac:dyDescent="0.25">
      <c r="A5" s="1315" t="s">
        <v>10</v>
      </c>
      <c r="B5" s="1314">
        <f>+SUMIF('U6.2'!$C$600:$C$784,HongKong!A5,'U6.2'!$M$600:$M$784)</f>
        <v>20860</v>
      </c>
      <c r="C5" s="1314">
        <f>+SUMIF('U6.2'!$G$600:$G$784,HongKong!A5,'U6.2'!$O$600:$O$784)</f>
        <v>9000</v>
      </c>
      <c r="D5" s="1313">
        <f t="shared" si="0"/>
        <v>11860</v>
      </c>
      <c r="E5" s="1314">
        <f t="shared" si="1"/>
        <v>0</v>
      </c>
      <c r="F5" s="1316"/>
    </row>
    <row r="6" spans="1:6" x14ac:dyDescent="0.25">
      <c r="A6" s="1315" t="s">
        <v>120</v>
      </c>
      <c r="B6" s="1314">
        <f>+SUMIF('U6.2'!$C$600:$C$784,HongKong!A6,'U6.2'!$M$600:$M$784)</f>
        <v>10800</v>
      </c>
      <c r="C6" s="1314">
        <f>+SUMIF('U6.2'!$G$600:$G$784,HongKong!A6,'U6.2'!$O$600:$O$784)</f>
        <v>0</v>
      </c>
      <c r="D6" s="1313">
        <f t="shared" si="0"/>
        <v>10800</v>
      </c>
      <c r="E6" s="1314">
        <f t="shared" si="1"/>
        <v>0</v>
      </c>
      <c r="F6" s="991"/>
    </row>
    <row r="7" spans="1:6" x14ac:dyDescent="0.25">
      <c r="A7" s="1315" t="s">
        <v>0</v>
      </c>
      <c r="B7" s="1314">
        <f>+SUMIF('U6.2'!$C$600:$C$784,HongKong!A7,'U6.2'!$M$600:$M$784)</f>
        <v>16860</v>
      </c>
      <c r="C7" s="1314">
        <f>+SUMIF('U6.2'!$G$600:$G$784,HongKong!A7,'U6.2'!$O$600:$O$784)</f>
        <v>16860</v>
      </c>
      <c r="D7" s="1314">
        <f t="shared" si="0"/>
        <v>0</v>
      </c>
      <c r="E7" s="1314">
        <f t="shared" si="1"/>
        <v>0</v>
      </c>
      <c r="F7" s="1316" t="s">
        <v>2104</v>
      </c>
    </row>
    <row r="8" spans="1:6" x14ac:dyDescent="0.25">
      <c r="A8" s="1315" t="s">
        <v>478</v>
      </c>
      <c r="B8" s="1314">
        <f>+SUMIF('U6.2'!$C$600:$C$784,HongKong!A8,'U6.2'!$M$600:$M$784)</f>
        <v>29166</v>
      </c>
      <c r="C8" s="1314">
        <f>+SUMIF('U6.2'!$G$600:$G$784,HongKong!A8,'U6.2'!$O$600:$O$784)</f>
        <v>29166</v>
      </c>
      <c r="D8" s="1314">
        <f t="shared" si="0"/>
        <v>0</v>
      </c>
      <c r="E8" s="1314">
        <f t="shared" si="1"/>
        <v>0</v>
      </c>
      <c r="F8" s="1316" t="s">
        <v>2104</v>
      </c>
    </row>
    <row r="9" spans="1:6" x14ac:dyDescent="0.25">
      <c r="A9" s="1315" t="s">
        <v>6</v>
      </c>
      <c r="B9" s="1314">
        <f>+SUMIF('U6.2'!$C$600:$C$784,HongKong!A9,'U6.2'!$M$600:$M$784)</f>
        <v>133759</v>
      </c>
      <c r="C9" s="1314">
        <f>+SUMIF('U6.2'!$G$600:$G$784,HongKong!A9,'U6.2'!$O$600:$O$784)</f>
        <v>133759</v>
      </c>
      <c r="D9" s="1314">
        <f t="shared" si="0"/>
        <v>0</v>
      </c>
      <c r="E9" s="1314">
        <f t="shared" si="1"/>
        <v>0</v>
      </c>
      <c r="F9" s="1316" t="s">
        <v>2104</v>
      </c>
    </row>
    <row r="10" spans="1:6" x14ac:dyDescent="0.25">
      <c r="A10" s="1315" t="s">
        <v>299</v>
      </c>
      <c r="B10" s="1314">
        <f>+SUMIF('U6.2'!$C$600:$C$784,HongKong!A10,'U6.2'!$M$600:$M$784)</f>
        <v>37500</v>
      </c>
      <c r="C10" s="1314">
        <f>+SUMIF('U6.2'!$G$600:$G$784,HongKong!A10,'U6.2'!$O$600:$O$784)</f>
        <v>0</v>
      </c>
      <c r="D10" s="1313">
        <f t="shared" si="0"/>
        <v>37500</v>
      </c>
      <c r="E10" s="1314">
        <f t="shared" si="1"/>
        <v>0</v>
      </c>
      <c r="F10" s="991"/>
    </row>
    <row r="11" spans="1:6" x14ac:dyDescent="0.25">
      <c r="A11" s="1315" t="s">
        <v>301</v>
      </c>
      <c r="B11" s="1314">
        <f>+SUMIF('U6.2'!$C$600:$C$784,HongKong!A11,'U6.2'!$M$600:$M$784)</f>
        <v>18000</v>
      </c>
      <c r="C11" s="1314">
        <f>+SUMIF('U6.2'!$G$600:$G$784,HongKong!A11,'U6.2'!$O$600:$O$784)</f>
        <v>0</v>
      </c>
      <c r="D11" s="1313">
        <f t="shared" si="0"/>
        <v>18000</v>
      </c>
      <c r="E11" s="1314">
        <f t="shared" si="1"/>
        <v>0</v>
      </c>
      <c r="F11" s="4"/>
    </row>
    <row r="12" spans="1:6" x14ac:dyDescent="0.25">
      <c r="A12" s="1315" t="s">
        <v>1923</v>
      </c>
      <c r="B12" s="1314">
        <f>+SUMIF('U6.2'!$C$600:$C$784,HongKong!A12,'U6.2'!$M$600:$M$784)</f>
        <v>240000</v>
      </c>
      <c r="C12" s="1314">
        <f>+SUMIF('U6.2'!$G$600:$G$784,HongKong!A12,'U6.2'!$O$600:$O$784)</f>
        <v>240000</v>
      </c>
      <c r="D12" s="1314">
        <f t="shared" si="0"/>
        <v>0</v>
      </c>
      <c r="E12" s="1314">
        <f t="shared" si="1"/>
        <v>0</v>
      </c>
      <c r="F12" s="1316" t="s">
        <v>2104</v>
      </c>
    </row>
    <row r="13" spans="1:6" x14ac:dyDescent="0.25">
      <c r="A13" s="1315" t="s">
        <v>1100</v>
      </c>
      <c r="B13" s="1314">
        <f>+SUMIF('U6.2'!$C$600:$C$784,HongKong!A13,'U6.2'!$M$600:$M$784)</f>
        <v>0</v>
      </c>
      <c r="C13" s="1314">
        <f>+SUMIF('U6.2'!$G$600:$G$784,HongKong!A13,'U6.2'!$O$600:$O$784)</f>
        <v>2200</v>
      </c>
      <c r="D13" s="1314">
        <f t="shared" si="0"/>
        <v>0</v>
      </c>
      <c r="E13" s="1313">
        <f t="shared" si="1"/>
        <v>2200</v>
      </c>
      <c r="F13" s="4"/>
    </row>
    <row r="14" spans="1:6" x14ac:dyDescent="0.25">
      <c r="A14" s="1315" t="s">
        <v>1934</v>
      </c>
      <c r="B14" s="1314">
        <f>+SUMIF('U6.2'!$C$600:$C$784,HongKong!A14,'U6.2'!$M$600:$M$784)</f>
        <v>726</v>
      </c>
      <c r="C14" s="1314">
        <f>+SUMIF('U6.2'!$G$600:$G$784,HongKong!A14,'U6.2'!$O$600:$O$784)</f>
        <v>726</v>
      </c>
      <c r="D14" s="1314">
        <f t="shared" si="0"/>
        <v>0</v>
      </c>
      <c r="E14" s="1314">
        <f t="shared" si="1"/>
        <v>0</v>
      </c>
      <c r="F14" s="1316" t="s">
        <v>2104</v>
      </c>
    </row>
    <row r="15" spans="1:6" x14ac:dyDescent="0.25">
      <c r="A15" s="1315" t="s">
        <v>300</v>
      </c>
      <c r="B15" s="1314">
        <f>+SUMIF('U6.2'!$C$600:$C$784,HongKong!A15,'U6.2'!$M$600:$M$784)</f>
        <v>9600</v>
      </c>
      <c r="C15" s="1314">
        <f>+SUMIF('U6.2'!$G$600:$G$784,HongKong!A15,'U6.2'!$O$600:$O$784)</f>
        <v>9600</v>
      </c>
      <c r="D15" s="1314">
        <f t="shared" si="0"/>
        <v>0</v>
      </c>
      <c r="E15" s="1314">
        <f t="shared" si="1"/>
        <v>0</v>
      </c>
      <c r="F15" s="1316" t="s">
        <v>2104</v>
      </c>
    </row>
    <row r="16" spans="1:6" x14ac:dyDescent="0.25">
      <c r="A16" s="1315" t="s">
        <v>143</v>
      </c>
      <c r="B16" s="1314">
        <f>+SUMIF('U6.2'!$C$600:$C$784,HongKong!A16,'U6.2'!$M$600:$M$784)</f>
        <v>27900</v>
      </c>
      <c r="C16" s="1314">
        <f>+SUMIF('U6.2'!$G$600:$G$784,HongKong!A16,'U6.2'!$O$600:$O$784)</f>
        <v>27900</v>
      </c>
      <c r="D16" s="1314">
        <f t="shared" si="0"/>
        <v>0</v>
      </c>
      <c r="E16" s="1314">
        <f t="shared" si="1"/>
        <v>0</v>
      </c>
      <c r="F16" s="1316" t="s">
        <v>2104</v>
      </c>
    </row>
    <row r="17" spans="1:6" x14ac:dyDescent="0.25">
      <c r="A17" s="1315" t="s">
        <v>543</v>
      </c>
      <c r="B17" s="1314">
        <f>+SUMIF('U6.2'!$C$600:$C$784,HongKong!A17,'U6.2'!$M$600:$M$784)</f>
        <v>1400</v>
      </c>
      <c r="C17" s="1314">
        <f>+SUMIF('U6.2'!$G$600:$G$784,HongKong!A17,'U6.2'!$O$600:$O$784)</f>
        <v>1400</v>
      </c>
      <c r="D17" s="1314">
        <f t="shared" si="0"/>
        <v>0</v>
      </c>
      <c r="E17" s="1314">
        <f t="shared" si="1"/>
        <v>0</v>
      </c>
      <c r="F17" s="1316" t="s">
        <v>2104</v>
      </c>
    </row>
    <row r="18" spans="1:6" x14ac:dyDescent="0.25">
      <c r="A18" s="1315" t="s">
        <v>158</v>
      </c>
      <c r="B18" s="1314">
        <f>+SUMIF('U6.2'!$C$600:$C$784,HongKong!A18,'U6.2'!$M$600:$M$784)</f>
        <v>200</v>
      </c>
      <c r="C18" s="1314">
        <f>+SUMIF('U6.2'!$G$600:$G$784,HongKong!A18,'U6.2'!$O$600:$O$784)</f>
        <v>200</v>
      </c>
      <c r="D18" s="1314">
        <f t="shared" si="0"/>
        <v>0</v>
      </c>
      <c r="E18" s="1314">
        <f t="shared" si="1"/>
        <v>0</v>
      </c>
      <c r="F18" s="1316" t="s">
        <v>2104</v>
      </c>
    </row>
    <row r="19" spans="1:6" x14ac:dyDescent="0.25">
      <c r="A19" s="1315" t="s">
        <v>13</v>
      </c>
      <c r="B19" s="1314">
        <f>+SUMIF('U6.2'!$C$600:$C$784,HongKong!A19,'U6.2'!$M$600:$M$784)</f>
        <v>5859</v>
      </c>
      <c r="C19" s="1314">
        <f>+SUMIF('U6.2'!$G$600:$G$784,HongKong!A19,'U6.2'!$O$600:$O$784)</f>
        <v>0</v>
      </c>
      <c r="D19" s="1313">
        <f t="shared" si="0"/>
        <v>5859</v>
      </c>
      <c r="E19" s="1314">
        <f t="shared" si="1"/>
        <v>0</v>
      </c>
      <c r="F19" s="991"/>
    </row>
    <row r="20" spans="1:6" x14ac:dyDescent="0.25">
      <c r="A20" s="1315" t="s">
        <v>12</v>
      </c>
      <c r="B20" s="1314">
        <f>+SUMIF('U6.2'!$C$600:$C$784,HongKong!A20,'U6.2'!$M$600:$M$784)</f>
        <v>0</v>
      </c>
      <c r="C20" s="1314">
        <f>+SUMIF('U6.2'!$G$600:$G$784,HongKong!A20,'U6.2'!$O$600:$O$784)</f>
        <v>8526</v>
      </c>
      <c r="D20" s="1314">
        <f t="shared" si="0"/>
        <v>0</v>
      </c>
      <c r="E20" s="1313">
        <f t="shared" si="1"/>
        <v>8526</v>
      </c>
      <c r="F20" s="4"/>
    </row>
    <row r="21" spans="1:6" x14ac:dyDescent="0.25">
      <c r="A21" s="1315" t="s">
        <v>5</v>
      </c>
      <c r="B21" s="1314">
        <f>+SUMIF('U6.2'!$C$600:$C$784,HongKong!A21,'U6.2'!$M$600:$M$784)</f>
        <v>0</v>
      </c>
      <c r="C21" s="1314">
        <f>+SUMIF('U6.2'!$G$600:$G$784,HongKong!A21,'U6.2'!$O$600:$O$784)</f>
        <v>10800</v>
      </c>
      <c r="D21" s="1314">
        <f t="shared" si="0"/>
        <v>0</v>
      </c>
      <c r="E21" s="1313">
        <f t="shared" si="1"/>
        <v>10800</v>
      </c>
      <c r="F21" s="991"/>
    </row>
    <row r="22" spans="1:6" x14ac:dyDescent="0.25">
      <c r="A22" s="1315" t="s">
        <v>279</v>
      </c>
      <c r="B22" s="1314">
        <f>+SUMIF('U6.2'!$C$600:$C$784,HongKong!A22,'U6.2'!$M$600:$M$784)</f>
        <v>18000</v>
      </c>
      <c r="C22" s="1314">
        <f>+SUMIF('U6.2'!$G$600:$G$784,HongKong!A22,'U6.2'!$O$600:$O$784)</f>
        <v>18000</v>
      </c>
      <c r="D22" s="1314">
        <f t="shared" si="0"/>
        <v>0</v>
      </c>
      <c r="E22" s="1314">
        <f t="shared" si="1"/>
        <v>0</v>
      </c>
      <c r="F22" s="1316" t="s">
        <v>2104</v>
      </c>
    </row>
    <row r="23" spans="1:6" x14ac:dyDescent="0.25">
      <c r="A23" s="1315" t="s">
        <v>296</v>
      </c>
      <c r="B23" s="1314">
        <f>+SUMIF('U6.2'!$C$600:$C$784,HongKong!A23,'U6.2'!$M$600:$M$784)</f>
        <v>9000</v>
      </c>
      <c r="C23" s="1314">
        <f>+SUMIF('U6.2'!$G$600:$G$784,HongKong!A23,'U6.2'!$O$600:$O$784)</f>
        <v>9000</v>
      </c>
      <c r="D23" s="1314">
        <f t="shared" si="0"/>
        <v>0</v>
      </c>
      <c r="E23" s="1314">
        <f t="shared" si="1"/>
        <v>0</v>
      </c>
      <c r="F23" s="991"/>
    </row>
    <row r="24" spans="1:6" x14ac:dyDescent="0.25">
      <c r="A24" s="1315" t="s">
        <v>227</v>
      </c>
      <c r="B24" s="1314">
        <f>+SUMIF('U6.2'!$C$600:$C$784,HongKong!A24,'U6.2'!$M$600:$M$784)</f>
        <v>29666</v>
      </c>
      <c r="C24" s="1314">
        <f>+SUMIF('U6.2'!$G$600:$G$784,HongKong!A24,'U6.2'!$O$600:$O$784)</f>
        <v>9306</v>
      </c>
      <c r="D24" s="1313">
        <f t="shared" si="0"/>
        <v>20360</v>
      </c>
      <c r="E24" s="1314">
        <f t="shared" si="1"/>
        <v>0</v>
      </c>
      <c r="F24" s="991"/>
    </row>
    <row r="25" spans="1:6" x14ac:dyDescent="0.25">
      <c r="A25" s="1315" t="s">
        <v>3</v>
      </c>
      <c r="B25" s="1314">
        <f>+SUMIF('U6.2'!$C$600:$C$784,HongKong!A25,'U6.2'!$M$600:$M$784)</f>
        <v>0</v>
      </c>
      <c r="C25" s="1314">
        <f>+SUMIF('U6.2'!$G$600:$G$784,HongKong!A25,'U6.2'!$O$600:$O$784)</f>
        <v>39800</v>
      </c>
      <c r="D25" s="1314">
        <f t="shared" si="0"/>
        <v>0</v>
      </c>
      <c r="E25" s="1313">
        <f t="shared" si="1"/>
        <v>39800</v>
      </c>
      <c r="F25" s="4"/>
    </row>
    <row r="26" spans="1:6" x14ac:dyDescent="0.25">
      <c r="A26" s="1312"/>
      <c r="B26" s="1016"/>
      <c r="C26" s="991"/>
      <c r="D26" s="1004"/>
      <c r="E26" s="4"/>
      <c r="F26" s="991"/>
    </row>
    <row r="27" spans="1:6" x14ac:dyDescent="0.25">
      <c r="A27" s="1311" t="s">
        <v>410</v>
      </c>
      <c r="B27" s="1310">
        <f>+SUM(B2:B25)</f>
        <v>993202</v>
      </c>
      <c r="C27" s="1310">
        <f>+SUM(C2:C25)</f>
        <v>993202</v>
      </c>
      <c r="D27" s="1310">
        <f>+SUM(D2:D25)</f>
        <v>104379</v>
      </c>
      <c r="E27" s="1310">
        <f>+SUM(E2:E25)</f>
        <v>104379</v>
      </c>
      <c r="F27" s="4"/>
    </row>
    <row r="28" spans="1:6" x14ac:dyDescent="0.25">
      <c r="B28" s="1016"/>
      <c r="C28" s="991"/>
      <c r="D28" s="1004"/>
      <c r="E28" s="4"/>
      <c r="F28" s="991"/>
    </row>
    <row r="29" spans="1:6" x14ac:dyDescent="0.25">
      <c r="B29" s="1016"/>
      <c r="C29" s="1309">
        <f>+C27-B27</f>
        <v>0</v>
      </c>
      <c r="D29" s="1020"/>
      <c r="E29" s="1308">
        <f>+E27-D27</f>
        <v>0</v>
      </c>
      <c r="F29" s="4"/>
    </row>
    <row r="30" spans="1:6" x14ac:dyDescent="0.25">
      <c r="B30" s="1016"/>
      <c r="C30" s="991"/>
      <c r="D30" s="1004"/>
      <c r="E30" s="4"/>
      <c r="F30" s="991"/>
    </row>
    <row r="31" spans="1:6" x14ac:dyDescent="0.25">
      <c r="B31" s="1016"/>
      <c r="C31" s="991"/>
      <c r="D31" s="1004"/>
      <c r="E31" s="4"/>
      <c r="F31" s="991"/>
    </row>
    <row r="32" spans="1:6" x14ac:dyDescent="0.25">
      <c r="B32" s="1016"/>
      <c r="C32" s="20"/>
      <c r="D32" s="1004"/>
      <c r="E32" s="4"/>
      <c r="F32" s="991"/>
    </row>
    <row r="33" spans="2:6" x14ac:dyDescent="0.25">
      <c r="B33" s="1016"/>
      <c r="C33" s="20"/>
      <c r="D33" s="1020"/>
      <c r="E33" s="4"/>
      <c r="F33" s="4"/>
    </row>
    <row r="34" spans="2:6" x14ac:dyDescent="0.25">
      <c r="B34" s="1016"/>
      <c r="C34" s="20"/>
      <c r="D34" s="1004"/>
      <c r="E34" s="4"/>
      <c r="F34" s="991"/>
    </row>
    <row r="35" spans="2:6" x14ac:dyDescent="0.25">
      <c r="B35" s="1016"/>
      <c r="C35" s="991"/>
      <c r="D35" s="1004"/>
      <c r="E35" s="4"/>
      <c r="F35" s="991"/>
    </row>
    <row r="36" spans="2:6" x14ac:dyDescent="0.25">
      <c r="B36" s="1016"/>
      <c r="C36" s="20"/>
      <c r="D36" s="1004"/>
      <c r="E36" s="4"/>
      <c r="F36" s="991"/>
    </row>
    <row r="37" spans="2:6" x14ac:dyDescent="0.25">
      <c r="B37" s="1016"/>
      <c r="C37" s="991"/>
      <c r="D37" s="1004"/>
      <c r="E37" s="4"/>
      <c r="F37" s="991"/>
    </row>
    <row r="38" spans="2:6" x14ac:dyDescent="0.25">
      <c r="B38" s="1016"/>
      <c r="C38" s="20"/>
      <c r="D38" s="1020"/>
      <c r="E38" s="4"/>
      <c r="F38" s="4"/>
    </row>
    <row r="39" spans="2:6" x14ac:dyDescent="0.25">
      <c r="B39" s="1016"/>
      <c r="C39" s="991"/>
      <c r="D39" s="1004"/>
      <c r="E39" s="4"/>
      <c r="F39" s="991"/>
    </row>
    <row r="40" spans="2:6" x14ac:dyDescent="0.25">
      <c r="B40" s="1016"/>
      <c r="C40" s="20"/>
      <c r="D40" s="1020"/>
      <c r="E40" s="4"/>
      <c r="F40" s="4"/>
    </row>
    <row r="41" spans="2:6" x14ac:dyDescent="0.25">
      <c r="B41" s="1016"/>
      <c r="C41" s="991"/>
      <c r="D41" s="1004"/>
      <c r="E41" s="4"/>
      <c r="F41" s="991"/>
    </row>
    <row r="42" spans="2:6" x14ac:dyDescent="0.25">
      <c r="B42" s="1016"/>
      <c r="C42" s="20"/>
      <c r="D42" s="1020"/>
      <c r="E42" s="4"/>
      <c r="F42" s="4"/>
    </row>
    <row r="43" spans="2:6" x14ac:dyDescent="0.25">
      <c r="B43" s="1016"/>
      <c r="C43" s="991"/>
      <c r="D43" s="1004"/>
      <c r="E43" s="4"/>
      <c r="F43" s="991"/>
    </row>
    <row r="44" spans="2:6" x14ac:dyDescent="0.25">
      <c r="B44" s="1016"/>
      <c r="C44" s="20"/>
      <c r="D44" s="1020"/>
      <c r="E44" s="4"/>
      <c r="F44" s="4"/>
    </row>
    <row r="45" spans="2:6" x14ac:dyDescent="0.25">
      <c r="B45" s="1016"/>
      <c r="C45" s="991"/>
      <c r="D45" s="1004"/>
      <c r="E45" s="4"/>
      <c r="F45" s="991"/>
    </row>
    <row r="46" spans="2:6" x14ac:dyDescent="0.25">
      <c r="B46" s="1016"/>
      <c r="C46" s="20"/>
      <c r="D46" s="1020"/>
      <c r="E46" s="4"/>
      <c r="F46" s="4"/>
    </row>
    <row r="47" spans="2:6" x14ac:dyDescent="0.25">
      <c r="B47" s="1016"/>
      <c r="C47" s="991"/>
      <c r="D47" s="1004"/>
      <c r="E47" s="4"/>
      <c r="F47" s="991"/>
    </row>
    <row r="48" spans="2:6" x14ac:dyDescent="0.25">
      <c r="B48" s="1016"/>
      <c r="C48" s="20"/>
      <c r="D48" s="1020"/>
      <c r="E48" s="4"/>
      <c r="F48" s="4"/>
    </row>
    <row r="49" spans="2:6" x14ac:dyDescent="0.25">
      <c r="B49" s="1016"/>
      <c r="C49" s="991"/>
      <c r="D49" s="1004"/>
      <c r="E49" s="4"/>
      <c r="F49" s="991"/>
    </row>
    <row r="50" spans="2:6" x14ac:dyDescent="0.25">
      <c r="B50" s="1016"/>
      <c r="C50" s="20"/>
      <c r="D50" s="1020"/>
      <c r="E50" s="4"/>
      <c r="F50" s="4"/>
    </row>
    <row r="51" spans="2:6" x14ac:dyDescent="0.25">
      <c r="B51" s="1016"/>
      <c r="C51" s="991"/>
      <c r="D51" s="1004"/>
      <c r="E51" s="4"/>
      <c r="F51" s="991"/>
    </row>
    <row r="52" spans="2:6" x14ac:dyDescent="0.25">
      <c r="B52" s="1016"/>
      <c r="C52" s="20"/>
      <c r="D52" s="1020"/>
      <c r="E52" s="4"/>
      <c r="F52" s="4"/>
    </row>
    <row r="53" spans="2:6" x14ac:dyDescent="0.25">
      <c r="B53" s="1016"/>
      <c r="C53" s="991"/>
      <c r="D53" s="1004"/>
      <c r="E53" s="4"/>
      <c r="F53" s="991"/>
    </row>
    <row r="54" spans="2:6" x14ac:dyDescent="0.25">
      <c r="B54" s="1016"/>
      <c r="C54" s="20"/>
      <c r="D54" s="1020"/>
      <c r="E54" s="4"/>
      <c r="F54" s="4"/>
    </row>
    <row r="55" spans="2:6" x14ac:dyDescent="0.25">
      <c r="B55" s="1016"/>
      <c r="C55" s="991"/>
      <c r="D55" s="1004"/>
      <c r="E55" s="4"/>
      <c r="F55" s="991"/>
    </row>
    <row r="56" spans="2:6" x14ac:dyDescent="0.25">
      <c r="B56" s="1016"/>
      <c r="C56" s="20"/>
      <c r="D56" s="1020"/>
      <c r="E56" s="4"/>
      <c r="F56" s="4"/>
    </row>
    <row r="57" spans="2:6" x14ac:dyDescent="0.25">
      <c r="B57" s="1016"/>
      <c r="C57" s="991"/>
      <c r="D57" s="1004"/>
      <c r="E57" s="4"/>
      <c r="F57" s="991"/>
    </row>
    <row r="58" spans="2:6" x14ac:dyDescent="0.25">
      <c r="B58" s="1016"/>
      <c r="C58" s="991"/>
      <c r="D58" s="1004"/>
      <c r="E58" s="4"/>
      <c r="F58" s="991"/>
    </row>
    <row r="59" spans="2:6" x14ac:dyDescent="0.25">
      <c r="B59" s="1016"/>
      <c r="C59" s="20"/>
      <c r="D59" s="1004"/>
      <c r="E59" s="4"/>
      <c r="F59" s="991"/>
    </row>
    <row r="60" spans="2:6" x14ac:dyDescent="0.25">
      <c r="B60" s="1016"/>
      <c r="C60" s="20"/>
      <c r="D60" s="1020"/>
      <c r="E60" s="4"/>
      <c r="F60" s="4"/>
    </row>
    <row r="61" spans="2:6" x14ac:dyDescent="0.25">
      <c r="B61" s="1016"/>
      <c r="C61" s="991"/>
      <c r="D61" s="1004"/>
      <c r="E61" s="4"/>
      <c r="F61" s="991"/>
    </row>
    <row r="62" spans="2:6" x14ac:dyDescent="0.25">
      <c r="B62" s="1016"/>
      <c r="C62" s="20"/>
      <c r="D62" s="1004"/>
      <c r="E62" s="4"/>
      <c r="F62" s="991"/>
    </row>
    <row r="63" spans="2:6" x14ac:dyDescent="0.25">
      <c r="B63" s="1016"/>
      <c r="C63" s="991"/>
      <c r="D63" s="1004"/>
      <c r="E63" s="4"/>
      <c r="F63" s="991"/>
    </row>
    <row r="64" spans="2:6" x14ac:dyDescent="0.25">
      <c r="B64" s="1016"/>
      <c r="C64" s="20"/>
      <c r="D64" s="1020"/>
      <c r="E64" s="4"/>
      <c r="F64" s="4"/>
    </row>
    <row r="65" spans="2:6" x14ac:dyDescent="0.25">
      <c r="B65" s="1016"/>
      <c r="C65" s="991"/>
      <c r="D65" s="1004"/>
      <c r="E65" s="4"/>
      <c r="F65" s="991"/>
    </row>
    <row r="66" spans="2:6" x14ac:dyDescent="0.25">
      <c r="B66" s="1016"/>
      <c r="C66" s="20"/>
      <c r="D66" s="1020"/>
      <c r="E66" s="4"/>
      <c r="F66" s="4"/>
    </row>
    <row r="67" spans="2:6" x14ac:dyDescent="0.25">
      <c r="B67" s="1016"/>
      <c r="C67" s="991"/>
      <c r="D67" s="1004"/>
      <c r="E67" s="4"/>
      <c r="F67" s="991"/>
    </row>
    <row r="68" spans="2:6" x14ac:dyDescent="0.25">
      <c r="B68" s="1016"/>
      <c r="C68" s="991"/>
      <c r="D68" s="1004"/>
      <c r="E68" s="4"/>
      <c r="F68" s="991"/>
    </row>
    <row r="69" spans="2:6" x14ac:dyDescent="0.25">
      <c r="B69" s="1016"/>
      <c r="C69" s="20"/>
      <c r="D69" s="1004"/>
      <c r="E69" s="4"/>
      <c r="F69" s="991"/>
    </row>
    <row r="70" spans="2:6" x14ac:dyDescent="0.25">
      <c r="B70" s="1016"/>
      <c r="C70" s="991"/>
      <c r="D70" s="1004"/>
      <c r="E70" s="4"/>
      <c r="F70" s="991"/>
    </row>
    <row r="71" spans="2:6" x14ac:dyDescent="0.25">
      <c r="B71" s="1016"/>
      <c r="C71" s="20"/>
      <c r="D71" s="1004"/>
      <c r="E71" s="4"/>
      <c r="F71" s="991"/>
    </row>
    <row r="72" spans="2:6" x14ac:dyDescent="0.25">
      <c r="B72" s="1016"/>
      <c r="C72" s="20"/>
      <c r="D72" s="1004"/>
      <c r="E72" s="4"/>
      <c r="F72" s="991"/>
    </row>
    <row r="73" spans="2:6" x14ac:dyDescent="0.25">
      <c r="B73" s="1016"/>
      <c r="C73" s="991"/>
      <c r="D73" s="1004"/>
      <c r="E73" s="4"/>
      <c r="F73" s="991"/>
    </row>
    <row r="74" spans="2:6" x14ac:dyDescent="0.25">
      <c r="B74" s="1016"/>
      <c r="C74" s="20"/>
      <c r="D74" s="1004"/>
      <c r="E74" s="4"/>
      <c r="F74" s="991"/>
    </row>
    <row r="75" spans="2:6" x14ac:dyDescent="0.25">
      <c r="B75" s="1016"/>
      <c r="C75" s="20"/>
      <c r="D75" s="1004"/>
      <c r="E75" s="4"/>
      <c r="F75" s="991"/>
    </row>
    <row r="76" spans="2:6" x14ac:dyDescent="0.25">
      <c r="B76" s="1016"/>
      <c r="C76" s="20"/>
      <c r="D76" s="1004"/>
      <c r="E76" s="4"/>
      <c r="F76" s="991"/>
    </row>
    <row r="77" spans="2:6" x14ac:dyDescent="0.25">
      <c r="B77" s="1016"/>
      <c r="C77" s="991"/>
      <c r="D77" s="1004"/>
      <c r="E77" s="4"/>
      <c r="F77" s="991"/>
    </row>
    <row r="78" spans="2:6" x14ac:dyDescent="0.25">
      <c r="B78" s="1016"/>
      <c r="C78" s="20"/>
      <c r="D78" s="1020"/>
      <c r="E78" s="4"/>
      <c r="F78" s="4"/>
    </row>
    <row r="79" spans="2:6" x14ac:dyDescent="0.25">
      <c r="B79" s="1016"/>
      <c r="C79" s="991"/>
      <c r="D79" s="1004"/>
      <c r="E79" s="4"/>
      <c r="F79" s="991"/>
    </row>
    <row r="80" spans="2:6" x14ac:dyDescent="0.25">
      <c r="B80" s="1016"/>
      <c r="C80" s="20"/>
      <c r="D80" s="1020"/>
      <c r="E80" s="4"/>
      <c r="F80" s="4"/>
    </row>
    <row r="81" spans="2:6" x14ac:dyDescent="0.25">
      <c r="B81" s="1016"/>
      <c r="C81" s="991"/>
      <c r="D81" s="1004"/>
      <c r="E81" s="4"/>
      <c r="F81" s="991"/>
    </row>
    <row r="82" spans="2:6" x14ac:dyDescent="0.25">
      <c r="B82" s="1016"/>
      <c r="C82" s="20"/>
      <c r="D82" s="1020"/>
      <c r="E82" s="4"/>
      <c r="F82" s="4"/>
    </row>
    <row r="83" spans="2:6" x14ac:dyDescent="0.25">
      <c r="B83" s="1016"/>
      <c r="C83" s="991"/>
      <c r="D83" s="1004"/>
      <c r="E83" s="4"/>
      <c r="F83" s="991"/>
    </row>
    <row r="84" spans="2:6" x14ac:dyDescent="0.25">
      <c r="B84" s="1016"/>
      <c r="C84" s="20"/>
      <c r="D84" s="1004"/>
      <c r="E84" s="4"/>
      <c r="F84" s="991"/>
    </row>
    <row r="85" spans="2:6" x14ac:dyDescent="0.25">
      <c r="B85" s="1016"/>
      <c r="C85" s="991"/>
      <c r="D85" s="1004"/>
      <c r="E85" s="4"/>
      <c r="F85" s="991"/>
    </row>
    <row r="86" spans="2:6" x14ac:dyDescent="0.25">
      <c r="B86" s="1016"/>
      <c r="C86" s="20"/>
      <c r="D86" s="1004"/>
      <c r="E86" s="4"/>
      <c r="F86" s="991"/>
    </row>
    <row r="87" spans="2:6" x14ac:dyDescent="0.25">
      <c r="B87" s="1016"/>
      <c r="C87" s="991"/>
      <c r="D87" s="1004"/>
      <c r="E87" s="4"/>
      <c r="F87" s="991"/>
    </row>
    <row r="88" spans="2:6" x14ac:dyDescent="0.25">
      <c r="B88" s="1016"/>
      <c r="C88" s="991"/>
      <c r="D88" s="1004"/>
      <c r="E88" s="4"/>
      <c r="F88" s="991"/>
    </row>
    <row r="89" spans="2:6" x14ac:dyDescent="0.25">
      <c r="B89" s="1016"/>
      <c r="C89" s="20"/>
      <c r="D89" s="1004"/>
      <c r="E89" s="4"/>
      <c r="F89" s="991"/>
    </row>
    <row r="90" spans="2:6" x14ac:dyDescent="0.25">
      <c r="B90" s="1016"/>
      <c r="C90" s="991"/>
      <c r="D90" s="1004"/>
      <c r="E90" s="4"/>
      <c r="F90" s="991"/>
    </row>
    <row r="91" spans="2:6" x14ac:dyDescent="0.25">
      <c r="B91" s="1016"/>
      <c r="C91" s="20"/>
      <c r="D91" s="1020"/>
      <c r="E91" s="4"/>
      <c r="F91" s="4"/>
    </row>
    <row r="92" spans="2:6" x14ac:dyDescent="0.25">
      <c r="B92" s="1016"/>
      <c r="C92" s="991"/>
      <c r="D92" s="1004"/>
      <c r="E92" s="4"/>
      <c r="F92" s="991"/>
    </row>
    <row r="93" spans="2:6" x14ac:dyDescent="0.25">
      <c r="B93" s="1016"/>
      <c r="C93" s="20"/>
      <c r="D93" s="1020"/>
      <c r="E93" s="4"/>
      <c r="F93" s="4"/>
    </row>
    <row r="94" spans="2:6" x14ac:dyDescent="0.25">
      <c r="B94" s="1016"/>
      <c r="C94" s="991"/>
      <c r="D94" s="1004"/>
      <c r="E94" s="4"/>
      <c r="F94" s="991"/>
    </row>
    <row r="95" spans="2:6" x14ac:dyDescent="0.25">
      <c r="B95" s="1016"/>
      <c r="C95" s="20"/>
      <c r="D95" s="1020"/>
      <c r="E95" s="4"/>
      <c r="F95" s="4"/>
    </row>
    <row r="96" spans="2:6" x14ac:dyDescent="0.25">
      <c r="B96" s="1016"/>
      <c r="C96" s="991"/>
      <c r="D96" s="1004"/>
      <c r="E96" s="4"/>
      <c r="F96" s="991"/>
    </row>
    <row r="97" spans="2:6" x14ac:dyDescent="0.25">
      <c r="B97" s="1016"/>
      <c r="C97" s="991"/>
      <c r="D97" s="1004"/>
      <c r="E97" s="4"/>
      <c r="F97" s="991"/>
    </row>
    <row r="98" spans="2:6" x14ac:dyDescent="0.25">
      <c r="B98" s="1016"/>
      <c r="C98" s="20"/>
      <c r="D98" s="1004"/>
      <c r="E98" s="4"/>
      <c r="F98" s="991"/>
    </row>
    <row r="99" spans="2:6" x14ac:dyDescent="0.25">
      <c r="B99" s="1016"/>
      <c r="C99" s="991"/>
      <c r="D99" s="1004"/>
      <c r="E99" s="4"/>
      <c r="F99" s="991"/>
    </row>
    <row r="100" spans="2:6" x14ac:dyDescent="0.25">
      <c r="B100" s="1016"/>
      <c r="C100" s="20"/>
      <c r="D100" s="1004"/>
      <c r="E100" s="4"/>
      <c r="F100" s="991"/>
    </row>
    <row r="101" spans="2:6" x14ac:dyDescent="0.25">
      <c r="B101" s="1016"/>
      <c r="C101" s="20"/>
      <c r="D101" s="1004"/>
      <c r="E101" s="4"/>
      <c r="F101" s="991"/>
    </row>
    <row r="102" spans="2:6" x14ac:dyDescent="0.25">
      <c r="B102" s="1016"/>
      <c r="C102" s="991"/>
      <c r="D102" s="1004"/>
      <c r="E102" s="4"/>
      <c r="F102" s="991"/>
    </row>
    <row r="103" spans="2:6" x14ac:dyDescent="0.25">
      <c r="B103" s="1016"/>
      <c r="C103" s="20"/>
      <c r="D103" s="1020"/>
      <c r="E103" s="4"/>
      <c r="F103" s="4"/>
    </row>
    <row r="104" spans="2:6" x14ac:dyDescent="0.25">
      <c r="B104" s="1016"/>
      <c r="C104" s="991"/>
      <c r="D104" s="1004"/>
      <c r="E104" s="4"/>
      <c r="F104" s="991"/>
    </row>
    <row r="105" spans="2:6" x14ac:dyDescent="0.25">
      <c r="B105" s="1016"/>
      <c r="C105" s="20"/>
      <c r="D105" s="1020"/>
      <c r="E105" s="4"/>
      <c r="F105" s="4"/>
    </row>
    <row r="106" spans="2:6" x14ac:dyDescent="0.25">
      <c r="B106" s="1016"/>
      <c r="C106" s="20"/>
      <c r="D106" s="1020"/>
      <c r="E106" s="4"/>
      <c r="F106" s="4"/>
    </row>
    <row r="107" spans="2:6" x14ac:dyDescent="0.25">
      <c r="B107" s="1016"/>
      <c r="C107" s="991"/>
      <c r="D107" s="1004"/>
      <c r="E107" s="4"/>
      <c r="F107" s="991"/>
    </row>
    <row r="108" spans="2:6" x14ac:dyDescent="0.25">
      <c r="B108" s="1016"/>
      <c r="C108" s="20"/>
      <c r="D108" s="1020"/>
      <c r="E108" s="4"/>
      <c r="F108" s="4"/>
    </row>
    <row r="109" spans="2:6" x14ac:dyDescent="0.25">
      <c r="B109" s="1016"/>
      <c r="C109" s="991"/>
      <c r="D109" s="1004"/>
      <c r="E109" s="4"/>
      <c r="F109" s="991"/>
    </row>
    <row r="110" spans="2:6" x14ac:dyDescent="0.25">
      <c r="B110" s="1016"/>
      <c r="C110" s="20"/>
      <c r="D110" s="1020"/>
      <c r="E110" s="4"/>
      <c r="F110" s="4"/>
    </row>
    <row r="111" spans="2:6" x14ac:dyDescent="0.25">
      <c r="B111" s="1016"/>
      <c r="C111" s="991"/>
      <c r="D111" s="1004"/>
      <c r="E111" s="4"/>
      <c r="F111" s="991"/>
    </row>
    <row r="112" spans="2:6" x14ac:dyDescent="0.25">
      <c r="B112" s="1016"/>
      <c r="C112" s="20"/>
      <c r="D112" s="1020"/>
      <c r="E112" s="4"/>
      <c r="F112" s="4"/>
    </row>
    <row r="113" spans="2:6" x14ac:dyDescent="0.25">
      <c r="B113" s="1016"/>
      <c r="C113" s="20"/>
      <c r="D113" s="1020"/>
      <c r="E113" s="4"/>
      <c r="F113" s="4"/>
    </row>
    <row r="114" spans="2:6" x14ac:dyDescent="0.25">
      <c r="B114" s="1016"/>
      <c r="C114" s="991"/>
      <c r="D114" s="1004"/>
      <c r="E114" s="4"/>
      <c r="F114" s="991"/>
    </row>
    <row r="115" spans="2:6" x14ac:dyDescent="0.25">
      <c r="B115" s="1016"/>
      <c r="C115" s="20"/>
      <c r="D115" s="1020"/>
      <c r="E115" s="4"/>
      <c r="F115" s="4"/>
    </row>
    <row r="116" spans="2:6" x14ac:dyDescent="0.25">
      <c r="B116" s="1016"/>
      <c r="C116" s="991"/>
      <c r="D116" s="1004"/>
      <c r="E116" s="4"/>
      <c r="F116" s="991"/>
    </row>
    <row r="117" spans="2:6" x14ac:dyDescent="0.25">
      <c r="B117" s="1016"/>
      <c r="C117" s="991"/>
      <c r="D117" s="1004"/>
      <c r="E117" s="4"/>
      <c r="F117" s="991"/>
    </row>
    <row r="118" spans="2:6" x14ac:dyDescent="0.25">
      <c r="B118" s="1016"/>
      <c r="C118" s="20"/>
      <c r="D118" s="1004"/>
      <c r="E118" s="4"/>
      <c r="F118" s="991"/>
    </row>
    <row r="119" spans="2:6" x14ac:dyDescent="0.25">
      <c r="B119" s="1016"/>
      <c r="C119" s="991"/>
      <c r="D119" s="1004"/>
      <c r="E119" s="4"/>
      <c r="F119" s="991"/>
    </row>
    <row r="120" spans="2:6" x14ac:dyDescent="0.25">
      <c r="B120" s="1018"/>
      <c r="C120" s="35"/>
      <c r="D120" s="1007"/>
      <c r="E120" s="3"/>
      <c r="F120" s="101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249977111117893"/>
  </sheetPr>
  <dimension ref="A1:T402"/>
  <sheetViews>
    <sheetView showGridLines="0" view="pageLayout" topLeftCell="A55" zoomScaleNormal="100" zoomScaleSheetLayoutView="50" workbookViewId="0">
      <selection activeCell="M43" sqref="M43:O43"/>
    </sheetView>
  </sheetViews>
  <sheetFormatPr baseColWidth="10" defaultColWidth="9.140625" defaultRowHeight="15" x14ac:dyDescent="0.25"/>
  <cols>
    <col min="1" max="1" width="0.7109375" style="2" customWidth="1"/>
    <col min="2" max="2" width="5.28515625" style="7" bestFit="1" customWidth="1"/>
    <col min="3" max="6" width="5.42578125" style="12" customWidth="1"/>
    <col min="7" max="8" width="5.42578125" style="14" customWidth="1"/>
    <col min="9" max="12" width="5.42578125" style="2" customWidth="1"/>
    <col min="13" max="16" width="5.28515625" style="10" customWidth="1"/>
    <col min="17" max="17" width="0.42578125" style="2" customWidth="1"/>
    <col min="18" max="18" width="12" style="2" bestFit="1" customWidth="1"/>
    <col min="19" max="19" width="9.140625" style="2"/>
    <col min="20" max="20" width="12" style="2" bestFit="1" customWidth="1"/>
    <col min="21" max="16384" width="9.140625" style="2"/>
  </cols>
  <sheetData>
    <row r="1" spans="1:17" s="4" customFormat="1" x14ac:dyDescent="0.25">
      <c r="B1" s="189"/>
      <c r="C1" s="12"/>
      <c r="D1" s="12"/>
      <c r="E1" s="12"/>
      <c r="F1" s="12"/>
      <c r="G1" s="51"/>
      <c r="H1" s="51"/>
      <c r="M1" s="18"/>
      <c r="N1" s="18"/>
      <c r="O1" s="18"/>
      <c r="P1" s="18"/>
    </row>
    <row r="2" spans="1:17" s="4" customFormat="1" x14ac:dyDescent="0.25">
      <c r="A2" s="1844" t="s">
        <v>20</v>
      </c>
      <c r="B2" s="1845"/>
      <c r="C2" s="1845"/>
      <c r="D2" s="1845"/>
      <c r="E2" s="1845"/>
      <c r="F2" s="1845"/>
      <c r="G2" s="1845"/>
      <c r="H2" s="1845"/>
      <c r="I2" s="1845"/>
      <c r="J2" s="1845"/>
      <c r="K2" s="1845"/>
      <c r="L2" s="1845"/>
      <c r="M2" s="1845"/>
      <c r="N2" s="1845"/>
      <c r="O2" s="1845"/>
      <c r="P2" s="1845"/>
      <c r="Q2" s="1846"/>
    </row>
    <row r="3" spans="1:17" s="4" customFormat="1" x14ac:dyDescent="0.25">
      <c r="A3" s="1847" t="s">
        <v>27</v>
      </c>
      <c r="B3" s="1848"/>
      <c r="C3" s="1848"/>
      <c r="D3" s="1848"/>
      <c r="E3" s="1848"/>
      <c r="F3" s="1848"/>
      <c r="G3" s="1848"/>
      <c r="H3" s="1848"/>
      <c r="I3" s="1848"/>
      <c r="J3" s="1848"/>
      <c r="K3" s="1848"/>
      <c r="L3" s="1848"/>
      <c r="M3" s="1848"/>
      <c r="N3" s="1848"/>
      <c r="O3" s="1848"/>
      <c r="P3" s="1848"/>
      <c r="Q3" s="1849"/>
    </row>
    <row r="4" spans="1:17" s="4" customFormat="1" x14ac:dyDescent="0.25">
      <c r="A4" s="1"/>
      <c r="B4" s="1"/>
      <c r="C4" s="1"/>
      <c r="D4" s="1"/>
      <c r="E4" s="1"/>
      <c r="F4" s="1"/>
      <c r="G4" s="1"/>
      <c r="H4" s="1"/>
      <c r="I4" s="1"/>
      <c r="J4" s="1"/>
      <c r="K4" s="1"/>
      <c r="L4" s="1"/>
      <c r="M4" s="1"/>
      <c r="N4" s="1"/>
      <c r="O4" s="1"/>
      <c r="P4" s="1"/>
      <c r="Q4" s="1"/>
    </row>
    <row r="5" spans="1:17" s="4" customFormat="1" x14ac:dyDescent="0.25"/>
    <row r="6" spans="1:17" s="4" customFormat="1" x14ac:dyDescent="0.25">
      <c r="A6" s="2"/>
      <c r="B6" s="103"/>
      <c r="C6" s="53"/>
      <c r="D6" s="45"/>
      <c r="E6" s="53"/>
      <c r="F6" s="53"/>
      <c r="G6" s="2469" t="s">
        <v>116</v>
      </c>
      <c r="H6" s="2470"/>
      <c r="I6" s="2471"/>
      <c r="J6" s="29"/>
      <c r="K6" s="29"/>
      <c r="L6" s="53"/>
      <c r="M6" s="2154" t="s">
        <v>9</v>
      </c>
      <c r="N6" s="2154"/>
      <c r="O6" s="2154" t="s">
        <v>8</v>
      </c>
      <c r="P6" s="2154"/>
      <c r="Q6" s="2"/>
    </row>
    <row r="7" spans="1:17" s="4" customFormat="1" x14ac:dyDescent="0.25">
      <c r="A7" s="2"/>
      <c r="B7" s="102" t="s">
        <v>15</v>
      </c>
      <c r="C7" s="9" t="s">
        <v>100</v>
      </c>
      <c r="D7" s="31"/>
      <c r="E7" s="19"/>
      <c r="F7" s="45"/>
      <c r="G7" s="51"/>
      <c r="H7" s="51"/>
      <c r="L7" s="45"/>
      <c r="M7" s="2008">
        <f>+J29</f>
        <v>2500</v>
      </c>
      <c r="N7" s="2009"/>
      <c r="O7" s="2012"/>
      <c r="P7" s="2009"/>
      <c r="Q7" s="2"/>
    </row>
    <row r="8" spans="1:17" s="4" customFormat="1" x14ac:dyDescent="0.25">
      <c r="A8" s="2"/>
      <c r="B8" s="7" t="s">
        <v>15</v>
      </c>
      <c r="C8" s="9" t="s">
        <v>101</v>
      </c>
      <c r="D8" s="19"/>
      <c r="E8" s="19"/>
      <c r="F8" s="19"/>
      <c r="G8" s="51"/>
      <c r="H8" s="51"/>
      <c r="M8" s="2008">
        <f>+J31</f>
        <v>17400</v>
      </c>
      <c r="N8" s="2009"/>
      <c r="O8" s="2008"/>
      <c r="P8" s="2009"/>
      <c r="Q8" s="2"/>
    </row>
    <row r="9" spans="1:17" s="4" customFormat="1" x14ac:dyDescent="0.25">
      <c r="A9" s="2"/>
      <c r="B9" s="7" t="s">
        <v>108</v>
      </c>
      <c r="C9" s="9"/>
      <c r="D9" s="19"/>
      <c r="E9" s="19"/>
      <c r="F9" s="20" t="s">
        <v>1</v>
      </c>
      <c r="G9" s="15" t="s">
        <v>102</v>
      </c>
      <c r="H9" s="51"/>
      <c r="M9" s="40"/>
      <c r="N9" s="41"/>
      <c r="O9" s="2008">
        <f>+M7</f>
        <v>2500</v>
      </c>
      <c r="P9" s="2009"/>
      <c r="Q9" s="2"/>
    </row>
    <row r="10" spans="1:17" s="4" customFormat="1" x14ac:dyDescent="0.25">
      <c r="A10" s="2"/>
      <c r="B10" s="7" t="s">
        <v>108</v>
      </c>
      <c r="C10" s="9"/>
      <c r="D10" s="19"/>
      <c r="E10" s="19"/>
      <c r="F10" s="20" t="s">
        <v>1</v>
      </c>
      <c r="G10" s="15" t="s">
        <v>103</v>
      </c>
      <c r="H10" s="15"/>
      <c r="M10" s="2008"/>
      <c r="N10" s="2012"/>
      <c r="O10" s="2008">
        <f>+M8</f>
        <v>17400</v>
      </c>
      <c r="P10" s="2009"/>
      <c r="Q10" s="2"/>
    </row>
    <row r="11" spans="1:17" s="4" customFormat="1" x14ac:dyDescent="0.25">
      <c r="A11" s="2"/>
      <c r="B11" s="7"/>
      <c r="C11" s="101" t="s">
        <v>110</v>
      </c>
      <c r="D11" s="19"/>
      <c r="E11" s="19"/>
      <c r="F11" s="20"/>
      <c r="G11" s="15"/>
      <c r="H11" s="15"/>
      <c r="M11" s="2008"/>
      <c r="N11" s="2012"/>
      <c r="O11" s="2008"/>
      <c r="P11" s="2009"/>
      <c r="Q11" s="2"/>
    </row>
    <row r="12" spans="1:17" s="4" customFormat="1" x14ac:dyDescent="0.25">
      <c r="A12" s="2"/>
      <c r="B12" s="33"/>
      <c r="C12" s="2090" t="s">
        <v>21</v>
      </c>
      <c r="D12" s="2090"/>
      <c r="E12" s="2090"/>
      <c r="F12" s="2090"/>
      <c r="G12" s="2472" t="s">
        <v>118</v>
      </c>
      <c r="H12" s="2473"/>
      <c r="I12" s="2474"/>
      <c r="J12" s="2110" t="s">
        <v>117</v>
      </c>
      <c r="K12" s="2090"/>
      <c r="L12" s="2092"/>
      <c r="M12" s="2008"/>
      <c r="N12" s="2012"/>
      <c r="O12" s="2008"/>
      <c r="P12" s="2009"/>
      <c r="Q12" s="2"/>
    </row>
    <row r="13" spans="1:17" s="4" customFormat="1" x14ac:dyDescent="0.25">
      <c r="A13" s="2"/>
      <c r="B13" s="7" t="s">
        <v>11</v>
      </c>
      <c r="C13" s="9" t="s">
        <v>104</v>
      </c>
      <c r="D13" s="19"/>
      <c r="E13" s="19"/>
      <c r="F13" s="19"/>
      <c r="G13" s="51"/>
      <c r="H13" s="51"/>
      <c r="L13" s="45"/>
      <c r="M13" s="2008">
        <f>+O14+O15</f>
        <v>181500</v>
      </c>
      <c r="N13" s="2012"/>
      <c r="O13" s="2008"/>
      <c r="P13" s="2009"/>
      <c r="Q13" s="2"/>
    </row>
    <row r="14" spans="1:17" s="4" customFormat="1" x14ac:dyDescent="0.25">
      <c r="B14" s="7" t="s">
        <v>16</v>
      </c>
      <c r="C14" s="9"/>
      <c r="D14" s="19"/>
      <c r="E14" s="19"/>
      <c r="F14" s="20" t="s">
        <v>1</v>
      </c>
      <c r="G14" s="15" t="s">
        <v>107</v>
      </c>
      <c r="H14" s="51"/>
      <c r="M14" s="2008"/>
      <c r="N14" s="2012"/>
      <c r="O14" s="2008">
        <v>150000</v>
      </c>
      <c r="P14" s="2009"/>
    </row>
    <row r="15" spans="1:17" s="4" customFormat="1" x14ac:dyDescent="0.25">
      <c r="B15" s="7" t="s">
        <v>17</v>
      </c>
      <c r="C15" s="32"/>
      <c r="D15" s="19"/>
      <c r="E15" s="19"/>
      <c r="F15" s="20" t="s">
        <v>1</v>
      </c>
      <c r="G15" s="15" t="s">
        <v>12</v>
      </c>
      <c r="H15" s="51"/>
      <c r="M15" s="2008"/>
      <c r="N15" s="2012"/>
      <c r="O15" s="2008">
        <f>+O14*0.21</f>
        <v>31500</v>
      </c>
      <c r="P15" s="2009"/>
    </row>
    <row r="16" spans="1:17" s="4" customFormat="1" x14ac:dyDescent="0.25">
      <c r="C16" s="2110" t="s">
        <v>21</v>
      </c>
      <c r="D16" s="2090"/>
      <c r="E16" s="2090"/>
      <c r="F16" s="2090"/>
      <c r="G16" s="2096"/>
      <c r="H16" s="2096"/>
      <c r="I16" s="2090" t="s">
        <v>21</v>
      </c>
      <c r="J16" s="2090"/>
      <c r="K16" s="2090"/>
      <c r="L16" s="2092"/>
      <c r="M16" s="2008"/>
      <c r="N16" s="2012"/>
      <c r="O16" s="2008"/>
      <c r="P16" s="2009"/>
    </row>
    <row r="17" spans="1:17" s="4" customFormat="1" x14ac:dyDescent="0.25">
      <c r="B17" s="42" t="s">
        <v>15</v>
      </c>
      <c r="C17" s="9" t="s">
        <v>109</v>
      </c>
      <c r="M17" s="2008">
        <f>+O19-M18</f>
        <v>168000</v>
      </c>
      <c r="N17" s="2009"/>
      <c r="O17" s="2008"/>
      <c r="P17" s="2009"/>
    </row>
    <row r="18" spans="1:17" s="4" customFormat="1" x14ac:dyDescent="0.25">
      <c r="A18" s="2"/>
      <c r="B18" s="7" t="s">
        <v>105</v>
      </c>
      <c r="C18" s="9" t="s">
        <v>106</v>
      </c>
      <c r="D18" s="19"/>
      <c r="E18" s="19"/>
      <c r="F18" s="19"/>
      <c r="G18" s="51"/>
      <c r="H18" s="51"/>
      <c r="L18" s="45"/>
      <c r="M18" s="2008">
        <v>112000</v>
      </c>
      <c r="N18" s="2009"/>
      <c r="O18" s="2008"/>
      <c r="P18" s="2009"/>
      <c r="Q18" s="2"/>
    </row>
    <row r="19" spans="1:17" s="4" customFormat="1" x14ac:dyDescent="0.25">
      <c r="B19" s="42" t="s">
        <v>14</v>
      </c>
      <c r="C19" s="8"/>
      <c r="F19" s="4" t="s">
        <v>1</v>
      </c>
      <c r="G19" s="4" t="s">
        <v>29</v>
      </c>
      <c r="M19" s="2008"/>
      <c r="N19" s="2009"/>
      <c r="O19" s="2008">
        <v>280000</v>
      </c>
      <c r="P19" s="2009"/>
    </row>
    <row r="20" spans="1:17" s="4" customFormat="1" x14ac:dyDescent="0.25">
      <c r="C20" s="101" t="s">
        <v>122</v>
      </c>
      <c r="M20" s="2008"/>
      <c r="N20" s="2009"/>
      <c r="O20" s="2008"/>
      <c r="P20" s="2009"/>
    </row>
    <row r="21" spans="1:17" s="4" customFormat="1" x14ac:dyDescent="0.25">
      <c r="A21" s="2"/>
      <c r="B21" s="33"/>
      <c r="C21" s="2090" t="s">
        <v>21</v>
      </c>
      <c r="D21" s="2090"/>
      <c r="E21" s="2090"/>
      <c r="F21" s="2090"/>
      <c r="G21" s="2472" t="s">
        <v>119</v>
      </c>
      <c r="H21" s="2473"/>
      <c r="I21" s="2474"/>
      <c r="J21" s="2110" t="s">
        <v>117</v>
      </c>
      <c r="K21" s="2090"/>
      <c r="L21" s="2092"/>
      <c r="M21" s="2008"/>
      <c r="N21" s="2012"/>
      <c r="O21" s="2008"/>
      <c r="P21" s="2009"/>
      <c r="Q21" s="2"/>
    </row>
    <row r="22" spans="1:17" s="4" customFormat="1" x14ac:dyDescent="0.25">
      <c r="A22" s="2"/>
      <c r="B22" s="7" t="s">
        <v>15</v>
      </c>
      <c r="C22" s="9" t="s">
        <v>120</v>
      </c>
      <c r="D22" s="19"/>
      <c r="E22" s="19"/>
      <c r="F22" s="19"/>
      <c r="G22" s="51"/>
      <c r="H22" s="51"/>
      <c r="L22" s="45"/>
      <c r="M22" s="1925">
        <f>+M43</f>
        <v>2265000</v>
      </c>
      <c r="N22" s="1940"/>
      <c r="O22" s="2008"/>
      <c r="P22" s="2009"/>
      <c r="Q22" s="2"/>
    </row>
    <row r="23" spans="1:17" s="4" customFormat="1" x14ac:dyDescent="0.25">
      <c r="B23" s="7" t="s">
        <v>14</v>
      </c>
      <c r="C23" s="9"/>
      <c r="D23" s="19"/>
      <c r="E23" s="19"/>
      <c r="F23" s="20" t="s">
        <v>1</v>
      </c>
      <c r="G23" s="15" t="s">
        <v>5</v>
      </c>
      <c r="H23" s="51"/>
      <c r="M23" s="2008"/>
      <c r="N23" s="2012"/>
      <c r="O23" s="1925">
        <f>+M22</f>
        <v>2265000</v>
      </c>
      <c r="P23" s="1926"/>
    </row>
    <row r="24" spans="1:17" s="4" customFormat="1" x14ac:dyDescent="0.25">
      <c r="B24" s="7"/>
      <c r="C24" s="105" t="s">
        <v>121</v>
      </c>
      <c r="D24" s="34"/>
      <c r="E24" s="34"/>
      <c r="F24" s="35"/>
      <c r="G24" s="36"/>
      <c r="H24" s="24"/>
      <c r="I24" s="3"/>
      <c r="J24" s="3"/>
      <c r="K24" s="3"/>
      <c r="L24" s="3"/>
      <c r="M24" s="2006"/>
      <c r="N24" s="2100"/>
      <c r="O24" s="2006"/>
      <c r="P24" s="2007"/>
    </row>
    <row r="25" spans="1:17" s="4" customFormat="1" x14ac:dyDescent="0.25"/>
    <row r="26" spans="1:17" s="4" customFormat="1" x14ac:dyDescent="0.25"/>
    <row r="27" spans="1:17" x14ac:dyDescent="0.25">
      <c r="B27" s="95" t="s">
        <v>92</v>
      </c>
      <c r="C27" s="21"/>
      <c r="D27" s="21"/>
      <c r="G27" s="27"/>
      <c r="H27" s="27"/>
      <c r="L27" s="47"/>
      <c r="M27" s="52"/>
      <c r="N27" s="52"/>
      <c r="O27" s="98"/>
      <c r="P27" s="98"/>
    </row>
    <row r="28" spans="1:17" x14ac:dyDescent="0.25">
      <c r="B28" s="99" t="s">
        <v>93</v>
      </c>
      <c r="C28" s="21"/>
      <c r="D28" s="21"/>
      <c r="G28" s="27"/>
      <c r="H28" s="27"/>
      <c r="L28" s="47"/>
      <c r="M28" s="52"/>
      <c r="N28" s="52"/>
      <c r="O28" s="98"/>
      <c r="P28" s="98"/>
    </row>
    <row r="29" spans="1:17" x14ac:dyDescent="0.25">
      <c r="B29" s="70" t="s">
        <v>4</v>
      </c>
      <c r="C29" s="21"/>
      <c r="D29" s="50" t="s">
        <v>18</v>
      </c>
      <c r="E29" s="4" t="s">
        <v>267</v>
      </c>
      <c r="G29" s="27"/>
      <c r="H29" s="2"/>
      <c r="I29" s="27" t="s">
        <v>18</v>
      </c>
      <c r="J29" s="2466">
        <f>500000*0.4/80</f>
        <v>2500</v>
      </c>
      <c r="K29" s="2467"/>
      <c r="M29" s="2"/>
      <c r="N29" s="52"/>
      <c r="O29" s="98"/>
      <c r="P29" s="98"/>
    </row>
    <row r="30" spans="1:17" x14ac:dyDescent="0.25">
      <c r="B30" s="70" t="s">
        <v>29</v>
      </c>
      <c r="C30" s="21"/>
      <c r="D30" s="2"/>
      <c r="E30" s="48" t="s">
        <v>88</v>
      </c>
      <c r="G30" s="27"/>
      <c r="H30" s="2"/>
      <c r="K30" s="27"/>
      <c r="L30" s="2230"/>
      <c r="M30" s="2230"/>
      <c r="N30" s="52"/>
      <c r="O30" s="98"/>
      <c r="P30" s="98"/>
    </row>
    <row r="31" spans="1:17" x14ac:dyDescent="0.25">
      <c r="B31" s="70" t="s">
        <v>26</v>
      </c>
      <c r="C31" s="21"/>
      <c r="D31" s="50" t="s">
        <v>18</v>
      </c>
      <c r="E31" s="96" t="s">
        <v>89</v>
      </c>
      <c r="G31" s="27"/>
      <c r="H31" s="2"/>
      <c r="I31" s="27" t="s">
        <v>18</v>
      </c>
      <c r="J31" s="2466">
        <f>120000/100000*14500</f>
        <v>17400</v>
      </c>
      <c r="K31" s="2467"/>
      <c r="M31" s="2"/>
      <c r="N31" s="52"/>
      <c r="O31" s="98"/>
      <c r="P31" s="98"/>
    </row>
    <row r="32" spans="1:17" x14ac:dyDescent="0.25">
      <c r="B32" s="70" t="s">
        <v>52</v>
      </c>
      <c r="C32" s="21"/>
      <c r="D32" s="50"/>
      <c r="E32" s="48" t="s">
        <v>90</v>
      </c>
      <c r="G32" s="27"/>
      <c r="H32" s="2"/>
      <c r="K32" s="27"/>
      <c r="L32" s="97"/>
      <c r="M32" s="97"/>
      <c r="N32" s="52"/>
      <c r="O32" s="98"/>
      <c r="P32" s="98"/>
    </row>
    <row r="33" spans="2:16" x14ac:dyDescent="0.25">
      <c r="B33" s="70" t="s">
        <v>30</v>
      </c>
      <c r="C33" s="21"/>
      <c r="D33" s="50"/>
      <c r="E33" s="48" t="s">
        <v>91</v>
      </c>
      <c r="G33" s="27"/>
      <c r="H33" s="27"/>
      <c r="I33" s="97"/>
      <c r="J33" s="97"/>
      <c r="L33" s="47"/>
      <c r="M33" s="52"/>
      <c r="N33" s="52"/>
      <c r="O33" s="98"/>
      <c r="P33" s="98"/>
    </row>
    <row r="34" spans="2:16" x14ac:dyDescent="0.25">
      <c r="B34" s="6"/>
      <c r="C34" s="21"/>
      <c r="D34" s="21"/>
      <c r="G34" s="27"/>
      <c r="H34" s="27"/>
      <c r="L34" s="47"/>
      <c r="M34" s="52"/>
      <c r="N34" s="52"/>
      <c r="O34" s="98"/>
      <c r="P34" s="98"/>
    </row>
    <row r="35" spans="2:16" x14ac:dyDescent="0.25">
      <c r="B35" s="99" t="s">
        <v>111</v>
      </c>
      <c r="C35" s="21"/>
      <c r="D35" s="21"/>
      <c r="G35" s="27"/>
      <c r="H35" s="27"/>
      <c r="L35" s="47"/>
      <c r="M35" s="52"/>
      <c r="N35" s="52"/>
      <c r="O35" s="98"/>
      <c r="P35" s="98"/>
    </row>
    <row r="36" spans="2:16" x14ac:dyDescent="0.25">
      <c r="B36" s="70" t="s">
        <v>112</v>
      </c>
      <c r="C36" s="21"/>
      <c r="D36" s="21"/>
      <c r="E36" s="2"/>
      <c r="F36" s="41" t="s">
        <v>18</v>
      </c>
      <c r="G36" s="104">
        <v>4</v>
      </c>
      <c r="H36" s="70" t="s">
        <v>113</v>
      </c>
      <c r="L36" s="47"/>
      <c r="M36" s="52"/>
      <c r="N36" s="52"/>
      <c r="O36" s="98"/>
      <c r="P36" s="98"/>
    </row>
    <row r="37" spans="2:16" x14ac:dyDescent="0.25">
      <c r="B37" s="2" t="s">
        <v>114</v>
      </c>
      <c r="C37" s="21"/>
      <c r="D37" s="21"/>
      <c r="F37" s="42" t="s">
        <v>18</v>
      </c>
      <c r="G37" s="70" t="s">
        <v>115</v>
      </c>
      <c r="H37" s="27"/>
      <c r="J37" s="2" t="s">
        <v>18</v>
      </c>
      <c r="K37" s="2466">
        <f>280000/10*4</f>
        <v>112000</v>
      </c>
      <c r="L37" s="2467"/>
      <c r="M37" s="52"/>
      <c r="N37" s="52"/>
      <c r="O37" s="98"/>
      <c r="P37" s="98"/>
    </row>
    <row r="38" spans="2:16" x14ac:dyDescent="0.25">
      <c r="B38" s="6"/>
      <c r="C38" s="21"/>
      <c r="D38" s="21"/>
      <c r="G38" s="27"/>
      <c r="H38" s="27"/>
      <c r="L38" s="47"/>
      <c r="M38" s="52"/>
      <c r="N38" s="52"/>
      <c r="O38" s="98"/>
      <c r="P38" s="98"/>
    </row>
    <row r="39" spans="2:16" x14ac:dyDescent="0.25">
      <c r="B39" s="99" t="s">
        <v>277</v>
      </c>
      <c r="C39" s="21"/>
      <c r="D39" s="21"/>
      <c r="G39" s="27"/>
      <c r="H39" s="27"/>
      <c r="L39" s="47"/>
      <c r="M39" s="52"/>
      <c r="N39" s="52"/>
      <c r="O39" s="98"/>
      <c r="P39" s="98"/>
    </row>
    <row r="40" spans="2:16" x14ac:dyDescent="0.25">
      <c r="B40" s="2" t="s">
        <v>94</v>
      </c>
      <c r="C40" s="21"/>
      <c r="D40" s="21"/>
      <c r="G40" s="27"/>
      <c r="H40" s="27"/>
      <c r="L40" s="47"/>
      <c r="M40" s="52"/>
      <c r="N40" s="52"/>
      <c r="O40" s="98"/>
      <c r="P40" s="98"/>
    </row>
    <row r="41" spans="2:16" x14ac:dyDescent="0.25">
      <c r="B41" s="70" t="s">
        <v>95</v>
      </c>
      <c r="C41" s="21"/>
      <c r="D41" s="21"/>
      <c r="G41" s="27"/>
      <c r="H41" s="27"/>
      <c r="L41" s="47"/>
      <c r="M41" s="52"/>
      <c r="N41" s="52"/>
      <c r="O41" s="98"/>
      <c r="P41" s="98"/>
    </row>
    <row r="42" spans="2:16" x14ac:dyDescent="0.25">
      <c r="B42" s="70" t="s">
        <v>96</v>
      </c>
      <c r="C42" s="21"/>
      <c r="D42" s="21"/>
      <c r="G42" s="27"/>
      <c r="H42" s="27"/>
      <c r="L42" s="47"/>
      <c r="M42" s="52"/>
      <c r="N42" s="52"/>
      <c r="O42" s="98"/>
      <c r="P42" s="98"/>
    </row>
    <row r="43" spans="2:16" x14ac:dyDescent="0.25">
      <c r="B43" s="70" t="s">
        <v>97</v>
      </c>
      <c r="C43" s="21"/>
      <c r="D43" s="21"/>
      <c r="E43" s="2475">
        <f>522+950-717</f>
        <v>755</v>
      </c>
      <c r="F43" s="2476"/>
      <c r="G43" s="70" t="s">
        <v>98</v>
      </c>
      <c r="H43" s="27"/>
      <c r="I43" s="2" t="s">
        <v>99</v>
      </c>
      <c r="L43" s="47"/>
      <c r="M43" s="2477">
        <f>+E43*3000</f>
        <v>2265000</v>
      </c>
      <c r="N43" s="2478"/>
      <c r="O43" s="2479"/>
      <c r="P43" s="98"/>
    </row>
    <row r="44" spans="2:16" x14ac:dyDescent="0.25">
      <c r="B44" s="6"/>
      <c r="C44" s="21"/>
      <c r="D44" s="21"/>
      <c r="G44" s="27"/>
      <c r="H44" s="27"/>
      <c r="L44" s="47"/>
      <c r="M44" s="52"/>
      <c r="N44" s="52"/>
      <c r="O44" s="98"/>
      <c r="P44" s="98"/>
    </row>
    <row r="45" spans="2:16" x14ac:dyDescent="0.25">
      <c r="B45" s="6"/>
      <c r="C45" s="21"/>
      <c r="D45" s="21"/>
      <c r="G45" s="27"/>
      <c r="H45" s="27"/>
      <c r="L45" s="47"/>
      <c r="M45" s="52"/>
      <c r="N45" s="52"/>
      <c r="O45" s="98"/>
      <c r="P45" s="98"/>
    </row>
    <row r="46" spans="2:16" ht="15" customHeight="1" x14ac:dyDescent="0.25">
      <c r="B46" s="2480" t="s">
        <v>123</v>
      </c>
      <c r="C46" s="2481"/>
      <c r="D46" s="2481"/>
      <c r="E46" s="2481"/>
      <c r="F46" s="2481"/>
      <c r="G46" s="2481"/>
      <c r="H46" s="2481"/>
      <c r="I46" s="2481"/>
      <c r="J46" s="2481"/>
      <c r="K46" s="2482"/>
      <c r="L46" s="52"/>
      <c r="M46" s="98"/>
      <c r="N46" s="98"/>
      <c r="O46" s="2"/>
      <c r="P46" s="2"/>
    </row>
    <row r="47" spans="2:16" x14ac:dyDescent="0.25">
      <c r="B47" s="2483"/>
      <c r="C47" s="2484"/>
      <c r="D47" s="2484"/>
      <c r="E47" s="2484"/>
      <c r="F47" s="2484"/>
      <c r="G47" s="2484"/>
      <c r="H47" s="2484"/>
      <c r="I47" s="2484"/>
      <c r="J47" s="2484"/>
      <c r="K47" s="2485"/>
      <c r="L47" s="52"/>
      <c r="M47" s="98"/>
      <c r="N47" s="98"/>
      <c r="O47" s="2"/>
      <c r="P47" s="2"/>
    </row>
    <row r="48" spans="2:16" x14ac:dyDescent="0.25">
      <c r="B48" s="6"/>
      <c r="C48" s="21"/>
      <c r="D48" s="21"/>
      <c r="G48" s="27"/>
      <c r="H48" s="27"/>
      <c r="L48" s="47"/>
      <c r="M48" s="52"/>
      <c r="N48" s="52"/>
      <c r="O48" s="98"/>
      <c r="P48" s="98"/>
    </row>
    <row r="49" spans="1:17" x14ac:dyDescent="0.25">
      <c r="B49" s="6"/>
      <c r="C49" s="21"/>
      <c r="D49" s="21"/>
      <c r="G49" s="27"/>
      <c r="H49" s="27"/>
      <c r="L49" s="47"/>
      <c r="M49" s="52"/>
      <c r="N49" s="52"/>
      <c r="O49" s="98"/>
      <c r="P49" s="98"/>
    </row>
    <row r="50" spans="1:17" s="4" customFormat="1" x14ac:dyDescent="0.25">
      <c r="B50" s="50"/>
      <c r="C50" s="21"/>
      <c r="D50" s="21"/>
      <c r="E50" s="12"/>
      <c r="F50" s="12"/>
      <c r="G50" s="51"/>
      <c r="H50" s="51"/>
      <c r="L50" s="369"/>
      <c r="M50" s="52"/>
      <c r="N50" s="52"/>
      <c r="O50" s="98"/>
      <c r="P50" s="98"/>
    </row>
    <row r="51" spans="1:17" x14ac:dyDescent="0.25">
      <c r="A51" s="3"/>
      <c r="B51" s="200"/>
      <c r="C51" s="11"/>
      <c r="D51" s="11"/>
      <c r="E51" s="11"/>
      <c r="F51" s="11"/>
      <c r="G51" s="24"/>
      <c r="H51" s="24"/>
      <c r="I51" s="3"/>
      <c r="J51" s="3"/>
      <c r="K51" s="3"/>
      <c r="L51" s="3"/>
      <c r="M51" s="22"/>
      <c r="N51" s="22"/>
      <c r="O51" s="22"/>
      <c r="P51" s="22"/>
      <c r="Q51" s="3"/>
    </row>
    <row r="52" spans="1:17" x14ac:dyDescent="0.25">
      <c r="A52" s="1844" t="s">
        <v>20</v>
      </c>
      <c r="B52" s="1845"/>
      <c r="C52" s="1845"/>
      <c r="D52" s="1845"/>
      <c r="E52" s="1845"/>
      <c r="F52" s="1845"/>
      <c r="G52" s="1845"/>
      <c r="H52" s="1845"/>
      <c r="I52" s="1845"/>
      <c r="J52" s="1845"/>
      <c r="K52" s="1845"/>
      <c r="L52" s="1845"/>
      <c r="M52" s="1845"/>
      <c r="N52" s="1845"/>
      <c r="O52" s="1845"/>
      <c r="P52" s="1845"/>
      <c r="Q52" s="1846"/>
    </row>
    <row r="53" spans="1:17" x14ac:dyDescent="0.25">
      <c r="A53" s="1847" t="s">
        <v>265</v>
      </c>
      <c r="B53" s="1848"/>
      <c r="C53" s="1848"/>
      <c r="D53" s="1848"/>
      <c r="E53" s="1848"/>
      <c r="F53" s="1848"/>
      <c r="G53" s="1848"/>
      <c r="H53" s="1848"/>
      <c r="I53" s="1848"/>
      <c r="J53" s="1848"/>
      <c r="K53" s="1848"/>
      <c r="L53" s="1848"/>
      <c r="M53" s="1848"/>
      <c r="N53" s="1848"/>
      <c r="O53" s="1848"/>
      <c r="P53" s="1848"/>
      <c r="Q53" s="1849"/>
    </row>
    <row r="54" spans="1:17" x14ac:dyDescent="0.25">
      <c r="A54" s="1"/>
      <c r="B54" s="1"/>
      <c r="C54" s="1"/>
      <c r="D54" s="1"/>
      <c r="E54" s="1"/>
      <c r="F54" s="1"/>
      <c r="G54" s="1"/>
      <c r="H54" s="1"/>
      <c r="I54" s="1"/>
      <c r="J54" s="1"/>
      <c r="K54" s="1"/>
      <c r="L54" s="1"/>
      <c r="M54" s="2468" t="s">
        <v>9</v>
      </c>
      <c r="N54" s="2468"/>
      <c r="O54" s="2468" t="s">
        <v>8</v>
      </c>
      <c r="P54" s="2468"/>
      <c r="Q54" s="1"/>
    </row>
    <row r="55" spans="1:17" ht="7.5" customHeight="1" x14ac:dyDescent="0.25">
      <c r="B55" s="108">
        <v>1</v>
      </c>
      <c r="C55" s="17"/>
      <c r="D55" s="26"/>
      <c r="E55" s="16"/>
      <c r="F55" s="16"/>
      <c r="G55" s="2094"/>
      <c r="H55" s="2094"/>
      <c r="I55" s="29"/>
      <c r="J55" s="29"/>
      <c r="K55" s="29"/>
      <c r="L55" s="53"/>
      <c r="M55" s="2154"/>
      <c r="N55" s="2154"/>
      <c r="O55" s="2154"/>
      <c r="P55" s="2154"/>
    </row>
    <row r="56" spans="1:17" x14ac:dyDescent="0.25">
      <c r="B56" s="30" t="s">
        <v>11</v>
      </c>
      <c r="C56" s="9" t="s">
        <v>29</v>
      </c>
      <c r="D56" s="31"/>
      <c r="E56" s="19"/>
      <c r="F56" s="26"/>
      <c r="G56" s="13"/>
      <c r="H56" s="13"/>
      <c r="I56" s="4"/>
      <c r="J56" s="4"/>
      <c r="K56" s="4"/>
      <c r="L56" s="26"/>
      <c r="M56" s="2008">
        <v>20000</v>
      </c>
      <c r="N56" s="2009"/>
      <c r="O56" s="2012"/>
      <c r="P56" s="2009"/>
    </row>
    <row r="57" spans="1:17" x14ac:dyDescent="0.25">
      <c r="B57" s="7" t="s">
        <v>11</v>
      </c>
      <c r="C57" s="9" t="s">
        <v>13</v>
      </c>
      <c r="D57" s="19"/>
      <c r="E57" s="19"/>
      <c r="F57" s="19"/>
      <c r="G57" s="13"/>
      <c r="H57" s="13"/>
      <c r="I57" s="4"/>
      <c r="J57" s="4"/>
      <c r="K57" s="4"/>
      <c r="L57" s="4"/>
      <c r="M57" s="2008">
        <f>+M56*0.21</f>
        <v>4200</v>
      </c>
      <c r="N57" s="2009"/>
      <c r="O57" s="2008"/>
      <c r="P57" s="2009"/>
    </row>
    <row r="58" spans="1:17" x14ac:dyDescent="0.25">
      <c r="B58" s="7" t="s">
        <v>14</v>
      </c>
      <c r="C58" s="9"/>
      <c r="D58" s="19"/>
      <c r="E58" s="19"/>
      <c r="F58" s="20" t="s">
        <v>1</v>
      </c>
      <c r="G58" s="15" t="s">
        <v>23</v>
      </c>
      <c r="H58" s="15"/>
      <c r="I58" s="4"/>
      <c r="J58" s="4"/>
      <c r="K58" s="4"/>
      <c r="L58" s="4"/>
      <c r="M58" s="2008"/>
      <c r="N58" s="2012"/>
      <c r="O58" s="2008">
        <f>+M56+M57</f>
        <v>24200</v>
      </c>
      <c r="P58" s="2009"/>
    </row>
    <row r="59" spans="1:17" ht="11.25" customHeight="1" x14ac:dyDescent="0.25">
      <c r="B59" s="33"/>
      <c r="C59" s="2090" t="s">
        <v>21</v>
      </c>
      <c r="D59" s="2090"/>
      <c r="E59" s="2090"/>
      <c r="F59" s="2090"/>
      <c r="G59" s="2096"/>
      <c r="H59" s="2096"/>
      <c r="I59" s="2090" t="s">
        <v>21</v>
      </c>
      <c r="J59" s="2090"/>
      <c r="K59" s="2090"/>
      <c r="L59" s="2092"/>
      <c r="M59" s="2008"/>
      <c r="N59" s="2012"/>
      <c r="O59" s="2008"/>
      <c r="P59" s="2009"/>
    </row>
    <row r="60" spans="1:17" x14ac:dyDescent="0.25">
      <c r="B60" s="7" t="s">
        <v>11</v>
      </c>
      <c r="C60" s="9" t="s">
        <v>4</v>
      </c>
      <c r="D60" s="19"/>
      <c r="E60" s="19"/>
      <c r="F60" s="19"/>
      <c r="G60" s="13"/>
      <c r="H60" s="13"/>
      <c r="I60" s="4"/>
      <c r="J60" s="4"/>
      <c r="K60" s="4"/>
      <c r="L60" s="26"/>
      <c r="M60" s="2008">
        <v>50000</v>
      </c>
      <c r="N60" s="2012"/>
      <c r="O60" s="2008"/>
      <c r="P60" s="2009"/>
    </row>
    <row r="61" spans="1:17" s="4" customFormat="1" x14ac:dyDescent="0.25">
      <c r="B61" s="7" t="s">
        <v>14</v>
      </c>
      <c r="C61" s="9"/>
      <c r="D61" s="19"/>
      <c r="E61" s="19"/>
      <c r="F61" s="20" t="s">
        <v>1</v>
      </c>
      <c r="G61" s="15" t="s">
        <v>30</v>
      </c>
      <c r="H61" s="13"/>
      <c r="M61" s="2008"/>
      <c r="N61" s="2012"/>
      <c r="O61" s="2008">
        <f>+M60</f>
        <v>50000</v>
      </c>
      <c r="P61" s="2009"/>
    </row>
    <row r="62" spans="1:17" ht="7.5" customHeight="1" x14ac:dyDescent="0.25">
      <c r="B62" s="108">
        <v>2</v>
      </c>
      <c r="C62" s="2110" t="s">
        <v>21</v>
      </c>
      <c r="D62" s="2090"/>
      <c r="E62" s="2090"/>
      <c r="F62" s="2090"/>
      <c r="G62" s="2096"/>
      <c r="H62" s="2096"/>
      <c r="I62" s="2090" t="s">
        <v>21</v>
      </c>
      <c r="J62" s="2090"/>
      <c r="K62" s="2090"/>
      <c r="L62" s="2090"/>
      <c r="M62" s="2008"/>
      <c r="N62" s="2012"/>
      <c r="O62" s="2008"/>
      <c r="P62" s="2012"/>
      <c r="Q62" s="8"/>
    </row>
    <row r="63" spans="1:17" x14ac:dyDescent="0.25">
      <c r="B63" s="7" t="s">
        <v>11</v>
      </c>
      <c r="C63" s="9" t="s">
        <v>26</v>
      </c>
      <c r="D63" s="19"/>
      <c r="E63" s="19"/>
      <c r="F63" s="19"/>
      <c r="G63" s="13"/>
      <c r="H63" s="13"/>
      <c r="I63" s="4"/>
      <c r="J63" s="4"/>
      <c r="K63" s="4"/>
      <c r="L63" s="26"/>
      <c r="M63" s="2008">
        <f>150000+5200+200</f>
        <v>155400</v>
      </c>
      <c r="N63" s="2012"/>
      <c r="O63" s="2008"/>
      <c r="P63" s="2012"/>
      <c r="Q63" s="8"/>
    </row>
    <row r="64" spans="1:17" x14ac:dyDescent="0.25">
      <c r="B64" s="7" t="s">
        <v>11</v>
      </c>
      <c r="C64" s="9" t="s">
        <v>13</v>
      </c>
      <c r="D64" s="19"/>
      <c r="E64" s="19"/>
      <c r="F64" s="19"/>
      <c r="G64" s="13"/>
      <c r="H64" s="13"/>
      <c r="I64" s="4"/>
      <c r="J64" s="4"/>
      <c r="K64" s="4"/>
      <c r="L64" s="26"/>
      <c r="M64" s="2008">
        <f>+M63*0.21</f>
        <v>32634</v>
      </c>
      <c r="N64" s="2012"/>
      <c r="O64" s="2008"/>
      <c r="P64" s="2012"/>
      <c r="Q64" s="8"/>
    </row>
    <row r="65" spans="2:17" s="4" customFormat="1" x14ac:dyDescent="0.25">
      <c r="B65" s="7" t="s">
        <v>14</v>
      </c>
      <c r="C65" s="9"/>
      <c r="D65" s="19"/>
      <c r="E65" s="19"/>
      <c r="F65" s="20" t="s">
        <v>1</v>
      </c>
      <c r="G65" s="15" t="s">
        <v>23</v>
      </c>
      <c r="H65" s="13"/>
      <c r="M65" s="2008"/>
      <c r="N65" s="2012"/>
      <c r="O65" s="2008">
        <f>+SUM(M63:N64)*0.5</f>
        <v>94017</v>
      </c>
      <c r="P65" s="2009"/>
    </row>
    <row r="66" spans="2:17" s="4" customFormat="1" x14ac:dyDescent="0.25">
      <c r="B66" s="7" t="s">
        <v>17</v>
      </c>
      <c r="C66" s="9"/>
      <c r="D66" s="19"/>
      <c r="E66" s="19"/>
      <c r="F66" s="20" t="s">
        <v>1</v>
      </c>
      <c r="G66" s="15" t="s">
        <v>124</v>
      </c>
      <c r="H66" s="13"/>
      <c r="M66" s="2008"/>
      <c r="N66" s="2012"/>
      <c r="O66" s="2008">
        <f>+O65</f>
        <v>94017</v>
      </c>
      <c r="P66" s="2009"/>
    </row>
    <row r="67" spans="2:17" ht="7.5" customHeight="1" x14ac:dyDescent="0.25">
      <c r="B67" s="108">
        <v>3</v>
      </c>
      <c r="C67" s="2110" t="s">
        <v>21</v>
      </c>
      <c r="D67" s="2090"/>
      <c r="E67" s="2090"/>
      <c r="F67" s="2090"/>
      <c r="G67" s="2096"/>
      <c r="H67" s="2096"/>
      <c r="I67" s="2090" t="s">
        <v>21</v>
      </c>
      <c r="J67" s="2090"/>
      <c r="K67" s="2090"/>
      <c r="L67" s="2090"/>
      <c r="M67" s="2008"/>
      <c r="N67" s="2012"/>
      <c r="O67" s="2008"/>
      <c r="P67" s="2012"/>
      <c r="Q67" s="8"/>
    </row>
    <row r="68" spans="2:17" x14ac:dyDescent="0.25">
      <c r="B68" s="7" t="s">
        <v>11</v>
      </c>
      <c r="C68" s="9" t="s">
        <v>26</v>
      </c>
      <c r="D68" s="19"/>
      <c r="E68" s="19"/>
      <c r="F68" s="19"/>
      <c r="G68" s="51"/>
      <c r="H68" s="51"/>
      <c r="I68" s="4"/>
      <c r="J68" s="4"/>
      <c r="K68" s="4"/>
      <c r="L68" s="45"/>
      <c r="M68" s="2008">
        <v>5000</v>
      </c>
      <c r="N68" s="2012"/>
      <c r="O68" s="2008"/>
      <c r="P68" s="2012"/>
      <c r="Q68" s="8"/>
    </row>
    <row r="69" spans="2:17" x14ac:dyDescent="0.25">
      <c r="B69" s="7" t="s">
        <v>15</v>
      </c>
      <c r="C69" s="9" t="s">
        <v>125</v>
      </c>
      <c r="D69" s="19"/>
      <c r="E69" s="19"/>
      <c r="F69" s="19"/>
      <c r="G69" s="51"/>
      <c r="H69" s="51"/>
      <c r="I69" s="4"/>
      <c r="J69" s="4"/>
      <c r="K69" s="4"/>
      <c r="L69" s="45"/>
      <c r="M69" s="2008">
        <f>1800+500</f>
        <v>2300</v>
      </c>
      <c r="N69" s="2012"/>
      <c r="O69" s="40"/>
      <c r="P69" s="41"/>
      <c r="Q69" s="8"/>
    </row>
    <row r="70" spans="2:17" x14ac:dyDescent="0.25">
      <c r="B70" s="7" t="s">
        <v>11</v>
      </c>
      <c r="C70" s="9" t="s">
        <v>13</v>
      </c>
      <c r="D70" s="19"/>
      <c r="E70" s="19"/>
      <c r="F70" s="19"/>
      <c r="G70" s="51"/>
      <c r="H70" s="51"/>
      <c r="I70" s="4"/>
      <c r="J70" s="4"/>
      <c r="K70" s="4"/>
      <c r="L70" s="45"/>
      <c r="M70" s="2008">
        <f>+(M68+M69)*0.21</f>
        <v>1533</v>
      </c>
      <c r="N70" s="2012"/>
      <c r="O70" s="2008"/>
      <c r="P70" s="2012"/>
      <c r="Q70" s="8"/>
    </row>
    <row r="71" spans="2:17" s="4" customFormat="1" x14ac:dyDescent="0.25">
      <c r="B71" s="7" t="s">
        <v>14</v>
      </c>
      <c r="C71" s="9"/>
      <c r="D71" s="19"/>
      <c r="E71" s="19"/>
      <c r="F71" s="20" t="s">
        <v>1</v>
      </c>
      <c r="G71" s="15" t="s">
        <v>23</v>
      </c>
      <c r="H71" s="51"/>
      <c r="M71" s="2008"/>
      <c r="N71" s="2012"/>
      <c r="O71" s="2008">
        <f>6800*1.21</f>
        <v>8228</v>
      </c>
      <c r="P71" s="2009"/>
    </row>
    <row r="72" spans="2:17" s="4" customFormat="1" x14ac:dyDescent="0.25">
      <c r="B72" s="7" t="s">
        <v>14</v>
      </c>
      <c r="C72" s="9"/>
      <c r="D72" s="19"/>
      <c r="E72" s="19"/>
      <c r="F72" s="20" t="s">
        <v>1</v>
      </c>
      <c r="G72" s="15" t="s">
        <v>10</v>
      </c>
      <c r="H72" s="51"/>
      <c r="M72" s="2008"/>
      <c r="N72" s="2012"/>
      <c r="O72" s="2008">
        <f>500*1.21</f>
        <v>605</v>
      </c>
      <c r="P72" s="2009"/>
    </row>
    <row r="73" spans="2:17" ht="7.5" customHeight="1" x14ac:dyDescent="0.25">
      <c r="B73" s="108">
        <v>4</v>
      </c>
      <c r="C73" s="2110" t="s">
        <v>21</v>
      </c>
      <c r="D73" s="2090"/>
      <c r="E73" s="2090"/>
      <c r="F73" s="2090"/>
      <c r="G73" s="2096"/>
      <c r="H73" s="2096"/>
      <c r="I73" s="2090" t="s">
        <v>21</v>
      </c>
      <c r="J73" s="2090"/>
      <c r="K73" s="2090"/>
      <c r="L73" s="2090"/>
      <c r="M73" s="2008"/>
      <c r="N73" s="2012"/>
      <c r="O73" s="2008"/>
      <c r="P73" s="2012"/>
      <c r="Q73" s="8"/>
    </row>
    <row r="74" spans="2:17" x14ac:dyDescent="0.25">
      <c r="B74" s="7" t="s">
        <v>15</v>
      </c>
      <c r="C74" s="9" t="s">
        <v>126</v>
      </c>
      <c r="D74" s="19"/>
      <c r="E74" s="19"/>
      <c r="F74" s="19"/>
      <c r="G74" s="51"/>
      <c r="H74" s="51"/>
      <c r="I74" s="4"/>
      <c r="J74" s="4"/>
      <c r="K74" s="4"/>
      <c r="L74" s="45"/>
      <c r="M74" s="2008">
        <v>2000</v>
      </c>
      <c r="N74" s="2012"/>
      <c r="O74" s="2008"/>
      <c r="P74" s="2012"/>
      <c r="Q74" s="8"/>
    </row>
    <row r="75" spans="2:17" x14ac:dyDescent="0.25">
      <c r="B75" s="7" t="s">
        <v>15</v>
      </c>
      <c r="C75" s="9" t="s">
        <v>127</v>
      </c>
      <c r="D75" s="19"/>
      <c r="E75" s="19"/>
      <c r="F75" s="19"/>
      <c r="G75" s="51"/>
      <c r="H75" s="51"/>
      <c r="I75" s="4"/>
      <c r="J75" s="4"/>
      <c r="K75" s="4"/>
      <c r="L75" s="45"/>
      <c r="M75" s="2008">
        <v>4000</v>
      </c>
      <c r="N75" s="2012"/>
      <c r="O75" s="40"/>
      <c r="P75" s="41"/>
      <c r="Q75" s="8"/>
    </row>
    <row r="76" spans="2:17" x14ac:dyDescent="0.25">
      <c r="B76" s="7" t="s">
        <v>15</v>
      </c>
      <c r="C76" s="9" t="s">
        <v>125</v>
      </c>
      <c r="D76" s="19"/>
      <c r="E76" s="19"/>
      <c r="F76" s="19"/>
      <c r="G76" s="51"/>
      <c r="H76" s="51"/>
      <c r="I76" s="4"/>
      <c r="J76" s="4"/>
      <c r="K76" s="4"/>
      <c r="L76" s="45"/>
      <c r="M76" s="2008">
        <v>200</v>
      </c>
      <c r="N76" s="2012"/>
      <c r="O76" s="40"/>
      <c r="P76" s="41"/>
      <c r="Q76" s="8"/>
    </row>
    <row r="77" spans="2:17" x14ac:dyDescent="0.25">
      <c r="B77" s="7" t="s">
        <v>11</v>
      </c>
      <c r="C77" s="9" t="s">
        <v>4</v>
      </c>
      <c r="D77" s="19"/>
      <c r="E77" s="19"/>
      <c r="F77" s="19"/>
      <c r="G77" s="51"/>
      <c r="H77" s="51"/>
      <c r="I77" s="4"/>
      <c r="J77" s="4"/>
      <c r="K77" s="4"/>
      <c r="L77" s="45"/>
      <c r="M77" s="2008">
        <f>217800/1.21</f>
        <v>180000</v>
      </c>
      <c r="N77" s="2012"/>
      <c r="O77" s="40"/>
      <c r="P77" s="41"/>
      <c r="Q77" s="8"/>
    </row>
    <row r="78" spans="2:17" x14ac:dyDescent="0.25">
      <c r="B78" s="7" t="s">
        <v>11</v>
      </c>
      <c r="C78" s="9" t="s">
        <v>13</v>
      </c>
      <c r="D78" s="19"/>
      <c r="E78" s="19"/>
      <c r="F78" s="19"/>
      <c r="G78" s="51"/>
      <c r="H78" s="51"/>
      <c r="I78" s="4"/>
      <c r="J78" s="4"/>
      <c r="K78" s="4"/>
      <c r="L78" s="45"/>
      <c r="M78" s="2008">
        <f>+(M74+M76+M77)*0.21</f>
        <v>38262</v>
      </c>
      <c r="N78" s="2012"/>
      <c r="O78" s="2008"/>
      <c r="P78" s="2012"/>
      <c r="Q78" s="8"/>
    </row>
    <row r="79" spans="2:17" s="4" customFormat="1" x14ac:dyDescent="0.25">
      <c r="B79" s="7" t="s">
        <v>17</v>
      </c>
      <c r="C79" s="9"/>
      <c r="D79" s="19"/>
      <c r="E79" s="19"/>
      <c r="F79" s="20" t="s">
        <v>1</v>
      </c>
      <c r="G79" s="15" t="s">
        <v>128</v>
      </c>
      <c r="H79" s="51"/>
      <c r="M79" s="2008"/>
      <c r="N79" s="2012"/>
      <c r="O79" s="2008">
        <f>+SUM(M74:N78)</f>
        <v>224462</v>
      </c>
      <c r="P79" s="2009"/>
    </row>
    <row r="80" spans="2:17" ht="7.5" customHeight="1" x14ac:dyDescent="0.25">
      <c r="B80" s="108">
        <v>5</v>
      </c>
      <c r="C80" s="2110" t="s">
        <v>21</v>
      </c>
      <c r="D80" s="2090"/>
      <c r="E80" s="2090"/>
      <c r="F80" s="2090"/>
      <c r="G80" s="2096"/>
      <c r="H80" s="2096"/>
      <c r="I80" s="2090" t="s">
        <v>21</v>
      </c>
      <c r="J80" s="2090"/>
      <c r="K80" s="2090"/>
      <c r="L80" s="2090"/>
      <c r="M80" s="2008"/>
      <c r="N80" s="2012"/>
      <c r="O80" s="2008"/>
      <c r="P80" s="2012"/>
      <c r="Q80" s="8"/>
    </row>
    <row r="81" spans="2:17" x14ac:dyDescent="0.25">
      <c r="B81" s="7" t="s">
        <v>11</v>
      </c>
      <c r="C81" s="9" t="s">
        <v>10</v>
      </c>
      <c r="D81" s="19"/>
      <c r="E81" s="19"/>
      <c r="F81" s="19"/>
      <c r="G81" s="51"/>
      <c r="H81" s="51"/>
      <c r="I81" s="4"/>
      <c r="J81" s="4"/>
      <c r="K81" s="4"/>
      <c r="L81" s="45"/>
      <c r="M81" s="2222">
        <f>+O82+O83</f>
        <v>218647</v>
      </c>
      <c r="N81" s="2229"/>
      <c r="O81" s="2222"/>
      <c r="P81" s="2229"/>
      <c r="Q81" s="8"/>
    </row>
    <row r="82" spans="2:17" x14ac:dyDescent="0.25">
      <c r="B82" s="7" t="s">
        <v>16</v>
      </c>
      <c r="C82" s="9"/>
      <c r="D82" s="19"/>
      <c r="E82" s="19"/>
      <c r="F82" s="20" t="s">
        <v>1</v>
      </c>
      <c r="G82" s="15" t="s">
        <v>3</v>
      </c>
      <c r="H82" s="51"/>
      <c r="I82" s="4"/>
      <c r="J82" s="4"/>
      <c r="K82" s="4"/>
      <c r="L82" s="45"/>
      <c r="M82" s="169"/>
      <c r="N82" s="170"/>
      <c r="O82" s="2222">
        <f>+I96</f>
        <v>180700</v>
      </c>
      <c r="P82" s="2223"/>
      <c r="Q82" s="4"/>
    </row>
    <row r="83" spans="2:17" s="4" customFormat="1" x14ac:dyDescent="0.25">
      <c r="B83" s="7" t="s">
        <v>17</v>
      </c>
      <c r="C83" s="9"/>
      <c r="D83" s="19"/>
      <c r="E83" s="19"/>
      <c r="F83" s="20" t="s">
        <v>1</v>
      </c>
      <c r="G83" s="15" t="s">
        <v>12</v>
      </c>
      <c r="H83" s="51"/>
      <c r="M83" s="2222"/>
      <c r="N83" s="2229"/>
      <c r="O83" s="2222">
        <f>+O82*0.21</f>
        <v>37947</v>
      </c>
      <c r="P83" s="2223"/>
    </row>
    <row r="84" spans="2:17" s="4" customFormat="1" x14ac:dyDescent="0.25">
      <c r="B84" s="7"/>
      <c r="C84" s="2110" t="s">
        <v>21</v>
      </c>
      <c r="D84" s="2090"/>
      <c r="E84" s="2090"/>
      <c r="F84" s="2090"/>
      <c r="G84" s="2096"/>
      <c r="H84" s="2096"/>
      <c r="I84" s="2090" t="s">
        <v>21</v>
      </c>
      <c r="J84" s="2090"/>
      <c r="K84" s="2090"/>
      <c r="L84" s="2090"/>
      <c r="M84" s="2008"/>
      <c r="N84" s="2012"/>
      <c r="O84" s="2008"/>
      <c r="P84" s="2009"/>
    </row>
    <row r="85" spans="2:17" x14ac:dyDescent="0.25">
      <c r="B85" s="7" t="s">
        <v>15</v>
      </c>
      <c r="C85" s="9" t="s">
        <v>131</v>
      </c>
      <c r="D85" s="19"/>
      <c r="E85" s="19"/>
      <c r="F85" s="19"/>
      <c r="G85" s="51"/>
      <c r="H85" s="51"/>
      <c r="I85" s="4"/>
      <c r="J85" s="4"/>
      <c r="K85" s="4"/>
      <c r="L85" s="45"/>
      <c r="M85" s="2222">
        <f>+I99</f>
        <v>35140</v>
      </c>
      <c r="N85" s="2229"/>
      <c r="O85" s="2222"/>
      <c r="P85" s="2229"/>
      <c r="Q85" s="8"/>
    </row>
    <row r="86" spans="2:17" x14ac:dyDescent="0.25">
      <c r="B86" s="7" t="s">
        <v>14</v>
      </c>
      <c r="C86" s="9"/>
      <c r="D86" s="19"/>
      <c r="E86" s="19"/>
      <c r="F86" s="20" t="s">
        <v>1</v>
      </c>
      <c r="G86" s="15" t="s">
        <v>5</v>
      </c>
      <c r="H86" s="51"/>
      <c r="I86" s="4"/>
      <c r="J86" s="4"/>
      <c r="K86" s="4"/>
      <c r="L86" s="45"/>
      <c r="M86" s="169"/>
      <c r="N86" s="170"/>
      <c r="O86" s="2222">
        <f>+M85</f>
        <v>35140</v>
      </c>
      <c r="P86" s="2223"/>
      <c r="Q86" s="4"/>
    </row>
    <row r="87" spans="2:17" x14ac:dyDescent="0.25">
      <c r="C87" s="105" t="s">
        <v>132</v>
      </c>
      <c r="D87" s="34"/>
      <c r="E87" s="34"/>
      <c r="F87" s="35"/>
      <c r="G87" s="36"/>
      <c r="H87" s="24"/>
      <c r="I87" s="3"/>
      <c r="J87" s="3"/>
      <c r="K87" s="3"/>
      <c r="L87" s="53"/>
      <c r="M87" s="43"/>
      <c r="N87" s="44"/>
      <c r="O87" s="2006"/>
      <c r="P87" s="2007"/>
      <c r="Q87" s="4"/>
    </row>
    <row r="88" spans="2:17" x14ac:dyDescent="0.25">
      <c r="H88" s="1920"/>
      <c r="I88" s="1920"/>
      <c r="J88" s="1920"/>
      <c r="K88" s="1920"/>
    </row>
    <row r="90" spans="2:17" x14ac:dyDescent="0.25">
      <c r="B90" s="107" t="s">
        <v>129</v>
      </c>
    </row>
    <row r="91" spans="2:17" x14ac:dyDescent="0.25">
      <c r="B91" s="106" t="s">
        <v>130</v>
      </c>
    </row>
    <row r="92" spans="2:17" x14ac:dyDescent="0.25">
      <c r="B92" s="70" t="str">
        <f>+B41</f>
        <v>Costo de ventas = Saldo inicial + Compras - Saldo final</v>
      </c>
    </row>
    <row r="93" spans="2:17" x14ac:dyDescent="0.25">
      <c r="B93" s="70" t="s">
        <v>133</v>
      </c>
    </row>
    <row r="94" spans="2:17" x14ac:dyDescent="0.25">
      <c r="B94" s="70" t="s">
        <v>97</v>
      </c>
      <c r="E94" s="2466">
        <f>500+400+700+200-200-700-205</f>
        <v>695</v>
      </c>
      <c r="F94" s="2467"/>
      <c r="G94" s="110" t="s">
        <v>98</v>
      </c>
    </row>
    <row r="95" spans="2:17" x14ac:dyDescent="0.25">
      <c r="F95" s="1993"/>
      <c r="G95" s="1993"/>
    </row>
    <row r="96" spans="2:17" x14ac:dyDescent="0.25">
      <c r="B96" s="70" t="s">
        <v>134</v>
      </c>
      <c r="I96" s="2464">
        <f>695*260</f>
        <v>180700</v>
      </c>
      <c r="J96" s="2465"/>
    </row>
    <row r="97" spans="1:17" x14ac:dyDescent="0.25">
      <c r="B97" s="70" t="s">
        <v>135</v>
      </c>
      <c r="F97" s="1993" t="s">
        <v>136</v>
      </c>
      <c r="G97" s="1993"/>
      <c r="H97" s="14" t="s">
        <v>18</v>
      </c>
      <c r="I97" s="2462">
        <f>500*50</f>
        <v>25000</v>
      </c>
      <c r="J97" s="2462"/>
    </row>
    <row r="98" spans="1:17" ht="15" customHeight="1" x14ac:dyDescent="0.35">
      <c r="F98" s="1993" t="s">
        <v>137</v>
      </c>
      <c r="G98" s="1993"/>
      <c r="H98" s="14" t="s">
        <v>18</v>
      </c>
      <c r="I98" s="2463">
        <f>195*52</f>
        <v>10140</v>
      </c>
      <c r="J98" s="2463"/>
      <c r="M98" s="109"/>
    </row>
    <row r="99" spans="1:17" x14ac:dyDescent="0.25">
      <c r="F99" s="1993"/>
      <c r="G99" s="1993"/>
      <c r="I99" s="2464">
        <f>+I97+I98</f>
        <v>35140</v>
      </c>
      <c r="J99" s="2465"/>
    </row>
    <row r="101" spans="1:17" x14ac:dyDescent="0.25">
      <c r="I101" s="1920"/>
      <c r="J101" s="1920"/>
    </row>
    <row r="102" spans="1:17" s="4" customFormat="1" x14ac:dyDescent="0.25">
      <c r="B102" s="189"/>
      <c r="C102" s="12"/>
      <c r="D102" s="12"/>
      <c r="E102" s="12"/>
      <c r="F102" s="12"/>
      <c r="G102" s="51"/>
      <c r="H102" s="51"/>
      <c r="M102" s="18"/>
      <c r="N102" s="18"/>
      <c r="O102" s="18"/>
      <c r="P102" s="18"/>
    </row>
    <row r="103" spans="1:17" x14ac:dyDescent="0.25">
      <c r="A103" s="3"/>
      <c r="B103" s="200"/>
      <c r="C103" s="11"/>
      <c r="D103" s="11"/>
      <c r="E103" s="11"/>
      <c r="F103" s="11"/>
      <c r="G103" s="24"/>
      <c r="H103" s="24"/>
      <c r="I103" s="3"/>
      <c r="J103" s="3"/>
      <c r="K103" s="3"/>
      <c r="L103" s="3"/>
      <c r="M103" s="22"/>
      <c r="N103" s="22"/>
      <c r="O103" s="22"/>
      <c r="P103" s="22"/>
      <c r="Q103" s="3"/>
    </row>
    <row r="104" spans="1:17" x14ac:dyDescent="0.25">
      <c r="A104" s="1844" t="s">
        <v>20</v>
      </c>
      <c r="B104" s="1845"/>
      <c r="C104" s="1845"/>
      <c r="D104" s="1845"/>
      <c r="E104" s="1845"/>
      <c r="F104" s="1845"/>
      <c r="G104" s="1845"/>
      <c r="H104" s="1845"/>
      <c r="I104" s="1845"/>
      <c r="J104" s="1845"/>
      <c r="K104" s="1845"/>
      <c r="L104" s="1845"/>
      <c r="M104" s="1845"/>
      <c r="N104" s="1845"/>
      <c r="O104" s="1845"/>
      <c r="P104" s="1845"/>
      <c r="Q104" s="1846"/>
    </row>
    <row r="105" spans="1:17" x14ac:dyDescent="0.25">
      <c r="A105" s="1847" t="s">
        <v>138</v>
      </c>
      <c r="B105" s="1848"/>
      <c r="C105" s="1848"/>
      <c r="D105" s="1848"/>
      <c r="E105" s="1848"/>
      <c r="F105" s="1848"/>
      <c r="G105" s="1848"/>
      <c r="H105" s="1848"/>
      <c r="I105" s="1848"/>
      <c r="J105" s="1848"/>
      <c r="K105" s="1848"/>
      <c r="L105" s="1848"/>
      <c r="M105" s="1848"/>
      <c r="N105" s="1848"/>
      <c r="O105" s="1848"/>
      <c r="P105" s="1848"/>
      <c r="Q105" s="1849"/>
    </row>
    <row r="106" spans="1:17" x14ac:dyDescent="0.25">
      <c r="A106" s="1"/>
      <c r="B106" s="1"/>
      <c r="C106" s="1"/>
      <c r="D106" s="1"/>
      <c r="E106" s="1"/>
      <c r="F106" s="1"/>
      <c r="G106" s="1"/>
      <c r="H106" s="1"/>
      <c r="I106" s="1"/>
      <c r="J106" s="1"/>
      <c r="K106" s="1"/>
      <c r="L106" s="1"/>
      <c r="M106" s="2468" t="s">
        <v>9</v>
      </c>
      <c r="N106" s="2468"/>
      <c r="O106" s="2468" t="s">
        <v>8</v>
      </c>
      <c r="P106" s="2468"/>
      <c r="Q106" s="1"/>
    </row>
    <row r="107" spans="1:17" ht="7.5" customHeight="1" x14ac:dyDescent="0.25">
      <c r="B107" s="108">
        <v>1</v>
      </c>
      <c r="C107" s="17"/>
      <c r="D107" s="45"/>
      <c r="E107" s="53"/>
      <c r="F107" s="53"/>
      <c r="G107" s="2094"/>
      <c r="H107" s="2094"/>
      <c r="I107" s="29"/>
      <c r="J107" s="29"/>
      <c r="K107" s="29"/>
      <c r="L107" s="53"/>
      <c r="M107" s="2154"/>
      <c r="N107" s="2154"/>
      <c r="O107" s="2154"/>
      <c r="P107" s="2154"/>
    </row>
    <row r="108" spans="1:17" x14ac:dyDescent="0.25">
      <c r="B108" s="30" t="s">
        <v>11</v>
      </c>
      <c r="C108" s="9" t="s">
        <v>4</v>
      </c>
      <c r="D108" s="31"/>
      <c r="E108" s="19"/>
      <c r="F108" s="45"/>
      <c r="G108" s="51"/>
      <c r="H108" s="51"/>
      <c r="I108" s="4"/>
      <c r="J108" s="4"/>
      <c r="K108" s="4"/>
      <c r="L108" s="45"/>
      <c r="M108" s="2008">
        <v>500000</v>
      </c>
      <c r="N108" s="2009"/>
      <c r="O108" s="2012"/>
      <c r="P108" s="2009"/>
    </row>
    <row r="109" spans="1:17" x14ac:dyDescent="0.25">
      <c r="B109" s="38" t="s">
        <v>14</v>
      </c>
      <c r="C109" s="9"/>
      <c r="D109" s="19"/>
      <c r="E109" s="19"/>
      <c r="F109" s="20" t="s">
        <v>1</v>
      </c>
      <c r="G109" s="15" t="s">
        <v>22</v>
      </c>
      <c r="H109" s="51"/>
      <c r="I109" s="4"/>
      <c r="J109" s="4"/>
      <c r="K109" s="4"/>
      <c r="L109" s="45"/>
      <c r="M109" s="40"/>
      <c r="N109" s="41"/>
      <c r="O109" s="2008">
        <f>+M108*0.3</f>
        <v>150000</v>
      </c>
      <c r="P109" s="2009"/>
    </row>
    <row r="110" spans="1:17" x14ac:dyDescent="0.25">
      <c r="B110" s="7" t="s">
        <v>17</v>
      </c>
      <c r="C110" s="9"/>
      <c r="D110" s="19"/>
      <c r="E110" s="19"/>
      <c r="F110" s="20" t="s">
        <v>1</v>
      </c>
      <c r="G110" s="15" t="s">
        <v>139</v>
      </c>
      <c r="H110" s="15"/>
      <c r="I110" s="4"/>
      <c r="J110" s="4"/>
      <c r="K110" s="4"/>
      <c r="L110" s="4"/>
      <c r="M110" s="2008"/>
      <c r="N110" s="2012"/>
      <c r="O110" s="2008">
        <f>+M108-O109</f>
        <v>350000</v>
      </c>
      <c r="P110" s="2009"/>
    </row>
    <row r="111" spans="1:17" ht="7.5" customHeight="1" x14ac:dyDescent="0.25">
      <c r="B111" s="111">
        <v>2</v>
      </c>
      <c r="C111" s="2110" t="s">
        <v>21</v>
      </c>
      <c r="D111" s="2090"/>
      <c r="E111" s="2090"/>
      <c r="F111" s="2090"/>
      <c r="G111" s="2096"/>
      <c r="H111" s="2096"/>
      <c r="I111" s="2090" t="s">
        <v>21</v>
      </c>
      <c r="J111" s="2090"/>
      <c r="K111" s="2090"/>
      <c r="L111" s="2090"/>
      <c r="M111" s="2008"/>
      <c r="N111" s="2012"/>
      <c r="O111" s="2008"/>
      <c r="P111" s="2012"/>
      <c r="Q111" s="8"/>
    </row>
    <row r="112" spans="1:17" x14ac:dyDescent="0.25">
      <c r="B112" s="7" t="s">
        <v>11</v>
      </c>
      <c r="C112" s="9" t="s">
        <v>140</v>
      </c>
      <c r="D112" s="19"/>
      <c r="E112" s="19"/>
      <c r="F112" s="19"/>
      <c r="G112" s="51"/>
      <c r="H112" s="51"/>
      <c r="I112" s="4"/>
      <c r="J112" s="4"/>
      <c r="K112" s="4"/>
      <c r="L112" s="45"/>
      <c r="M112" s="2008">
        <f>300*850*0.9</f>
        <v>229500</v>
      </c>
      <c r="N112" s="2012"/>
      <c r="O112" s="2008"/>
      <c r="P112" s="2012"/>
      <c r="Q112" s="8"/>
    </row>
    <row r="113" spans="2:17" x14ac:dyDescent="0.25">
      <c r="B113" s="7" t="s">
        <v>11</v>
      </c>
      <c r="C113" s="9" t="s">
        <v>13</v>
      </c>
      <c r="D113" s="19"/>
      <c r="E113" s="19"/>
      <c r="F113" s="19"/>
      <c r="G113" s="51"/>
      <c r="H113" s="51"/>
      <c r="I113" s="4"/>
      <c r="J113" s="4"/>
      <c r="K113" s="4"/>
      <c r="L113" s="45"/>
      <c r="M113" s="2008">
        <f>+M112*0.21</f>
        <v>48195</v>
      </c>
      <c r="N113" s="2012"/>
      <c r="O113" s="2008"/>
      <c r="P113" s="2012"/>
      <c r="Q113" s="8"/>
    </row>
    <row r="114" spans="2:17" x14ac:dyDescent="0.25">
      <c r="B114" s="7" t="s">
        <v>14</v>
      </c>
      <c r="C114" s="9"/>
      <c r="D114" s="19"/>
      <c r="E114" s="19"/>
      <c r="F114" s="20" t="s">
        <v>1</v>
      </c>
      <c r="G114" s="15" t="s">
        <v>24</v>
      </c>
      <c r="H114" s="51"/>
      <c r="I114" s="4"/>
      <c r="J114" s="4"/>
      <c r="K114" s="4"/>
      <c r="L114" s="45"/>
      <c r="M114" s="40"/>
      <c r="N114" s="41"/>
      <c r="O114" s="2008">
        <v>1000</v>
      </c>
      <c r="P114" s="2009"/>
      <c r="Q114" s="4"/>
    </row>
    <row r="115" spans="2:17" s="4" customFormat="1" x14ac:dyDescent="0.25">
      <c r="B115" s="7" t="s">
        <v>17</v>
      </c>
      <c r="C115" s="9"/>
      <c r="D115" s="19"/>
      <c r="E115" s="19"/>
      <c r="F115" s="20" t="s">
        <v>1</v>
      </c>
      <c r="G115" s="127" t="s">
        <v>268</v>
      </c>
      <c r="H115" s="51"/>
      <c r="M115" s="2008"/>
      <c r="N115" s="2012"/>
      <c r="O115" s="2008">
        <f>+M112+M113-O114</f>
        <v>276695</v>
      </c>
      <c r="P115" s="2009"/>
    </row>
    <row r="116" spans="2:17" ht="7.5" customHeight="1" x14ac:dyDescent="0.25">
      <c r="B116" s="108">
        <v>3</v>
      </c>
      <c r="C116" s="2110" t="s">
        <v>21</v>
      </c>
      <c r="D116" s="2090"/>
      <c r="E116" s="2090"/>
      <c r="F116" s="2090"/>
      <c r="G116" s="2096"/>
      <c r="H116" s="2096"/>
      <c r="I116" s="2090" t="s">
        <v>21</v>
      </c>
      <c r="J116" s="2090"/>
      <c r="K116" s="2090"/>
      <c r="L116" s="2090"/>
      <c r="M116" s="2008"/>
      <c r="N116" s="2012"/>
      <c r="O116" s="2008"/>
      <c r="P116" s="2012"/>
      <c r="Q116" s="8"/>
    </row>
    <row r="117" spans="2:17" x14ac:dyDescent="0.25">
      <c r="B117" s="38" t="s">
        <v>11</v>
      </c>
      <c r="C117" s="9" t="s">
        <v>5</v>
      </c>
      <c r="D117" s="45"/>
      <c r="E117" s="45"/>
      <c r="F117" s="45"/>
      <c r="G117" s="46"/>
      <c r="H117" s="46"/>
      <c r="I117" s="45"/>
      <c r="J117" s="45"/>
      <c r="K117" s="45"/>
      <c r="L117" s="45"/>
      <c r="M117" s="2008">
        <f>300*850*0.9</f>
        <v>229500</v>
      </c>
      <c r="N117" s="2012"/>
      <c r="O117" s="40"/>
      <c r="P117" s="41"/>
      <c r="Q117" s="8"/>
    </row>
    <row r="118" spans="2:17" x14ac:dyDescent="0.25">
      <c r="B118" s="38" t="s">
        <v>14</v>
      </c>
      <c r="C118" s="9"/>
      <c r="D118" s="45"/>
      <c r="E118" s="45"/>
      <c r="F118" s="20" t="s">
        <v>1</v>
      </c>
      <c r="G118" s="15" t="s">
        <v>140</v>
      </c>
      <c r="H118" s="46"/>
      <c r="I118" s="45"/>
      <c r="J118" s="45"/>
      <c r="K118" s="45"/>
      <c r="L118" s="45"/>
      <c r="M118" s="40"/>
      <c r="N118" s="41"/>
      <c r="O118" s="2008">
        <f>300*850*0.9</f>
        <v>229500</v>
      </c>
      <c r="P118" s="2012"/>
      <c r="Q118" s="8"/>
    </row>
    <row r="119" spans="2:17" ht="7.5" customHeight="1" x14ac:dyDescent="0.25">
      <c r="B119" s="33"/>
      <c r="C119" s="2090" t="s">
        <v>21</v>
      </c>
      <c r="D119" s="2090"/>
      <c r="E119" s="2090"/>
      <c r="F119" s="2090"/>
      <c r="G119" s="2096"/>
      <c r="H119" s="2096"/>
      <c r="I119" s="2090" t="s">
        <v>21</v>
      </c>
      <c r="J119" s="2090"/>
      <c r="K119" s="2090"/>
      <c r="L119" s="2092"/>
      <c r="M119" s="2008"/>
      <c r="N119" s="2012"/>
      <c r="O119" s="2008"/>
      <c r="P119" s="2009"/>
    </row>
    <row r="120" spans="2:17" x14ac:dyDescent="0.25">
      <c r="B120" s="7" t="s">
        <v>11</v>
      </c>
      <c r="C120" s="9" t="str">
        <f>+C117</f>
        <v>Mercaderías</v>
      </c>
      <c r="D120" s="19"/>
      <c r="E120" s="19"/>
      <c r="F120" s="19"/>
      <c r="G120" s="51"/>
      <c r="H120" s="51"/>
      <c r="I120" s="4"/>
      <c r="J120" s="4"/>
      <c r="K120" s="4"/>
      <c r="L120" s="45"/>
      <c r="M120" s="2008">
        <v>1200</v>
      </c>
      <c r="N120" s="2012"/>
      <c r="O120" s="2008"/>
      <c r="P120" s="2012"/>
      <c r="Q120" s="8"/>
    </row>
    <row r="121" spans="2:17" x14ac:dyDescent="0.25">
      <c r="B121" s="7" t="s">
        <v>11</v>
      </c>
      <c r="C121" s="9" t="s">
        <v>13</v>
      </c>
      <c r="D121" s="19"/>
      <c r="E121" s="19"/>
      <c r="F121" s="19"/>
      <c r="G121" s="51"/>
      <c r="H121" s="51"/>
      <c r="I121" s="4"/>
      <c r="J121" s="4"/>
      <c r="K121" s="4"/>
      <c r="L121" s="45"/>
      <c r="M121" s="2008">
        <f>+M120*0.21</f>
        <v>252</v>
      </c>
      <c r="N121" s="2012"/>
      <c r="O121" s="2008"/>
      <c r="P121" s="2012"/>
      <c r="Q121" s="8"/>
    </row>
    <row r="122" spans="2:17" s="4" customFormat="1" x14ac:dyDescent="0.25">
      <c r="B122" s="7" t="s">
        <v>14</v>
      </c>
      <c r="C122" s="9"/>
      <c r="D122" s="19"/>
      <c r="E122" s="19"/>
      <c r="F122" s="20" t="s">
        <v>1</v>
      </c>
      <c r="G122" s="15" t="s">
        <v>10</v>
      </c>
      <c r="H122" s="51"/>
      <c r="M122" s="2008"/>
      <c r="N122" s="2012"/>
      <c r="O122" s="2008">
        <f>+M120+M121</f>
        <v>1452</v>
      </c>
      <c r="P122" s="2009"/>
    </row>
    <row r="123" spans="2:17" ht="7.5" customHeight="1" x14ac:dyDescent="0.25">
      <c r="B123" s="39">
        <v>4</v>
      </c>
      <c r="C123" s="2110" t="s">
        <v>21</v>
      </c>
      <c r="D123" s="2090"/>
      <c r="E123" s="2090"/>
      <c r="F123" s="2090"/>
      <c r="G123" s="2096"/>
      <c r="H123" s="2096"/>
      <c r="I123" s="2090" t="s">
        <v>21</v>
      </c>
      <c r="J123" s="2090"/>
      <c r="K123" s="2090"/>
      <c r="L123" s="2090"/>
      <c r="M123" s="2008"/>
      <c r="N123" s="2012"/>
      <c r="O123" s="2008"/>
      <c r="P123" s="2012"/>
      <c r="Q123" s="8"/>
    </row>
    <row r="124" spans="2:17" x14ac:dyDescent="0.25">
      <c r="B124" s="38" t="s">
        <v>11</v>
      </c>
      <c r="C124" s="9" t="s">
        <v>26</v>
      </c>
      <c r="D124" s="45"/>
      <c r="E124" s="45"/>
      <c r="F124" s="45"/>
      <c r="G124" s="46"/>
      <c r="H124" s="46"/>
      <c r="I124" s="45"/>
      <c r="J124" s="45"/>
      <c r="K124" s="45"/>
      <c r="L124" s="45"/>
      <c r="M124" s="2008">
        <v>200200</v>
      </c>
      <c r="N124" s="2012"/>
      <c r="O124" s="40"/>
      <c r="P124" s="41"/>
      <c r="Q124" s="8"/>
    </row>
    <row r="125" spans="2:17" x14ac:dyDescent="0.25">
      <c r="B125" s="38" t="s">
        <v>105</v>
      </c>
      <c r="C125" s="9" t="s">
        <v>141</v>
      </c>
      <c r="D125" s="45"/>
      <c r="E125" s="45"/>
      <c r="F125" s="45"/>
      <c r="G125" s="46"/>
      <c r="H125" s="46"/>
      <c r="I125" s="45"/>
      <c r="J125" s="45"/>
      <c r="K125" s="45"/>
      <c r="L125" s="45"/>
      <c r="M125" s="2008">
        <v>30000</v>
      </c>
      <c r="N125" s="2012"/>
      <c r="O125" s="2008"/>
      <c r="P125" s="2012"/>
      <c r="Q125" s="8"/>
    </row>
    <row r="126" spans="2:17" x14ac:dyDescent="0.25">
      <c r="B126" s="38" t="s">
        <v>142</v>
      </c>
      <c r="C126" s="9" t="s">
        <v>143</v>
      </c>
      <c r="D126" s="45"/>
      <c r="E126" s="45"/>
      <c r="F126" s="45"/>
      <c r="G126" s="46"/>
      <c r="H126" s="46"/>
      <c r="I126" s="45"/>
      <c r="J126" s="45"/>
      <c r="K126" s="45"/>
      <c r="L126" s="45"/>
      <c r="M126" s="2008">
        <f>+(200000-140000)*0.1</f>
        <v>6000</v>
      </c>
      <c r="N126" s="2012"/>
      <c r="O126" s="2008"/>
      <c r="P126" s="2012"/>
      <c r="Q126" s="8"/>
    </row>
    <row r="127" spans="2:17" x14ac:dyDescent="0.25">
      <c r="B127" s="38" t="s">
        <v>11</v>
      </c>
      <c r="C127" s="9" t="s">
        <v>13</v>
      </c>
      <c r="D127" s="45"/>
      <c r="E127" s="45"/>
      <c r="F127" s="45"/>
      <c r="G127" s="46"/>
      <c r="H127" s="46"/>
      <c r="I127" s="45"/>
      <c r="J127" s="45"/>
      <c r="K127" s="45"/>
      <c r="L127" s="45"/>
      <c r="M127" s="2222">
        <f>+(M126*0.21)</f>
        <v>1260</v>
      </c>
      <c r="N127" s="2229"/>
      <c r="O127" s="2008"/>
      <c r="P127" s="2012"/>
      <c r="Q127" s="8"/>
    </row>
    <row r="128" spans="2:17" x14ac:dyDescent="0.25">
      <c r="B128" s="38" t="s">
        <v>14</v>
      </c>
      <c r="C128" s="9"/>
      <c r="D128" s="45"/>
      <c r="E128" s="45"/>
      <c r="F128" s="20" t="s">
        <v>1</v>
      </c>
      <c r="G128" s="15" t="s">
        <v>26</v>
      </c>
      <c r="H128" s="46"/>
      <c r="I128" s="45"/>
      <c r="J128" s="45"/>
      <c r="K128" s="45"/>
      <c r="L128" s="45"/>
      <c r="M128" s="2008"/>
      <c r="N128" s="2012"/>
      <c r="O128" s="2008">
        <v>150000</v>
      </c>
      <c r="P128" s="2012"/>
      <c r="Q128" s="8"/>
    </row>
    <row r="129" spans="2:17" x14ac:dyDescent="0.25">
      <c r="B129" s="38" t="s">
        <v>16</v>
      </c>
      <c r="C129" s="9"/>
      <c r="D129" s="45"/>
      <c r="E129" s="45"/>
      <c r="F129" s="20" t="s">
        <v>1</v>
      </c>
      <c r="G129" s="15" t="s">
        <v>144</v>
      </c>
      <c r="H129" s="46"/>
      <c r="I129" s="45"/>
      <c r="J129" s="45"/>
      <c r="K129" s="45"/>
      <c r="L129" s="45"/>
      <c r="M129" s="40"/>
      <c r="N129" s="41"/>
      <c r="O129" s="2008">
        <v>20000</v>
      </c>
      <c r="P129" s="2012"/>
      <c r="Q129" s="8"/>
    </row>
    <row r="130" spans="2:17" x14ac:dyDescent="0.25">
      <c r="B130" s="38" t="s">
        <v>17</v>
      </c>
      <c r="C130" s="9"/>
      <c r="D130" s="45"/>
      <c r="E130" s="45"/>
      <c r="F130" s="20" t="s">
        <v>1</v>
      </c>
      <c r="G130" s="15" t="s">
        <v>6</v>
      </c>
      <c r="H130" s="46"/>
      <c r="I130" s="45"/>
      <c r="J130" s="45"/>
      <c r="K130" s="45"/>
      <c r="L130" s="45"/>
      <c r="M130" s="2008"/>
      <c r="N130" s="2012"/>
      <c r="O130" s="2008">
        <f>+((200000-140000)*1.1)+((200000-140000)*0.1*0.21)</f>
        <v>67260</v>
      </c>
      <c r="P130" s="2012"/>
      <c r="Q130" s="8"/>
    </row>
    <row r="131" spans="2:17" x14ac:dyDescent="0.25">
      <c r="B131" s="38" t="s">
        <v>14</v>
      </c>
      <c r="C131" s="9"/>
      <c r="D131" s="45"/>
      <c r="E131" s="45"/>
      <c r="F131" s="20" t="s">
        <v>1</v>
      </c>
      <c r="G131" s="15" t="s">
        <v>10</v>
      </c>
      <c r="H131" s="46"/>
      <c r="I131" s="45"/>
      <c r="J131" s="45"/>
      <c r="K131" s="45"/>
      <c r="L131" s="45"/>
      <c r="M131" s="40"/>
      <c r="N131" s="41"/>
      <c r="O131" s="2222">
        <f>200</f>
        <v>200</v>
      </c>
      <c r="P131" s="2229"/>
      <c r="Q131" s="8"/>
    </row>
    <row r="132" spans="2:17" x14ac:dyDescent="0.25">
      <c r="B132" s="38"/>
      <c r="C132" s="101" t="s">
        <v>145</v>
      </c>
      <c r="D132" s="45"/>
      <c r="E132" s="45"/>
      <c r="F132" s="20"/>
      <c r="G132" s="15"/>
      <c r="H132" s="46"/>
      <c r="I132" s="45"/>
      <c r="J132" s="45"/>
      <c r="K132" s="45"/>
      <c r="L132" s="45"/>
      <c r="M132" s="40"/>
      <c r="N132" s="41"/>
      <c r="O132" s="2008"/>
      <c r="P132" s="2012"/>
      <c r="Q132" s="8"/>
    </row>
    <row r="133" spans="2:17" ht="7.5" customHeight="1" x14ac:dyDescent="0.25">
      <c r="B133" s="108">
        <v>5</v>
      </c>
      <c r="C133" s="2110" t="s">
        <v>21</v>
      </c>
      <c r="D133" s="2090"/>
      <c r="E133" s="2090"/>
      <c r="F133" s="2090"/>
      <c r="G133" s="2096"/>
      <c r="H133" s="2096"/>
      <c r="I133" s="2090" t="s">
        <v>21</v>
      </c>
      <c r="J133" s="2090"/>
      <c r="K133" s="2090"/>
      <c r="L133" s="2090"/>
      <c r="M133" s="2008"/>
      <c r="N133" s="2012"/>
      <c r="O133" s="2008"/>
      <c r="P133" s="2012"/>
      <c r="Q133" s="8"/>
    </row>
    <row r="134" spans="2:17" x14ac:dyDescent="0.25">
      <c r="B134" s="38" t="s">
        <v>11</v>
      </c>
      <c r="C134" s="9" t="s">
        <v>0</v>
      </c>
      <c r="D134" s="45"/>
      <c r="E134" s="45"/>
      <c r="F134" s="45"/>
      <c r="G134" s="46"/>
      <c r="H134" s="46"/>
      <c r="I134" s="45"/>
      <c r="J134" s="45"/>
      <c r="K134" s="45"/>
      <c r="L134" s="45"/>
      <c r="M134" s="2222">
        <f>SUM(O135:P137)</f>
        <v>453750</v>
      </c>
      <c r="N134" s="2229"/>
      <c r="O134" s="40"/>
      <c r="P134" s="41"/>
      <c r="Q134" s="8"/>
    </row>
    <row r="135" spans="2:17" x14ac:dyDescent="0.25">
      <c r="B135" s="38" t="s">
        <v>16</v>
      </c>
      <c r="C135" s="9"/>
      <c r="D135" s="45"/>
      <c r="E135" s="45"/>
      <c r="F135" s="20" t="s">
        <v>1</v>
      </c>
      <c r="G135" s="15" t="s">
        <v>3</v>
      </c>
      <c r="H135" s="46"/>
      <c r="I135" s="45"/>
      <c r="J135" s="45"/>
      <c r="K135" s="45"/>
      <c r="L135" s="45"/>
      <c r="M135" s="40"/>
      <c r="N135" s="41"/>
      <c r="O135" s="2008">
        <f>1300*250</f>
        <v>325000</v>
      </c>
      <c r="P135" s="2012"/>
      <c r="Q135" s="8"/>
    </row>
    <row r="136" spans="2:17" x14ac:dyDescent="0.25">
      <c r="B136" s="38" t="s">
        <v>108</v>
      </c>
      <c r="C136" s="9"/>
      <c r="D136" s="45"/>
      <c r="E136" s="45"/>
      <c r="F136" s="20" t="s">
        <v>1</v>
      </c>
      <c r="G136" s="15" t="s">
        <v>158</v>
      </c>
      <c r="H136" s="46"/>
      <c r="I136" s="45"/>
      <c r="J136" s="45"/>
      <c r="K136" s="45"/>
      <c r="L136" s="45"/>
      <c r="M136" s="40"/>
      <c r="N136" s="41"/>
      <c r="O136" s="2008">
        <f>200*250</f>
        <v>50000</v>
      </c>
      <c r="P136" s="2012"/>
      <c r="Q136" s="8"/>
    </row>
    <row r="137" spans="2:17" x14ac:dyDescent="0.25">
      <c r="B137" s="38" t="s">
        <v>17</v>
      </c>
      <c r="C137" s="9"/>
      <c r="D137" s="45"/>
      <c r="E137" s="45"/>
      <c r="F137" s="20" t="s">
        <v>1</v>
      </c>
      <c r="G137" s="15" t="s">
        <v>12</v>
      </c>
      <c r="H137" s="46"/>
      <c r="I137" s="45"/>
      <c r="J137" s="45"/>
      <c r="K137" s="45"/>
      <c r="L137" s="45"/>
      <c r="M137" s="40"/>
      <c r="N137" s="41"/>
      <c r="O137" s="2008">
        <f>+(O135+O136)*0.21</f>
        <v>78750</v>
      </c>
      <c r="P137" s="2012"/>
      <c r="Q137" s="8"/>
    </row>
    <row r="138" spans="2:17" ht="7.5" customHeight="1" x14ac:dyDescent="0.25">
      <c r="B138" s="33"/>
      <c r="C138" s="2090" t="s">
        <v>21</v>
      </c>
      <c r="D138" s="2090"/>
      <c r="E138" s="2090"/>
      <c r="F138" s="2090"/>
      <c r="G138" s="2096"/>
      <c r="H138" s="2096"/>
      <c r="I138" s="2090" t="s">
        <v>21</v>
      </c>
      <c r="J138" s="2090"/>
      <c r="K138" s="2090"/>
      <c r="L138" s="2092"/>
      <c r="M138" s="2008"/>
      <c r="N138" s="2012"/>
      <c r="O138" s="2008"/>
      <c r="P138" s="2009"/>
    </row>
    <row r="139" spans="2:17" x14ac:dyDescent="0.25">
      <c r="B139" s="7" t="s">
        <v>15</v>
      </c>
      <c r="C139" s="9" t="s">
        <v>120</v>
      </c>
      <c r="D139" s="19"/>
      <c r="E139" s="19"/>
      <c r="F139" s="19"/>
      <c r="G139" s="51"/>
      <c r="H139" s="51"/>
      <c r="I139" s="4"/>
      <c r="J139" s="4"/>
      <c r="K139" s="4"/>
      <c r="L139" s="45"/>
      <c r="M139" s="2008">
        <f>+K184</f>
        <v>200630</v>
      </c>
      <c r="N139" s="2012"/>
      <c r="O139" s="2008"/>
      <c r="P139" s="2012"/>
      <c r="Q139" s="8"/>
    </row>
    <row r="140" spans="2:17" s="4" customFormat="1" x14ac:dyDescent="0.25">
      <c r="B140" s="7" t="s">
        <v>14</v>
      </c>
      <c r="C140" s="9"/>
      <c r="D140" s="19"/>
      <c r="E140" s="19"/>
      <c r="F140" s="20" t="s">
        <v>1</v>
      </c>
      <c r="G140" s="15" t="s">
        <v>5</v>
      </c>
      <c r="H140" s="51"/>
      <c r="M140" s="2008"/>
      <c r="N140" s="2012"/>
      <c r="O140" s="2008">
        <f>110*800+70*840+((850*0.9)+(1200/300))*70</f>
        <v>200630</v>
      </c>
      <c r="P140" s="2009"/>
    </row>
    <row r="141" spans="2:17" x14ac:dyDescent="0.25">
      <c r="B141" s="38"/>
      <c r="C141" s="101" t="s">
        <v>159</v>
      </c>
      <c r="D141" s="45"/>
      <c r="E141" s="45"/>
      <c r="F141" s="20"/>
      <c r="G141" s="15"/>
      <c r="H141" s="46"/>
      <c r="I141" s="45"/>
      <c r="J141" s="45"/>
      <c r="K141" s="45"/>
      <c r="L141" s="45"/>
      <c r="M141" s="40"/>
      <c r="N141" s="41"/>
      <c r="O141" s="2008"/>
      <c r="P141" s="2012"/>
      <c r="Q141" s="8"/>
    </row>
    <row r="142" spans="2:17" ht="7.5" customHeight="1" x14ac:dyDescent="0.25">
      <c r="B142" s="108">
        <v>5</v>
      </c>
      <c r="C142" s="2110" t="s">
        <v>21</v>
      </c>
      <c r="D142" s="2090"/>
      <c r="E142" s="2090"/>
      <c r="F142" s="2090"/>
      <c r="G142" s="2096"/>
      <c r="H142" s="2096"/>
      <c r="I142" s="2090" t="s">
        <v>21</v>
      </c>
      <c r="J142" s="2090"/>
      <c r="K142" s="2090"/>
      <c r="L142" s="2090"/>
      <c r="M142" s="2008"/>
      <c r="N142" s="2012"/>
      <c r="O142" s="2008"/>
      <c r="P142" s="2012"/>
      <c r="Q142" s="8"/>
    </row>
    <row r="143" spans="2:17" x14ac:dyDescent="0.25">
      <c r="B143" s="38" t="s">
        <v>15</v>
      </c>
      <c r="C143" s="9" t="s">
        <v>101</v>
      </c>
      <c r="D143" s="45"/>
      <c r="E143" s="45"/>
      <c r="F143" s="45"/>
      <c r="G143" s="46"/>
      <c r="H143" s="46"/>
      <c r="I143" s="45"/>
      <c r="J143" s="45"/>
      <c r="K143" s="45"/>
      <c r="L143" s="45"/>
      <c r="M143" s="2008">
        <f>+L191</f>
        <v>4004</v>
      </c>
      <c r="N143" s="2012"/>
      <c r="O143" s="40"/>
      <c r="P143" s="41"/>
      <c r="Q143" s="8"/>
    </row>
    <row r="144" spans="2:17" x14ac:dyDescent="0.25">
      <c r="B144" s="38" t="s">
        <v>15</v>
      </c>
      <c r="C144" s="9" t="s">
        <v>100</v>
      </c>
      <c r="D144" s="45"/>
      <c r="E144" s="45"/>
      <c r="F144" s="45"/>
      <c r="G144" s="46"/>
      <c r="H144" s="46"/>
      <c r="I144" s="45"/>
      <c r="J144" s="45"/>
      <c r="K144" s="45"/>
      <c r="L144" s="45"/>
      <c r="M144" s="2008">
        <f t="shared" ref="M144:M146" si="0">+L192</f>
        <v>500</v>
      </c>
      <c r="N144" s="2012"/>
      <c r="O144" s="40"/>
      <c r="P144" s="41"/>
      <c r="Q144" s="8"/>
    </row>
    <row r="145" spans="2:17" x14ac:dyDescent="0.25">
      <c r="B145" s="38" t="s">
        <v>15</v>
      </c>
      <c r="C145" s="9" t="s">
        <v>171</v>
      </c>
      <c r="D145" s="45"/>
      <c r="E145" s="45"/>
      <c r="F145" s="45"/>
      <c r="G145" s="46"/>
      <c r="H145" s="46"/>
      <c r="I145" s="45"/>
      <c r="J145" s="45"/>
      <c r="K145" s="45"/>
      <c r="L145" s="45"/>
      <c r="M145" s="2008">
        <f t="shared" si="0"/>
        <v>1000</v>
      </c>
      <c r="N145" s="2012"/>
      <c r="O145" s="40"/>
      <c r="P145" s="41"/>
      <c r="Q145" s="8"/>
    </row>
    <row r="146" spans="2:17" x14ac:dyDescent="0.25">
      <c r="B146" s="38" t="s">
        <v>15</v>
      </c>
      <c r="C146" s="9" t="s">
        <v>172</v>
      </c>
      <c r="D146" s="45"/>
      <c r="E146" s="45"/>
      <c r="F146" s="45"/>
      <c r="G146" s="46"/>
      <c r="H146" s="46"/>
      <c r="I146" s="45"/>
      <c r="J146" s="45"/>
      <c r="K146" s="45"/>
      <c r="L146" s="45"/>
      <c r="M146" s="2008">
        <f t="shared" si="0"/>
        <v>100</v>
      </c>
      <c r="N146" s="2012"/>
      <c r="O146" s="40"/>
      <c r="P146" s="41"/>
      <c r="Q146" s="8"/>
    </row>
    <row r="147" spans="2:17" x14ac:dyDescent="0.25">
      <c r="B147" s="38" t="s">
        <v>108</v>
      </c>
      <c r="C147" s="9"/>
      <c r="D147" s="45"/>
      <c r="E147" s="45"/>
      <c r="F147" s="20" t="s">
        <v>1</v>
      </c>
      <c r="G147" s="15" t="s">
        <v>173</v>
      </c>
      <c r="H147" s="46"/>
      <c r="I147" s="45"/>
      <c r="J147" s="45"/>
      <c r="K147" s="45"/>
      <c r="L147" s="45"/>
      <c r="M147" s="40"/>
      <c r="N147" s="41"/>
      <c r="O147" s="2008">
        <f>+M143</f>
        <v>4004</v>
      </c>
      <c r="P147" s="2012"/>
      <c r="Q147" s="8"/>
    </row>
    <row r="148" spans="2:17" x14ac:dyDescent="0.25">
      <c r="B148" s="38" t="s">
        <v>108</v>
      </c>
      <c r="C148" s="9"/>
      <c r="D148" s="45"/>
      <c r="E148" s="45"/>
      <c r="F148" s="20" t="s">
        <v>1</v>
      </c>
      <c r="G148" s="15" t="s">
        <v>174</v>
      </c>
      <c r="H148" s="46"/>
      <c r="I148" s="45"/>
      <c r="J148" s="45"/>
      <c r="K148" s="45"/>
      <c r="L148" s="45"/>
      <c r="M148" s="40"/>
      <c r="N148" s="41"/>
      <c r="O148" s="2008">
        <f t="shared" ref="O148:O150" si="1">+M144</f>
        <v>500</v>
      </c>
      <c r="P148" s="2012"/>
      <c r="Q148" s="8"/>
    </row>
    <row r="149" spans="2:17" x14ac:dyDescent="0.25">
      <c r="B149" s="38" t="s">
        <v>108</v>
      </c>
      <c r="C149" s="9"/>
      <c r="D149" s="45"/>
      <c r="E149" s="45"/>
      <c r="F149" s="20" t="s">
        <v>1</v>
      </c>
      <c r="G149" s="127" t="s">
        <v>175</v>
      </c>
      <c r="H149" s="46"/>
      <c r="I149" s="45"/>
      <c r="J149" s="45"/>
      <c r="K149" s="45"/>
      <c r="L149" s="45"/>
      <c r="M149" s="40"/>
      <c r="N149" s="41"/>
      <c r="O149" s="2008">
        <f t="shared" si="1"/>
        <v>1000</v>
      </c>
      <c r="P149" s="2012"/>
      <c r="Q149" s="8"/>
    </row>
    <row r="150" spans="2:17" x14ac:dyDescent="0.25">
      <c r="B150" s="38" t="s">
        <v>108</v>
      </c>
      <c r="C150" s="9"/>
      <c r="D150" s="45"/>
      <c r="E150" s="45"/>
      <c r="F150" s="20" t="s">
        <v>1</v>
      </c>
      <c r="G150" s="15" t="s">
        <v>176</v>
      </c>
      <c r="H150" s="46"/>
      <c r="I150" s="45"/>
      <c r="J150" s="45"/>
      <c r="K150" s="45"/>
      <c r="L150" s="45"/>
      <c r="M150" s="40"/>
      <c r="N150" s="41"/>
      <c r="O150" s="2008">
        <f t="shared" si="1"/>
        <v>100</v>
      </c>
      <c r="P150" s="2012"/>
      <c r="Q150" s="8"/>
    </row>
    <row r="151" spans="2:17" x14ac:dyDescent="0.25">
      <c r="B151" s="38"/>
      <c r="C151" s="105" t="s">
        <v>177</v>
      </c>
      <c r="D151" s="53"/>
      <c r="E151" s="53"/>
      <c r="F151" s="35"/>
      <c r="G151" s="36"/>
      <c r="H151" s="54"/>
      <c r="I151" s="53"/>
      <c r="J151" s="53"/>
      <c r="K151" s="53"/>
      <c r="L151" s="53"/>
      <c r="M151" s="43"/>
      <c r="N151" s="44"/>
      <c r="O151" s="2006"/>
      <c r="P151" s="2007"/>
      <c r="Q151" s="8"/>
    </row>
    <row r="152" spans="2:17" s="4" customFormat="1" x14ac:dyDescent="0.25">
      <c r="B152" s="7"/>
      <c r="C152" s="19"/>
      <c r="D152" s="19"/>
      <c r="E152" s="19"/>
      <c r="F152" s="20"/>
      <c r="G152" s="15"/>
      <c r="H152" s="51"/>
      <c r="M152" s="41"/>
      <c r="N152" s="41"/>
      <c r="O152" s="41"/>
      <c r="P152" s="41"/>
    </row>
    <row r="153" spans="2:17" s="4" customFormat="1" x14ac:dyDescent="0.25">
      <c r="B153" s="7"/>
      <c r="C153" s="19"/>
      <c r="D153" s="19"/>
      <c r="E153" s="19"/>
      <c r="F153" s="20"/>
      <c r="G153" s="15"/>
      <c r="H153" s="51"/>
      <c r="M153" s="41"/>
      <c r="N153" s="41"/>
      <c r="O153" s="41"/>
      <c r="P153" s="41"/>
    </row>
    <row r="154" spans="2:17" s="4" customFormat="1" x14ac:dyDescent="0.25">
      <c r="B154" s="7"/>
      <c r="C154" s="19"/>
      <c r="D154" s="19"/>
      <c r="E154" s="19"/>
      <c r="F154" s="20"/>
      <c r="G154" s="15"/>
      <c r="H154" s="51"/>
      <c r="M154" s="41"/>
      <c r="N154" s="41"/>
      <c r="O154" s="41"/>
      <c r="P154" s="41"/>
    </row>
    <row r="155" spans="2:17" s="4" customFormat="1" x14ac:dyDescent="0.25">
      <c r="B155" s="7"/>
      <c r="C155" s="19"/>
      <c r="D155" s="19"/>
      <c r="E155" s="19"/>
      <c r="F155" s="20"/>
      <c r="G155" s="15"/>
      <c r="H155" s="51"/>
      <c r="M155" s="41"/>
      <c r="N155" s="41"/>
      <c r="O155" s="41"/>
      <c r="P155" s="41"/>
    </row>
    <row r="156" spans="2:17" s="4" customFormat="1" x14ac:dyDescent="0.25">
      <c r="B156" s="189"/>
      <c r="C156" s="203"/>
      <c r="D156" s="203"/>
      <c r="E156" s="203"/>
      <c r="F156" s="20"/>
      <c r="G156" s="199"/>
      <c r="H156" s="51"/>
      <c r="M156" s="186"/>
      <c r="N156" s="186"/>
      <c r="O156" s="186"/>
      <c r="P156" s="186"/>
    </row>
    <row r="157" spans="2:17" s="4" customFormat="1" x14ac:dyDescent="0.25">
      <c r="B157" s="189"/>
      <c r="C157" s="203"/>
      <c r="D157" s="203"/>
      <c r="E157" s="203"/>
      <c r="F157" s="20"/>
      <c r="G157" s="199"/>
      <c r="H157" s="51"/>
      <c r="M157" s="186"/>
      <c r="N157" s="186"/>
      <c r="O157" s="186"/>
      <c r="P157" s="186"/>
    </row>
    <row r="158" spans="2:17" x14ac:dyDescent="0.25">
      <c r="B158" s="107" t="s">
        <v>146</v>
      </c>
    </row>
    <row r="159" spans="2:17" x14ac:dyDescent="0.25">
      <c r="C159" s="2"/>
    </row>
    <row r="160" spans="2:17" x14ac:dyDescent="0.25">
      <c r="B160" s="6" t="s">
        <v>148</v>
      </c>
      <c r="C160" s="136" t="s">
        <v>149</v>
      </c>
    </row>
    <row r="161" spans="2:18" x14ac:dyDescent="0.25">
      <c r="C161" s="15" t="s">
        <v>147</v>
      </c>
      <c r="F161" s="28" t="s">
        <v>150</v>
      </c>
      <c r="M161" s="2230">
        <v>120000</v>
      </c>
      <c r="N161" s="2230"/>
    </row>
    <row r="162" spans="2:18" x14ac:dyDescent="0.25">
      <c r="C162" s="15"/>
      <c r="F162" s="28" t="s">
        <v>151</v>
      </c>
      <c r="M162" s="2230">
        <v>140000</v>
      </c>
      <c r="N162" s="2230"/>
    </row>
    <row r="163" spans="2:18" x14ac:dyDescent="0.25">
      <c r="C163" s="15"/>
      <c r="F163" s="28" t="s">
        <v>153</v>
      </c>
      <c r="M163" s="2045">
        <f>+M162-M161</f>
        <v>20000</v>
      </c>
      <c r="N163" s="2045"/>
    </row>
    <row r="164" spans="2:18" ht="7.5" customHeight="1" x14ac:dyDescent="0.25">
      <c r="C164" s="15"/>
      <c r="F164" s="28"/>
      <c r="G164" s="27"/>
      <c r="H164" s="27"/>
      <c r="M164" s="49"/>
      <c r="N164" s="49"/>
    </row>
    <row r="165" spans="2:18" x14ac:dyDescent="0.25">
      <c r="C165" s="15" t="s">
        <v>152</v>
      </c>
      <c r="F165" s="28" t="s">
        <v>154</v>
      </c>
      <c r="M165" s="2230">
        <f>200000-140000</f>
        <v>60000</v>
      </c>
      <c r="N165" s="2230"/>
    </row>
    <row r="166" spans="2:18" x14ac:dyDescent="0.25">
      <c r="F166" s="28" t="s">
        <v>155</v>
      </c>
      <c r="M166" s="2230">
        <f>M165*0.1</f>
        <v>6000</v>
      </c>
      <c r="N166" s="2230"/>
    </row>
    <row r="167" spans="2:18" x14ac:dyDescent="0.25">
      <c r="F167" s="28" t="s">
        <v>156</v>
      </c>
      <c r="M167" s="2230">
        <f>+M166*0.21</f>
        <v>1260</v>
      </c>
      <c r="N167" s="2230"/>
    </row>
    <row r="168" spans="2:18" x14ac:dyDescent="0.25">
      <c r="F168" s="28" t="s">
        <v>157</v>
      </c>
      <c r="M168" s="2045">
        <f>+M165+M166+M167</f>
        <v>67260</v>
      </c>
      <c r="N168" s="2045"/>
    </row>
    <row r="169" spans="2:18" x14ac:dyDescent="0.25">
      <c r="F169" s="28"/>
    </row>
    <row r="170" spans="2:18" x14ac:dyDescent="0.25">
      <c r="B170" s="6" t="s">
        <v>160</v>
      </c>
      <c r="C170" s="112" t="s">
        <v>161</v>
      </c>
    </row>
    <row r="172" spans="2:18" x14ac:dyDescent="0.25">
      <c r="C172" s="2423" t="s">
        <v>162</v>
      </c>
      <c r="D172" s="2424"/>
      <c r="E172" s="2452" t="s">
        <v>165</v>
      </c>
      <c r="F172" s="2452"/>
      <c r="G172" s="2452"/>
      <c r="H172" s="2452"/>
      <c r="I172" s="2452" t="s">
        <v>166</v>
      </c>
      <c r="J172" s="2452"/>
      <c r="K172" s="2452"/>
      <c r="L172" s="2452"/>
      <c r="M172" s="2452" t="s">
        <v>167</v>
      </c>
      <c r="N172" s="2452"/>
      <c r="O172" s="2452"/>
      <c r="P172" s="2452"/>
    </row>
    <row r="173" spans="2:18" x14ac:dyDescent="0.25">
      <c r="C173" s="2425"/>
      <c r="D173" s="2426"/>
      <c r="E173" s="125" t="s">
        <v>163</v>
      </c>
      <c r="F173" s="125" t="s">
        <v>164</v>
      </c>
      <c r="G173" s="2452" t="s">
        <v>170</v>
      </c>
      <c r="H173" s="2452"/>
      <c r="I173" s="126" t="s">
        <v>163</v>
      </c>
      <c r="J173" s="125" t="s">
        <v>164</v>
      </c>
      <c r="K173" s="2452" t="s">
        <v>170</v>
      </c>
      <c r="L173" s="2452"/>
      <c r="M173" s="125" t="s">
        <v>163</v>
      </c>
      <c r="N173" s="125" t="s">
        <v>164</v>
      </c>
      <c r="O173" s="2452" t="s">
        <v>170</v>
      </c>
      <c r="P173" s="2452"/>
    </row>
    <row r="174" spans="2:18" x14ac:dyDescent="0.25">
      <c r="C174" s="2427" t="s">
        <v>169</v>
      </c>
      <c r="D174" s="2428"/>
      <c r="E174" s="2458"/>
      <c r="F174" s="2458"/>
      <c r="G174" s="2155"/>
      <c r="H174" s="2156"/>
      <c r="I174" s="2458"/>
      <c r="J174" s="2458"/>
      <c r="K174" s="2155"/>
      <c r="L174" s="2156"/>
      <c r="M174" s="115">
        <v>110</v>
      </c>
      <c r="N174" s="115">
        <v>800</v>
      </c>
      <c r="O174" s="2155">
        <f>+M174*N174</f>
        <v>88000</v>
      </c>
      <c r="P174" s="2156"/>
      <c r="R174" s="10"/>
    </row>
    <row r="175" spans="2:18" ht="17.25" x14ac:dyDescent="0.25">
      <c r="C175" s="2429"/>
      <c r="D175" s="2430"/>
      <c r="E175" s="2459"/>
      <c r="F175" s="2459"/>
      <c r="G175" s="1925"/>
      <c r="H175" s="1926"/>
      <c r="I175" s="2459"/>
      <c r="J175" s="2459"/>
      <c r="K175" s="1925"/>
      <c r="L175" s="1926"/>
      <c r="M175" s="119">
        <v>70</v>
      </c>
      <c r="N175" s="116">
        <v>840</v>
      </c>
      <c r="O175" s="2450">
        <f>+M175*N175</f>
        <v>58800</v>
      </c>
      <c r="P175" s="2451"/>
    </row>
    <row r="176" spans="2:18" x14ac:dyDescent="0.25">
      <c r="C176" s="2431"/>
      <c r="D176" s="2432"/>
      <c r="E176" s="2460"/>
      <c r="F176" s="2460"/>
      <c r="G176" s="2084"/>
      <c r="H176" s="2085"/>
      <c r="I176" s="2460"/>
      <c r="J176" s="2460"/>
      <c r="K176" s="2084"/>
      <c r="L176" s="2085"/>
      <c r="M176" s="117">
        <f>+M174+M175</f>
        <v>180</v>
      </c>
      <c r="N176" s="117"/>
      <c r="O176" s="1925">
        <f>+O174+O175</f>
        <v>146800</v>
      </c>
      <c r="P176" s="1926"/>
    </row>
    <row r="177" spans="2:16" x14ac:dyDescent="0.25">
      <c r="C177" s="2433" t="s">
        <v>168</v>
      </c>
      <c r="D177" s="2434"/>
      <c r="E177" s="2437">
        <v>300</v>
      </c>
      <c r="F177" s="2437">
        <f>+G177/E177</f>
        <v>769</v>
      </c>
      <c r="G177" s="2439">
        <f>+M117+M120</f>
        <v>230700</v>
      </c>
      <c r="H177" s="2440"/>
      <c r="I177" s="2458"/>
      <c r="J177" s="2458"/>
      <c r="K177" s="2155"/>
      <c r="L177" s="2156"/>
      <c r="M177" s="118">
        <f>+M174</f>
        <v>110</v>
      </c>
      <c r="N177" s="118">
        <f>+N174</f>
        <v>800</v>
      </c>
      <c r="O177" s="2155">
        <f>+M177*N177</f>
        <v>88000</v>
      </c>
      <c r="P177" s="2156"/>
    </row>
    <row r="178" spans="2:16" x14ac:dyDescent="0.25">
      <c r="C178" s="2435"/>
      <c r="D178" s="2436"/>
      <c r="E178" s="2438"/>
      <c r="F178" s="2438"/>
      <c r="G178" s="2441"/>
      <c r="H178" s="2442"/>
      <c r="I178" s="2459"/>
      <c r="J178" s="2459"/>
      <c r="K178" s="1925"/>
      <c r="L178" s="1926"/>
      <c r="M178" s="117">
        <f>+M175</f>
        <v>70</v>
      </c>
      <c r="N178" s="117">
        <f>+N175</f>
        <v>840</v>
      </c>
      <c r="O178" s="1925">
        <f>+M178*N178</f>
        <v>58800</v>
      </c>
      <c r="P178" s="1926"/>
    </row>
    <row r="179" spans="2:16" ht="17.25" x14ac:dyDescent="0.25">
      <c r="C179" s="2435"/>
      <c r="D179" s="2436"/>
      <c r="E179" s="2438"/>
      <c r="F179" s="2438"/>
      <c r="G179" s="2441"/>
      <c r="H179" s="2442"/>
      <c r="I179" s="2459"/>
      <c r="J179" s="2459"/>
      <c r="K179" s="1925"/>
      <c r="L179" s="1926"/>
      <c r="M179" s="120">
        <f>+E177</f>
        <v>300</v>
      </c>
      <c r="N179" s="117">
        <f>+F177</f>
        <v>769</v>
      </c>
      <c r="O179" s="2450">
        <f>+M179*N179</f>
        <v>230700</v>
      </c>
      <c r="P179" s="2451"/>
    </row>
    <row r="180" spans="2:16" x14ac:dyDescent="0.25">
      <c r="C180" s="2435"/>
      <c r="D180" s="2436"/>
      <c r="E180" s="2438"/>
      <c r="F180" s="2438"/>
      <c r="G180" s="2441"/>
      <c r="H180" s="2442"/>
      <c r="I180" s="2460"/>
      <c r="J180" s="2460"/>
      <c r="K180" s="2084"/>
      <c r="L180" s="2085"/>
      <c r="M180" s="117">
        <f>+M177+M178+M179</f>
        <v>480</v>
      </c>
      <c r="N180" s="116"/>
      <c r="O180" s="1925">
        <f>+O177+O178+O179</f>
        <v>377500</v>
      </c>
      <c r="P180" s="1926"/>
    </row>
    <row r="181" spans="2:16" x14ac:dyDescent="0.25">
      <c r="C181" s="2427" t="s">
        <v>266</v>
      </c>
      <c r="D181" s="2455"/>
      <c r="E181" s="2458"/>
      <c r="F181" s="2458"/>
      <c r="G181" s="2155"/>
      <c r="H181" s="2156"/>
      <c r="I181" s="118">
        <f>+M177</f>
        <v>110</v>
      </c>
      <c r="J181" s="121">
        <f>+N177</f>
        <v>800</v>
      </c>
      <c r="K181" s="2155">
        <f>+I181*J181</f>
        <v>88000</v>
      </c>
      <c r="L181" s="2156"/>
      <c r="M181" s="2437">
        <f>+M179-I183</f>
        <v>230</v>
      </c>
      <c r="N181" s="2437">
        <f>+N179</f>
        <v>769</v>
      </c>
      <c r="O181" s="2439">
        <f>+M181*N181</f>
        <v>176870</v>
      </c>
      <c r="P181" s="2440"/>
    </row>
    <row r="182" spans="2:16" x14ac:dyDescent="0.25">
      <c r="C182" s="2429"/>
      <c r="D182" s="2456"/>
      <c r="E182" s="2459"/>
      <c r="F182" s="2459"/>
      <c r="G182" s="1925"/>
      <c r="H182" s="1926"/>
      <c r="I182" s="117">
        <f>+M178</f>
        <v>70</v>
      </c>
      <c r="J182" s="122">
        <f>+N178</f>
        <v>840</v>
      </c>
      <c r="K182" s="1925">
        <f>+I182*J182</f>
        <v>58800</v>
      </c>
      <c r="L182" s="1926"/>
      <c r="M182" s="2438"/>
      <c r="N182" s="2438"/>
      <c r="O182" s="2441"/>
      <c r="P182" s="2442"/>
    </row>
    <row r="183" spans="2:16" ht="17.25" x14ac:dyDescent="0.25">
      <c r="C183" s="2429"/>
      <c r="D183" s="2456"/>
      <c r="E183" s="2459"/>
      <c r="F183" s="2459"/>
      <c r="G183" s="1925"/>
      <c r="H183" s="1926"/>
      <c r="I183" s="120">
        <f>+I184-I181-I182</f>
        <v>70</v>
      </c>
      <c r="J183" s="122">
        <f>+N179</f>
        <v>769</v>
      </c>
      <c r="K183" s="2450">
        <f>+I183*J183</f>
        <v>53830</v>
      </c>
      <c r="L183" s="2451"/>
      <c r="M183" s="2438"/>
      <c r="N183" s="2438"/>
      <c r="O183" s="2441"/>
      <c r="P183" s="2442"/>
    </row>
    <row r="184" spans="2:16" x14ac:dyDescent="0.25">
      <c r="C184" s="2431"/>
      <c r="D184" s="2457"/>
      <c r="E184" s="2460"/>
      <c r="F184" s="2460"/>
      <c r="G184" s="2084"/>
      <c r="H184" s="2085"/>
      <c r="I184" s="124">
        <v>250</v>
      </c>
      <c r="J184" s="123"/>
      <c r="K184" s="2084">
        <f>+SUM(K181:L183)</f>
        <v>200630</v>
      </c>
      <c r="L184" s="2085"/>
      <c r="M184" s="2461"/>
      <c r="N184" s="2461"/>
      <c r="O184" s="2453"/>
      <c r="P184" s="2454"/>
    </row>
    <row r="185" spans="2:16" x14ac:dyDescent="0.25">
      <c r="D185" s="100"/>
      <c r="E185" s="100"/>
      <c r="F185" s="100"/>
      <c r="G185" s="114"/>
      <c r="H185" s="114"/>
      <c r="I185" s="97"/>
      <c r="J185" s="97"/>
      <c r="K185" s="97"/>
      <c r="L185" s="97"/>
      <c r="M185" s="97"/>
      <c r="N185" s="97"/>
      <c r="O185" s="97"/>
    </row>
    <row r="186" spans="2:16" x14ac:dyDescent="0.25">
      <c r="D186" s="100"/>
      <c r="E186" s="100"/>
      <c r="F186" s="100"/>
      <c r="G186" s="114"/>
      <c r="H186" s="114"/>
      <c r="I186" s="97"/>
      <c r="J186" s="97"/>
      <c r="K186" s="97"/>
      <c r="L186" s="97"/>
      <c r="M186" s="97"/>
      <c r="N186" s="97"/>
      <c r="O186" s="97"/>
    </row>
    <row r="187" spans="2:16" x14ac:dyDescent="0.25">
      <c r="B187" s="6" t="s">
        <v>178</v>
      </c>
      <c r="C187" s="112" t="s">
        <v>179</v>
      </c>
    </row>
    <row r="188" spans="2:16" x14ac:dyDescent="0.25">
      <c r="C188" s="113"/>
      <c r="G188" s="27"/>
      <c r="H188" s="27"/>
    </row>
    <row r="189" spans="2:16" ht="15" customHeight="1" x14ac:dyDescent="0.25">
      <c r="C189" s="131"/>
      <c r="D189" s="132"/>
      <c r="E189" s="2449" t="s">
        <v>183</v>
      </c>
      <c r="F189" s="2449"/>
      <c r="G189" s="2449" t="s">
        <v>182</v>
      </c>
      <c r="H189" s="2449"/>
      <c r="I189" s="2443" t="s">
        <v>40</v>
      </c>
      <c r="J189" s="2444"/>
      <c r="K189" s="2445"/>
      <c r="L189" s="2421" t="s">
        <v>181</v>
      </c>
      <c r="M189" s="2421"/>
      <c r="N189" s="128"/>
      <c r="O189" s="2"/>
      <c r="P189" s="2"/>
    </row>
    <row r="190" spans="2:16" x14ac:dyDescent="0.25">
      <c r="C190" s="133"/>
      <c r="D190" s="134"/>
      <c r="E190" s="2449"/>
      <c r="F190" s="2449"/>
      <c r="G190" s="2449"/>
      <c r="H190" s="2449"/>
      <c r="I190" s="2446"/>
      <c r="J190" s="2447"/>
      <c r="K190" s="2448"/>
      <c r="L190" s="2421"/>
      <c r="M190" s="2421"/>
      <c r="N190" s="2415" t="s">
        <v>185</v>
      </c>
      <c r="O190" s="2416"/>
      <c r="P190" s="2416"/>
    </row>
    <row r="191" spans="2:16" x14ac:dyDescent="0.25">
      <c r="C191" s="72" t="s">
        <v>180</v>
      </c>
      <c r="D191" s="73"/>
      <c r="E191" s="2417">
        <v>200200</v>
      </c>
      <c r="F191" s="2417"/>
      <c r="G191" s="2417">
        <f>+E191*0.8</f>
        <v>160160</v>
      </c>
      <c r="H191" s="2417"/>
      <c r="I191" s="2419">
        <v>100000</v>
      </c>
      <c r="J191" s="2420"/>
      <c r="K191" s="130" t="s">
        <v>184</v>
      </c>
      <c r="L191" s="2422">
        <f>+G191/I191*2500</f>
        <v>4004</v>
      </c>
      <c r="M191" s="2422"/>
      <c r="N191" s="2415"/>
      <c r="O191" s="2416"/>
      <c r="P191" s="2416"/>
    </row>
    <row r="192" spans="2:16" x14ac:dyDescent="0.25">
      <c r="C192" s="72" t="s">
        <v>187</v>
      </c>
      <c r="D192" s="73"/>
      <c r="E192" s="2417">
        <v>500000</v>
      </c>
      <c r="F192" s="2417"/>
      <c r="G192" s="2417">
        <f>+E192*0.8*0.9</f>
        <v>360000</v>
      </c>
      <c r="H192" s="2417"/>
      <c r="I192" s="2419">
        <f>60*12</f>
        <v>720</v>
      </c>
      <c r="J192" s="2420"/>
      <c r="K192" s="130" t="s">
        <v>62</v>
      </c>
      <c r="L192" s="2422">
        <f>+G192/I192</f>
        <v>500</v>
      </c>
      <c r="M192" s="2422"/>
      <c r="N192" s="129" t="s">
        <v>186</v>
      </c>
      <c r="O192" s="2"/>
      <c r="P192" s="2"/>
    </row>
    <row r="193" spans="1:20" x14ac:dyDescent="0.25">
      <c r="C193" s="72" t="s">
        <v>188</v>
      </c>
      <c r="D193" s="74"/>
      <c r="E193" s="2417">
        <f>50000+10000+5000</f>
        <v>65000</v>
      </c>
      <c r="F193" s="2417"/>
      <c r="G193" s="2417">
        <v>60000</v>
      </c>
      <c r="H193" s="2417"/>
      <c r="I193" s="2419">
        <f>+G193/L193</f>
        <v>60</v>
      </c>
      <c r="J193" s="2420"/>
      <c r="K193" s="130" t="s">
        <v>62</v>
      </c>
      <c r="L193" s="2422">
        <v>1000</v>
      </c>
      <c r="M193" s="2422"/>
      <c r="N193" s="129" t="s">
        <v>189</v>
      </c>
      <c r="O193" s="2"/>
      <c r="P193" s="2"/>
    </row>
    <row r="194" spans="1:20" x14ac:dyDescent="0.25">
      <c r="C194" s="72" t="s">
        <v>190</v>
      </c>
      <c r="D194" s="74"/>
      <c r="E194" s="2417">
        <v>12000</v>
      </c>
      <c r="F194" s="2417"/>
      <c r="G194" s="2417">
        <v>12000</v>
      </c>
      <c r="H194" s="2417"/>
      <c r="I194" s="2419">
        <f>10*12</f>
        <v>120</v>
      </c>
      <c r="J194" s="2420"/>
      <c r="K194" s="130" t="s">
        <v>62</v>
      </c>
      <c r="L194" s="2422">
        <f>+G194/I194</f>
        <v>100</v>
      </c>
      <c r="M194" s="2422"/>
      <c r="N194" s="129" t="s">
        <v>191</v>
      </c>
      <c r="O194" s="2"/>
      <c r="P194" s="2"/>
    </row>
    <row r="195" spans="1:20" x14ac:dyDescent="0.25">
      <c r="C195" s="4"/>
      <c r="D195" s="42"/>
      <c r="E195" s="2418"/>
      <c r="F195" s="2418"/>
      <c r="G195" s="2418"/>
      <c r="H195" s="2418"/>
      <c r="I195" s="2418"/>
      <c r="J195" s="2418"/>
      <c r="K195" s="10"/>
      <c r="L195" s="2230"/>
      <c r="M195" s="2230"/>
      <c r="O195" s="2"/>
      <c r="P195" s="2"/>
    </row>
    <row r="196" spans="1:20" x14ac:dyDescent="0.25">
      <c r="C196" s="4"/>
      <c r="D196" s="42"/>
      <c r="E196" s="2418"/>
      <c r="F196" s="2418"/>
      <c r="G196" s="2418"/>
      <c r="H196" s="2418"/>
      <c r="I196" s="2418"/>
      <c r="J196" s="2418"/>
      <c r="K196" s="10"/>
      <c r="L196" s="2230"/>
      <c r="M196" s="2230"/>
      <c r="O196" s="2"/>
      <c r="P196" s="2"/>
    </row>
    <row r="197" spans="1:20" x14ac:dyDescent="0.25">
      <c r="D197" s="42"/>
      <c r="E197" s="7"/>
      <c r="F197" s="7"/>
      <c r="G197" s="2418"/>
      <c r="H197" s="2418"/>
      <c r="I197" s="2418"/>
      <c r="J197" s="2418"/>
      <c r="K197" s="10"/>
      <c r="L197" s="2230"/>
      <c r="M197" s="2230"/>
      <c r="O197" s="2"/>
      <c r="P197" s="2"/>
    </row>
    <row r="198" spans="1:20" x14ac:dyDescent="0.25">
      <c r="I198" s="2418"/>
      <c r="J198" s="2418"/>
      <c r="K198" s="2418"/>
      <c r="L198" s="2418"/>
    </row>
    <row r="199" spans="1:20" x14ac:dyDescent="0.25">
      <c r="I199" s="2418"/>
      <c r="J199" s="2418"/>
      <c r="K199" s="2418"/>
      <c r="L199" s="2418"/>
    </row>
    <row r="202" spans="1:20" x14ac:dyDescent="0.25">
      <c r="C202" s="171"/>
      <c r="D202" s="173"/>
      <c r="E202" s="173"/>
      <c r="F202" s="173"/>
      <c r="G202" s="174"/>
      <c r="H202" s="174"/>
      <c r="I202" s="175"/>
      <c r="J202" s="175"/>
      <c r="K202" s="175"/>
      <c r="L202" s="175"/>
      <c r="M202" s="176"/>
      <c r="N202" s="176"/>
      <c r="O202" s="176"/>
      <c r="P202" s="176"/>
      <c r="Q202" s="175"/>
      <c r="R202" s="175"/>
      <c r="S202" s="175"/>
      <c r="T202" s="175"/>
    </row>
    <row r="203" spans="1:20" x14ac:dyDescent="0.25">
      <c r="C203" s="171"/>
      <c r="D203" s="173"/>
      <c r="E203" s="173"/>
      <c r="F203" s="173"/>
      <c r="G203" s="174"/>
      <c r="H203" s="174"/>
      <c r="I203" s="175"/>
      <c r="J203" s="175"/>
      <c r="K203" s="175"/>
      <c r="L203" s="175"/>
      <c r="M203" s="176"/>
      <c r="N203" s="176"/>
      <c r="O203" s="176"/>
      <c r="P203" s="176"/>
      <c r="Q203" s="175"/>
      <c r="R203" s="175"/>
      <c r="S203" s="175"/>
      <c r="T203" s="175"/>
    </row>
    <row r="204" spans="1:20" x14ac:dyDescent="0.25">
      <c r="C204" s="172"/>
      <c r="D204" s="177"/>
      <c r="E204" s="177"/>
      <c r="F204" s="177"/>
      <c r="G204" s="178"/>
      <c r="H204" s="178"/>
      <c r="I204" s="179"/>
      <c r="J204" s="179"/>
      <c r="K204" s="179"/>
      <c r="L204" s="179"/>
      <c r="M204" s="180"/>
      <c r="N204" s="180"/>
      <c r="O204" s="180"/>
      <c r="P204" s="180"/>
      <c r="Q204" s="175"/>
      <c r="R204" s="175"/>
      <c r="S204" s="175"/>
      <c r="T204" s="175"/>
    </row>
    <row r="205" spans="1:20" x14ac:dyDescent="0.25">
      <c r="D205" s="2004"/>
      <c r="E205" s="2004"/>
    </row>
    <row r="206" spans="1:20" s="4" customFormat="1" x14ac:dyDescent="0.25">
      <c r="B206" s="189"/>
      <c r="C206" s="12"/>
      <c r="D206" s="12"/>
      <c r="E206" s="12"/>
      <c r="F206" s="12"/>
      <c r="G206" s="51"/>
      <c r="H206" s="51"/>
      <c r="M206" s="18"/>
      <c r="N206" s="18"/>
      <c r="O206" s="18"/>
      <c r="P206" s="18"/>
    </row>
    <row r="207" spans="1:20" x14ac:dyDescent="0.25">
      <c r="A207" s="3"/>
      <c r="B207" s="200"/>
      <c r="C207" s="11"/>
      <c r="D207" s="11"/>
      <c r="E207" s="11"/>
      <c r="F207" s="11"/>
      <c r="G207" s="24"/>
      <c r="H207" s="24"/>
      <c r="I207" s="3"/>
      <c r="J207" s="3"/>
      <c r="K207" s="3"/>
      <c r="L207" s="3"/>
      <c r="M207" s="22"/>
      <c r="N207" s="22"/>
      <c r="O207" s="22"/>
      <c r="P207" s="22"/>
      <c r="Q207" s="3"/>
    </row>
    <row r="208" spans="1:20" x14ac:dyDescent="0.25">
      <c r="A208" s="1844" t="s">
        <v>20</v>
      </c>
      <c r="B208" s="1845"/>
      <c r="C208" s="1845"/>
      <c r="D208" s="1845"/>
      <c r="E208" s="1845"/>
      <c r="F208" s="1845"/>
      <c r="G208" s="1845"/>
      <c r="H208" s="1845"/>
      <c r="I208" s="1845"/>
      <c r="J208" s="1845"/>
      <c r="K208" s="1845"/>
      <c r="L208" s="1845"/>
      <c r="M208" s="1845"/>
      <c r="N208" s="1845"/>
      <c r="O208" s="1845"/>
      <c r="P208" s="1845"/>
      <c r="Q208" s="1846"/>
    </row>
    <row r="209" spans="1:17" x14ac:dyDescent="0.25">
      <c r="A209" s="1847" t="s">
        <v>192</v>
      </c>
      <c r="B209" s="1848"/>
      <c r="C209" s="1848"/>
      <c r="D209" s="1848"/>
      <c r="E209" s="1848"/>
      <c r="F209" s="1848"/>
      <c r="G209" s="1848"/>
      <c r="H209" s="1848"/>
      <c r="I209" s="1848"/>
      <c r="J209" s="1848"/>
      <c r="K209" s="1848"/>
      <c r="L209" s="1848"/>
      <c r="M209" s="1848"/>
      <c r="N209" s="1848"/>
      <c r="O209" s="1848"/>
      <c r="P209" s="1848"/>
      <c r="Q209" s="1849"/>
    </row>
    <row r="210" spans="1:17" x14ac:dyDescent="0.25">
      <c r="A210" s="1"/>
      <c r="B210" s="1"/>
      <c r="C210" s="1"/>
      <c r="D210" s="1"/>
      <c r="E210" s="1"/>
      <c r="F210" s="1"/>
      <c r="G210" s="1"/>
      <c r="H210" s="1"/>
      <c r="I210" s="1"/>
      <c r="J210" s="1"/>
      <c r="K210" s="1"/>
      <c r="L210" s="1"/>
      <c r="M210" s="2468" t="s">
        <v>9</v>
      </c>
      <c r="N210" s="2468"/>
      <c r="O210" s="2468" t="s">
        <v>8</v>
      </c>
      <c r="P210" s="2468"/>
      <c r="Q210" s="1"/>
    </row>
    <row r="211" spans="1:17" x14ac:dyDescent="0.25">
      <c r="B211" s="108">
        <v>1</v>
      </c>
      <c r="C211" s="17"/>
      <c r="D211" s="45"/>
      <c r="E211" s="53"/>
      <c r="F211" s="53"/>
      <c r="G211" s="2094"/>
      <c r="H211" s="2094"/>
      <c r="I211" s="29"/>
      <c r="J211" s="29"/>
      <c r="K211" s="29"/>
      <c r="L211" s="53"/>
      <c r="M211" s="2154"/>
      <c r="N211" s="2154"/>
      <c r="O211" s="2154"/>
      <c r="P211" s="2154"/>
    </row>
    <row r="212" spans="1:17" x14ac:dyDescent="0.25">
      <c r="B212" s="30" t="s">
        <v>11</v>
      </c>
      <c r="C212" s="9" t="s">
        <v>193</v>
      </c>
      <c r="D212" s="31"/>
      <c r="E212" s="19"/>
      <c r="F212" s="45"/>
      <c r="G212" s="51"/>
      <c r="H212" s="51"/>
      <c r="I212" s="4"/>
      <c r="J212" s="4"/>
      <c r="K212" s="4"/>
      <c r="L212" s="45"/>
      <c r="M212" s="2008">
        <f>24200/1.21</f>
        <v>20000</v>
      </c>
      <c r="N212" s="2009"/>
      <c r="O212" s="2012"/>
      <c r="P212" s="2009"/>
    </row>
    <row r="213" spans="1:17" x14ac:dyDescent="0.25">
      <c r="B213" s="38" t="s">
        <v>11</v>
      </c>
      <c r="C213" s="9" t="s">
        <v>13</v>
      </c>
      <c r="D213" s="19"/>
      <c r="E213" s="19"/>
      <c r="F213" s="20"/>
      <c r="G213" s="15"/>
      <c r="H213" s="51"/>
      <c r="I213" s="4"/>
      <c r="J213" s="4"/>
      <c r="K213" s="4"/>
      <c r="L213" s="45"/>
      <c r="M213" s="2008">
        <f>+M323</f>
        <v>4599</v>
      </c>
      <c r="N213" s="2009"/>
      <c r="O213" s="2008"/>
      <c r="P213" s="2009"/>
    </row>
    <row r="214" spans="1:17" x14ac:dyDescent="0.25">
      <c r="B214" s="7" t="s">
        <v>105</v>
      </c>
      <c r="C214" s="9" t="s">
        <v>106</v>
      </c>
      <c r="D214" s="19"/>
      <c r="E214" s="19"/>
      <c r="F214" s="20"/>
      <c r="G214" s="15"/>
      <c r="H214" s="15"/>
      <c r="I214" s="4"/>
      <c r="J214" s="4"/>
      <c r="K214" s="4"/>
      <c r="L214" s="4"/>
      <c r="M214" s="2008">
        <v>100</v>
      </c>
      <c r="N214" s="2009"/>
      <c r="O214" s="2008"/>
      <c r="P214" s="2009"/>
    </row>
    <row r="215" spans="1:17" x14ac:dyDescent="0.25">
      <c r="B215" s="7" t="s">
        <v>15</v>
      </c>
      <c r="C215" s="65" t="s">
        <v>195</v>
      </c>
      <c r="D215" s="64"/>
      <c r="E215" s="64"/>
      <c r="F215" s="20"/>
      <c r="G215" s="63"/>
      <c r="H215" s="63"/>
      <c r="I215" s="4"/>
      <c r="J215" s="4"/>
      <c r="K215" s="4"/>
      <c r="L215" s="4"/>
      <c r="M215" s="2008">
        <v>1700</v>
      </c>
      <c r="N215" s="2009"/>
      <c r="O215" s="56"/>
      <c r="P215" s="58"/>
    </row>
    <row r="216" spans="1:17" x14ac:dyDescent="0.25">
      <c r="B216" s="7" t="s">
        <v>142</v>
      </c>
      <c r="C216" s="65" t="s">
        <v>143</v>
      </c>
      <c r="D216" s="64"/>
      <c r="E216" s="64"/>
      <c r="F216" s="20"/>
      <c r="G216" s="63"/>
      <c r="H216" s="63"/>
      <c r="I216" s="4"/>
      <c r="J216" s="4"/>
      <c r="K216" s="4"/>
      <c r="L216" s="4"/>
      <c r="M216" s="2008">
        <f>+M316</f>
        <v>1400</v>
      </c>
      <c r="N216" s="2009"/>
      <c r="O216" s="2008"/>
      <c r="P216" s="2009"/>
    </row>
    <row r="217" spans="1:17" x14ac:dyDescent="0.25">
      <c r="B217" s="7" t="s">
        <v>15</v>
      </c>
      <c r="C217" s="65" t="s">
        <v>194</v>
      </c>
      <c r="D217" s="64"/>
      <c r="E217" s="64"/>
      <c r="F217" s="20"/>
      <c r="G217" s="63"/>
      <c r="H217" s="63"/>
      <c r="I217" s="4"/>
      <c r="J217" s="4"/>
      <c r="K217" s="4"/>
      <c r="L217" s="4"/>
      <c r="M217" s="2008">
        <v>500</v>
      </c>
      <c r="N217" s="2009"/>
      <c r="O217" s="2008"/>
      <c r="P217" s="2009"/>
    </row>
    <row r="218" spans="1:17" x14ac:dyDescent="0.25">
      <c r="B218" s="7" t="s">
        <v>14</v>
      </c>
      <c r="C218" s="65"/>
      <c r="D218" s="64"/>
      <c r="E218" s="64"/>
      <c r="F218" s="20" t="s">
        <v>1</v>
      </c>
      <c r="G218" s="63" t="s">
        <v>29</v>
      </c>
      <c r="H218" s="63"/>
      <c r="I218" s="4"/>
      <c r="J218" s="4"/>
      <c r="K218" s="4"/>
      <c r="L218" s="4"/>
      <c r="M218" s="2008"/>
      <c r="N218" s="2009"/>
      <c r="O218" s="2008">
        <v>12000</v>
      </c>
      <c r="P218" s="2009"/>
    </row>
    <row r="219" spans="1:17" x14ac:dyDescent="0.25">
      <c r="B219" s="7" t="s">
        <v>17</v>
      </c>
      <c r="C219" s="65"/>
      <c r="D219" s="64"/>
      <c r="E219" s="64"/>
      <c r="F219" s="20" t="s">
        <v>1</v>
      </c>
      <c r="G219" s="63" t="s">
        <v>6</v>
      </c>
      <c r="H219" s="63"/>
      <c r="I219" s="4"/>
      <c r="J219" s="4"/>
      <c r="K219" s="4"/>
      <c r="L219" s="4"/>
      <c r="M219" s="2008"/>
      <c r="N219" s="2009"/>
      <c r="O219" s="2008">
        <f>+M318</f>
        <v>15694</v>
      </c>
      <c r="P219" s="2009"/>
    </row>
    <row r="220" spans="1:17" x14ac:dyDescent="0.25">
      <c r="B220" s="7" t="s">
        <v>14</v>
      </c>
      <c r="C220" s="65"/>
      <c r="D220" s="64"/>
      <c r="E220" s="64"/>
      <c r="F220" s="20" t="s">
        <v>1</v>
      </c>
      <c r="G220" s="63" t="s">
        <v>10</v>
      </c>
      <c r="H220" s="63"/>
      <c r="I220" s="4"/>
      <c r="J220" s="4"/>
      <c r="K220" s="4"/>
      <c r="L220" s="4"/>
      <c r="M220" s="2008"/>
      <c r="N220" s="2009"/>
      <c r="O220" s="2008">
        <f>500*1.21</f>
        <v>605</v>
      </c>
      <c r="P220" s="2009"/>
    </row>
    <row r="221" spans="1:17" x14ac:dyDescent="0.25">
      <c r="C221" s="101" t="s">
        <v>196</v>
      </c>
      <c r="D221" s="64"/>
      <c r="E221" s="64"/>
      <c r="F221" s="20"/>
      <c r="G221" s="63"/>
      <c r="H221" s="63"/>
      <c r="I221" s="4"/>
      <c r="J221" s="4"/>
      <c r="K221" s="4"/>
      <c r="L221" s="4"/>
      <c r="M221" s="2008"/>
      <c r="N221" s="2009"/>
      <c r="O221" s="2008"/>
      <c r="P221" s="2009"/>
    </row>
    <row r="222" spans="1:17" x14ac:dyDescent="0.25">
      <c r="B222" s="111">
        <v>2</v>
      </c>
      <c r="C222" s="2110" t="s">
        <v>21</v>
      </c>
      <c r="D222" s="2090"/>
      <c r="E222" s="2090"/>
      <c r="F222" s="2090"/>
      <c r="G222" s="2096"/>
      <c r="H222" s="2096"/>
      <c r="I222" s="2090" t="s">
        <v>21</v>
      </c>
      <c r="J222" s="2090"/>
      <c r="K222" s="2090"/>
      <c r="L222" s="2090"/>
      <c r="M222" s="2008"/>
      <c r="N222" s="2012"/>
      <c r="O222" s="2008"/>
      <c r="P222" s="2012"/>
      <c r="Q222" s="8"/>
    </row>
    <row r="223" spans="1:17" x14ac:dyDescent="0.25">
      <c r="B223" s="7" t="s">
        <v>11</v>
      </c>
      <c r="C223" s="9" t="s">
        <v>29</v>
      </c>
      <c r="D223" s="19"/>
      <c r="E223" s="19"/>
      <c r="F223" s="19"/>
      <c r="G223" s="51"/>
      <c r="H223" s="51"/>
      <c r="I223" s="4"/>
      <c r="J223" s="4"/>
      <c r="K223" s="4"/>
      <c r="L223" s="45"/>
      <c r="M223" s="2008">
        <f>+O225+1500</f>
        <v>21500</v>
      </c>
      <c r="N223" s="2012"/>
      <c r="O223" s="2008"/>
      <c r="P223" s="2012"/>
      <c r="Q223" s="8"/>
    </row>
    <row r="224" spans="1:17" x14ac:dyDescent="0.25">
      <c r="B224" s="7" t="s">
        <v>11</v>
      </c>
      <c r="C224" s="9" t="s">
        <v>13</v>
      </c>
      <c r="D224" s="19"/>
      <c r="E224" s="19"/>
      <c r="F224" s="19"/>
      <c r="G224" s="51"/>
      <c r="H224" s="51"/>
      <c r="I224" s="4"/>
      <c r="J224" s="4"/>
      <c r="K224" s="4"/>
      <c r="L224" s="45"/>
      <c r="M224" s="2008">
        <f>1500*0.21</f>
        <v>315</v>
      </c>
      <c r="N224" s="2012"/>
      <c r="O224" s="2008"/>
      <c r="P224" s="2012"/>
      <c r="Q224" s="8"/>
    </row>
    <row r="225" spans="1:17" x14ac:dyDescent="0.25">
      <c r="B225" s="7" t="s">
        <v>14</v>
      </c>
      <c r="C225" s="9"/>
      <c r="D225" s="19"/>
      <c r="E225" s="19"/>
      <c r="F225" s="20" t="s">
        <v>1</v>
      </c>
      <c r="G225" s="15" t="s">
        <v>193</v>
      </c>
      <c r="H225" s="51"/>
      <c r="I225" s="4"/>
      <c r="J225" s="4"/>
      <c r="K225" s="4"/>
      <c r="L225" s="45"/>
      <c r="M225" s="40"/>
      <c r="N225" s="41"/>
      <c r="O225" s="2008">
        <f>+M212</f>
        <v>20000</v>
      </c>
      <c r="P225" s="2009"/>
      <c r="Q225" s="4"/>
    </row>
    <row r="226" spans="1:17" x14ac:dyDescent="0.25">
      <c r="A226" s="4"/>
      <c r="B226" s="7" t="s">
        <v>14</v>
      </c>
      <c r="C226" s="9"/>
      <c r="D226" s="19"/>
      <c r="E226" s="19"/>
      <c r="F226" s="20" t="s">
        <v>1</v>
      </c>
      <c r="G226" s="15" t="s">
        <v>67</v>
      </c>
      <c r="H226" s="51"/>
      <c r="I226" s="4"/>
      <c r="J226" s="4"/>
      <c r="K226" s="4"/>
      <c r="L226" s="4"/>
      <c r="M226" s="2008"/>
      <c r="N226" s="2012"/>
      <c r="O226" s="2008">
        <f>1500*1.21</f>
        <v>1815</v>
      </c>
      <c r="P226" s="2009"/>
      <c r="Q226" s="4"/>
    </row>
    <row r="227" spans="1:17" x14ac:dyDescent="0.25">
      <c r="B227" s="111">
        <v>3</v>
      </c>
      <c r="C227" s="2110" t="s">
        <v>21</v>
      </c>
      <c r="D227" s="2090"/>
      <c r="E227" s="2090"/>
      <c r="F227" s="2090"/>
      <c r="G227" s="2096"/>
      <c r="H227" s="2096"/>
      <c r="I227" s="2090" t="s">
        <v>21</v>
      </c>
      <c r="J227" s="2090"/>
      <c r="K227" s="2090"/>
      <c r="L227" s="2090"/>
      <c r="M227" s="2008"/>
      <c r="N227" s="2012"/>
      <c r="O227" s="2008"/>
      <c r="P227" s="2012"/>
      <c r="Q227" s="8"/>
    </row>
    <row r="228" spans="1:17" x14ac:dyDescent="0.25">
      <c r="B228" s="7" t="s">
        <v>11</v>
      </c>
      <c r="C228" s="65" t="s">
        <v>5</v>
      </c>
      <c r="D228" s="64"/>
      <c r="E228" s="64"/>
      <c r="F228" s="64"/>
      <c r="G228" s="51"/>
      <c r="H228" s="51"/>
      <c r="I228" s="4"/>
      <c r="J228" s="4"/>
      <c r="K228" s="4"/>
      <c r="L228" s="59"/>
      <c r="M228" s="2008">
        <f>(40*1800)+200</f>
        <v>72200</v>
      </c>
      <c r="N228" s="2012"/>
      <c r="O228" s="2008"/>
      <c r="P228" s="2012"/>
      <c r="Q228" s="8"/>
    </row>
    <row r="229" spans="1:17" x14ac:dyDescent="0.25">
      <c r="B229" s="7" t="s">
        <v>11</v>
      </c>
      <c r="C229" s="65" t="s">
        <v>13</v>
      </c>
      <c r="D229" s="64"/>
      <c r="E229" s="64"/>
      <c r="F229" s="64"/>
      <c r="G229" s="51"/>
      <c r="H229" s="51"/>
      <c r="I229" s="4"/>
      <c r="J229" s="4"/>
      <c r="K229" s="4"/>
      <c r="L229" s="59"/>
      <c r="M229" s="2008">
        <f>40*1800*0.21</f>
        <v>15120</v>
      </c>
      <c r="N229" s="2012"/>
      <c r="O229" s="2008"/>
      <c r="P229" s="2012"/>
      <c r="Q229" s="8"/>
    </row>
    <row r="230" spans="1:17" x14ac:dyDescent="0.25">
      <c r="B230" s="7" t="s">
        <v>14</v>
      </c>
      <c r="C230" s="65"/>
      <c r="D230" s="64"/>
      <c r="E230" s="64"/>
      <c r="F230" s="20" t="s">
        <v>1</v>
      </c>
      <c r="G230" s="63" t="s">
        <v>10</v>
      </c>
      <c r="H230" s="51"/>
      <c r="I230" s="4"/>
      <c r="J230" s="4"/>
      <c r="K230" s="4"/>
      <c r="L230" s="59"/>
      <c r="M230" s="56"/>
      <c r="N230" s="57"/>
      <c r="O230" s="2008">
        <f>+M228+M229</f>
        <v>87320</v>
      </c>
      <c r="P230" s="2009"/>
      <c r="Q230" s="4"/>
    </row>
    <row r="231" spans="1:17" x14ac:dyDescent="0.25">
      <c r="B231" s="111">
        <v>4</v>
      </c>
      <c r="C231" s="2110" t="s">
        <v>21</v>
      </c>
      <c r="D231" s="2090"/>
      <c r="E231" s="2090"/>
      <c r="F231" s="2090"/>
      <c r="G231" s="2096"/>
      <c r="H231" s="2096"/>
      <c r="I231" s="2090" t="s">
        <v>21</v>
      </c>
      <c r="J231" s="2090"/>
      <c r="K231" s="2090"/>
      <c r="L231" s="2090"/>
      <c r="M231" s="2008"/>
      <c r="N231" s="2012"/>
      <c r="O231" s="2008"/>
      <c r="P231" s="2012"/>
      <c r="Q231" s="8"/>
    </row>
    <row r="232" spans="1:17" x14ac:dyDescent="0.25">
      <c r="B232" s="7" t="s">
        <v>207</v>
      </c>
      <c r="C232" s="65" t="s">
        <v>63</v>
      </c>
      <c r="D232" s="64"/>
      <c r="E232" s="64"/>
      <c r="F232" s="64"/>
      <c r="G232" s="51"/>
      <c r="H232" s="51"/>
      <c r="I232" s="4"/>
      <c r="J232" s="4"/>
      <c r="K232" s="4"/>
      <c r="L232" s="59"/>
      <c r="M232" s="2008">
        <v>150000</v>
      </c>
      <c r="N232" s="2012"/>
      <c r="O232" s="2008"/>
      <c r="P232" s="2012"/>
      <c r="Q232" s="8"/>
    </row>
    <row r="233" spans="1:17" x14ac:dyDescent="0.25">
      <c r="B233" s="7" t="s">
        <v>11</v>
      </c>
      <c r="C233" s="65" t="s">
        <v>67</v>
      </c>
      <c r="D233" s="64"/>
      <c r="E233" s="64"/>
      <c r="F233" s="64"/>
      <c r="G233" s="51"/>
      <c r="H233" s="51"/>
      <c r="I233" s="4"/>
      <c r="J233" s="4"/>
      <c r="K233" s="4"/>
      <c r="L233" s="59"/>
      <c r="M233" s="2008">
        <f>350000-M232</f>
        <v>200000</v>
      </c>
      <c r="N233" s="2012"/>
      <c r="O233" s="2008"/>
      <c r="P233" s="2012"/>
      <c r="Q233" s="8"/>
    </row>
    <row r="234" spans="1:17" x14ac:dyDescent="0.25">
      <c r="B234" s="7" t="s">
        <v>105</v>
      </c>
      <c r="C234" s="65" t="s">
        <v>102</v>
      </c>
      <c r="D234" s="64"/>
      <c r="E234" s="64"/>
      <c r="F234" s="64"/>
      <c r="G234" s="51"/>
      <c r="H234" s="51"/>
      <c r="I234" s="4"/>
      <c r="J234" s="4"/>
      <c r="K234" s="4"/>
      <c r="L234" s="59"/>
      <c r="M234" s="2008">
        <v>500</v>
      </c>
      <c r="N234" s="2012"/>
      <c r="O234" s="2008"/>
      <c r="P234" s="2009"/>
      <c r="Q234" s="4"/>
    </row>
    <row r="235" spans="1:17" x14ac:dyDescent="0.25">
      <c r="B235" s="7" t="s">
        <v>14</v>
      </c>
      <c r="C235" s="65"/>
      <c r="D235" s="64"/>
      <c r="E235" s="64"/>
      <c r="F235" s="20" t="s">
        <v>1</v>
      </c>
      <c r="G235" s="63" t="s">
        <v>4</v>
      </c>
      <c r="H235" s="51"/>
      <c r="I235" s="4"/>
      <c r="J235" s="4"/>
      <c r="K235" s="4"/>
      <c r="L235" s="59"/>
      <c r="M235" s="56"/>
      <c r="N235" s="57"/>
      <c r="O235" s="2008">
        <v>300000</v>
      </c>
      <c r="P235" s="2009"/>
      <c r="Q235" s="4"/>
    </row>
    <row r="236" spans="1:17" x14ac:dyDescent="0.25">
      <c r="A236" s="4"/>
      <c r="B236" s="7" t="s">
        <v>16</v>
      </c>
      <c r="C236" s="65"/>
      <c r="D236" s="64"/>
      <c r="E236" s="64"/>
      <c r="F236" s="20" t="s">
        <v>1</v>
      </c>
      <c r="G236" s="63" t="s">
        <v>208</v>
      </c>
      <c r="H236" s="51"/>
      <c r="I236" s="4"/>
      <c r="J236" s="4"/>
      <c r="K236" s="4"/>
      <c r="L236" s="4"/>
      <c r="M236" s="2008"/>
      <c r="N236" s="2012"/>
      <c r="O236" s="2008">
        <f>+M232+M233+M234-O235</f>
        <v>50500</v>
      </c>
      <c r="P236" s="2009"/>
      <c r="Q236" s="4"/>
    </row>
    <row r="237" spans="1:17" x14ac:dyDescent="0.25">
      <c r="B237" s="111">
        <v>5</v>
      </c>
      <c r="C237" s="2110" t="s">
        <v>21</v>
      </c>
      <c r="D237" s="2090"/>
      <c r="E237" s="2090"/>
      <c r="F237" s="2090"/>
      <c r="G237" s="2096"/>
      <c r="H237" s="2096"/>
      <c r="I237" s="2090" t="s">
        <v>21</v>
      </c>
      <c r="J237" s="2090"/>
      <c r="K237" s="2090"/>
      <c r="L237" s="2090"/>
      <c r="M237" s="2008"/>
      <c r="N237" s="2012"/>
      <c r="O237" s="2008"/>
      <c r="P237" s="2012"/>
      <c r="Q237" s="8"/>
    </row>
    <row r="238" spans="1:17" x14ac:dyDescent="0.25">
      <c r="B238" s="7" t="s">
        <v>11</v>
      </c>
      <c r="C238" s="65" t="s">
        <v>5</v>
      </c>
      <c r="D238" s="64"/>
      <c r="E238" s="64"/>
      <c r="F238" s="64"/>
      <c r="G238" s="51"/>
      <c r="H238" s="51"/>
      <c r="I238" s="4"/>
      <c r="J238" s="4"/>
      <c r="K238" s="4"/>
      <c r="L238" s="59"/>
      <c r="M238" s="2222">
        <f>10*2879.8/1.21</f>
        <v>23800</v>
      </c>
      <c r="N238" s="2229"/>
      <c r="O238" s="2008"/>
      <c r="P238" s="2012"/>
      <c r="Q238" s="8"/>
    </row>
    <row r="239" spans="1:17" x14ac:dyDescent="0.25">
      <c r="B239" s="7" t="s">
        <v>11</v>
      </c>
      <c r="C239" s="65" t="s">
        <v>13</v>
      </c>
      <c r="D239" s="64"/>
      <c r="E239" s="64"/>
      <c r="F239" s="64"/>
      <c r="G239" s="51"/>
      <c r="H239" s="51"/>
      <c r="I239" s="4"/>
      <c r="J239" s="4"/>
      <c r="K239" s="4"/>
      <c r="L239" s="59"/>
      <c r="M239" s="2008">
        <f>+M238*0.21</f>
        <v>4998</v>
      </c>
      <c r="N239" s="2012"/>
      <c r="O239" s="2008"/>
      <c r="P239" s="2012"/>
      <c r="Q239" s="8"/>
    </row>
    <row r="240" spans="1:17" x14ac:dyDescent="0.25">
      <c r="B240" s="7" t="s">
        <v>17</v>
      </c>
      <c r="C240" s="65"/>
      <c r="D240" s="64"/>
      <c r="E240" s="64"/>
      <c r="F240" s="20" t="s">
        <v>1</v>
      </c>
      <c r="G240" s="63" t="s">
        <v>2</v>
      </c>
      <c r="H240" s="51"/>
      <c r="I240" s="4"/>
      <c r="J240" s="4"/>
      <c r="K240" s="4"/>
      <c r="L240" s="59"/>
      <c r="M240" s="2008"/>
      <c r="N240" s="2012"/>
      <c r="O240" s="2008">
        <f>+(M239+M238)*0.4</f>
        <v>11519.2</v>
      </c>
      <c r="P240" s="2009"/>
      <c r="Q240" s="4"/>
    </row>
    <row r="241" spans="2:17" x14ac:dyDescent="0.25">
      <c r="B241" s="7" t="s">
        <v>14</v>
      </c>
      <c r="C241" s="65"/>
      <c r="D241" s="64"/>
      <c r="E241" s="64"/>
      <c r="F241" s="20" t="s">
        <v>1</v>
      </c>
      <c r="G241" s="63" t="s">
        <v>67</v>
      </c>
      <c r="H241" s="51"/>
      <c r="I241" s="4"/>
      <c r="J241" s="4"/>
      <c r="K241" s="4"/>
      <c r="L241" s="59"/>
      <c r="M241" s="56"/>
      <c r="N241" s="57"/>
      <c r="O241" s="2008">
        <f>+(M238+M239)*0.6</f>
        <v>17278.8</v>
      </c>
      <c r="P241" s="2009"/>
      <c r="Q241" s="4"/>
    </row>
    <row r="242" spans="2:17" x14ac:dyDescent="0.25">
      <c r="B242" s="111">
        <v>6</v>
      </c>
      <c r="C242" s="2110" t="s">
        <v>21</v>
      </c>
      <c r="D242" s="2090"/>
      <c r="E242" s="2090"/>
      <c r="F242" s="2090"/>
      <c r="G242" s="2096"/>
      <c r="H242" s="2096"/>
      <c r="I242" s="2090" t="s">
        <v>21</v>
      </c>
      <c r="J242" s="2090"/>
      <c r="K242" s="2090"/>
      <c r="L242" s="2090"/>
      <c r="M242" s="2008"/>
      <c r="N242" s="2012"/>
      <c r="O242" s="2008"/>
      <c r="P242" s="2012"/>
      <c r="Q242" s="8"/>
    </row>
    <row r="243" spans="2:17" x14ac:dyDescent="0.25">
      <c r="B243" s="7" t="s">
        <v>11</v>
      </c>
      <c r="C243" s="65" t="s">
        <v>4</v>
      </c>
      <c r="D243" s="64"/>
      <c r="E243" s="64"/>
      <c r="F243" s="64"/>
      <c r="G243" s="51"/>
      <c r="H243" s="51"/>
      <c r="I243" s="4"/>
      <c r="J243" s="4"/>
      <c r="K243" s="4"/>
      <c r="L243" s="59"/>
      <c r="M243" s="2008">
        <v>201000</v>
      </c>
      <c r="N243" s="2012"/>
      <c r="O243" s="2008"/>
      <c r="P243" s="2012"/>
      <c r="Q243" s="8"/>
    </row>
    <row r="244" spans="2:17" x14ac:dyDescent="0.25">
      <c r="B244" s="7" t="s">
        <v>14</v>
      </c>
      <c r="C244" s="65"/>
      <c r="D244" s="64"/>
      <c r="E244" s="64"/>
      <c r="F244" s="20" t="s">
        <v>1</v>
      </c>
      <c r="G244" s="63" t="s">
        <v>67</v>
      </c>
      <c r="H244" s="51"/>
      <c r="I244" s="4"/>
      <c r="J244" s="4"/>
      <c r="K244" s="4"/>
      <c r="L244" s="59"/>
      <c r="M244" s="56"/>
      <c r="N244" s="57"/>
      <c r="O244" s="2008">
        <f>+(200000*0.2)+1000</f>
        <v>41000</v>
      </c>
      <c r="P244" s="2009"/>
      <c r="Q244" s="4"/>
    </row>
    <row r="245" spans="2:17" x14ac:dyDescent="0.25">
      <c r="B245" s="7" t="s">
        <v>17</v>
      </c>
      <c r="C245" s="65"/>
      <c r="D245" s="64"/>
      <c r="E245" s="64"/>
      <c r="F245" s="20" t="s">
        <v>1</v>
      </c>
      <c r="G245" s="63" t="s">
        <v>139</v>
      </c>
      <c r="H245" s="51"/>
      <c r="I245" s="4"/>
      <c r="J245" s="4"/>
      <c r="K245" s="4"/>
      <c r="L245" s="59"/>
      <c r="M245" s="56"/>
      <c r="N245" s="57"/>
      <c r="O245" s="2008">
        <f>200000*0.8</f>
        <v>160000</v>
      </c>
      <c r="P245" s="2009"/>
      <c r="Q245" s="4"/>
    </row>
    <row r="246" spans="2:17" x14ac:dyDescent="0.25">
      <c r="B246" s="108">
        <v>7</v>
      </c>
      <c r="C246" s="2110" t="s">
        <v>21</v>
      </c>
      <c r="D246" s="2090"/>
      <c r="E246" s="2090"/>
      <c r="F246" s="2090"/>
      <c r="G246" s="2096"/>
      <c r="H246" s="2096"/>
      <c r="I246" s="2090" t="s">
        <v>21</v>
      </c>
      <c r="J246" s="2090"/>
      <c r="K246" s="2090"/>
      <c r="L246" s="2090"/>
      <c r="M246" s="2008"/>
      <c r="N246" s="2012"/>
      <c r="O246" s="2008"/>
      <c r="P246" s="2012"/>
      <c r="Q246" s="8"/>
    </row>
    <row r="247" spans="2:17" x14ac:dyDescent="0.25">
      <c r="B247" s="38" t="s">
        <v>15</v>
      </c>
      <c r="C247" s="65" t="s">
        <v>209</v>
      </c>
      <c r="D247" s="59"/>
      <c r="E247" s="59"/>
      <c r="F247" s="59"/>
      <c r="G247" s="60"/>
      <c r="H247" s="60"/>
      <c r="I247" s="59"/>
      <c r="J247" s="59"/>
      <c r="K247" s="59"/>
      <c r="L247" s="59"/>
      <c r="M247" s="2008">
        <f>+L329</f>
        <v>78</v>
      </c>
      <c r="N247" s="2012"/>
      <c r="O247" s="56"/>
      <c r="P247" s="57"/>
      <c r="Q247" s="8"/>
    </row>
    <row r="248" spans="2:17" x14ac:dyDescent="0.25">
      <c r="B248" s="38" t="s">
        <v>15</v>
      </c>
      <c r="C248" s="65" t="s">
        <v>100</v>
      </c>
      <c r="D248" s="59"/>
      <c r="E248" s="59"/>
      <c r="F248" s="59"/>
      <c r="G248" s="60"/>
      <c r="H248" s="60"/>
      <c r="I248" s="59"/>
      <c r="J248" s="59"/>
      <c r="K248" s="59"/>
      <c r="L248" s="59"/>
      <c r="M248" s="2008">
        <f>+L330</f>
        <v>335</v>
      </c>
      <c r="N248" s="2012"/>
      <c r="O248" s="56"/>
      <c r="P248" s="57"/>
      <c r="Q248" s="8"/>
    </row>
    <row r="249" spans="2:17" x14ac:dyDescent="0.25">
      <c r="B249" s="38" t="s">
        <v>15</v>
      </c>
      <c r="C249" s="65" t="s">
        <v>101</v>
      </c>
      <c r="D249" s="59"/>
      <c r="E249" s="59"/>
      <c r="F249" s="59"/>
      <c r="G249" s="60"/>
      <c r="H249" s="60"/>
      <c r="I249" s="59"/>
      <c r="J249" s="59"/>
      <c r="K249" s="59"/>
      <c r="L249" s="59"/>
      <c r="M249" s="2008">
        <f>+L331</f>
        <v>300</v>
      </c>
      <c r="N249" s="2012"/>
      <c r="O249" s="56"/>
      <c r="P249" s="57"/>
      <c r="Q249" s="8"/>
    </row>
    <row r="250" spans="2:17" x14ac:dyDescent="0.25">
      <c r="B250" s="38" t="s">
        <v>108</v>
      </c>
      <c r="C250" s="65"/>
      <c r="D250" s="59"/>
      <c r="E250" s="59"/>
      <c r="F250" s="20" t="s">
        <v>1</v>
      </c>
      <c r="G250" s="63" t="s">
        <v>210</v>
      </c>
      <c r="H250" s="60"/>
      <c r="I250" s="59"/>
      <c r="J250" s="59"/>
      <c r="K250" s="59"/>
      <c r="L250" s="59"/>
      <c r="M250" s="56"/>
      <c r="N250" s="57"/>
      <c r="O250" s="2008">
        <f>+M247</f>
        <v>78</v>
      </c>
      <c r="P250" s="2012"/>
      <c r="Q250" s="8"/>
    </row>
    <row r="251" spans="2:17" x14ac:dyDescent="0.25">
      <c r="B251" s="38" t="s">
        <v>108</v>
      </c>
      <c r="C251" s="65"/>
      <c r="D251" s="59"/>
      <c r="E251" s="59"/>
      <c r="F251" s="20" t="s">
        <v>1</v>
      </c>
      <c r="G251" s="63" t="s">
        <v>174</v>
      </c>
      <c r="H251" s="60"/>
      <c r="I251" s="59"/>
      <c r="J251" s="59"/>
      <c r="K251" s="59"/>
      <c r="L251" s="59"/>
      <c r="M251" s="56"/>
      <c r="N251" s="57"/>
      <c r="O251" s="2008">
        <f>+M248</f>
        <v>335</v>
      </c>
      <c r="P251" s="2012"/>
      <c r="Q251" s="8"/>
    </row>
    <row r="252" spans="2:17" x14ac:dyDescent="0.25">
      <c r="B252" s="38" t="s">
        <v>108</v>
      </c>
      <c r="C252" s="65"/>
      <c r="D252" s="59"/>
      <c r="E252" s="59"/>
      <c r="F252" s="20" t="s">
        <v>1</v>
      </c>
      <c r="G252" s="63" t="s">
        <v>173</v>
      </c>
      <c r="H252" s="60"/>
      <c r="I252" s="59"/>
      <c r="J252" s="59"/>
      <c r="K252" s="59"/>
      <c r="L252" s="59"/>
      <c r="M252" s="56"/>
      <c r="N252" s="57"/>
      <c r="O252" s="2008">
        <f>+M249</f>
        <v>300</v>
      </c>
      <c r="P252" s="2012"/>
      <c r="Q252" s="8"/>
    </row>
    <row r="253" spans="2:17" x14ac:dyDescent="0.25">
      <c r="C253" s="101" t="s">
        <v>211</v>
      </c>
      <c r="D253" s="64"/>
      <c r="E253" s="64"/>
      <c r="F253" s="20"/>
      <c r="G253" s="63"/>
      <c r="H253" s="63"/>
      <c r="I253" s="4"/>
      <c r="J253" s="4"/>
      <c r="K253" s="4"/>
      <c r="L253" s="4"/>
      <c r="M253" s="2008"/>
      <c r="N253" s="2009"/>
      <c r="O253" s="2008"/>
      <c r="P253" s="2009"/>
    </row>
    <row r="254" spans="2:17" x14ac:dyDescent="0.25">
      <c r="C254" s="2110" t="s">
        <v>21</v>
      </c>
      <c r="D254" s="2090"/>
      <c r="E254" s="2090"/>
      <c r="F254" s="2090"/>
      <c r="G254" s="2248" t="s">
        <v>222</v>
      </c>
      <c r="H254" s="2248"/>
      <c r="I254" s="2090" t="s">
        <v>21</v>
      </c>
      <c r="J254" s="2090"/>
      <c r="K254" s="2090"/>
      <c r="L254" s="2090"/>
      <c r="M254" s="2008"/>
      <c r="N254" s="2012"/>
      <c r="O254" s="2008"/>
      <c r="P254" s="2012"/>
      <c r="Q254" s="8"/>
    </row>
    <row r="256" spans="2:17" s="4" customFormat="1" x14ac:dyDescent="0.25">
      <c r="B256" s="189"/>
      <c r="C256" s="12"/>
      <c r="D256" s="12"/>
      <c r="E256" s="12"/>
      <c r="F256" s="12"/>
      <c r="G256" s="51"/>
      <c r="H256" s="51"/>
      <c r="M256" s="18"/>
      <c r="N256" s="18"/>
      <c r="O256" s="18"/>
      <c r="P256" s="18"/>
    </row>
    <row r="257" spans="1:17" x14ac:dyDescent="0.25">
      <c r="A257" s="4"/>
      <c r="B257" s="200"/>
      <c r="G257" s="51"/>
      <c r="H257" s="51"/>
      <c r="I257" s="4"/>
      <c r="J257" s="4"/>
      <c r="K257" s="4"/>
      <c r="L257" s="4"/>
      <c r="M257" s="18"/>
      <c r="N257" s="18"/>
      <c r="O257" s="18"/>
      <c r="P257" s="18"/>
      <c r="Q257" s="4"/>
    </row>
    <row r="258" spans="1:17" x14ac:dyDescent="0.25">
      <c r="B258" s="108">
        <v>8</v>
      </c>
      <c r="C258" s="2110" t="s">
        <v>21</v>
      </c>
      <c r="D258" s="2090"/>
      <c r="E258" s="2090"/>
      <c r="F258" s="2090"/>
      <c r="G258" s="2096"/>
      <c r="H258" s="2096"/>
      <c r="I258" s="2090" t="s">
        <v>21</v>
      </c>
      <c r="J258" s="2090"/>
      <c r="K258" s="2090"/>
      <c r="L258" s="2090"/>
      <c r="M258" s="2008"/>
      <c r="N258" s="2012"/>
      <c r="O258" s="2008"/>
      <c r="P258" s="2012"/>
      <c r="Q258" s="8"/>
    </row>
    <row r="259" spans="1:17" x14ac:dyDescent="0.25">
      <c r="B259" s="38" t="s">
        <v>11</v>
      </c>
      <c r="C259" s="65" t="s">
        <v>227</v>
      </c>
      <c r="D259" s="59"/>
      <c r="E259" s="59"/>
      <c r="F259" s="59"/>
      <c r="G259" s="60"/>
      <c r="H259" s="60"/>
      <c r="I259" s="59"/>
      <c r="J259" s="59"/>
      <c r="K259" s="59"/>
      <c r="L259" s="59"/>
      <c r="M259" s="2008">
        <f>+(O260+O261)</f>
        <v>121000</v>
      </c>
      <c r="N259" s="2012"/>
      <c r="O259" s="56"/>
      <c r="P259" s="57"/>
      <c r="Q259" s="8"/>
    </row>
    <row r="260" spans="1:17" x14ac:dyDescent="0.25">
      <c r="B260" s="38" t="s">
        <v>16</v>
      </c>
      <c r="C260" s="65"/>
      <c r="D260" s="59"/>
      <c r="E260" s="59"/>
      <c r="F260" s="20" t="s">
        <v>1</v>
      </c>
      <c r="G260" s="63" t="s">
        <v>3</v>
      </c>
      <c r="H260" s="60"/>
      <c r="I260" s="59"/>
      <c r="J260" s="59"/>
      <c r="K260" s="59"/>
      <c r="L260" s="59"/>
      <c r="M260" s="56"/>
      <c r="N260" s="57"/>
      <c r="O260" s="2008">
        <f>20*5000</f>
        <v>100000</v>
      </c>
      <c r="P260" s="2012"/>
      <c r="Q260" s="8"/>
    </row>
    <row r="261" spans="1:17" x14ac:dyDescent="0.25">
      <c r="B261" s="38" t="s">
        <v>17</v>
      </c>
      <c r="C261" s="65"/>
      <c r="D261" s="59"/>
      <c r="E261" s="59"/>
      <c r="F261" s="20" t="s">
        <v>1</v>
      </c>
      <c r="G261" s="63" t="s">
        <v>12</v>
      </c>
      <c r="H261" s="60"/>
      <c r="I261" s="59"/>
      <c r="J261" s="59"/>
      <c r="K261" s="59"/>
      <c r="L261" s="59"/>
      <c r="M261" s="56"/>
      <c r="N261" s="57"/>
      <c r="O261" s="2008">
        <f>+O260*0.21</f>
        <v>21000</v>
      </c>
      <c r="P261" s="2012"/>
      <c r="Q261" s="8"/>
    </row>
    <row r="262" spans="1:17" ht="7.5" customHeight="1" x14ac:dyDescent="0.25">
      <c r="B262" s="33"/>
      <c r="C262" s="2090" t="s">
        <v>21</v>
      </c>
      <c r="D262" s="2090"/>
      <c r="E262" s="2090"/>
      <c r="F262" s="2090"/>
      <c r="G262" s="2096"/>
      <c r="H262" s="2096"/>
      <c r="I262" s="2090" t="s">
        <v>21</v>
      </c>
      <c r="J262" s="2090"/>
      <c r="K262" s="2090"/>
      <c r="L262" s="2092"/>
      <c r="M262" s="2008"/>
      <c r="N262" s="2012"/>
      <c r="O262" s="2008"/>
      <c r="P262" s="2009"/>
    </row>
    <row r="263" spans="1:17" x14ac:dyDescent="0.25">
      <c r="B263" s="7" t="s">
        <v>15</v>
      </c>
      <c r="C263" s="65" t="s">
        <v>120</v>
      </c>
      <c r="D263" s="64"/>
      <c r="E263" s="64"/>
      <c r="F263" s="64"/>
      <c r="G263" s="51"/>
      <c r="H263" s="51"/>
      <c r="I263" s="4"/>
      <c r="J263" s="4"/>
      <c r="K263" s="4"/>
      <c r="L263" s="59"/>
      <c r="M263" s="2008">
        <f>+I349</f>
        <v>36000</v>
      </c>
      <c r="N263" s="2012"/>
      <c r="O263" s="2008"/>
      <c r="P263" s="2012"/>
      <c r="Q263" s="8"/>
    </row>
    <row r="264" spans="1:17" s="4" customFormat="1" x14ac:dyDescent="0.25">
      <c r="B264" s="7" t="s">
        <v>14</v>
      </c>
      <c r="C264" s="65"/>
      <c r="D264" s="64"/>
      <c r="E264" s="64"/>
      <c r="F264" s="20" t="s">
        <v>1</v>
      </c>
      <c r="G264" s="63" t="s">
        <v>5</v>
      </c>
      <c r="H264" s="51"/>
      <c r="M264" s="2008"/>
      <c r="N264" s="2012"/>
      <c r="O264" s="2008">
        <f>+M263</f>
        <v>36000</v>
      </c>
      <c r="P264" s="2009"/>
    </row>
    <row r="265" spans="1:17" x14ac:dyDescent="0.25">
      <c r="B265" s="38"/>
      <c r="C265" s="101" t="s">
        <v>226</v>
      </c>
      <c r="D265" s="59"/>
      <c r="E265" s="59"/>
      <c r="F265" s="20"/>
      <c r="G265" s="63"/>
      <c r="H265" s="60"/>
      <c r="I265" s="59"/>
      <c r="J265" s="59"/>
      <c r="K265" s="59"/>
      <c r="L265" s="59"/>
      <c r="M265" s="56"/>
      <c r="N265" s="57"/>
      <c r="O265" s="2008"/>
      <c r="P265" s="2012"/>
      <c r="Q265" s="8"/>
    </row>
    <row r="266" spans="1:17" x14ac:dyDescent="0.25">
      <c r="B266" s="108">
        <v>9</v>
      </c>
      <c r="C266" s="2110" t="s">
        <v>21</v>
      </c>
      <c r="D266" s="2090"/>
      <c r="E266" s="2090"/>
      <c r="F266" s="2090"/>
      <c r="G266" s="2096"/>
      <c r="H266" s="2096"/>
      <c r="I266" s="2090" t="s">
        <v>21</v>
      </c>
      <c r="J266" s="2090"/>
      <c r="K266" s="2090"/>
      <c r="L266" s="2090"/>
      <c r="M266" s="2008"/>
      <c r="N266" s="2012"/>
      <c r="O266" s="2008"/>
      <c r="P266" s="2012"/>
      <c r="Q266" s="8"/>
    </row>
    <row r="267" spans="1:17" x14ac:dyDescent="0.25">
      <c r="B267" s="38" t="s">
        <v>11</v>
      </c>
      <c r="C267" s="65" t="s">
        <v>231</v>
      </c>
      <c r="D267" s="59"/>
      <c r="E267" s="59"/>
      <c r="F267" s="59"/>
      <c r="G267" s="60"/>
      <c r="H267" s="60"/>
      <c r="I267" s="59"/>
      <c r="J267" s="59"/>
      <c r="K267" s="59"/>
      <c r="L267" s="59"/>
      <c r="M267" s="2008">
        <v>5400</v>
      </c>
      <c r="N267" s="2012"/>
      <c r="O267" s="56"/>
      <c r="P267" s="57"/>
      <c r="Q267" s="8"/>
    </row>
    <row r="268" spans="1:17" x14ac:dyDescent="0.25">
      <c r="B268" s="38" t="s">
        <v>11</v>
      </c>
      <c r="C268" s="65" t="s">
        <v>4</v>
      </c>
      <c r="D268" s="59"/>
      <c r="E268" s="59"/>
      <c r="F268" s="59"/>
      <c r="G268" s="60"/>
      <c r="H268" s="60"/>
      <c r="I268" s="59"/>
      <c r="J268" s="59"/>
      <c r="K268" s="59"/>
      <c r="L268" s="59"/>
      <c r="M268" s="2008">
        <v>49118</v>
      </c>
      <c r="N268" s="2012"/>
      <c r="O268" s="56"/>
      <c r="P268" s="57"/>
      <c r="Q268" s="8"/>
    </row>
    <row r="269" spans="1:17" x14ac:dyDescent="0.25">
      <c r="B269" s="38" t="s">
        <v>11</v>
      </c>
      <c r="C269" s="65" t="s">
        <v>26</v>
      </c>
      <c r="D269" s="59"/>
      <c r="E269" s="59"/>
      <c r="F269" s="59"/>
      <c r="G269" s="60"/>
      <c r="H269" s="60"/>
      <c r="I269" s="59"/>
      <c r="J269" s="59"/>
      <c r="K269" s="59"/>
      <c r="L269" s="59"/>
      <c r="M269" s="2008">
        <v>44550</v>
      </c>
      <c r="N269" s="2012"/>
      <c r="O269" s="56"/>
      <c r="P269" s="57"/>
      <c r="Q269" s="8"/>
    </row>
    <row r="270" spans="1:17" x14ac:dyDescent="0.25">
      <c r="B270" s="38" t="s">
        <v>14</v>
      </c>
      <c r="C270" s="65"/>
      <c r="D270" s="59"/>
      <c r="E270" s="59"/>
      <c r="F270" s="20" t="s">
        <v>1</v>
      </c>
      <c r="G270" s="63" t="s">
        <v>10</v>
      </c>
      <c r="H270" s="60"/>
      <c r="I270" s="59"/>
      <c r="J270" s="59"/>
      <c r="K270" s="59"/>
      <c r="L270" s="59"/>
      <c r="M270" s="56"/>
      <c r="N270" s="57"/>
      <c r="O270" s="2008">
        <f>+SUM(M267:N269)</f>
        <v>99068</v>
      </c>
      <c r="P270" s="2012"/>
      <c r="Q270" s="8"/>
    </row>
    <row r="271" spans="1:17" x14ac:dyDescent="0.25">
      <c r="B271" s="108">
        <v>10</v>
      </c>
      <c r="C271" s="2110" t="s">
        <v>21</v>
      </c>
      <c r="D271" s="2090"/>
      <c r="E271" s="2090"/>
      <c r="F271" s="2090"/>
      <c r="G271" s="2096"/>
      <c r="H271" s="2096"/>
      <c r="I271" s="2090" t="s">
        <v>21</v>
      </c>
      <c r="J271" s="2090"/>
      <c r="K271" s="2090"/>
      <c r="L271" s="2090"/>
      <c r="M271" s="2008"/>
      <c r="N271" s="2012"/>
      <c r="O271" s="2008"/>
      <c r="P271" s="2012"/>
      <c r="Q271" s="8"/>
    </row>
    <row r="272" spans="1:17" x14ac:dyDescent="0.25">
      <c r="B272" s="38" t="s">
        <v>15</v>
      </c>
      <c r="C272" s="65" t="s">
        <v>232</v>
      </c>
      <c r="D272" s="59"/>
      <c r="E272" s="59"/>
      <c r="F272" s="59"/>
      <c r="G272" s="60"/>
      <c r="H272" s="60"/>
      <c r="I272" s="59"/>
      <c r="J272" s="59"/>
      <c r="K272" s="59"/>
      <c r="L272" s="59"/>
      <c r="M272" s="2008">
        <f>1*5000</f>
        <v>5000</v>
      </c>
      <c r="N272" s="2012"/>
      <c r="O272" s="56"/>
      <c r="P272" s="57"/>
      <c r="Q272" s="8"/>
    </row>
    <row r="273" spans="2:17" x14ac:dyDescent="0.25">
      <c r="B273" s="38" t="s">
        <v>11</v>
      </c>
      <c r="C273" s="65" t="s">
        <v>13</v>
      </c>
      <c r="D273" s="59"/>
      <c r="E273" s="59"/>
      <c r="F273" s="59"/>
      <c r="G273" s="60"/>
      <c r="H273" s="60"/>
      <c r="I273" s="59"/>
      <c r="J273" s="59"/>
      <c r="K273" s="59"/>
      <c r="L273" s="59"/>
      <c r="M273" s="2008">
        <f>+M272*0.21</f>
        <v>1050</v>
      </c>
      <c r="N273" s="2012"/>
      <c r="O273" s="56"/>
      <c r="P273" s="57"/>
      <c r="Q273" s="8"/>
    </row>
    <row r="274" spans="2:17" x14ac:dyDescent="0.25">
      <c r="B274" s="38" t="s">
        <v>17</v>
      </c>
      <c r="C274" s="65"/>
      <c r="D274" s="59"/>
      <c r="E274" s="59"/>
      <c r="F274" s="20" t="s">
        <v>1</v>
      </c>
      <c r="G274" s="63" t="s">
        <v>233</v>
      </c>
      <c r="H274" s="60"/>
      <c r="I274" s="59"/>
      <c r="J274" s="59"/>
      <c r="K274" s="59"/>
      <c r="L274" s="59"/>
      <c r="M274" s="56"/>
      <c r="N274" s="57"/>
      <c r="O274" s="2008">
        <f>+(M272+M273)</f>
        <v>6050</v>
      </c>
      <c r="P274" s="2012"/>
      <c r="Q274" s="8"/>
    </row>
    <row r="275" spans="2:17" ht="7.5" customHeight="1" x14ac:dyDescent="0.25">
      <c r="B275" s="33"/>
      <c r="C275" s="2090" t="s">
        <v>21</v>
      </c>
      <c r="D275" s="2090"/>
      <c r="E275" s="2090"/>
      <c r="F275" s="2090"/>
      <c r="G275" s="2096"/>
      <c r="H275" s="2096"/>
      <c r="I275" s="2090" t="s">
        <v>21</v>
      </c>
      <c r="J275" s="2090"/>
      <c r="K275" s="2090"/>
      <c r="L275" s="2092"/>
      <c r="M275" s="2008"/>
      <c r="N275" s="2012"/>
      <c r="O275" s="2008"/>
      <c r="P275" s="2009"/>
    </row>
    <row r="276" spans="2:17" x14ac:dyDescent="0.25">
      <c r="B276" s="38" t="s">
        <v>11</v>
      </c>
      <c r="C276" s="65" t="s">
        <v>5</v>
      </c>
      <c r="D276" s="59"/>
      <c r="E276" s="59"/>
      <c r="F276" s="20"/>
      <c r="G276" s="63"/>
      <c r="H276" s="60"/>
      <c r="I276" s="59"/>
      <c r="J276" s="59"/>
      <c r="K276" s="59"/>
      <c r="L276" s="59"/>
      <c r="M276" s="2008">
        <f>+H349</f>
        <v>1800</v>
      </c>
      <c r="N276" s="2012"/>
      <c r="O276" s="2008"/>
      <c r="P276" s="2012"/>
      <c r="Q276" s="8"/>
    </row>
    <row r="277" spans="2:17" x14ac:dyDescent="0.25">
      <c r="B277" s="38" t="s">
        <v>16</v>
      </c>
      <c r="C277" s="65"/>
      <c r="D277" s="59"/>
      <c r="E277" s="59"/>
      <c r="F277" s="20" t="s">
        <v>1</v>
      </c>
      <c r="G277" s="63" t="s">
        <v>120</v>
      </c>
      <c r="H277" s="60"/>
      <c r="I277" s="59"/>
      <c r="J277" s="59"/>
      <c r="K277" s="59"/>
      <c r="L277" s="59"/>
      <c r="M277" s="56"/>
      <c r="N277" s="57"/>
      <c r="O277" s="2008">
        <f>+M276</f>
        <v>1800</v>
      </c>
      <c r="P277" s="2012"/>
      <c r="Q277" s="8"/>
    </row>
    <row r="278" spans="2:17" x14ac:dyDescent="0.25">
      <c r="B278" s="108">
        <v>11</v>
      </c>
      <c r="C278" s="2110" t="s">
        <v>21</v>
      </c>
      <c r="D278" s="2090"/>
      <c r="E278" s="2090"/>
      <c r="F278" s="2090"/>
      <c r="G278" s="2096"/>
      <c r="H278" s="2096"/>
      <c r="I278" s="2090" t="s">
        <v>21</v>
      </c>
      <c r="J278" s="2090"/>
      <c r="K278" s="2090"/>
      <c r="L278" s="2090"/>
      <c r="M278" s="2008"/>
      <c r="N278" s="2012"/>
      <c r="O278" s="2008"/>
      <c r="P278" s="2012"/>
      <c r="Q278" s="8"/>
    </row>
    <row r="279" spans="2:17" x14ac:dyDescent="0.25">
      <c r="B279" s="38" t="s">
        <v>15</v>
      </c>
      <c r="C279" s="65" t="s">
        <v>125</v>
      </c>
      <c r="D279" s="59"/>
      <c r="E279" s="59"/>
      <c r="F279" s="59"/>
      <c r="G279" s="60"/>
      <c r="H279" s="60"/>
      <c r="I279" s="59"/>
      <c r="J279" s="59"/>
      <c r="K279" s="59"/>
      <c r="L279" s="59"/>
      <c r="M279" s="2008">
        <v>2000</v>
      </c>
      <c r="N279" s="2012"/>
      <c r="O279" s="56"/>
      <c r="P279" s="57"/>
      <c r="Q279" s="8"/>
    </row>
    <row r="280" spans="2:17" x14ac:dyDescent="0.25">
      <c r="B280" s="38" t="s">
        <v>11</v>
      </c>
      <c r="C280" s="65" t="s">
        <v>13</v>
      </c>
      <c r="D280" s="59"/>
      <c r="E280" s="59"/>
      <c r="F280" s="59"/>
      <c r="G280" s="60"/>
      <c r="H280" s="60"/>
      <c r="I280" s="59"/>
      <c r="J280" s="59"/>
      <c r="K280" s="59"/>
      <c r="L280" s="59"/>
      <c r="M280" s="2008">
        <f>+M279*0.21</f>
        <v>420</v>
      </c>
      <c r="N280" s="2012"/>
      <c r="O280" s="56"/>
      <c r="P280" s="57"/>
      <c r="Q280" s="8"/>
    </row>
    <row r="281" spans="2:17" x14ac:dyDescent="0.25">
      <c r="B281" s="38" t="s">
        <v>17</v>
      </c>
      <c r="C281" s="65"/>
      <c r="D281" s="59"/>
      <c r="E281" s="59"/>
      <c r="F281" s="20" t="s">
        <v>1</v>
      </c>
      <c r="G281" s="63" t="s">
        <v>235</v>
      </c>
      <c r="H281" s="60"/>
      <c r="I281" s="59"/>
      <c r="J281" s="59"/>
      <c r="K281" s="59"/>
      <c r="L281" s="59"/>
      <c r="M281" s="56"/>
      <c r="N281" s="57"/>
      <c r="O281" s="2008">
        <f>+M279+M280</f>
        <v>2420</v>
      </c>
      <c r="P281" s="2012"/>
      <c r="Q281" s="8"/>
    </row>
    <row r="282" spans="2:17" x14ac:dyDescent="0.25">
      <c r="B282" s="108">
        <v>12</v>
      </c>
      <c r="C282" s="2110" t="s">
        <v>21</v>
      </c>
      <c r="D282" s="2090"/>
      <c r="E282" s="2090"/>
      <c r="F282" s="2090"/>
      <c r="G282" s="2096"/>
      <c r="H282" s="2096"/>
      <c r="I282" s="2090" t="s">
        <v>21</v>
      </c>
      <c r="J282" s="2090"/>
      <c r="K282" s="2090"/>
      <c r="L282" s="2090"/>
      <c r="M282" s="2008"/>
      <c r="N282" s="2012"/>
      <c r="O282" s="2008"/>
      <c r="P282" s="2012"/>
      <c r="Q282" s="8"/>
    </row>
    <row r="283" spans="2:17" x14ac:dyDescent="0.25">
      <c r="B283" s="38" t="s">
        <v>15</v>
      </c>
      <c r="C283" s="65" t="s">
        <v>209</v>
      </c>
      <c r="D283" s="59"/>
      <c r="E283" s="59"/>
      <c r="F283" s="59"/>
      <c r="G283" s="60"/>
      <c r="H283" s="60"/>
      <c r="I283" s="59"/>
      <c r="J283" s="59"/>
      <c r="K283" s="59"/>
      <c r="L283" s="59"/>
      <c r="M283" s="2008">
        <f>+L359</f>
        <v>156</v>
      </c>
      <c r="N283" s="2012"/>
      <c r="O283" s="56"/>
      <c r="P283" s="57"/>
      <c r="Q283" s="8"/>
    </row>
    <row r="284" spans="2:17" x14ac:dyDescent="0.25">
      <c r="B284" s="38" t="s">
        <v>15</v>
      </c>
      <c r="C284" s="65" t="s">
        <v>242</v>
      </c>
      <c r="D284" s="59"/>
      <c r="E284" s="59"/>
      <c r="F284" s="59"/>
      <c r="G284" s="60"/>
      <c r="H284" s="60"/>
      <c r="I284" s="59"/>
      <c r="J284" s="59"/>
      <c r="K284" s="59"/>
      <c r="L284" s="59"/>
      <c r="M284" s="2008">
        <f>+L360</f>
        <v>150</v>
      </c>
      <c r="N284" s="2012"/>
      <c r="O284" s="56"/>
      <c r="P284" s="57"/>
      <c r="Q284" s="8"/>
    </row>
    <row r="285" spans="2:17" x14ac:dyDescent="0.25">
      <c r="B285" s="38" t="s">
        <v>15</v>
      </c>
      <c r="C285" s="65" t="s">
        <v>100</v>
      </c>
      <c r="D285" s="59"/>
      <c r="E285" s="59"/>
      <c r="F285" s="59"/>
      <c r="G285" s="60"/>
      <c r="H285" s="60"/>
      <c r="I285" s="59"/>
      <c r="J285" s="59"/>
      <c r="K285" s="59"/>
      <c r="L285" s="59"/>
      <c r="M285" s="2008">
        <f>+L364</f>
        <v>417</v>
      </c>
      <c r="N285" s="2012"/>
      <c r="O285" s="56"/>
      <c r="P285" s="57"/>
      <c r="Q285" s="8"/>
    </row>
    <row r="286" spans="2:17" x14ac:dyDescent="0.25">
      <c r="B286" s="38" t="s">
        <v>15</v>
      </c>
      <c r="C286" s="65" t="s">
        <v>101</v>
      </c>
      <c r="D286" s="59"/>
      <c r="E286" s="59"/>
      <c r="F286" s="59"/>
      <c r="G286" s="60"/>
      <c r="H286" s="60"/>
      <c r="I286" s="59"/>
      <c r="J286" s="59"/>
      <c r="K286" s="59"/>
      <c r="L286" s="59"/>
      <c r="M286" s="2008">
        <f>+L368</f>
        <v>240</v>
      </c>
      <c r="N286" s="2012"/>
      <c r="O286" s="56"/>
      <c r="P286" s="57"/>
      <c r="Q286" s="8"/>
    </row>
    <row r="287" spans="2:17" x14ac:dyDescent="0.25">
      <c r="B287" s="38" t="s">
        <v>108</v>
      </c>
      <c r="C287" s="65"/>
      <c r="D287" s="59"/>
      <c r="E287" s="59"/>
      <c r="F287" s="20" t="s">
        <v>1</v>
      </c>
      <c r="G287" s="63" t="s">
        <v>210</v>
      </c>
      <c r="H287" s="60"/>
      <c r="I287" s="59"/>
      <c r="J287" s="59"/>
      <c r="K287" s="59"/>
      <c r="L287" s="59"/>
      <c r="M287" s="56"/>
      <c r="N287" s="57"/>
      <c r="O287" s="2008">
        <f>+M283</f>
        <v>156</v>
      </c>
      <c r="P287" s="2012"/>
      <c r="Q287" s="8"/>
    </row>
    <row r="288" spans="2:17" x14ac:dyDescent="0.25">
      <c r="B288" s="38" t="s">
        <v>108</v>
      </c>
      <c r="C288" s="65"/>
      <c r="D288" s="59"/>
      <c r="E288" s="59"/>
      <c r="F288" s="20" t="s">
        <v>1</v>
      </c>
      <c r="G288" s="63" t="s">
        <v>243</v>
      </c>
      <c r="H288" s="60"/>
      <c r="I288" s="59"/>
      <c r="J288" s="59"/>
      <c r="K288" s="59"/>
      <c r="L288" s="59"/>
      <c r="M288" s="56"/>
      <c r="N288" s="57"/>
      <c r="O288" s="2008">
        <f>+M284</f>
        <v>150</v>
      </c>
      <c r="P288" s="2012"/>
      <c r="Q288" s="8"/>
    </row>
    <row r="289" spans="1:17" x14ac:dyDescent="0.25">
      <c r="B289" s="38" t="s">
        <v>108</v>
      </c>
      <c r="C289" s="65"/>
      <c r="D289" s="59"/>
      <c r="E289" s="59"/>
      <c r="F289" s="20" t="s">
        <v>1</v>
      </c>
      <c r="G289" s="63" t="s">
        <v>174</v>
      </c>
      <c r="H289" s="60"/>
      <c r="I289" s="59"/>
      <c r="J289" s="59"/>
      <c r="K289" s="59"/>
      <c r="L289" s="59"/>
      <c r="M289" s="56"/>
      <c r="N289" s="57"/>
      <c r="O289" s="2008">
        <f>+M285</f>
        <v>417</v>
      </c>
      <c r="P289" s="2012"/>
      <c r="Q289" s="8"/>
    </row>
    <row r="290" spans="1:17" x14ac:dyDescent="0.25">
      <c r="B290" s="38" t="s">
        <v>108</v>
      </c>
      <c r="C290" s="65"/>
      <c r="D290" s="59"/>
      <c r="E290" s="59"/>
      <c r="F290" s="20" t="s">
        <v>1</v>
      </c>
      <c r="G290" s="63" t="s">
        <v>173</v>
      </c>
      <c r="H290" s="60"/>
      <c r="I290" s="59"/>
      <c r="J290" s="59"/>
      <c r="K290" s="59"/>
      <c r="L290" s="59"/>
      <c r="M290" s="56"/>
      <c r="N290" s="57"/>
      <c r="O290" s="2008">
        <f>+M286</f>
        <v>240</v>
      </c>
      <c r="P290" s="2012"/>
      <c r="Q290" s="8"/>
    </row>
    <row r="291" spans="1:17" x14ac:dyDescent="0.25">
      <c r="C291" s="101" t="s">
        <v>258</v>
      </c>
      <c r="D291" s="64"/>
      <c r="E291" s="64"/>
      <c r="F291" s="20"/>
      <c r="G291" s="63"/>
      <c r="H291" s="63"/>
      <c r="I291" s="4"/>
      <c r="J291" s="4"/>
      <c r="K291" s="4"/>
      <c r="L291" s="4"/>
      <c r="M291" s="2008"/>
      <c r="N291" s="2009"/>
      <c r="O291" s="2008"/>
      <c r="P291" s="2009"/>
    </row>
    <row r="292" spans="1:17" x14ac:dyDescent="0.25">
      <c r="B292" s="108">
        <v>13</v>
      </c>
      <c r="C292" s="2110" t="s">
        <v>21</v>
      </c>
      <c r="D292" s="2090"/>
      <c r="E292" s="2090"/>
      <c r="F292" s="2090"/>
      <c r="G292" s="2096"/>
      <c r="H292" s="2096"/>
      <c r="I292" s="2090" t="s">
        <v>21</v>
      </c>
      <c r="J292" s="2090"/>
      <c r="K292" s="2090"/>
      <c r="L292" s="2090"/>
      <c r="M292" s="2008"/>
      <c r="N292" s="2012"/>
      <c r="O292" s="2008"/>
      <c r="P292" s="2012"/>
      <c r="Q292" s="8"/>
    </row>
    <row r="293" spans="1:17" x14ac:dyDescent="0.25">
      <c r="B293" s="38" t="s">
        <v>15</v>
      </c>
      <c r="C293" s="65" t="s">
        <v>256</v>
      </c>
      <c r="D293" s="59"/>
      <c r="E293" s="59"/>
      <c r="F293" s="59"/>
      <c r="G293" s="60"/>
      <c r="H293" s="60"/>
      <c r="I293" s="59"/>
      <c r="J293" s="59"/>
      <c r="K293" s="59"/>
      <c r="L293" s="59"/>
      <c r="M293" s="2008">
        <f>+M384</f>
        <v>5400</v>
      </c>
      <c r="N293" s="2012"/>
      <c r="O293" s="56"/>
      <c r="P293" s="57"/>
      <c r="Q293" s="8"/>
    </row>
    <row r="294" spans="1:17" x14ac:dyDescent="0.25">
      <c r="B294" s="38" t="s">
        <v>14</v>
      </c>
      <c r="C294" s="65"/>
      <c r="D294" s="59"/>
      <c r="E294" s="59"/>
      <c r="F294" s="20" t="s">
        <v>1</v>
      </c>
      <c r="G294" s="63" t="s">
        <v>5</v>
      </c>
      <c r="H294" s="60"/>
      <c r="I294" s="59"/>
      <c r="J294" s="59"/>
      <c r="K294" s="59"/>
      <c r="L294" s="59"/>
      <c r="M294" s="2008"/>
      <c r="N294" s="2012"/>
      <c r="O294" s="2008">
        <f>+M293</f>
        <v>5400</v>
      </c>
      <c r="P294" s="2012"/>
      <c r="Q294" s="8"/>
    </row>
    <row r="295" spans="1:17" ht="7.5" customHeight="1" x14ac:dyDescent="0.25">
      <c r="B295" s="33"/>
      <c r="C295" s="2090" t="s">
        <v>21</v>
      </c>
      <c r="D295" s="2090"/>
      <c r="E295" s="2090"/>
      <c r="F295" s="2090"/>
      <c r="G295" s="2096"/>
      <c r="H295" s="2096"/>
      <c r="I295" s="2090" t="s">
        <v>21</v>
      </c>
      <c r="J295" s="2090"/>
      <c r="K295" s="2090"/>
      <c r="L295" s="2092"/>
      <c r="M295" s="2008"/>
      <c r="N295" s="2012"/>
      <c r="O295" s="2008"/>
      <c r="P295" s="2009"/>
    </row>
    <row r="296" spans="1:17" x14ac:dyDescent="0.25">
      <c r="B296" s="38" t="s">
        <v>15</v>
      </c>
      <c r="C296" s="65" t="s">
        <v>257</v>
      </c>
      <c r="D296" s="59"/>
      <c r="E296" s="59"/>
      <c r="F296" s="20"/>
      <c r="G296" s="63"/>
      <c r="H296" s="60"/>
      <c r="I296" s="59"/>
      <c r="J296" s="59"/>
      <c r="K296" s="59"/>
      <c r="L296" s="59"/>
      <c r="M296" s="2008">
        <f>+M388</f>
        <v>4800</v>
      </c>
      <c r="N296" s="2012"/>
      <c r="O296" s="2008"/>
      <c r="P296" s="2012"/>
      <c r="Q296" s="8"/>
    </row>
    <row r="297" spans="1:17" x14ac:dyDescent="0.25">
      <c r="B297" s="38" t="s">
        <v>14</v>
      </c>
      <c r="C297" s="65"/>
      <c r="D297" s="59"/>
      <c r="E297" s="59"/>
      <c r="F297" s="20" t="s">
        <v>1</v>
      </c>
      <c r="G297" s="63" t="s">
        <v>5</v>
      </c>
      <c r="H297" s="60"/>
      <c r="I297" s="59"/>
      <c r="J297" s="59"/>
      <c r="K297" s="59"/>
      <c r="L297" s="59"/>
      <c r="M297" s="56"/>
      <c r="N297" s="57"/>
      <c r="O297" s="2008">
        <f>+M296</f>
        <v>4800</v>
      </c>
      <c r="P297" s="2009"/>
      <c r="Q297" s="8"/>
    </row>
    <row r="298" spans="1:17" x14ac:dyDescent="0.25">
      <c r="C298" s="105" t="s">
        <v>259</v>
      </c>
      <c r="D298" s="66"/>
      <c r="E298" s="66"/>
      <c r="F298" s="35"/>
      <c r="G298" s="71"/>
      <c r="H298" s="71"/>
      <c r="I298" s="3"/>
      <c r="J298" s="3"/>
      <c r="K298" s="3"/>
      <c r="L298" s="3"/>
      <c r="M298" s="2006"/>
      <c r="N298" s="2007"/>
      <c r="O298" s="2006"/>
      <c r="P298" s="2007"/>
    </row>
    <row r="299" spans="1:17" x14ac:dyDescent="0.25">
      <c r="A299" s="4"/>
      <c r="B299" s="61"/>
      <c r="C299" s="2"/>
      <c r="D299" s="2"/>
      <c r="E299" s="2518" t="s">
        <v>261</v>
      </c>
      <c r="F299" s="2518"/>
      <c r="G299" s="2518"/>
      <c r="H299" s="2518"/>
      <c r="I299" s="2518"/>
      <c r="J299" s="2518"/>
      <c r="K299" s="2518"/>
      <c r="L299" s="2518"/>
      <c r="M299" s="2518"/>
      <c r="N299" s="2518"/>
      <c r="O299" s="18"/>
      <c r="P299" s="18"/>
      <c r="Q299" s="4"/>
    </row>
    <row r="300" spans="1:17" x14ac:dyDescent="0.25">
      <c r="A300" s="4"/>
      <c r="B300" s="61"/>
      <c r="C300" s="2"/>
      <c r="D300" s="2"/>
      <c r="E300" s="2519"/>
      <c r="F300" s="2519"/>
      <c r="G300" s="2519"/>
      <c r="H300" s="2519"/>
      <c r="I300" s="2519"/>
      <c r="J300" s="2519"/>
      <c r="K300" s="2519"/>
      <c r="L300" s="2519"/>
      <c r="M300" s="2519"/>
      <c r="N300" s="2519"/>
      <c r="O300" s="18"/>
      <c r="P300" s="18"/>
      <c r="Q300" s="4"/>
    </row>
    <row r="301" spans="1:17" x14ac:dyDescent="0.25">
      <c r="A301" s="4"/>
      <c r="B301" s="61" t="s">
        <v>15</v>
      </c>
      <c r="C301" s="156" t="s">
        <v>257</v>
      </c>
      <c r="D301" s="1"/>
      <c r="E301" s="1"/>
      <c r="F301" s="1"/>
      <c r="G301" s="1"/>
      <c r="H301" s="23"/>
      <c r="I301" s="1"/>
      <c r="J301" s="1"/>
      <c r="K301" s="1"/>
      <c r="L301" s="1"/>
      <c r="M301" s="2106">
        <f>+M296</f>
        <v>4800</v>
      </c>
      <c r="N301" s="2108"/>
      <c r="O301" s="2106"/>
      <c r="P301" s="2107"/>
      <c r="Q301" s="4"/>
    </row>
    <row r="302" spans="1:17" x14ac:dyDescent="0.25">
      <c r="A302" s="4"/>
      <c r="B302" s="61" t="s">
        <v>108</v>
      </c>
      <c r="C302" s="158"/>
      <c r="D302" s="3"/>
      <c r="E302" s="3"/>
      <c r="F302" s="35" t="s">
        <v>1</v>
      </c>
      <c r="G302" s="3" t="s">
        <v>260</v>
      </c>
      <c r="H302" s="24"/>
      <c r="I302" s="3"/>
      <c r="J302" s="3"/>
      <c r="K302" s="3"/>
      <c r="L302" s="3"/>
      <c r="M302" s="2006"/>
      <c r="N302" s="2100"/>
      <c r="O302" s="2006">
        <f>+M301</f>
        <v>4800</v>
      </c>
      <c r="P302" s="2007"/>
      <c r="Q302" s="4"/>
    </row>
    <row r="303" spans="1:17" x14ac:dyDescent="0.25">
      <c r="A303" s="4"/>
      <c r="B303" s="189"/>
      <c r="G303" s="51"/>
      <c r="H303" s="51"/>
      <c r="I303" s="4"/>
      <c r="J303" s="4"/>
      <c r="K303" s="4"/>
      <c r="L303" s="4"/>
      <c r="M303" s="18"/>
      <c r="N303" s="18"/>
      <c r="O303" s="18"/>
      <c r="P303" s="18"/>
      <c r="Q303" s="4"/>
    </row>
    <row r="304" spans="1:17" x14ac:dyDescent="0.25">
      <c r="A304" s="4"/>
      <c r="B304" s="1636"/>
      <c r="G304" s="1653"/>
      <c r="H304" s="1653"/>
      <c r="I304" s="4"/>
      <c r="J304" s="4"/>
      <c r="K304" s="4"/>
      <c r="L304" s="4"/>
      <c r="M304" s="18"/>
      <c r="N304" s="18"/>
      <c r="O304" s="18"/>
      <c r="P304" s="18"/>
      <c r="Q304" s="4"/>
    </row>
    <row r="305" spans="1:17" x14ac:dyDescent="0.25">
      <c r="A305" s="4"/>
      <c r="B305" s="1636"/>
      <c r="G305" s="1653"/>
      <c r="H305" s="1653"/>
      <c r="I305" s="4"/>
      <c r="J305" s="4"/>
      <c r="K305" s="4"/>
      <c r="L305" s="4"/>
      <c r="M305" s="18"/>
      <c r="N305" s="18"/>
      <c r="O305" s="18"/>
      <c r="P305" s="18"/>
      <c r="Q305" s="4"/>
    </row>
    <row r="306" spans="1:17" x14ac:dyDescent="0.25">
      <c r="A306" s="4"/>
      <c r="B306" s="1636"/>
      <c r="G306" s="1653"/>
      <c r="H306" s="1653"/>
      <c r="I306" s="4"/>
      <c r="J306" s="4"/>
      <c r="K306" s="4"/>
      <c r="L306" s="4"/>
      <c r="M306" s="18"/>
      <c r="N306" s="18"/>
      <c r="O306" s="18"/>
      <c r="P306" s="18"/>
      <c r="Q306" s="4"/>
    </row>
    <row r="307" spans="1:17" x14ac:dyDescent="0.25">
      <c r="A307" s="4"/>
      <c r="B307" s="1636"/>
      <c r="G307" s="1653"/>
      <c r="H307" s="1653"/>
      <c r="I307" s="4"/>
      <c r="J307" s="4"/>
      <c r="K307" s="4"/>
      <c r="L307" s="4"/>
      <c r="M307" s="18"/>
      <c r="N307" s="18"/>
      <c r="O307" s="18"/>
      <c r="P307" s="18"/>
      <c r="Q307" s="4"/>
    </row>
    <row r="308" spans="1:17" x14ac:dyDescent="0.25">
      <c r="A308" s="4"/>
      <c r="B308" s="189"/>
      <c r="G308" s="51"/>
      <c r="H308" s="51"/>
      <c r="I308" s="4"/>
      <c r="J308" s="4"/>
      <c r="K308" s="4"/>
      <c r="L308" s="4"/>
      <c r="M308" s="18"/>
      <c r="N308" s="18"/>
      <c r="O308" s="18"/>
      <c r="P308" s="18"/>
      <c r="Q308" s="4"/>
    </row>
    <row r="309" spans="1:17" x14ac:dyDescent="0.25">
      <c r="B309" s="107" t="s">
        <v>146</v>
      </c>
    </row>
    <row r="310" spans="1:17" x14ac:dyDescent="0.25">
      <c r="B310" s="135" t="s">
        <v>148</v>
      </c>
      <c r="C310" s="136" t="s">
        <v>197</v>
      </c>
      <c r="G310" s="27"/>
      <c r="H310" s="27"/>
    </row>
    <row r="311" spans="1:17" x14ac:dyDescent="0.25">
      <c r="C311" s="63" t="s">
        <v>198</v>
      </c>
      <c r="F311" s="28" t="s">
        <v>150</v>
      </c>
      <c r="G311" s="27"/>
      <c r="H311" s="27"/>
      <c r="M311" s="2230">
        <f>12000-100</f>
        <v>11900</v>
      </c>
      <c r="N311" s="2230"/>
    </row>
    <row r="312" spans="1:17" x14ac:dyDescent="0.25">
      <c r="C312" s="63"/>
      <c r="F312" s="28" t="s">
        <v>151</v>
      </c>
      <c r="G312" s="27"/>
      <c r="H312" s="27"/>
      <c r="M312" s="2230">
        <v>10200</v>
      </c>
      <c r="N312" s="2230"/>
    </row>
    <row r="313" spans="1:17" x14ac:dyDescent="0.25">
      <c r="C313" s="63"/>
      <c r="F313" s="28" t="s">
        <v>153</v>
      </c>
      <c r="G313" s="27"/>
      <c r="H313" s="27"/>
      <c r="M313" s="2045">
        <f>+M312-M311</f>
        <v>-1700</v>
      </c>
      <c r="N313" s="2045"/>
      <c r="O313" s="137" t="s">
        <v>199</v>
      </c>
    </row>
    <row r="314" spans="1:17" ht="7.5" customHeight="1" x14ac:dyDescent="0.25">
      <c r="C314" s="63"/>
      <c r="F314" s="28"/>
      <c r="G314" s="27"/>
      <c r="H314" s="27"/>
      <c r="M314" s="62"/>
      <c r="N314" s="62"/>
    </row>
    <row r="315" spans="1:17" x14ac:dyDescent="0.25">
      <c r="C315" s="63" t="s">
        <v>152</v>
      </c>
      <c r="F315" s="28" t="s">
        <v>200</v>
      </c>
      <c r="G315" s="27"/>
      <c r="H315" s="27"/>
      <c r="M315" s="2230">
        <f>24200-10200</f>
        <v>14000</v>
      </c>
      <c r="N315" s="2230"/>
    </row>
    <row r="316" spans="1:17" x14ac:dyDescent="0.25">
      <c r="F316" s="28" t="s">
        <v>201</v>
      </c>
      <c r="G316" s="27"/>
      <c r="H316" s="27"/>
      <c r="M316" s="2230">
        <f>+M315*0.1</f>
        <v>1400</v>
      </c>
      <c r="N316" s="2230"/>
    </row>
    <row r="317" spans="1:17" x14ac:dyDescent="0.25">
      <c r="F317" s="28" t="s">
        <v>202</v>
      </c>
      <c r="G317" s="27"/>
      <c r="H317" s="27"/>
      <c r="M317" s="2230">
        <f>+M316*0.21</f>
        <v>294</v>
      </c>
      <c r="N317" s="2230"/>
    </row>
    <row r="318" spans="1:17" x14ac:dyDescent="0.25">
      <c r="F318" s="28" t="s">
        <v>157</v>
      </c>
      <c r="G318" s="27"/>
      <c r="H318" s="27"/>
      <c r="M318" s="2045">
        <f>+M315+M316+M317</f>
        <v>15694</v>
      </c>
      <c r="N318" s="2045"/>
    </row>
    <row r="319" spans="1:17" ht="7.5" customHeight="1" x14ac:dyDescent="0.25"/>
    <row r="320" spans="1:17" x14ac:dyDescent="0.25">
      <c r="C320" s="63" t="s">
        <v>13</v>
      </c>
      <c r="F320" s="28" t="s">
        <v>203</v>
      </c>
      <c r="M320" s="2230">
        <f>0.21*20000</f>
        <v>4200</v>
      </c>
      <c r="N320" s="2230"/>
    </row>
    <row r="321" spans="2:14" x14ac:dyDescent="0.25">
      <c r="C321" s="63"/>
      <c r="F321" s="28" t="s">
        <v>206</v>
      </c>
      <c r="G321" s="27"/>
      <c r="H321" s="27"/>
      <c r="M321" s="2230">
        <f>+M317</f>
        <v>294</v>
      </c>
      <c r="N321" s="2230"/>
    </row>
    <row r="322" spans="2:14" x14ac:dyDescent="0.25">
      <c r="F322" s="48" t="s">
        <v>204</v>
      </c>
      <c r="M322" s="2230">
        <f>0.21*500</f>
        <v>105</v>
      </c>
      <c r="N322" s="2230"/>
    </row>
    <row r="323" spans="2:14" x14ac:dyDescent="0.25">
      <c r="F323" s="48" t="s">
        <v>205</v>
      </c>
      <c r="M323" s="2045">
        <f>+M320+M322+M321</f>
        <v>4599</v>
      </c>
      <c r="N323" s="2045"/>
    </row>
    <row r="325" spans="2:14" x14ac:dyDescent="0.25">
      <c r="B325" s="6" t="s">
        <v>160</v>
      </c>
      <c r="C325" s="112" t="s">
        <v>238</v>
      </c>
      <c r="G325" s="27"/>
      <c r="H325" s="27"/>
    </row>
    <row r="326" spans="2:14" x14ac:dyDescent="0.25">
      <c r="C326" s="113"/>
      <c r="G326" s="27"/>
      <c r="H326" s="27"/>
    </row>
    <row r="327" spans="2:14" x14ac:dyDescent="0.25">
      <c r="C327" s="131"/>
      <c r="D327" s="132"/>
      <c r="E327" s="2449" t="s">
        <v>183</v>
      </c>
      <c r="F327" s="2449"/>
      <c r="G327" s="2449" t="s">
        <v>182</v>
      </c>
      <c r="H327" s="2449"/>
      <c r="I327" s="2443" t="s">
        <v>40</v>
      </c>
      <c r="J327" s="2444"/>
      <c r="K327" s="2445"/>
      <c r="L327" s="2421" t="s">
        <v>181</v>
      </c>
      <c r="M327" s="2421"/>
      <c r="N327" s="128"/>
    </row>
    <row r="328" spans="2:14" x14ac:dyDescent="0.25">
      <c r="C328" s="133"/>
      <c r="D328" s="134"/>
      <c r="E328" s="2449"/>
      <c r="F328" s="2449"/>
      <c r="G328" s="2449"/>
      <c r="H328" s="2449"/>
      <c r="I328" s="2446"/>
      <c r="J328" s="2447"/>
      <c r="K328" s="2448"/>
      <c r="L328" s="2421"/>
      <c r="M328" s="2421"/>
      <c r="N328" s="128"/>
    </row>
    <row r="329" spans="2:14" x14ac:dyDescent="0.25">
      <c r="C329" s="72" t="s">
        <v>51</v>
      </c>
      <c r="D329" s="73"/>
      <c r="E329" s="2417">
        <f>+M223</f>
        <v>21500</v>
      </c>
      <c r="F329" s="2417"/>
      <c r="G329" s="2417">
        <f>+E329-2000</f>
        <v>19500</v>
      </c>
      <c r="H329" s="2417"/>
      <c r="I329" s="2419">
        <v>5000</v>
      </c>
      <c r="J329" s="2420"/>
      <c r="K329" s="130" t="s">
        <v>214</v>
      </c>
      <c r="L329" s="2422">
        <f>+G329/I329*20</f>
        <v>78</v>
      </c>
      <c r="M329" s="2422"/>
      <c r="N329" s="129" t="s">
        <v>215</v>
      </c>
    </row>
    <row r="330" spans="2:14" x14ac:dyDescent="0.25">
      <c r="C330" s="72" t="s">
        <v>212</v>
      </c>
      <c r="D330" s="73"/>
      <c r="E330" s="2417">
        <f>+M243</f>
        <v>201000</v>
      </c>
      <c r="F330" s="2417"/>
      <c r="G330" s="2417">
        <f>+E330</f>
        <v>201000</v>
      </c>
      <c r="H330" s="2417"/>
      <c r="I330" s="2506">
        <f>+(300000/500)</f>
        <v>600</v>
      </c>
      <c r="J330" s="2507"/>
      <c r="K330" s="130" t="s">
        <v>62</v>
      </c>
      <c r="L330" s="2422">
        <f>+G330/I330</f>
        <v>335</v>
      </c>
      <c r="M330" s="2422"/>
      <c r="N330" s="129" t="s">
        <v>217</v>
      </c>
    </row>
    <row r="331" spans="2:14" x14ac:dyDescent="0.25">
      <c r="C331" s="72" t="s">
        <v>213</v>
      </c>
      <c r="D331" s="74"/>
      <c r="E331" s="2417">
        <v>145000</v>
      </c>
      <c r="F331" s="2417"/>
      <c r="G331" s="2417">
        <f>+E331</f>
        <v>145000</v>
      </c>
      <c r="H331" s="2417"/>
      <c r="I331" s="2419">
        <v>290000</v>
      </c>
      <c r="J331" s="2420"/>
      <c r="K331" s="130" t="s">
        <v>220</v>
      </c>
      <c r="L331" s="2422">
        <f>+G331/I331*600</f>
        <v>300</v>
      </c>
      <c r="M331" s="2422"/>
      <c r="N331" s="129" t="s">
        <v>221</v>
      </c>
    </row>
    <row r="333" spans="2:14" x14ac:dyDescent="0.25">
      <c r="B333" s="138" t="s">
        <v>218</v>
      </c>
      <c r="C333" s="2498" t="s">
        <v>216</v>
      </c>
      <c r="D333" s="2499"/>
      <c r="E333" s="2499"/>
      <c r="F333" s="2499"/>
      <c r="G333" s="2499"/>
      <c r="H333" s="2499"/>
      <c r="I333" s="2499"/>
      <c r="J333" s="2499"/>
      <c r="K333" s="2499"/>
      <c r="L333" s="2499"/>
      <c r="M333" s="2500"/>
    </row>
    <row r="334" spans="2:14" x14ac:dyDescent="0.25">
      <c r="C334" s="2501"/>
      <c r="D334" s="1985"/>
      <c r="E334" s="1985"/>
      <c r="F334" s="1985"/>
      <c r="G334" s="1985"/>
      <c r="H334" s="1985"/>
      <c r="I334" s="1985"/>
      <c r="J334" s="1985"/>
      <c r="K334" s="1985"/>
      <c r="L334" s="1985"/>
      <c r="M334" s="2502"/>
    </row>
    <row r="335" spans="2:14" x14ac:dyDescent="0.25">
      <c r="B335" s="138" t="s">
        <v>218</v>
      </c>
      <c r="C335" s="2501" t="s">
        <v>219</v>
      </c>
      <c r="D335" s="1985"/>
      <c r="E335" s="1985"/>
      <c r="F335" s="1985"/>
      <c r="G335" s="1985"/>
      <c r="H335" s="1985"/>
      <c r="I335" s="1985"/>
      <c r="J335" s="1985"/>
      <c r="K335" s="1985"/>
      <c r="L335" s="1985"/>
      <c r="M335" s="2502"/>
    </row>
    <row r="336" spans="2:14" x14ac:dyDescent="0.25">
      <c r="C336" s="2503"/>
      <c r="D336" s="2504"/>
      <c r="E336" s="2504"/>
      <c r="F336" s="2504"/>
      <c r="G336" s="2504"/>
      <c r="H336" s="2504"/>
      <c r="I336" s="2504"/>
      <c r="J336" s="2504"/>
      <c r="K336" s="2504"/>
      <c r="L336" s="2504"/>
      <c r="M336" s="2505"/>
    </row>
    <row r="337" spans="2:20" x14ac:dyDescent="0.25">
      <c r="I337" s="1920"/>
      <c r="J337" s="1920"/>
    </row>
    <row r="338" spans="2:20" x14ac:dyDescent="0.25">
      <c r="B338" s="6" t="s">
        <v>178</v>
      </c>
      <c r="C338" s="112" t="s">
        <v>161</v>
      </c>
      <c r="G338" s="27"/>
      <c r="H338" s="27"/>
    </row>
    <row r="339" spans="2:20" x14ac:dyDescent="0.25">
      <c r="G339" s="27"/>
      <c r="H339" s="27"/>
    </row>
    <row r="340" spans="2:20" x14ac:dyDescent="0.25">
      <c r="B340" s="2496" t="s">
        <v>162</v>
      </c>
      <c r="C340" s="2486" t="s">
        <v>165</v>
      </c>
      <c r="D340" s="2522"/>
      <c r="E340" s="2522"/>
      <c r="F340" s="2487"/>
      <c r="G340" s="2486" t="s">
        <v>166</v>
      </c>
      <c r="H340" s="2522"/>
      <c r="I340" s="2522"/>
      <c r="J340" s="2487"/>
      <c r="K340" s="2486" t="s">
        <v>167</v>
      </c>
      <c r="L340" s="2522"/>
      <c r="M340" s="2522"/>
      <c r="N340" s="2487"/>
      <c r="P340" s="2"/>
      <c r="T340" s="10"/>
    </row>
    <row r="341" spans="2:20" x14ac:dyDescent="0.25">
      <c r="B341" s="2497"/>
      <c r="C341" s="148" t="s">
        <v>163</v>
      </c>
      <c r="D341" s="148" t="s">
        <v>164</v>
      </c>
      <c r="E341" s="2486" t="s">
        <v>170</v>
      </c>
      <c r="F341" s="2487"/>
      <c r="G341" s="149" t="s">
        <v>163</v>
      </c>
      <c r="H341" s="148" t="s">
        <v>164</v>
      </c>
      <c r="I341" s="2486" t="s">
        <v>170</v>
      </c>
      <c r="J341" s="2487"/>
      <c r="K341" s="148" t="s">
        <v>163</v>
      </c>
      <c r="L341" s="148" t="s">
        <v>164</v>
      </c>
      <c r="M341" s="2486" t="s">
        <v>170</v>
      </c>
      <c r="N341" s="2487"/>
      <c r="P341" s="2"/>
    </row>
    <row r="342" spans="2:20" x14ac:dyDescent="0.25">
      <c r="B342" s="153" t="s">
        <v>223</v>
      </c>
      <c r="C342" s="141"/>
      <c r="D342" s="141"/>
      <c r="E342" s="2494"/>
      <c r="F342" s="2495"/>
      <c r="G342" s="141"/>
      <c r="H342" s="141"/>
      <c r="I342" s="2494"/>
      <c r="J342" s="2495"/>
      <c r="K342" s="141">
        <v>20</v>
      </c>
      <c r="L342" s="141">
        <v>1500</v>
      </c>
      <c r="M342" s="2494">
        <f>+K342*L342</f>
        <v>30000</v>
      </c>
      <c r="N342" s="2495"/>
      <c r="P342" s="2"/>
    </row>
    <row r="343" spans="2:20" ht="15" customHeight="1" x14ac:dyDescent="0.25">
      <c r="B343" s="2488" t="s">
        <v>225</v>
      </c>
      <c r="C343" s="2491">
        <v>40</v>
      </c>
      <c r="D343" s="2491">
        <f>+E343/C343</f>
        <v>1805</v>
      </c>
      <c r="E343" s="2508">
        <f>+(40*1800)+200</f>
        <v>72200</v>
      </c>
      <c r="F343" s="2509"/>
      <c r="G343" s="2491"/>
      <c r="H343" s="2491"/>
      <c r="I343" s="2508"/>
      <c r="J343" s="2509"/>
      <c r="K343" s="142">
        <f>+K342</f>
        <v>20</v>
      </c>
      <c r="L343" s="142">
        <f>+L342</f>
        <v>1500</v>
      </c>
      <c r="M343" s="2508">
        <f>+K343*L343</f>
        <v>30000</v>
      </c>
      <c r="N343" s="2509"/>
      <c r="O343" s="2516" t="s">
        <v>228</v>
      </c>
      <c r="P343" s="2517"/>
      <c r="Q343" s="2517"/>
    </row>
    <row r="344" spans="2:20" ht="15.75" x14ac:dyDescent="0.25">
      <c r="B344" s="2489"/>
      <c r="C344" s="2492"/>
      <c r="D344" s="2492"/>
      <c r="E344" s="2510"/>
      <c r="F344" s="2511"/>
      <c r="G344" s="2492"/>
      <c r="H344" s="2492"/>
      <c r="I344" s="2510"/>
      <c r="J344" s="2511"/>
      <c r="K344" s="144">
        <f>+C343</f>
        <v>40</v>
      </c>
      <c r="L344" s="144">
        <f>+D343</f>
        <v>1805</v>
      </c>
      <c r="M344" s="2514">
        <f>+K344*L344</f>
        <v>72200</v>
      </c>
      <c r="N344" s="2515"/>
      <c r="O344" s="2516"/>
      <c r="P344" s="2517"/>
      <c r="Q344" s="2517"/>
    </row>
    <row r="345" spans="2:20" x14ac:dyDescent="0.25">
      <c r="B345" s="2490"/>
      <c r="C345" s="2493"/>
      <c r="D345" s="2493"/>
      <c r="E345" s="2512"/>
      <c r="F345" s="2513"/>
      <c r="G345" s="2493"/>
      <c r="H345" s="2493"/>
      <c r="I345" s="2512"/>
      <c r="J345" s="2513"/>
      <c r="K345" s="143">
        <f>+K343+K344</f>
        <v>60</v>
      </c>
      <c r="L345" s="147">
        <f>+M345/K345</f>
        <v>1703.3333333333333</v>
      </c>
      <c r="M345" s="2512">
        <f>+M343+M344</f>
        <v>102200</v>
      </c>
      <c r="N345" s="2513"/>
      <c r="O345" s="2516"/>
      <c r="P345" s="2517"/>
      <c r="Q345" s="2517"/>
    </row>
    <row r="346" spans="2:20" ht="15" customHeight="1" x14ac:dyDescent="0.25">
      <c r="B346" s="2488" t="s">
        <v>224</v>
      </c>
      <c r="C346" s="2491">
        <v>10</v>
      </c>
      <c r="D346" s="2491">
        <f>2879.8/1.21</f>
        <v>2380</v>
      </c>
      <c r="E346" s="2508">
        <f>+C346*D346</f>
        <v>23800</v>
      </c>
      <c r="F346" s="2509"/>
      <c r="G346" s="2491"/>
      <c r="H346" s="2491"/>
      <c r="I346" s="2508"/>
      <c r="J346" s="2509"/>
      <c r="K346" s="142">
        <v>60</v>
      </c>
      <c r="L346" s="142">
        <f>+L345</f>
        <v>1703.3333333333333</v>
      </c>
      <c r="M346" s="2508">
        <f>+K346*L346</f>
        <v>102200</v>
      </c>
      <c r="N346" s="2509"/>
      <c r="O346" s="2516" t="s">
        <v>230</v>
      </c>
      <c r="P346" s="2517"/>
      <c r="Q346" s="2517"/>
      <c r="R346" s="146"/>
    </row>
    <row r="347" spans="2:20" ht="15.75" x14ac:dyDescent="0.25">
      <c r="B347" s="2489"/>
      <c r="C347" s="2492"/>
      <c r="D347" s="2492"/>
      <c r="E347" s="2510"/>
      <c r="F347" s="2511"/>
      <c r="G347" s="2492"/>
      <c r="H347" s="2492"/>
      <c r="I347" s="2510"/>
      <c r="J347" s="2511"/>
      <c r="K347" s="144">
        <f>+C346</f>
        <v>10</v>
      </c>
      <c r="L347" s="144">
        <f>+D346</f>
        <v>2380</v>
      </c>
      <c r="M347" s="2514">
        <f>+K347*L347</f>
        <v>23800</v>
      </c>
      <c r="N347" s="2515"/>
      <c r="O347" s="2516"/>
      <c r="P347" s="2517"/>
      <c r="Q347" s="2517"/>
      <c r="R347" s="145"/>
    </row>
    <row r="348" spans="2:20" x14ac:dyDescent="0.25">
      <c r="B348" s="2490"/>
      <c r="C348" s="2493"/>
      <c r="D348" s="2493"/>
      <c r="E348" s="2512"/>
      <c r="F348" s="2513"/>
      <c r="G348" s="2493"/>
      <c r="H348" s="2493"/>
      <c r="I348" s="2512"/>
      <c r="J348" s="2513"/>
      <c r="K348" s="143">
        <f>+K346+K347</f>
        <v>70</v>
      </c>
      <c r="L348" s="147">
        <f>+M348/K348</f>
        <v>1800</v>
      </c>
      <c r="M348" s="2512">
        <f>+M346+M347</f>
        <v>126000</v>
      </c>
      <c r="N348" s="2513"/>
      <c r="O348" s="2516"/>
      <c r="P348" s="2517"/>
      <c r="Q348" s="2517"/>
    </row>
    <row r="349" spans="2:20" ht="48.75" customHeight="1" x14ac:dyDescent="0.25">
      <c r="B349" s="154" t="s">
        <v>224</v>
      </c>
      <c r="C349" s="150"/>
      <c r="D349" s="150"/>
      <c r="E349" s="2494"/>
      <c r="F349" s="2495"/>
      <c r="G349" s="150">
        <v>20</v>
      </c>
      <c r="H349" s="150">
        <f>+L348</f>
        <v>1800</v>
      </c>
      <c r="I349" s="2494">
        <f>+G349*H349</f>
        <v>36000</v>
      </c>
      <c r="J349" s="2495"/>
      <c r="K349" s="151">
        <f>+K348-G349</f>
        <v>50</v>
      </c>
      <c r="L349" s="152">
        <f>+M349/K349</f>
        <v>1800</v>
      </c>
      <c r="M349" s="2494">
        <f>+M348-I349</f>
        <v>90000</v>
      </c>
      <c r="N349" s="2495"/>
      <c r="O349" s="2516" t="s">
        <v>229</v>
      </c>
      <c r="P349" s="2517"/>
      <c r="Q349" s="2517"/>
      <c r="R349" s="146"/>
    </row>
    <row r="350" spans="2:20" ht="48.75" customHeight="1" x14ac:dyDescent="0.25">
      <c r="B350" s="154" t="s">
        <v>57</v>
      </c>
      <c r="C350" s="150"/>
      <c r="D350" s="150"/>
      <c r="E350" s="2494"/>
      <c r="F350" s="2495"/>
      <c r="G350" s="155">
        <v>-1</v>
      </c>
      <c r="H350" s="150">
        <f>+L349</f>
        <v>1800</v>
      </c>
      <c r="I350" s="2520">
        <f>+G350*H350</f>
        <v>-1800</v>
      </c>
      <c r="J350" s="2521"/>
      <c r="K350" s="151">
        <f>+K349-G350</f>
        <v>51</v>
      </c>
      <c r="L350" s="152">
        <f>+M350/K350</f>
        <v>1800</v>
      </c>
      <c r="M350" s="2494">
        <f>+M349-I350</f>
        <v>91800</v>
      </c>
      <c r="N350" s="2495"/>
      <c r="O350" s="2516" t="s">
        <v>234</v>
      </c>
      <c r="P350" s="2517"/>
      <c r="Q350" s="2517"/>
      <c r="R350" s="146"/>
    </row>
    <row r="352" spans="2:20" x14ac:dyDescent="0.25">
      <c r="G352" s="27"/>
      <c r="H352" s="27"/>
    </row>
    <row r="353" spans="1:17" s="4" customFormat="1" x14ac:dyDescent="0.25">
      <c r="B353" s="189"/>
      <c r="C353" s="12"/>
      <c r="D353" s="12"/>
      <c r="E353" s="12"/>
      <c r="F353" s="12"/>
      <c r="G353" s="51"/>
      <c r="H353" s="51"/>
      <c r="M353" s="18"/>
      <c r="N353" s="18"/>
      <c r="O353" s="18"/>
      <c r="P353" s="18"/>
    </row>
    <row r="354" spans="1:17" x14ac:dyDescent="0.25">
      <c r="A354" s="4"/>
      <c r="B354" s="189"/>
      <c r="G354" s="51"/>
      <c r="H354" s="51"/>
      <c r="I354" s="4"/>
      <c r="J354" s="4"/>
      <c r="K354" s="4"/>
      <c r="L354" s="4"/>
      <c r="M354" s="18"/>
      <c r="N354" s="18"/>
      <c r="O354" s="18"/>
      <c r="P354" s="18"/>
      <c r="Q354" s="4"/>
    </row>
    <row r="355" spans="1:17" x14ac:dyDescent="0.25">
      <c r="B355" s="6" t="s">
        <v>236</v>
      </c>
      <c r="C355" s="112" t="s">
        <v>237</v>
      </c>
      <c r="G355" s="27"/>
      <c r="H355" s="27"/>
    </row>
    <row r="356" spans="1:17" x14ac:dyDescent="0.25">
      <c r="C356" s="113"/>
      <c r="G356" s="27"/>
      <c r="H356" s="27"/>
    </row>
    <row r="357" spans="1:17" x14ac:dyDescent="0.25">
      <c r="C357" s="131"/>
      <c r="D357" s="132"/>
      <c r="E357" s="2449" t="s">
        <v>183</v>
      </c>
      <c r="F357" s="2449"/>
      <c r="G357" s="2449" t="s">
        <v>182</v>
      </c>
      <c r="H357" s="2449"/>
      <c r="I357" s="2443" t="s">
        <v>40</v>
      </c>
      <c r="J357" s="2444"/>
      <c r="K357" s="2445"/>
      <c r="L357" s="2421" t="s">
        <v>181</v>
      </c>
      <c r="M357" s="2421"/>
    </row>
    <row r="358" spans="1:17" x14ac:dyDescent="0.25">
      <c r="C358" s="133"/>
      <c r="D358" s="134"/>
      <c r="E358" s="2449"/>
      <c r="F358" s="2449"/>
      <c r="G358" s="2449"/>
      <c r="H358" s="2449"/>
      <c r="I358" s="2446"/>
      <c r="J358" s="2447"/>
      <c r="K358" s="2448"/>
      <c r="L358" s="2421"/>
      <c r="M358" s="2421"/>
    </row>
    <row r="359" spans="1:17" x14ac:dyDescent="0.25">
      <c r="C359" s="72" t="s">
        <v>51</v>
      </c>
      <c r="D359" s="73"/>
      <c r="E359" s="2422">
        <f>+E329</f>
        <v>21500</v>
      </c>
      <c r="F359" s="2422"/>
      <c r="G359" s="2422">
        <f>+E359-2000</f>
        <v>19500</v>
      </c>
      <c r="H359" s="2422"/>
      <c r="I359" s="2466">
        <v>5000</v>
      </c>
      <c r="J359" s="2523"/>
      <c r="K359" s="159" t="s">
        <v>214</v>
      </c>
      <c r="L359" s="2422">
        <f>+G359/I359*40</f>
        <v>156</v>
      </c>
      <c r="M359" s="2422"/>
      <c r="N359" s="2411" t="s">
        <v>269</v>
      </c>
      <c r="O359" s="2412"/>
      <c r="P359" s="2412"/>
    </row>
    <row r="360" spans="1:17" x14ac:dyDescent="0.25">
      <c r="C360" s="72" t="s">
        <v>239</v>
      </c>
      <c r="D360" s="74"/>
      <c r="E360" s="2458">
        <v>5400</v>
      </c>
      <c r="F360" s="2458"/>
      <c r="G360" s="2458">
        <f>+E360</f>
        <v>5400</v>
      </c>
      <c r="H360" s="2458"/>
      <c r="I360" s="2155">
        <f>3*12</f>
        <v>36</v>
      </c>
      <c r="J360" s="2045"/>
      <c r="K360" s="160" t="s">
        <v>62</v>
      </c>
      <c r="L360" s="2458">
        <f>+G360/I360</f>
        <v>150</v>
      </c>
      <c r="M360" s="2458"/>
      <c r="N360" s="2411" t="s">
        <v>270</v>
      </c>
      <c r="O360" s="2412"/>
      <c r="P360" s="2412"/>
    </row>
    <row r="361" spans="1:17" x14ac:dyDescent="0.25">
      <c r="C361" s="167" t="s">
        <v>212</v>
      </c>
      <c r="D361" s="1"/>
      <c r="E361" s="156"/>
      <c r="F361" s="1"/>
      <c r="G361" s="156"/>
      <c r="H361" s="1"/>
      <c r="I361" s="156"/>
      <c r="J361" s="1"/>
      <c r="K361" s="1"/>
      <c r="L361" s="156"/>
      <c r="M361" s="157"/>
    </row>
    <row r="362" spans="1:17" x14ac:dyDescent="0.25">
      <c r="C362" s="2527" t="s">
        <v>262</v>
      </c>
      <c r="D362" s="2528"/>
      <c r="E362" s="1925"/>
      <c r="F362" s="1940"/>
      <c r="G362" s="1925">
        <v>201000</v>
      </c>
      <c r="H362" s="1940"/>
      <c r="I362" s="1925">
        <f>+(300000/500)</f>
        <v>600</v>
      </c>
      <c r="J362" s="1940"/>
      <c r="K362" s="165" t="s">
        <v>62</v>
      </c>
      <c r="L362" s="1925">
        <f>+G362/I362</f>
        <v>335</v>
      </c>
      <c r="M362" s="1926"/>
      <c r="N362" s="181" t="s">
        <v>271</v>
      </c>
    </row>
    <row r="363" spans="1:17" ht="17.25" x14ac:dyDescent="0.25">
      <c r="C363" s="32" t="s">
        <v>263</v>
      </c>
      <c r="D363" s="4"/>
      <c r="E363" s="2450"/>
      <c r="F363" s="2529"/>
      <c r="G363" s="2450">
        <v>49118</v>
      </c>
      <c r="H363" s="2529"/>
      <c r="I363" s="1925">
        <v>599</v>
      </c>
      <c r="J363" s="1940"/>
      <c r="K363" s="165" t="s">
        <v>62</v>
      </c>
      <c r="L363" s="2450">
        <f>+G363/I363</f>
        <v>82</v>
      </c>
      <c r="M363" s="2451"/>
      <c r="N363" s="181" t="s">
        <v>272</v>
      </c>
    </row>
    <row r="364" spans="1:17" x14ac:dyDescent="0.25">
      <c r="C364" s="8" t="s">
        <v>240</v>
      </c>
      <c r="D364" s="4"/>
      <c r="E364" s="2084"/>
      <c r="F364" s="2167"/>
      <c r="G364" s="2084">
        <f>+G362+G363</f>
        <v>250118</v>
      </c>
      <c r="H364" s="2167"/>
      <c r="I364" s="2084"/>
      <c r="J364" s="2167"/>
      <c r="K364" s="166"/>
      <c r="L364" s="2084">
        <f>+L362+L363</f>
        <v>417</v>
      </c>
      <c r="M364" s="2085"/>
      <c r="N364" s="181" t="s">
        <v>273</v>
      </c>
    </row>
    <row r="365" spans="1:17" x14ac:dyDescent="0.25">
      <c r="C365" s="167" t="s">
        <v>213</v>
      </c>
      <c r="D365" s="69"/>
      <c r="E365" s="1940"/>
      <c r="F365" s="1926"/>
      <c r="G365" s="1940"/>
      <c r="H365" s="1926"/>
      <c r="I365" s="1940"/>
      <c r="J365" s="1940"/>
      <c r="K365" s="161"/>
      <c r="L365" s="1940"/>
      <c r="M365" s="1926"/>
    </row>
    <row r="366" spans="1:17" x14ac:dyDescent="0.25">
      <c r="C366" s="2527" t="s">
        <v>262</v>
      </c>
      <c r="D366" s="2530"/>
      <c r="E366" s="1940"/>
      <c r="F366" s="1926"/>
      <c r="G366" s="1940">
        <f>+E331-250-300</f>
        <v>144450</v>
      </c>
      <c r="H366" s="1926"/>
      <c r="I366" s="1940">
        <f>+I331-500-600</f>
        <v>288900</v>
      </c>
      <c r="J366" s="1940"/>
      <c r="K366" s="161" t="s">
        <v>220</v>
      </c>
      <c r="L366" s="1940"/>
      <c r="M366" s="1926"/>
    </row>
    <row r="367" spans="1:17" ht="17.25" customHeight="1" x14ac:dyDescent="0.25">
      <c r="C367" s="32" t="s">
        <v>241</v>
      </c>
      <c r="D367" s="67"/>
      <c r="E367" s="1940"/>
      <c r="F367" s="1926"/>
      <c r="G367" s="2529">
        <v>44550</v>
      </c>
      <c r="H367" s="2451"/>
      <c r="I367" s="2529">
        <v>26100</v>
      </c>
      <c r="J367" s="2529"/>
      <c r="K367" s="161" t="s">
        <v>220</v>
      </c>
      <c r="L367" s="1940"/>
      <c r="M367" s="1926"/>
      <c r="N367" s="2413" t="s">
        <v>274</v>
      </c>
      <c r="O367" s="2414"/>
      <c r="P367" s="2414"/>
    </row>
    <row r="368" spans="1:17" x14ac:dyDescent="0.25">
      <c r="C368" s="158" t="s">
        <v>264</v>
      </c>
      <c r="D368" s="68"/>
      <c r="E368" s="2167"/>
      <c r="F368" s="2085"/>
      <c r="G368" s="2167">
        <f>+G366+G367</f>
        <v>189000</v>
      </c>
      <c r="H368" s="2085"/>
      <c r="I368" s="2167">
        <f>+I366+I367</f>
        <v>315000</v>
      </c>
      <c r="J368" s="2167"/>
      <c r="K368" s="162" t="s">
        <v>220</v>
      </c>
      <c r="L368" s="2167">
        <f>+G368/I368*400</f>
        <v>240</v>
      </c>
      <c r="M368" s="2085"/>
      <c r="N368" s="2413"/>
      <c r="O368" s="2414"/>
      <c r="P368" s="2414"/>
    </row>
    <row r="369" spans="2:15" x14ac:dyDescent="0.25">
      <c r="G369" s="2524"/>
      <c r="H369" s="2525"/>
      <c r="I369" s="2526"/>
      <c r="J369" s="2526"/>
    </row>
    <row r="370" spans="2:15" x14ac:dyDescent="0.25">
      <c r="B370" s="163" t="s">
        <v>218</v>
      </c>
      <c r="C370" s="2498" t="s">
        <v>244</v>
      </c>
      <c r="D370" s="2499"/>
      <c r="E370" s="2499"/>
      <c r="F370" s="2499"/>
      <c r="G370" s="2499"/>
      <c r="H370" s="2499"/>
      <c r="I370" s="2499"/>
      <c r="J370" s="2499"/>
      <c r="K370" s="2499"/>
      <c r="L370" s="2499"/>
      <c r="M370" s="2500"/>
    </row>
    <row r="371" spans="2:15" x14ac:dyDescent="0.25">
      <c r="B371" s="164"/>
      <c r="C371" s="2501"/>
      <c r="D371" s="1985"/>
      <c r="E371" s="1985"/>
      <c r="F371" s="1985"/>
      <c r="G371" s="1985"/>
      <c r="H371" s="1985"/>
      <c r="I371" s="1985"/>
      <c r="J371" s="1985"/>
      <c r="K371" s="1985"/>
      <c r="L371" s="1985"/>
      <c r="M371" s="2502"/>
    </row>
    <row r="372" spans="2:15" ht="15" customHeight="1" x14ac:dyDescent="0.25">
      <c r="B372" s="163" t="s">
        <v>218</v>
      </c>
      <c r="C372" s="2501" t="s">
        <v>245</v>
      </c>
      <c r="D372" s="1985"/>
      <c r="E372" s="1985"/>
      <c r="F372" s="1985"/>
      <c r="G372" s="1985"/>
      <c r="H372" s="1985"/>
      <c r="I372" s="1985"/>
      <c r="J372" s="1985"/>
      <c r="K372" s="1985"/>
      <c r="L372" s="1985"/>
      <c r="M372" s="2502"/>
    </row>
    <row r="373" spans="2:15" x14ac:dyDescent="0.25">
      <c r="B373" s="164"/>
      <c r="C373" s="2501"/>
      <c r="D373" s="1985"/>
      <c r="E373" s="1985"/>
      <c r="F373" s="1985"/>
      <c r="G373" s="1985"/>
      <c r="H373" s="1985"/>
      <c r="I373" s="1985"/>
      <c r="J373" s="1985"/>
      <c r="K373" s="1985"/>
      <c r="L373" s="1985"/>
      <c r="M373" s="2502"/>
    </row>
    <row r="374" spans="2:15" x14ac:dyDescent="0.25">
      <c r="B374" s="164"/>
      <c r="C374" s="2501"/>
      <c r="D374" s="1985"/>
      <c r="E374" s="1985"/>
      <c r="F374" s="1985"/>
      <c r="G374" s="1985"/>
      <c r="H374" s="1985"/>
      <c r="I374" s="1985"/>
      <c r="J374" s="1985"/>
      <c r="K374" s="1985"/>
      <c r="L374" s="1985"/>
      <c r="M374" s="2502"/>
    </row>
    <row r="375" spans="2:15" x14ac:dyDescent="0.25">
      <c r="B375" s="163" t="s">
        <v>218</v>
      </c>
      <c r="C375" s="2501" t="s">
        <v>246</v>
      </c>
      <c r="D375" s="1985"/>
      <c r="E375" s="1985"/>
      <c r="F375" s="1985"/>
      <c r="G375" s="1985"/>
      <c r="H375" s="1985"/>
      <c r="I375" s="1985"/>
      <c r="J375" s="1985"/>
      <c r="K375" s="1985"/>
      <c r="L375" s="1985"/>
      <c r="M375" s="2502"/>
    </row>
    <row r="376" spans="2:15" x14ac:dyDescent="0.25">
      <c r="C376" s="2501"/>
      <c r="D376" s="1985"/>
      <c r="E376" s="1985"/>
      <c r="F376" s="1985"/>
      <c r="G376" s="1985"/>
      <c r="H376" s="1985"/>
      <c r="I376" s="1985"/>
      <c r="J376" s="1985"/>
      <c r="K376" s="1985"/>
      <c r="L376" s="1985"/>
      <c r="M376" s="2502"/>
    </row>
    <row r="377" spans="2:15" x14ac:dyDescent="0.25">
      <c r="C377" s="2503"/>
      <c r="D377" s="2504"/>
      <c r="E377" s="2504"/>
      <c r="F377" s="2504"/>
      <c r="G377" s="2504"/>
      <c r="H377" s="2504"/>
      <c r="I377" s="2504"/>
      <c r="J377" s="2504"/>
      <c r="K377" s="2504"/>
      <c r="L377" s="2504"/>
      <c r="M377" s="2505"/>
    </row>
    <row r="380" spans="2:15" x14ac:dyDescent="0.25">
      <c r="B380" s="6" t="s">
        <v>247</v>
      </c>
      <c r="C380" s="112" t="s">
        <v>248</v>
      </c>
    </row>
    <row r="382" spans="2:15" x14ac:dyDescent="0.25">
      <c r="C382" s="4" t="s">
        <v>249</v>
      </c>
      <c r="G382" s="7">
        <v>51</v>
      </c>
      <c r="H382" s="70" t="s">
        <v>98</v>
      </c>
      <c r="J382" s="75" t="s">
        <v>275</v>
      </c>
    </row>
    <row r="383" spans="2:15" x14ac:dyDescent="0.25">
      <c r="C383" s="63" t="s">
        <v>250</v>
      </c>
      <c r="D383" s="63"/>
      <c r="G383" s="7">
        <v>48</v>
      </c>
      <c r="H383" s="70" t="s">
        <v>98</v>
      </c>
    </row>
    <row r="384" spans="2:15" x14ac:dyDescent="0.25">
      <c r="C384" s="63" t="s">
        <v>251</v>
      </c>
      <c r="D384" s="63"/>
      <c r="G384" s="55">
        <f>+G382-G383</f>
        <v>3</v>
      </c>
      <c r="H384" s="182" t="s">
        <v>276</v>
      </c>
      <c r="M384" s="2464">
        <f>+G384*1800</f>
        <v>5400</v>
      </c>
      <c r="N384" s="2465"/>
      <c r="O384" s="137" t="s">
        <v>199</v>
      </c>
    </row>
    <row r="386" spans="3:15" x14ac:dyDescent="0.25">
      <c r="C386" s="4" t="s">
        <v>252</v>
      </c>
      <c r="G386" s="7">
        <v>1800</v>
      </c>
      <c r="H386" s="168" t="s">
        <v>164</v>
      </c>
    </row>
    <row r="387" spans="3:15" x14ac:dyDescent="0.25">
      <c r="C387" s="63" t="s">
        <v>253</v>
      </c>
      <c r="D387" s="63"/>
      <c r="G387" s="7">
        <v>1700</v>
      </c>
      <c r="H387" s="70" t="s">
        <v>164</v>
      </c>
    </row>
    <row r="388" spans="3:15" x14ac:dyDescent="0.25">
      <c r="C388" s="63" t="s">
        <v>254</v>
      </c>
      <c r="D388" s="63"/>
      <c r="G388" s="55">
        <f>+G386-G387</f>
        <v>100</v>
      </c>
      <c r="H388" s="182" t="s">
        <v>255</v>
      </c>
      <c r="M388" s="2464">
        <f>+G388*48</f>
        <v>4800</v>
      </c>
      <c r="N388" s="2465"/>
      <c r="O388" s="137" t="s">
        <v>199</v>
      </c>
    </row>
    <row r="402" spans="2:16" s="4" customFormat="1" x14ac:dyDescent="0.25">
      <c r="B402" s="189"/>
      <c r="C402" s="12"/>
      <c r="D402" s="12"/>
      <c r="E402" s="12"/>
      <c r="F402" s="12"/>
      <c r="G402" s="51"/>
      <c r="H402" s="51"/>
      <c r="M402" s="18"/>
      <c r="N402" s="18"/>
      <c r="O402" s="18"/>
      <c r="P402" s="18"/>
    </row>
  </sheetData>
  <sheetProtection algorithmName="SHA-512" hashValue="c/o12B9AeoirlAYMkv12eECgX3oM6NYtDUgUEZdUmlEDDXXoSKoKtQabeXNXdwoVJUFCZprWfqzblCnNY5by+g==" saltValue="jobmuGAR15R14QwYQAIs5w==" spinCount="100000" sheet="1" objects="1" scenarios="1"/>
  <sortState xmlns:xlrd2="http://schemas.microsoft.com/office/spreadsheetml/2017/richdata2" ref="C8:E21">
    <sortCondition ref="C8"/>
  </sortState>
  <mergeCells count="632">
    <mergeCell ref="M384:N384"/>
    <mergeCell ref="M388:N388"/>
    <mergeCell ref="M298:N298"/>
    <mergeCell ref="O298:P298"/>
    <mergeCell ref="M301:N301"/>
    <mergeCell ref="M302:N302"/>
    <mergeCell ref="O301:P301"/>
    <mergeCell ref="O302:P302"/>
    <mergeCell ref="E363:F363"/>
    <mergeCell ref="G363:H363"/>
    <mergeCell ref="I363:J363"/>
    <mergeCell ref="L363:M363"/>
    <mergeCell ref="E364:F364"/>
    <mergeCell ref="G364:H364"/>
    <mergeCell ref="I364:J364"/>
    <mergeCell ref="L364:M364"/>
    <mergeCell ref="C372:M374"/>
    <mergeCell ref="C375:M377"/>
    <mergeCell ref="C366:D366"/>
    <mergeCell ref="E366:F366"/>
    <mergeCell ref="G366:H366"/>
    <mergeCell ref="I366:J366"/>
    <mergeCell ref="L366:M366"/>
    <mergeCell ref="E367:F367"/>
    <mergeCell ref="C370:M371"/>
    <mergeCell ref="L368:M368"/>
    <mergeCell ref="G369:H369"/>
    <mergeCell ref="I369:J369"/>
    <mergeCell ref="C362:D362"/>
    <mergeCell ref="G367:H367"/>
    <mergeCell ref="I367:J367"/>
    <mergeCell ref="L367:M367"/>
    <mergeCell ref="E368:F368"/>
    <mergeCell ref="G368:H368"/>
    <mergeCell ref="I368:J368"/>
    <mergeCell ref="E365:F365"/>
    <mergeCell ref="G365:H365"/>
    <mergeCell ref="I365:J365"/>
    <mergeCell ref="L365:M365"/>
    <mergeCell ref="E357:F358"/>
    <mergeCell ref="G357:H358"/>
    <mergeCell ref="I357:K358"/>
    <mergeCell ref="L357:M358"/>
    <mergeCell ref="E359:F359"/>
    <mergeCell ref="G359:H359"/>
    <mergeCell ref="I359:J359"/>
    <mergeCell ref="L359:M359"/>
    <mergeCell ref="E362:F362"/>
    <mergeCell ref="G362:H362"/>
    <mergeCell ref="I362:J362"/>
    <mergeCell ref="L362:M362"/>
    <mergeCell ref="E360:F360"/>
    <mergeCell ref="G360:H360"/>
    <mergeCell ref="I360:J360"/>
    <mergeCell ref="L360:M360"/>
    <mergeCell ref="C278:F278"/>
    <mergeCell ref="G278:H278"/>
    <mergeCell ref="I278:L278"/>
    <mergeCell ref="M278:N278"/>
    <mergeCell ref="O278:P278"/>
    <mergeCell ref="M279:N279"/>
    <mergeCell ref="M280:N280"/>
    <mergeCell ref="O281:P281"/>
    <mergeCell ref="C282:F282"/>
    <mergeCell ref="G282:H282"/>
    <mergeCell ref="I282:L282"/>
    <mergeCell ref="M282:N282"/>
    <mergeCell ref="O282:P282"/>
    <mergeCell ref="I292:L292"/>
    <mergeCell ref="M292:N292"/>
    <mergeCell ref="O292:P292"/>
    <mergeCell ref="M293:N293"/>
    <mergeCell ref="E299:N300"/>
    <mergeCell ref="M295:N295"/>
    <mergeCell ref="O295:P295"/>
    <mergeCell ref="M296:N296"/>
    <mergeCell ref="E350:F350"/>
    <mergeCell ref="I350:J350"/>
    <mergeCell ref="M350:N350"/>
    <mergeCell ref="O350:Q350"/>
    <mergeCell ref="E346:F348"/>
    <mergeCell ref="G346:G348"/>
    <mergeCell ref="H346:H348"/>
    <mergeCell ref="I346:J348"/>
    <mergeCell ref="M346:N346"/>
    <mergeCell ref="O346:Q348"/>
    <mergeCell ref="M348:N348"/>
    <mergeCell ref="M347:N347"/>
    <mergeCell ref="O343:Q345"/>
    <mergeCell ref="C340:F340"/>
    <mergeCell ref="G340:J340"/>
    <mergeCell ref="K340:N340"/>
    <mergeCell ref="G271:H271"/>
    <mergeCell ref="I271:L271"/>
    <mergeCell ref="M271:N271"/>
    <mergeCell ref="O271:P271"/>
    <mergeCell ref="M272:N272"/>
    <mergeCell ref="O274:P274"/>
    <mergeCell ref="C266:F266"/>
    <mergeCell ref="G266:H266"/>
    <mergeCell ref="I349:J349"/>
    <mergeCell ref="M349:N349"/>
    <mergeCell ref="O349:Q349"/>
    <mergeCell ref="E349:F349"/>
    <mergeCell ref="O276:P276"/>
    <mergeCell ref="O277:P277"/>
    <mergeCell ref="C275:F275"/>
    <mergeCell ref="G275:H275"/>
    <mergeCell ref="I275:L275"/>
    <mergeCell ref="M275:N275"/>
    <mergeCell ref="O275:P275"/>
    <mergeCell ref="O291:P291"/>
    <mergeCell ref="M284:N284"/>
    <mergeCell ref="O288:P288"/>
    <mergeCell ref="C292:F292"/>
    <mergeCell ref="G292:H292"/>
    <mergeCell ref="O258:P258"/>
    <mergeCell ref="M259:N259"/>
    <mergeCell ref="O260:P260"/>
    <mergeCell ref="O261:P261"/>
    <mergeCell ref="C262:F262"/>
    <mergeCell ref="G262:H262"/>
    <mergeCell ref="I262:L262"/>
    <mergeCell ref="M262:N262"/>
    <mergeCell ref="O262:P262"/>
    <mergeCell ref="B343:B345"/>
    <mergeCell ref="C343:C345"/>
    <mergeCell ref="G343:G345"/>
    <mergeCell ref="D343:D345"/>
    <mergeCell ref="E343:F345"/>
    <mergeCell ref="H343:H345"/>
    <mergeCell ref="I343:J345"/>
    <mergeCell ref="M343:N343"/>
    <mergeCell ref="M344:N344"/>
    <mergeCell ref="M345:N345"/>
    <mergeCell ref="B346:B348"/>
    <mergeCell ref="C346:C348"/>
    <mergeCell ref="D346:D348"/>
    <mergeCell ref="E342:F342"/>
    <mergeCell ref="I342:J342"/>
    <mergeCell ref="M342:N342"/>
    <mergeCell ref="B340:B341"/>
    <mergeCell ref="M294:N294"/>
    <mergeCell ref="O294:P294"/>
    <mergeCell ref="C333:M334"/>
    <mergeCell ref="C335:M336"/>
    <mergeCell ref="I337:J337"/>
    <mergeCell ref="E327:F328"/>
    <mergeCell ref="G327:H328"/>
    <mergeCell ref="I327:K328"/>
    <mergeCell ref="L327:M328"/>
    <mergeCell ref="E329:F329"/>
    <mergeCell ref="G329:H329"/>
    <mergeCell ref="I329:J329"/>
    <mergeCell ref="L329:M329"/>
    <mergeCell ref="E330:F330"/>
    <mergeCell ref="G330:H330"/>
    <mergeCell ref="I330:J330"/>
    <mergeCell ref="L330:M330"/>
    <mergeCell ref="E341:F341"/>
    <mergeCell ref="I341:J341"/>
    <mergeCell ref="M341:N341"/>
    <mergeCell ref="M264:N264"/>
    <mergeCell ref="O264:P264"/>
    <mergeCell ref="E331:F331"/>
    <mergeCell ref="G331:H331"/>
    <mergeCell ref="I331:J331"/>
    <mergeCell ref="L331:M331"/>
    <mergeCell ref="M269:N269"/>
    <mergeCell ref="M273:N273"/>
    <mergeCell ref="M276:N276"/>
    <mergeCell ref="C295:F295"/>
    <mergeCell ref="G295:H295"/>
    <mergeCell ref="I295:L295"/>
    <mergeCell ref="M320:N320"/>
    <mergeCell ref="M322:N322"/>
    <mergeCell ref="M323:N323"/>
    <mergeCell ref="M321:N321"/>
    <mergeCell ref="O270:P270"/>
    <mergeCell ref="C271:F271"/>
    <mergeCell ref="M311:N311"/>
    <mergeCell ref="M312:N312"/>
    <mergeCell ref="M313:N313"/>
    <mergeCell ref="C242:F242"/>
    <mergeCell ref="G242:H242"/>
    <mergeCell ref="I242:L242"/>
    <mergeCell ref="M242:N242"/>
    <mergeCell ref="O242:P242"/>
    <mergeCell ref="M243:N243"/>
    <mergeCell ref="O243:P243"/>
    <mergeCell ref="I266:L266"/>
    <mergeCell ref="M266:N266"/>
    <mergeCell ref="C254:F254"/>
    <mergeCell ref="G254:H254"/>
    <mergeCell ref="I254:L254"/>
    <mergeCell ref="M254:N254"/>
    <mergeCell ref="C246:F246"/>
    <mergeCell ref="G246:H246"/>
    <mergeCell ref="I246:L246"/>
    <mergeCell ref="M246:N246"/>
    <mergeCell ref="O254:P254"/>
    <mergeCell ref="M263:N263"/>
    <mergeCell ref="O263:P263"/>
    <mergeCell ref="C258:F258"/>
    <mergeCell ref="G258:H258"/>
    <mergeCell ref="I258:L258"/>
    <mergeCell ref="M258:N258"/>
    <mergeCell ref="C237:F237"/>
    <mergeCell ref="G237:H237"/>
    <mergeCell ref="I237:L237"/>
    <mergeCell ref="M237:N237"/>
    <mergeCell ref="O237:P237"/>
    <mergeCell ref="M238:N238"/>
    <mergeCell ref="O238:P238"/>
    <mergeCell ref="M239:N239"/>
    <mergeCell ref="O239:P239"/>
    <mergeCell ref="C231:F231"/>
    <mergeCell ref="G231:H231"/>
    <mergeCell ref="I231:L231"/>
    <mergeCell ref="M232:N232"/>
    <mergeCell ref="O232:P232"/>
    <mergeCell ref="M233:N233"/>
    <mergeCell ref="O233:P233"/>
    <mergeCell ref="C227:F227"/>
    <mergeCell ref="G227:H227"/>
    <mergeCell ref="I227:L227"/>
    <mergeCell ref="M227:N227"/>
    <mergeCell ref="O227:P227"/>
    <mergeCell ref="M228:N228"/>
    <mergeCell ref="O228:P228"/>
    <mergeCell ref="M229:N229"/>
    <mergeCell ref="O229:P229"/>
    <mergeCell ref="M315:N315"/>
    <mergeCell ref="M316:N316"/>
    <mergeCell ref="M317:N317"/>
    <mergeCell ref="M318:N318"/>
    <mergeCell ref="O265:P265"/>
    <mergeCell ref="O266:P266"/>
    <mergeCell ref="O296:P296"/>
    <mergeCell ref="O297:P297"/>
    <mergeCell ref="M267:N267"/>
    <mergeCell ref="M268:N268"/>
    <mergeCell ref="M283:N283"/>
    <mergeCell ref="M285:N285"/>
    <mergeCell ref="M286:N286"/>
    <mergeCell ref="O287:P287"/>
    <mergeCell ref="O289:P289"/>
    <mergeCell ref="O290:P290"/>
    <mergeCell ref="M291:N291"/>
    <mergeCell ref="O253:P253"/>
    <mergeCell ref="O241:P241"/>
    <mergeCell ref="O240:P240"/>
    <mergeCell ref="O244:P244"/>
    <mergeCell ref="O245:P245"/>
    <mergeCell ref="O250:P250"/>
    <mergeCell ref="O251:P251"/>
    <mergeCell ref="O252:P252"/>
    <mergeCell ref="M224:N224"/>
    <mergeCell ref="O224:P224"/>
    <mergeCell ref="O225:P225"/>
    <mergeCell ref="M226:N226"/>
    <mergeCell ref="O226:P226"/>
    <mergeCell ref="O235:P235"/>
    <mergeCell ref="O230:P230"/>
    <mergeCell ref="M231:N231"/>
    <mergeCell ref="O231:P231"/>
    <mergeCell ref="M253:N253"/>
    <mergeCell ref="M240:N240"/>
    <mergeCell ref="O246:P246"/>
    <mergeCell ref="M247:N247"/>
    <mergeCell ref="M248:N248"/>
    <mergeCell ref="M249:N249"/>
    <mergeCell ref="M215:N215"/>
    <mergeCell ref="M236:N236"/>
    <mergeCell ref="O236:P236"/>
    <mergeCell ref="O234:P234"/>
    <mergeCell ref="M234:N234"/>
    <mergeCell ref="O221:P221"/>
    <mergeCell ref="M212:N212"/>
    <mergeCell ref="O212:P212"/>
    <mergeCell ref="O213:P213"/>
    <mergeCell ref="M214:N214"/>
    <mergeCell ref="O214:P214"/>
    <mergeCell ref="M222:N222"/>
    <mergeCell ref="O222:P222"/>
    <mergeCell ref="M223:N223"/>
    <mergeCell ref="O223:P223"/>
    <mergeCell ref="M216:N216"/>
    <mergeCell ref="O216:P216"/>
    <mergeCell ref="M217:N217"/>
    <mergeCell ref="O217:P217"/>
    <mergeCell ref="M218:N218"/>
    <mergeCell ref="O218:P218"/>
    <mergeCell ref="M219:N219"/>
    <mergeCell ref="O219:P219"/>
    <mergeCell ref="M220:N220"/>
    <mergeCell ref="A2:Q2"/>
    <mergeCell ref="A3:Q3"/>
    <mergeCell ref="C59:F59"/>
    <mergeCell ref="I59:L59"/>
    <mergeCell ref="O58:P58"/>
    <mergeCell ref="M56:N56"/>
    <mergeCell ref="O56:P56"/>
    <mergeCell ref="M57:N57"/>
    <mergeCell ref="O57:P57"/>
    <mergeCell ref="M58:N58"/>
    <mergeCell ref="G59:H59"/>
    <mergeCell ref="M59:N59"/>
    <mergeCell ref="O59:P59"/>
    <mergeCell ref="G55:H55"/>
    <mergeCell ref="B46:K47"/>
    <mergeCell ref="A52:Q52"/>
    <mergeCell ref="O15:P15"/>
    <mergeCell ref="O9:P9"/>
    <mergeCell ref="O6:P6"/>
    <mergeCell ref="M6:N6"/>
    <mergeCell ref="C16:F16"/>
    <mergeCell ref="G16:H16"/>
    <mergeCell ref="I16:L16"/>
    <mergeCell ref="M16:N16"/>
    <mergeCell ref="I198:J198"/>
    <mergeCell ref="K198:L198"/>
    <mergeCell ref="I199:J199"/>
    <mergeCell ref="K199:L199"/>
    <mergeCell ref="M213:N213"/>
    <mergeCell ref="A208:Q208"/>
    <mergeCell ref="A209:Q209"/>
    <mergeCell ref="M210:N211"/>
    <mergeCell ref="O210:P211"/>
    <mergeCell ref="G211:H211"/>
    <mergeCell ref="D205:E205"/>
    <mergeCell ref="O220:P220"/>
    <mergeCell ref="M221:N221"/>
    <mergeCell ref="M7:N7"/>
    <mergeCell ref="O7:P7"/>
    <mergeCell ref="M8:N8"/>
    <mergeCell ref="M10:N10"/>
    <mergeCell ref="M11:N11"/>
    <mergeCell ref="M12:N12"/>
    <mergeCell ref="M13:N13"/>
    <mergeCell ref="M14:N14"/>
    <mergeCell ref="O14:P14"/>
    <mergeCell ref="M19:N19"/>
    <mergeCell ref="O19:P19"/>
    <mergeCell ref="M20:N20"/>
    <mergeCell ref="O20:P20"/>
    <mergeCell ref="O81:P81"/>
    <mergeCell ref="O83:P83"/>
    <mergeCell ref="M79:N79"/>
    <mergeCell ref="O79:P79"/>
    <mergeCell ref="O24:P24"/>
    <mergeCell ref="M54:N55"/>
    <mergeCell ref="O82:P82"/>
    <mergeCell ref="L30:M30"/>
    <mergeCell ref="M74:N74"/>
    <mergeCell ref="O73:P73"/>
    <mergeCell ref="M60:N60"/>
    <mergeCell ref="O60:P60"/>
    <mergeCell ref="O66:P66"/>
    <mergeCell ref="O54:P55"/>
    <mergeCell ref="C73:F73"/>
    <mergeCell ref="G73:H73"/>
    <mergeCell ref="I73:L73"/>
    <mergeCell ref="M73:N73"/>
    <mergeCell ref="O61:P61"/>
    <mergeCell ref="M71:N71"/>
    <mergeCell ref="O71:P71"/>
    <mergeCell ref="M72:N72"/>
    <mergeCell ref="O72:P72"/>
    <mergeCell ref="M61:N61"/>
    <mergeCell ref="O64:P64"/>
    <mergeCell ref="M66:N66"/>
    <mergeCell ref="M63:N63"/>
    <mergeCell ref="O63:P63"/>
    <mergeCell ref="O65:P65"/>
    <mergeCell ref="M64:N64"/>
    <mergeCell ref="M65:N65"/>
    <mergeCell ref="C67:F67"/>
    <mergeCell ref="G67:H67"/>
    <mergeCell ref="M69:N69"/>
    <mergeCell ref="M68:N68"/>
    <mergeCell ref="O68:P68"/>
    <mergeCell ref="M70:N70"/>
    <mergeCell ref="O70:P70"/>
    <mergeCell ref="E43:F43"/>
    <mergeCell ref="M43:O43"/>
    <mergeCell ref="K37:L37"/>
    <mergeCell ref="M24:N24"/>
    <mergeCell ref="A53:Q53"/>
    <mergeCell ref="I67:L67"/>
    <mergeCell ref="M67:N67"/>
    <mergeCell ref="O67:P67"/>
    <mergeCell ref="C62:F62"/>
    <mergeCell ref="G62:H62"/>
    <mergeCell ref="I62:L62"/>
    <mergeCell ref="M62:N62"/>
    <mergeCell ref="O62:P62"/>
    <mergeCell ref="J29:K29"/>
    <mergeCell ref="J31:K31"/>
    <mergeCell ref="G6:I6"/>
    <mergeCell ref="C21:F21"/>
    <mergeCell ref="G21:I21"/>
    <mergeCell ref="J21:L21"/>
    <mergeCell ref="M21:N21"/>
    <mergeCell ref="O21:P21"/>
    <mergeCell ref="M22:N22"/>
    <mergeCell ref="O22:P22"/>
    <mergeCell ref="M23:N23"/>
    <mergeCell ref="O23:P23"/>
    <mergeCell ref="C12:F12"/>
    <mergeCell ref="O16:P16"/>
    <mergeCell ref="M17:N17"/>
    <mergeCell ref="O17:P17"/>
    <mergeCell ref="M18:N18"/>
    <mergeCell ref="O18:P18"/>
    <mergeCell ref="O8:P8"/>
    <mergeCell ref="O10:P10"/>
    <mergeCell ref="O11:P11"/>
    <mergeCell ref="G12:I12"/>
    <mergeCell ref="J12:L12"/>
    <mergeCell ref="O12:P12"/>
    <mergeCell ref="O13:P13"/>
    <mergeCell ref="M15:N15"/>
    <mergeCell ref="A105:Q105"/>
    <mergeCell ref="M106:N107"/>
    <mergeCell ref="O106:P107"/>
    <mergeCell ref="G107:H107"/>
    <mergeCell ref="H88:K88"/>
    <mergeCell ref="M81:N81"/>
    <mergeCell ref="F95:G95"/>
    <mergeCell ref="M85:N85"/>
    <mergeCell ref="C80:F80"/>
    <mergeCell ref="G80:H80"/>
    <mergeCell ref="I80:L80"/>
    <mergeCell ref="A104:Q104"/>
    <mergeCell ref="G84:H84"/>
    <mergeCell ref="M84:N84"/>
    <mergeCell ref="O84:P84"/>
    <mergeCell ref="M83:N83"/>
    <mergeCell ref="M80:N80"/>
    <mergeCell ref="I101:J101"/>
    <mergeCell ref="I84:L84"/>
    <mergeCell ref="M108:N108"/>
    <mergeCell ref="O108:P108"/>
    <mergeCell ref="M115:N115"/>
    <mergeCell ref="O115:P115"/>
    <mergeCell ref="C111:F111"/>
    <mergeCell ref="G111:H111"/>
    <mergeCell ref="I111:L111"/>
    <mergeCell ref="M111:N111"/>
    <mergeCell ref="O111:P111"/>
    <mergeCell ref="O74:P74"/>
    <mergeCell ref="O78:P78"/>
    <mergeCell ref="I97:J97"/>
    <mergeCell ref="I98:J98"/>
    <mergeCell ref="I99:J99"/>
    <mergeCell ref="I96:J96"/>
    <mergeCell ref="F97:G97"/>
    <mergeCell ref="F98:G98"/>
    <mergeCell ref="F99:G99"/>
    <mergeCell ref="O85:P85"/>
    <mergeCell ref="C84:F84"/>
    <mergeCell ref="O86:P86"/>
    <mergeCell ref="O87:P87"/>
    <mergeCell ref="M77:N77"/>
    <mergeCell ref="O80:P80"/>
    <mergeCell ref="E94:F94"/>
    <mergeCell ref="M78:N78"/>
    <mergeCell ref="M76:N76"/>
    <mergeCell ref="M75:N75"/>
    <mergeCell ref="M123:N123"/>
    <mergeCell ref="O123:P123"/>
    <mergeCell ref="M112:N112"/>
    <mergeCell ref="O112:P112"/>
    <mergeCell ref="M113:N113"/>
    <mergeCell ref="O113:P113"/>
    <mergeCell ref="O114:P114"/>
    <mergeCell ref="G123:H123"/>
    <mergeCell ref="C119:F119"/>
    <mergeCell ref="G119:H119"/>
    <mergeCell ref="I119:L119"/>
    <mergeCell ref="C116:F116"/>
    <mergeCell ref="G116:H116"/>
    <mergeCell ref="I116:L116"/>
    <mergeCell ref="M116:N116"/>
    <mergeCell ref="O116:P116"/>
    <mergeCell ref="M120:N120"/>
    <mergeCell ref="O119:P119"/>
    <mergeCell ref="O142:P142"/>
    <mergeCell ref="O132:P132"/>
    <mergeCell ref="O109:P109"/>
    <mergeCell ref="M110:N110"/>
    <mergeCell ref="O110:P110"/>
    <mergeCell ref="M125:N125"/>
    <mergeCell ref="O131:P131"/>
    <mergeCell ref="M126:N126"/>
    <mergeCell ref="O126:P126"/>
    <mergeCell ref="M127:N127"/>
    <mergeCell ref="O127:P127"/>
    <mergeCell ref="M124:N124"/>
    <mergeCell ref="O125:P125"/>
    <mergeCell ref="M128:N128"/>
    <mergeCell ref="O128:P128"/>
    <mergeCell ref="M130:N130"/>
    <mergeCell ref="O130:P130"/>
    <mergeCell ref="O129:P129"/>
    <mergeCell ref="M121:N121"/>
    <mergeCell ref="O121:P121"/>
    <mergeCell ref="M122:N122"/>
    <mergeCell ref="O122:P122"/>
    <mergeCell ref="M119:N119"/>
    <mergeCell ref="M142:N142"/>
    <mergeCell ref="O141:P141"/>
    <mergeCell ref="C133:F133"/>
    <mergeCell ref="G133:H133"/>
    <mergeCell ref="I133:L133"/>
    <mergeCell ref="M133:N133"/>
    <mergeCell ref="O120:P120"/>
    <mergeCell ref="M117:N117"/>
    <mergeCell ref="O118:P118"/>
    <mergeCell ref="M140:N140"/>
    <mergeCell ref="O140:P140"/>
    <mergeCell ref="O133:P133"/>
    <mergeCell ref="M134:N134"/>
    <mergeCell ref="O137:P137"/>
    <mergeCell ref="C138:F138"/>
    <mergeCell ref="G138:H138"/>
    <mergeCell ref="I138:L138"/>
    <mergeCell ref="M138:N138"/>
    <mergeCell ref="O138:P138"/>
    <mergeCell ref="M139:N139"/>
    <mergeCell ref="O139:P139"/>
    <mergeCell ref="O135:P135"/>
    <mergeCell ref="O136:P136"/>
    <mergeCell ref="C123:F123"/>
    <mergeCell ref="I123:L123"/>
    <mergeCell ref="N181:N184"/>
    <mergeCell ref="O173:P173"/>
    <mergeCell ref="O174:P174"/>
    <mergeCell ref="O175:P175"/>
    <mergeCell ref="M172:P172"/>
    <mergeCell ref="I172:L172"/>
    <mergeCell ref="E172:H172"/>
    <mergeCell ref="C142:F142"/>
    <mergeCell ref="M161:N161"/>
    <mergeCell ref="M162:N162"/>
    <mergeCell ref="M163:N163"/>
    <mergeCell ref="M165:N165"/>
    <mergeCell ref="M166:N166"/>
    <mergeCell ref="M167:N167"/>
    <mergeCell ref="M168:N168"/>
    <mergeCell ref="O147:P147"/>
    <mergeCell ref="M144:N144"/>
    <mergeCell ref="M145:N145"/>
    <mergeCell ref="M146:N146"/>
    <mergeCell ref="M143:N143"/>
    <mergeCell ref="O148:P148"/>
    <mergeCell ref="O149:P149"/>
    <mergeCell ref="G142:H142"/>
    <mergeCell ref="I142:L142"/>
    <mergeCell ref="L191:M191"/>
    <mergeCell ref="L192:M192"/>
    <mergeCell ref="G173:H173"/>
    <mergeCell ref="K173:L173"/>
    <mergeCell ref="O181:P184"/>
    <mergeCell ref="C181:D184"/>
    <mergeCell ref="E174:E176"/>
    <mergeCell ref="F174:F176"/>
    <mergeCell ref="I174:I176"/>
    <mergeCell ref="G174:H176"/>
    <mergeCell ref="J174:J176"/>
    <mergeCell ref="K174:L176"/>
    <mergeCell ref="I177:I180"/>
    <mergeCell ref="J177:J180"/>
    <mergeCell ref="K177:L180"/>
    <mergeCell ref="E181:E184"/>
    <mergeCell ref="F181:F184"/>
    <mergeCell ref="G181:H184"/>
    <mergeCell ref="O176:P176"/>
    <mergeCell ref="O177:P177"/>
    <mergeCell ref="O178:P178"/>
    <mergeCell ref="O179:P179"/>
    <mergeCell ref="O180:P180"/>
    <mergeCell ref="M181:M184"/>
    <mergeCell ref="C172:D173"/>
    <mergeCell ref="C174:D176"/>
    <mergeCell ref="C177:D180"/>
    <mergeCell ref="E177:E180"/>
    <mergeCell ref="F177:F180"/>
    <mergeCell ref="G177:H180"/>
    <mergeCell ref="I189:K190"/>
    <mergeCell ref="G189:H190"/>
    <mergeCell ref="E189:F190"/>
    <mergeCell ref="K181:L181"/>
    <mergeCell ref="K182:L182"/>
    <mergeCell ref="K183:L183"/>
    <mergeCell ref="K184:L184"/>
    <mergeCell ref="L194:M194"/>
    <mergeCell ref="L195:M195"/>
    <mergeCell ref="L196:M196"/>
    <mergeCell ref="L197:M197"/>
    <mergeCell ref="I194:J194"/>
    <mergeCell ref="G195:H195"/>
    <mergeCell ref="I195:J195"/>
    <mergeCell ref="G196:H196"/>
    <mergeCell ref="I196:J196"/>
    <mergeCell ref="G197:H197"/>
    <mergeCell ref="I197:J197"/>
    <mergeCell ref="N359:P359"/>
    <mergeCell ref="N360:P360"/>
    <mergeCell ref="N367:P368"/>
    <mergeCell ref="N190:P191"/>
    <mergeCell ref="C222:F222"/>
    <mergeCell ref="G222:H222"/>
    <mergeCell ref="I222:L222"/>
    <mergeCell ref="O150:P150"/>
    <mergeCell ref="O151:P151"/>
    <mergeCell ref="E191:F191"/>
    <mergeCell ref="E192:F192"/>
    <mergeCell ref="E193:F193"/>
    <mergeCell ref="E194:F194"/>
    <mergeCell ref="E195:F195"/>
    <mergeCell ref="E196:F196"/>
    <mergeCell ref="G191:H191"/>
    <mergeCell ref="I191:J191"/>
    <mergeCell ref="G192:H192"/>
    <mergeCell ref="I192:J192"/>
    <mergeCell ref="G193:H193"/>
    <mergeCell ref="I193:J193"/>
    <mergeCell ref="G194:H194"/>
    <mergeCell ref="L189:M190"/>
    <mergeCell ref="L193:M193"/>
  </mergeCells>
  <printOptions horizontalCentered="1"/>
  <pageMargins left="0.70866141732283472" right="1.1023622047244095" top="0.78740157480314965" bottom="0.78740157480314965" header="0.31496062992125984" footer="0.31496062992125984"/>
  <pageSetup paperSize="9" orientation="portrait" r:id="rId1"/>
  <headerFooter>
    <oddHeader>&amp;L&amp;"Garamond,Normal"Universidad de San Andrés
Fundamentos de Contabilidad&amp;C&amp;"Garamond,Normal"&amp;12
  &amp;"-,Regular"&amp;11
&amp;R&amp;"Garamond,Negrita"Solución Adicionales&amp;"Garamond,Normal"
&amp;"Garamond,Cursiva"Unidad 7: Consumo de activos</oddHeader>
    <oddFooter xml:space="preserve">&amp;C&amp;"Garamond,Normal"
</oddFooter>
  </headerFooter>
  <ignoredErrors>
    <ignoredError sqref="L345:M345 L348:L350" formula="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H26"/>
  <sheetViews>
    <sheetView showGridLines="0" view="pageBreakPreview" zoomScale="60" zoomScaleNormal="100" workbookViewId="0">
      <selection sqref="A1:Q2"/>
    </sheetView>
  </sheetViews>
  <sheetFormatPr baseColWidth="10" defaultColWidth="11.42578125" defaultRowHeight="14.25" x14ac:dyDescent="0.25"/>
  <cols>
    <col min="1" max="1" width="2" style="79" customWidth="1"/>
    <col min="2" max="2" width="1.7109375" style="79" customWidth="1"/>
    <col min="3" max="3" width="39.28515625" style="79" bestFit="1" customWidth="1"/>
    <col min="4" max="4" width="13.28515625" style="79" bestFit="1" customWidth="1"/>
    <col min="5" max="5" width="1.42578125" style="79" customWidth="1"/>
    <col min="6" max="6" width="35" style="79" bestFit="1" customWidth="1"/>
    <col min="7" max="7" width="13.28515625" style="79" bestFit="1" customWidth="1"/>
    <col min="8" max="8" width="1.28515625" style="79" customWidth="1"/>
    <col min="9" max="9" width="1.7109375" style="79" customWidth="1"/>
    <col min="10" max="16384" width="11.42578125" style="79"/>
  </cols>
  <sheetData>
    <row r="2" spans="2:8" ht="6.75" customHeight="1" x14ac:dyDescent="0.25"/>
    <row r="3" spans="2:8" ht="6" customHeight="1" x14ac:dyDescent="0.25">
      <c r="B3" s="76"/>
      <c r="C3" s="77"/>
      <c r="D3" s="77"/>
      <c r="E3" s="77"/>
      <c r="F3" s="77"/>
      <c r="G3" s="77"/>
      <c r="H3" s="78"/>
    </row>
    <row r="4" spans="2:8" ht="17.25" x14ac:dyDescent="0.3">
      <c r="B4" s="80"/>
      <c r="C4" s="94" t="s">
        <v>86</v>
      </c>
      <c r="D4" s="81"/>
      <c r="E4" s="82"/>
      <c r="F4" s="82"/>
      <c r="G4" s="82"/>
      <c r="H4" s="83"/>
    </row>
    <row r="5" spans="2:8" x14ac:dyDescent="0.25">
      <c r="B5" s="80"/>
      <c r="C5" s="82"/>
      <c r="D5" s="82"/>
      <c r="E5" s="82"/>
      <c r="F5" s="82"/>
      <c r="G5" s="82"/>
      <c r="H5" s="83"/>
    </row>
    <row r="6" spans="2:8" x14ac:dyDescent="0.25">
      <c r="B6" s="80"/>
      <c r="C6" s="84" t="s">
        <v>78</v>
      </c>
      <c r="D6" s="82"/>
      <c r="E6" s="82"/>
      <c r="F6" s="84" t="s">
        <v>79</v>
      </c>
      <c r="G6" s="82"/>
      <c r="H6" s="83"/>
    </row>
    <row r="7" spans="2:8" x14ac:dyDescent="0.25">
      <c r="B7" s="80"/>
      <c r="C7" s="82" t="s">
        <v>66</v>
      </c>
      <c r="D7" s="85">
        <v>120000</v>
      </c>
      <c r="E7" s="82"/>
      <c r="F7" s="82" t="s">
        <v>63</v>
      </c>
      <c r="G7" s="86">
        <v>150000</v>
      </c>
      <c r="H7" s="83"/>
    </row>
    <row r="8" spans="2:8" x14ac:dyDescent="0.25">
      <c r="B8" s="80"/>
      <c r="C8" s="82" t="s">
        <v>67</v>
      </c>
      <c r="D8" s="85">
        <v>90500</v>
      </c>
      <c r="E8" s="82"/>
      <c r="F8" s="82" t="s">
        <v>2</v>
      </c>
      <c r="G8" s="86">
        <v>20000</v>
      </c>
      <c r="H8" s="83"/>
    </row>
    <row r="9" spans="2:8" ht="7.5" customHeight="1" x14ac:dyDescent="0.25">
      <c r="B9" s="80"/>
      <c r="C9" s="82"/>
      <c r="D9" s="85"/>
      <c r="E9" s="82"/>
      <c r="F9" s="82"/>
      <c r="G9" s="86"/>
      <c r="H9" s="83"/>
    </row>
    <row r="10" spans="2:8" x14ac:dyDescent="0.25">
      <c r="B10" s="80"/>
      <c r="C10" s="84" t="s">
        <v>76</v>
      </c>
      <c r="D10" s="85"/>
      <c r="E10" s="82"/>
      <c r="F10" s="84" t="s">
        <v>80</v>
      </c>
      <c r="G10" s="86"/>
      <c r="H10" s="83"/>
    </row>
    <row r="11" spans="2:8" x14ac:dyDescent="0.25">
      <c r="B11" s="80"/>
      <c r="C11" s="82" t="s">
        <v>65</v>
      </c>
      <c r="D11" s="85">
        <f>20*1500</f>
        <v>30000</v>
      </c>
      <c r="E11" s="82"/>
      <c r="F11" s="82" t="s">
        <v>82</v>
      </c>
      <c r="G11" s="86">
        <v>400000</v>
      </c>
      <c r="H11" s="83"/>
    </row>
    <row r="12" spans="2:8" ht="7.5" customHeight="1" x14ac:dyDescent="0.25">
      <c r="B12" s="80"/>
      <c r="C12" s="82"/>
      <c r="D12" s="85"/>
      <c r="E12" s="82"/>
      <c r="F12" s="82"/>
      <c r="G12" s="86"/>
      <c r="H12" s="83"/>
    </row>
    <row r="13" spans="2:8" x14ac:dyDescent="0.25">
      <c r="B13" s="80"/>
      <c r="C13" s="84" t="s">
        <v>77</v>
      </c>
      <c r="D13" s="85"/>
      <c r="E13" s="82"/>
      <c r="F13" s="82" t="s">
        <v>84</v>
      </c>
      <c r="G13" s="86">
        <f>+G11+G8+G7</f>
        <v>570000</v>
      </c>
      <c r="H13" s="83"/>
    </row>
    <row r="14" spans="2:8" x14ac:dyDescent="0.25">
      <c r="B14" s="80"/>
      <c r="C14" s="82" t="s">
        <v>68</v>
      </c>
      <c r="D14" s="85">
        <v>300000</v>
      </c>
      <c r="E14" s="82"/>
      <c r="F14" s="82"/>
      <c r="G14" s="86"/>
      <c r="H14" s="83"/>
    </row>
    <row r="15" spans="2:8" x14ac:dyDescent="0.25">
      <c r="B15" s="80"/>
      <c r="C15" s="82" t="s">
        <v>69</v>
      </c>
      <c r="D15" s="85">
        <v>-500</v>
      </c>
      <c r="E15" s="82"/>
      <c r="F15" s="84" t="s">
        <v>81</v>
      </c>
      <c r="G15" s="86"/>
      <c r="H15" s="83"/>
    </row>
    <row r="16" spans="2:8" x14ac:dyDescent="0.25">
      <c r="B16" s="80"/>
      <c r="C16" s="82" t="s">
        <v>87</v>
      </c>
      <c r="D16" s="85">
        <v>12000</v>
      </c>
      <c r="E16" s="82"/>
      <c r="F16" s="82" t="s">
        <v>83</v>
      </c>
      <c r="G16" s="86">
        <f>+D20-G17-G11-G7-G8</f>
        <v>86650</v>
      </c>
      <c r="H16" s="83"/>
    </row>
    <row r="17" spans="2:8" x14ac:dyDescent="0.25">
      <c r="B17" s="80"/>
      <c r="C17" s="82" t="s">
        <v>64</v>
      </c>
      <c r="D17" s="85">
        <v>-100</v>
      </c>
      <c r="E17" s="82"/>
      <c r="F17" s="82" t="s">
        <v>7</v>
      </c>
      <c r="G17" s="86">
        <v>40000</v>
      </c>
      <c r="H17" s="83"/>
    </row>
    <row r="18" spans="2:8" x14ac:dyDescent="0.25">
      <c r="B18" s="80"/>
      <c r="C18" s="82" t="s">
        <v>70</v>
      </c>
      <c r="D18" s="85">
        <v>145000</v>
      </c>
      <c r="E18" s="82"/>
      <c r="F18" s="82"/>
      <c r="G18" s="82"/>
      <c r="H18" s="83"/>
    </row>
    <row r="19" spans="2:8" x14ac:dyDescent="0.25">
      <c r="B19" s="80"/>
      <c r="C19" s="82" t="s">
        <v>71</v>
      </c>
      <c r="D19" s="85">
        <v>-250</v>
      </c>
      <c r="E19" s="82"/>
      <c r="F19" s="82" t="s">
        <v>85</v>
      </c>
      <c r="G19" s="87">
        <f>+G16+G17</f>
        <v>126650</v>
      </c>
      <c r="H19" s="83"/>
    </row>
    <row r="20" spans="2:8" ht="15" thickBot="1" x14ac:dyDescent="0.3">
      <c r="B20" s="80"/>
      <c r="C20" s="82"/>
      <c r="D20" s="88">
        <f>+SUM(D7:D19)</f>
        <v>696650</v>
      </c>
      <c r="E20" s="82"/>
      <c r="F20" s="82"/>
      <c r="G20" s="88">
        <f>+G19+G13</f>
        <v>696650</v>
      </c>
      <c r="H20" s="83"/>
    </row>
    <row r="21" spans="2:8" ht="8.25" customHeight="1" thickTop="1" x14ac:dyDescent="0.25">
      <c r="B21" s="89"/>
      <c r="C21" s="90"/>
      <c r="D21" s="90"/>
      <c r="E21" s="90"/>
      <c r="F21" s="90"/>
      <c r="G21" s="90"/>
      <c r="H21" s="91"/>
    </row>
    <row r="22" spans="2:8" ht="7.5" customHeight="1" x14ac:dyDescent="0.25"/>
    <row r="24" spans="2:8" x14ac:dyDescent="0.25">
      <c r="C24" s="79" t="s">
        <v>75</v>
      </c>
      <c r="D24" s="79">
        <v>25000</v>
      </c>
      <c r="F24" s="92"/>
      <c r="G24" s="92"/>
    </row>
    <row r="25" spans="2:8" x14ac:dyDescent="0.25">
      <c r="C25" s="79" t="s">
        <v>73</v>
      </c>
      <c r="D25" s="93">
        <v>240000</v>
      </c>
      <c r="E25" s="79" t="s">
        <v>72</v>
      </c>
    </row>
    <row r="26" spans="2:8" x14ac:dyDescent="0.25">
      <c r="C26" s="79" t="s">
        <v>74</v>
      </c>
      <c r="D26" s="79">
        <v>500</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2"/>
  <sheetViews>
    <sheetView view="pageBreakPreview" zoomScale="60" zoomScaleNormal="100" workbookViewId="0">
      <selection sqref="A1:Q2"/>
    </sheetView>
  </sheetViews>
  <sheetFormatPr baseColWidth="10" defaultColWidth="11.42578125" defaultRowHeight="15" x14ac:dyDescent="0.25"/>
  <sheetData>
    <row r="1" spans="1:15" x14ac:dyDescent="0.25">
      <c r="A1" s="2161" t="s">
        <v>28</v>
      </c>
      <c r="B1" s="2548"/>
      <c r="C1" s="2548"/>
      <c r="D1" s="2161" t="s">
        <v>31</v>
      </c>
      <c r="E1" s="2162"/>
      <c r="F1" s="2548" t="s">
        <v>32</v>
      </c>
      <c r="G1" s="2548"/>
      <c r="H1" s="2162"/>
      <c r="I1" s="2161" t="s">
        <v>38</v>
      </c>
      <c r="J1" s="2548"/>
      <c r="K1" s="2548"/>
      <c r="L1" s="2548"/>
      <c r="M1" s="2162"/>
      <c r="N1" s="2570" t="s">
        <v>40</v>
      </c>
      <c r="O1" s="2571"/>
    </row>
    <row r="2" spans="1:15" x14ac:dyDescent="0.25">
      <c r="A2" s="2552"/>
      <c r="B2" s="2569"/>
      <c r="C2" s="2569"/>
      <c r="D2" s="2552"/>
      <c r="E2" s="2553"/>
      <c r="F2" s="2569"/>
      <c r="G2" s="2569"/>
      <c r="H2" s="2553"/>
      <c r="I2" s="2552"/>
      <c r="J2" s="2569"/>
      <c r="K2" s="2569"/>
      <c r="L2" s="2569"/>
      <c r="M2" s="2553"/>
      <c r="N2" s="2572"/>
      <c r="O2" s="2573"/>
    </row>
    <row r="3" spans="1:15" x14ac:dyDescent="0.25">
      <c r="A3" s="2049" t="s">
        <v>4</v>
      </c>
      <c r="B3" s="2050"/>
      <c r="C3" s="2050"/>
      <c r="D3" s="1916" t="s">
        <v>33</v>
      </c>
      <c r="E3" s="1997"/>
      <c r="F3" s="2555">
        <v>500000</v>
      </c>
      <c r="G3" s="2555"/>
      <c r="H3" s="2556"/>
      <c r="I3" s="2557" t="s">
        <v>45</v>
      </c>
      <c r="J3" s="2558"/>
      <c r="K3" s="2558"/>
      <c r="L3" s="2558"/>
      <c r="M3" s="2559"/>
      <c r="N3" s="2574" t="s">
        <v>41</v>
      </c>
      <c r="O3" s="2575"/>
    </row>
    <row r="4" spans="1:15" x14ac:dyDescent="0.25">
      <c r="A4" s="2049" t="s">
        <v>29</v>
      </c>
      <c r="B4" s="2050"/>
      <c r="C4" s="2050"/>
      <c r="D4" s="1916" t="s">
        <v>34</v>
      </c>
      <c r="E4" s="1997"/>
      <c r="F4" s="2555">
        <v>280000</v>
      </c>
      <c r="G4" s="2555"/>
      <c r="H4" s="2556"/>
      <c r="I4" s="2557" t="s">
        <v>45</v>
      </c>
      <c r="J4" s="2558"/>
      <c r="K4" s="2558"/>
      <c r="L4" s="2558"/>
      <c r="M4" s="2559"/>
      <c r="N4" s="2560" t="s">
        <v>43</v>
      </c>
      <c r="O4" s="2561"/>
    </row>
    <row r="5" spans="1:15" x14ac:dyDescent="0.25">
      <c r="A5" s="2049" t="s">
        <v>26</v>
      </c>
      <c r="B5" s="2050"/>
      <c r="C5" s="2050"/>
      <c r="D5" s="1916" t="s">
        <v>35</v>
      </c>
      <c r="E5" s="1997"/>
      <c r="F5" s="2555">
        <v>120000</v>
      </c>
      <c r="G5" s="2555"/>
      <c r="H5" s="2556"/>
      <c r="I5" s="2557" t="s">
        <v>39</v>
      </c>
      <c r="J5" s="2558"/>
      <c r="K5" s="2558"/>
      <c r="L5" s="2558"/>
      <c r="M5" s="2559"/>
      <c r="N5" s="2560" t="s">
        <v>42</v>
      </c>
      <c r="O5" s="2561"/>
    </row>
    <row r="6" spans="1:15" x14ac:dyDescent="0.25">
      <c r="A6" s="2049" t="s">
        <v>25</v>
      </c>
      <c r="B6" s="2050"/>
      <c r="C6" s="2050"/>
      <c r="D6" s="1916" t="s">
        <v>37</v>
      </c>
      <c r="E6" s="1997"/>
      <c r="F6" s="2555">
        <v>30000</v>
      </c>
      <c r="G6" s="2555"/>
      <c r="H6" s="2556"/>
      <c r="I6" s="2557" t="s">
        <v>45</v>
      </c>
      <c r="J6" s="2558"/>
      <c r="K6" s="2558"/>
      <c r="L6" s="2558"/>
      <c r="M6" s="2559"/>
      <c r="N6" s="2560" t="s">
        <v>44</v>
      </c>
      <c r="O6" s="2561"/>
    </row>
    <row r="7" spans="1:15" x14ac:dyDescent="0.25">
      <c r="A7" s="2118" t="s">
        <v>30</v>
      </c>
      <c r="B7" s="2119"/>
      <c r="C7" s="2119"/>
      <c r="D7" s="2547" t="s">
        <v>36</v>
      </c>
      <c r="E7" s="2172"/>
      <c r="F7" s="2562">
        <v>230000</v>
      </c>
      <c r="G7" s="2562"/>
      <c r="H7" s="2563"/>
      <c r="I7" s="2564"/>
      <c r="J7" s="2565"/>
      <c r="K7" s="2565"/>
      <c r="L7" s="2565"/>
      <c r="M7" s="2566"/>
      <c r="N7" s="2567"/>
      <c r="O7" s="2568"/>
    </row>
    <row r="8" spans="1:15" x14ac:dyDescent="0.25">
      <c r="A8" s="50"/>
      <c r="B8" s="12"/>
      <c r="C8" s="12"/>
      <c r="D8" s="12"/>
      <c r="E8" s="12"/>
      <c r="F8" s="51"/>
      <c r="G8" s="51"/>
      <c r="H8" s="4"/>
      <c r="I8" s="4"/>
      <c r="J8" s="4"/>
      <c r="K8" s="4"/>
      <c r="L8" s="18"/>
      <c r="M8" s="18"/>
      <c r="N8" s="18"/>
      <c r="O8" s="18"/>
    </row>
    <row r="9" spans="1:15" x14ac:dyDescent="0.25">
      <c r="A9" s="2161" t="s">
        <v>46</v>
      </c>
      <c r="B9" s="2548"/>
      <c r="C9" s="2162"/>
      <c r="D9" s="2161" t="s">
        <v>50</v>
      </c>
      <c r="E9" s="2162"/>
      <c r="F9" s="51"/>
      <c r="G9" s="51"/>
      <c r="H9" s="4"/>
      <c r="I9" s="4"/>
      <c r="J9" s="4"/>
      <c r="K9" s="4"/>
      <c r="L9" s="18"/>
      <c r="M9" s="18"/>
      <c r="N9" s="18"/>
      <c r="O9" s="18"/>
    </row>
    <row r="10" spans="1:15" x14ac:dyDescent="0.25">
      <c r="A10" s="2549"/>
      <c r="B10" s="2550"/>
      <c r="C10" s="2551"/>
      <c r="D10" s="2552"/>
      <c r="E10" s="2553"/>
      <c r="F10" s="51"/>
      <c r="G10" s="51"/>
      <c r="H10" s="4"/>
      <c r="I10" s="4"/>
      <c r="J10" s="4"/>
      <c r="K10" s="4"/>
      <c r="L10" s="18"/>
      <c r="M10" s="18"/>
      <c r="N10" s="18"/>
      <c r="O10" s="18"/>
    </row>
    <row r="11" spans="1:15" x14ac:dyDescent="0.25">
      <c r="A11" s="2554" t="s">
        <v>48</v>
      </c>
      <c r="B11" s="2113"/>
      <c r="C11" s="2113"/>
      <c r="D11" s="2554">
        <v>522</v>
      </c>
      <c r="E11" s="2020"/>
      <c r="F11" s="51"/>
      <c r="G11" s="51"/>
      <c r="H11" s="4"/>
      <c r="I11" s="4"/>
      <c r="J11" s="4"/>
      <c r="K11" s="4"/>
      <c r="L11" s="18"/>
      <c r="M11" s="18"/>
      <c r="N11" s="18"/>
      <c r="O11" s="18"/>
    </row>
    <row r="12" spans="1:15" x14ac:dyDescent="0.25">
      <c r="A12" s="1916" t="s">
        <v>47</v>
      </c>
      <c r="B12" s="1993"/>
      <c r="C12" s="1993"/>
      <c r="D12" s="1916">
        <v>950</v>
      </c>
      <c r="E12" s="1997"/>
      <c r="F12" s="51"/>
      <c r="G12" s="51"/>
      <c r="H12" s="4"/>
      <c r="I12" s="4"/>
      <c r="J12" s="4"/>
      <c r="K12" s="4"/>
      <c r="L12" s="18"/>
      <c r="M12" s="18"/>
      <c r="N12" s="18"/>
      <c r="O12" s="18"/>
    </row>
    <row r="13" spans="1:15" x14ac:dyDescent="0.25">
      <c r="A13" s="2547" t="s">
        <v>49</v>
      </c>
      <c r="B13" s="2111"/>
      <c r="C13" s="2111"/>
      <c r="D13" s="2547">
        <f>+D12+D11-755</f>
        <v>717</v>
      </c>
      <c r="E13" s="2172"/>
      <c r="F13" s="51"/>
      <c r="G13" s="51"/>
      <c r="H13" s="4"/>
      <c r="I13" s="4"/>
      <c r="J13" s="4"/>
      <c r="K13" s="4"/>
      <c r="L13" s="18"/>
      <c r="M13" s="18"/>
      <c r="N13" s="18"/>
      <c r="O13" s="18"/>
    </row>
    <row r="17" spans="1:14" x14ac:dyDescent="0.25">
      <c r="A17" s="2333" t="s">
        <v>53</v>
      </c>
      <c r="B17" s="2334"/>
      <c r="C17" s="2334"/>
      <c r="D17" s="2028" t="s">
        <v>32</v>
      </c>
      <c r="E17" s="2029"/>
      <c r="F17" s="2139"/>
      <c r="G17" s="27"/>
      <c r="H17" s="2333" t="s">
        <v>19</v>
      </c>
      <c r="I17" s="2334"/>
      <c r="J17" s="2335"/>
      <c r="K17" s="75" t="s">
        <v>60</v>
      </c>
      <c r="L17" s="10"/>
      <c r="M17" s="10"/>
      <c r="N17" s="10"/>
    </row>
    <row r="18" spans="1:14" x14ac:dyDescent="0.25">
      <c r="A18" s="2540" t="s">
        <v>4</v>
      </c>
      <c r="B18" s="2541"/>
      <c r="C18" s="2542"/>
      <c r="D18" s="2543">
        <v>755000</v>
      </c>
      <c r="E18" s="2543"/>
      <c r="F18" s="2544"/>
      <c r="G18" s="27"/>
      <c r="H18" s="2028" t="s">
        <v>54</v>
      </c>
      <c r="I18" s="2029"/>
      <c r="J18" s="2139"/>
      <c r="K18" s="2545" t="s">
        <v>55</v>
      </c>
      <c r="L18" s="2545"/>
      <c r="M18" s="2546" t="s">
        <v>61</v>
      </c>
      <c r="N18" s="2546"/>
    </row>
    <row r="19" spans="1:14" x14ac:dyDescent="0.25">
      <c r="A19" s="2540" t="s">
        <v>51</v>
      </c>
      <c r="B19" s="2541"/>
      <c r="C19" s="2542"/>
      <c r="D19" s="2543">
        <v>502000</v>
      </c>
      <c r="E19" s="2543"/>
      <c r="F19" s="2544"/>
      <c r="G19" s="27"/>
      <c r="H19" s="2536" t="s">
        <v>56</v>
      </c>
      <c r="I19" s="2537"/>
      <c r="J19" s="2538"/>
      <c r="K19" s="2206">
        <v>500</v>
      </c>
      <c r="L19" s="2206"/>
      <c r="M19" s="2539">
        <v>50</v>
      </c>
      <c r="N19" s="2539"/>
    </row>
    <row r="20" spans="1:14" x14ac:dyDescent="0.25">
      <c r="A20" s="2540" t="s">
        <v>26</v>
      </c>
      <c r="B20" s="2541"/>
      <c r="C20" s="2542"/>
      <c r="D20" s="2543">
        <v>215000</v>
      </c>
      <c r="E20" s="2543"/>
      <c r="F20" s="2544"/>
      <c r="G20" s="27"/>
      <c r="H20" s="2536" t="s">
        <v>57</v>
      </c>
      <c r="I20" s="2537"/>
      <c r="J20" s="2538"/>
      <c r="K20" s="2206">
        <v>400</v>
      </c>
      <c r="L20" s="2206"/>
      <c r="M20" s="2539">
        <v>52</v>
      </c>
      <c r="N20" s="2539"/>
    </row>
    <row r="21" spans="1:14" x14ac:dyDescent="0.25">
      <c r="A21" s="2540" t="s">
        <v>52</v>
      </c>
      <c r="B21" s="2541"/>
      <c r="C21" s="2542"/>
      <c r="D21" s="2543">
        <v>118000</v>
      </c>
      <c r="E21" s="2543"/>
      <c r="F21" s="2544"/>
      <c r="G21" s="27"/>
      <c r="H21" s="2536" t="s">
        <v>58</v>
      </c>
      <c r="I21" s="2537"/>
      <c r="J21" s="2538"/>
      <c r="K21" s="2206">
        <v>700</v>
      </c>
      <c r="L21" s="2206"/>
      <c r="M21" s="2539">
        <v>53</v>
      </c>
      <c r="N21" s="2539"/>
    </row>
    <row r="22" spans="1:14" x14ac:dyDescent="0.25">
      <c r="A22" s="2531" t="s">
        <v>30</v>
      </c>
      <c r="B22" s="2532"/>
      <c r="C22" s="2533"/>
      <c r="D22" s="2534">
        <v>50000</v>
      </c>
      <c r="E22" s="2534"/>
      <c r="F22" s="2535"/>
      <c r="G22" s="27"/>
      <c r="H22" s="2536" t="s">
        <v>59</v>
      </c>
      <c r="I22" s="2537"/>
      <c r="J22" s="2538"/>
      <c r="K22" s="2206">
        <v>200</v>
      </c>
      <c r="L22" s="2206"/>
      <c r="M22" s="2539">
        <v>55</v>
      </c>
      <c r="N22" s="2539"/>
    </row>
  </sheetData>
  <mergeCells count="66">
    <mergeCell ref="A3:C3"/>
    <mergeCell ref="D3:E3"/>
    <mergeCell ref="F3:H3"/>
    <mergeCell ref="I3:M3"/>
    <mergeCell ref="N3:O3"/>
    <mergeCell ref="A1:C2"/>
    <mergeCell ref="D1:E2"/>
    <mergeCell ref="F1:H2"/>
    <mergeCell ref="I1:M2"/>
    <mergeCell ref="N1:O2"/>
    <mergeCell ref="A5:C5"/>
    <mergeCell ref="D5:E5"/>
    <mergeCell ref="F5:H5"/>
    <mergeCell ref="I5:M5"/>
    <mergeCell ref="N5:O5"/>
    <mergeCell ref="A4:C4"/>
    <mergeCell ref="D4:E4"/>
    <mergeCell ref="F4:H4"/>
    <mergeCell ref="I4:M4"/>
    <mergeCell ref="N4:O4"/>
    <mergeCell ref="A7:C7"/>
    <mergeCell ref="D7:E7"/>
    <mergeCell ref="F7:H7"/>
    <mergeCell ref="I7:M7"/>
    <mergeCell ref="N7:O7"/>
    <mergeCell ref="A6:C6"/>
    <mergeCell ref="D6:E6"/>
    <mergeCell ref="F6:H6"/>
    <mergeCell ref="I6:M6"/>
    <mergeCell ref="N6:O6"/>
    <mergeCell ref="A9:C10"/>
    <mergeCell ref="D9:E10"/>
    <mergeCell ref="A11:C11"/>
    <mergeCell ref="D11:E11"/>
    <mergeCell ref="A12:C12"/>
    <mergeCell ref="D12:E12"/>
    <mergeCell ref="A13:C13"/>
    <mergeCell ref="D13:E13"/>
    <mergeCell ref="A17:C17"/>
    <mergeCell ref="D17:F17"/>
    <mergeCell ref="H17:J17"/>
    <mergeCell ref="K18:L18"/>
    <mergeCell ref="M18:N18"/>
    <mergeCell ref="A19:C19"/>
    <mergeCell ref="D19:F19"/>
    <mergeCell ref="H19:J19"/>
    <mergeCell ref="K19:L19"/>
    <mergeCell ref="M19:N19"/>
    <mergeCell ref="A18:C18"/>
    <mergeCell ref="D18:F18"/>
    <mergeCell ref="H18:J18"/>
    <mergeCell ref="A21:C21"/>
    <mergeCell ref="D21:F21"/>
    <mergeCell ref="H21:J21"/>
    <mergeCell ref="K21:L21"/>
    <mergeCell ref="M21:N21"/>
    <mergeCell ref="A20:C20"/>
    <mergeCell ref="D20:F20"/>
    <mergeCell ref="H20:J20"/>
    <mergeCell ref="K20:L20"/>
    <mergeCell ref="M20:N20"/>
    <mergeCell ref="A22:C22"/>
    <mergeCell ref="D22:F22"/>
    <mergeCell ref="H22:J22"/>
    <mergeCell ref="K22:L22"/>
    <mergeCell ref="M22:N2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249977111117893"/>
  </sheetPr>
  <dimension ref="A1:Q540"/>
  <sheetViews>
    <sheetView showGridLines="0" view="pageLayout" topLeftCell="A13" zoomScaleNormal="100" zoomScaleSheetLayoutView="50" workbookViewId="0">
      <selection activeCell="H31" sqref="H31"/>
    </sheetView>
  </sheetViews>
  <sheetFormatPr baseColWidth="10" defaultColWidth="9.140625" defaultRowHeight="15" x14ac:dyDescent="0.25"/>
  <cols>
    <col min="1" max="1" width="0.7109375" style="2" customWidth="1"/>
    <col min="2" max="2" width="5.28515625" style="7" bestFit="1" customWidth="1"/>
    <col min="3" max="6" width="5.42578125" style="12" customWidth="1"/>
    <col min="7" max="8" width="5.42578125" style="27" customWidth="1"/>
    <col min="9" max="12" width="5.42578125" style="2" customWidth="1"/>
    <col min="13" max="13" width="5.42578125" style="10" customWidth="1"/>
    <col min="14" max="16" width="5.28515625" style="10" customWidth="1"/>
    <col min="17" max="17" width="0.42578125" style="2" customWidth="1"/>
    <col min="18" max="18" width="12" style="2" bestFit="1" customWidth="1"/>
    <col min="19" max="19" width="9.140625" style="2"/>
    <col min="20" max="20" width="12" style="2" bestFit="1" customWidth="1"/>
    <col min="21" max="16384" width="9.140625" style="2"/>
  </cols>
  <sheetData>
    <row r="1" spans="1:17" s="4" customFormat="1" x14ac:dyDescent="0.25">
      <c r="B1" s="189"/>
      <c r="C1" s="12"/>
      <c r="D1" s="12"/>
      <c r="E1" s="12"/>
      <c r="F1" s="12"/>
      <c r="G1" s="51"/>
      <c r="H1" s="51"/>
      <c r="M1" s="18"/>
      <c r="N1" s="18"/>
      <c r="O1" s="18"/>
      <c r="P1" s="18"/>
    </row>
    <row r="2" spans="1:17" s="4" customFormat="1" x14ac:dyDescent="0.25">
      <c r="A2" s="1844" t="s">
        <v>20</v>
      </c>
      <c r="B2" s="1845"/>
      <c r="C2" s="1845"/>
      <c r="D2" s="1845"/>
      <c r="E2" s="1845"/>
      <c r="F2" s="1845"/>
      <c r="G2" s="1845"/>
      <c r="H2" s="1845"/>
      <c r="I2" s="1845"/>
      <c r="J2" s="1845"/>
      <c r="K2" s="1845"/>
      <c r="L2" s="1845"/>
      <c r="M2" s="1845"/>
      <c r="N2" s="1845"/>
      <c r="O2" s="1845"/>
      <c r="P2" s="1845"/>
      <c r="Q2" s="1846"/>
    </row>
    <row r="3" spans="1:17" s="4" customFormat="1" x14ac:dyDescent="0.25">
      <c r="A3" s="1847" t="s">
        <v>2117</v>
      </c>
      <c r="B3" s="1848"/>
      <c r="C3" s="1848"/>
      <c r="D3" s="1848"/>
      <c r="E3" s="1848"/>
      <c r="F3" s="1848"/>
      <c r="G3" s="1848"/>
      <c r="H3" s="1848"/>
      <c r="I3" s="1848"/>
      <c r="J3" s="1848"/>
      <c r="K3" s="1848"/>
      <c r="L3" s="1848"/>
      <c r="M3" s="1848"/>
      <c r="N3" s="1848"/>
      <c r="O3" s="1848"/>
      <c r="P3" s="1848"/>
      <c r="Q3" s="1849"/>
    </row>
    <row r="4" spans="1:17" s="4" customFormat="1" x14ac:dyDescent="0.25">
      <c r="A4" s="1"/>
      <c r="B4" s="1"/>
      <c r="C4" s="1"/>
      <c r="D4" s="1"/>
      <c r="E4" s="1"/>
      <c r="F4" s="1"/>
      <c r="G4" s="1"/>
      <c r="H4" s="1"/>
      <c r="I4" s="1"/>
      <c r="J4" s="1"/>
      <c r="K4" s="1"/>
      <c r="L4" s="1"/>
      <c r="M4" s="1334"/>
      <c r="N4" s="1334"/>
      <c r="O4" s="1334"/>
      <c r="P4" s="1334"/>
      <c r="Q4" s="1"/>
    </row>
    <row r="5" spans="1:17" s="4" customFormat="1" x14ac:dyDescent="0.25">
      <c r="B5" s="21" t="s">
        <v>1768</v>
      </c>
      <c r="M5" s="98"/>
      <c r="N5" s="98"/>
      <c r="O5" s="98"/>
      <c r="P5" s="98"/>
    </row>
    <row r="6" spans="1:17" s="4" customFormat="1" x14ac:dyDescent="0.25">
      <c r="C6" s="592"/>
      <c r="H6" s="2737" t="s">
        <v>2127</v>
      </c>
      <c r="I6" s="2737"/>
      <c r="J6" s="2737"/>
      <c r="L6" s="2736" t="s">
        <v>2128</v>
      </c>
      <c r="M6" s="2736"/>
      <c r="N6" s="592"/>
      <c r="O6" s="98"/>
      <c r="P6" s="98"/>
    </row>
    <row r="7" spans="1:17" s="4" customFormat="1" x14ac:dyDescent="0.25">
      <c r="C7" s="592"/>
      <c r="H7" s="592"/>
      <c r="L7" s="1335">
        <v>500</v>
      </c>
      <c r="M7" s="1341" t="s">
        <v>2129</v>
      </c>
      <c r="N7" s="604"/>
      <c r="O7" s="98"/>
      <c r="P7" s="98"/>
    </row>
    <row r="8" spans="1:17" s="4" customFormat="1" x14ac:dyDescent="0.25">
      <c r="C8" s="592" t="s">
        <v>304</v>
      </c>
      <c r="H8" s="2731">
        <v>2800</v>
      </c>
      <c r="I8" s="2731"/>
      <c r="J8" s="2731"/>
      <c r="L8" s="2732">
        <f>+H8/$L$7</f>
        <v>5.6</v>
      </c>
      <c r="M8" s="2732"/>
      <c r="N8" s="592"/>
      <c r="O8" s="98"/>
      <c r="P8" s="98"/>
    </row>
    <row r="9" spans="1:17" s="4" customFormat="1" x14ac:dyDescent="0.25">
      <c r="C9" s="1338" t="s">
        <v>2123</v>
      </c>
      <c r="D9" s="3"/>
      <c r="E9" s="3"/>
      <c r="F9" s="3"/>
      <c r="G9" s="3"/>
      <c r="H9" s="2738">
        <f>30*140</f>
        <v>4200</v>
      </c>
      <c r="I9" s="2738"/>
      <c r="J9" s="2738"/>
      <c r="L9" s="2733">
        <f>+H9/$L$7</f>
        <v>8.4</v>
      </c>
      <c r="M9" s="2733"/>
      <c r="N9" s="592"/>
      <c r="O9" s="98"/>
      <c r="P9" s="98"/>
    </row>
    <row r="10" spans="1:17" s="4" customFormat="1" x14ac:dyDescent="0.25">
      <c r="C10" s="1337" t="s">
        <v>2124</v>
      </c>
      <c r="H10" s="2739">
        <f>SUM(H8:J9)</f>
        <v>7000</v>
      </c>
      <c r="I10" s="2739"/>
      <c r="J10" s="2739"/>
      <c r="L10" s="2734">
        <f>L8+L9</f>
        <v>14</v>
      </c>
      <c r="M10" s="2734"/>
      <c r="N10" s="592"/>
      <c r="O10" s="98"/>
      <c r="P10" s="98"/>
    </row>
    <row r="11" spans="1:17" s="4" customFormat="1" x14ac:dyDescent="0.25">
      <c r="C11" s="592" t="s">
        <v>2268</v>
      </c>
      <c r="H11" s="2731">
        <f>10000*30%</f>
        <v>3000</v>
      </c>
      <c r="I11" s="2731"/>
      <c r="J11" s="2731"/>
      <c r="K11" s="1342" t="s">
        <v>1</v>
      </c>
      <c r="L11" s="2733">
        <v>6</v>
      </c>
      <c r="M11" s="2733"/>
      <c r="N11" s="592"/>
      <c r="O11" s="98"/>
      <c r="P11" s="98"/>
    </row>
    <row r="12" spans="1:17" s="4" customFormat="1" ht="15.75" thickBot="1" x14ac:dyDescent="0.3">
      <c r="C12" s="1339" t="s">
        <v>2269</v>
      </c>
      <c r="D12" s="773"/>
      <c r="E12" s="773"/>
      <c r="F12" s="773"/>
      <c r="G12" s="773"/>
      <c r="H12" s="2730">
        <v>10000</v>
      </c>
      <c r="I12" s="2730"/>
      <c r="J12" s="2730"/>
      <c r="K12" s="28"/>
      <c r="L12" s="2735">
        <v>20</v>
      </c>
      <c r="M12" s="2735"/>
      <c r="N12" s="592"/>
      <c r="O12" s="98"/>
      <c r="P12" s="98"/>
    </row>
    <row r="13" spans="1:17" s="4" customFormat="1" ht="15.75" thickTop="1" x14ac:dyDescent="0.25">
      <c r="K13" s="1343"/>
      <c r="L13" s="1340"/>
      <c r="M13" s="1340"/>
      <c r="N13" s="592"/>
      <c r="O13" s="98"/>
      <c r="P13" s="98"/>
    </row>
    <row r="14" spans="1:17" s="4" customFormat="1" x14ac:dyDescent="0.25">
      <c r="C14" s="592" t="s">
        <v>2125</v>
      </c>
      <c r="H14" s="2731">
        <v>5000</v>
      </c>
      <c r="I14" s="2731"/>
      <c r="J14" s="2731"/>
      <c r="K14" s="1342" t="s">
        <v>934</v>
      </c>
      <c r="L14" s="1340"/>
      <c r="M14" s="1340"/>
      <c r="N14" s="592"/>
      <c r="O14" s="98"/>
      <c r="P14" s="98"/>
    </row>
    <row r="15" spans="1:17" s="4" customFormat="1" x14ac:dyDescent="0.25">
      <c r="C15" s="765" t="s">
        <v>2126</v>
      </c>
      <c r="H15" s="2731">
        <f>10000*70%</f>
        <v>7000</v>
      </c>
      <c r="I15" s="2731"/>
      <c r="J15" s="2731"/>
      <c r="K15" s="1342" t="s">
        <v>935</v>
      </c>
      <c r="L15" s="592"/>
      <c r="M15" s="592"/>
      <c r="N15" s="592"/>
      <c r="O15" s="98"/>
      <c r="P15" s="98"/>
    </row>
    <row r="16" spans="1:17" s="4" customFormat="1" ht="15.75" thickBot="1" x14ac:dyDescent="0.3">
      <c r="C16" s="1339" t="s">
        <v>2270</v>
      </c>
      <c r="D16" s="770"/>
      <c r="E16" s="770"/>
      <c r="F16" s="770"/>
      <c r="G16" s="770"/>
      <c r="H16" s="2730">
        <f>+H11+H14+H15</f>
        <v>15000</v>
      </c>
      <c r="I16" s="2730"/>
      <c r="J16" s="2730"/>
      <c r="K16" s="591" t="s">
        <v>2131</v>
      </c>
      <c r="L16" s="592"/>
      <c r="M16" s="592"/>
      <c r="N16" s="592"/>
      <c r="O16" s="98"/>
      <c r="P16" s="98"/>
    </row>
    <row r="17" spans="2:16" s="4" customFormat="1" ht="15.75" thickTop="1" x14ac:dyDescent="0.25">
      <c r="O17" s="98"/>
      <c r="P17" s="98"/>
    </row>
    <row r="18" spans="2:16" s="4" customFormat="1" x14ac:dyDescent="0.25">
      <c r="B18" s="591" t="s">
        <v>2139</v>
      </c>
      <c r="H18" s="592"/>
      <c r="K18" s="592"/>
      <c r="L18" s="592"/>
      <c r="O18" s="98"/>
      <c r="P18" s="98"/>
    </row>
    <row r="19" spans="2:16" s="4" customFormat="1" x14ac:dyDescent="0.25">
      <c r="C19" s="591"/>
      <c r="H19" s="592"/>
      <c r="K19" s="592"/>
      <c r="L19" s="592"/>
      <c r="O19" s="98"/>
      <c r="P19" s="98"/>
    </row>
    <row r="20" spans="2:16" s="4" customFormat="1" x14ac:dyDescent="0.25">
      <c r="C20" s="1346" t="s">
        <v>2118</v>
      </c>
      <c r="D20" s="5"/>
      <c r="E20" s="5"/>
      <c r="F20" s="5"/>
      <c r="G20" s="5"/>
      <c r="H20" s="2745">
        <v>300</v>
      </c>
      <c r="I20" s="2746"/>
      <c r="J20" s="28" t="s">
        <v>98</v>
      </c>
      <c r="O20" s="98"/>
      <c r="P20" s="98"/>
    </row>
    <row r="21" spans="2:16" s="4" customFormat="1" x14ac:dyDescent="0.25">
      <c r="C21" s="1347" t="s">
        <v>2132</v>
      </c>
      <c r="H21" s="4" t="s">
        <v>2133</v>
      </c>
      <c r="K21" s="592"/>
      <c r="L21" s="592"/>
      <c r="O21" s="98"/>
      <c r="P21" s="98"/>
    </row>
    <row r="22" spans="2:16" s="4" customFormat="1" x14ac:dyDescent="0.25">
      <c r="C22" s="1347" t="s">
        <v>2135</v>
      </c>
      <c r="H22" s="1336" t="s">
        <v>2271</v>
      </c>
      <c r="K22" s="592"/>
      <c r="L22" s="592"/>
      <c r="O22" s="98"/>
      <c r="P22" s="98"/>
    </row>
    <row r="23" spans="2:16" x14ac:dyDescent="0.25">
      <c r="C23" s="1347" t="s">
        <v>2136</v>
      </c>
      <c r="D23" s="2"/>
      <c r="E23" s="2"/>
      <c r="F23" s="2"/>
      <c r="G23" s="2"/>
      <c r="H23" s="1336" t="s">
        <v>2272</v>
      </c>
      <c r="K23" s="592"/>
      <c r="L23" s="592"/>
      <c r="M23" s="2"/>
      <c r="N23" s="2"/>
    </row>
    <row r="24" spans="2:16" x14ac:dyDescent="0.25">
      <c r="C24" s="820" t="s">
        <v>2121</v>
      </c>
      <c r="D24" s="2"/>
      <c r="E24" s="2"/>
      <c r="F24" s="2"/>
      <c r="G24" s="2"/>
      <c r="H24" s="2742">
        <f>+(50)+14</f>
        <v>64</v>
      </c>
      <c r="I24" s="2742"/>
      <c r="K24" s="592"/>
      <c r="L24" s="592"/>
      <c r="M24" s="2"/>
      <c r="N24" s="2"/>
    </row>
    <row r="25" spans="2:16" x14ac:dyDescent="0.25">
      <c r="C25" s="1344" t="s">
        <v>1676</v>
      </c>
      <c r="D25" s="1345"/>
      <c r="E25" s="1345"/>
      <c r="F25" s="1345"/>
      <c r="G25" s="1345"/>
      <c r="H25" s="2743">
        <f>+(H24-L12)/H24</f>
        <v>0.6875</v>
      </c>
      <c r="I25" s="2744"/>
      <c r="K25" s="592"/>
      <c r="L25" s="592"/>
      <c r="M25" s="2"/>
      <c r="N25" s="2"/>
    </row>
    <row r="26" spans="2:16" x14ac:dyDescent="0.25">
      <c r="G26" s="1318"/>
      <c r="H26" s="1318"/>
    </row>
    <row r="27" spans="2:16" x14ac:dyDescent="0.25">
      <c r="B27" s="591" t="s">
        <v>2140</v>
      </c>
      <c r="C27" s="2"/>
      <c r="D27" s="592"/>
      <c r="G27" s="1318"/>
      <c r="H27" s="1318"/>
    </row>
    <row r="28" spans="2:16" x14ac:dyDescent="0.25">
      <c r="B28" s="1318"/>
      <c r="C28" s="591"/>
      <c r="D28" s="592"/>
      <c r="G28" s="1318"/>
      <c r="H28" s="1318"/>
    </row>
    <row r="29" spans="2:16" x14ac:dyDescent="0.25">
      <c r="C29" s="1346" t="s">
        <v>1875</v>
      </c>
      <c r="D29" s="5"/>
      <c r="E29" s="37"/>
      <c r="F29" s="37"/>
      <c r="G29" s="1219"/>
      <c r="H29" s="1352">
        <v>0.6</v>
      </c>
      <c r="I29" s="73"/>
    </row>
    <row r="30" spans="2:16" x14ac:dyDescent="0.25">
      <c r="B30" s="1318"/>
      <c r="C30" s="1347" t="s">
        <v>2134</v>
      </c>
      <c r="D30" s="4"/>
      <c r="G30" s="51"/>
      <c r="H30" s="1348" t="s">
        <v>2137</v>
      </c>
    </row>
    <row r="31" spans="2:16" x14ac:dyDescent="0.25">
      <c r="C31" s="1347" t="s">
        <v>2135</v>
      </c>
      <c r="D31" s="2"/>
      <c r="H31" s="592" t="s">
        <v>2138</v>
      </c>
    </row>
    <row r="32" spans="2:16" x14ac:dyDescent="0.25">
      <c r="C32" s="1347" t="s">
        <v>2136</v>
      </c>
      <c r="D32" s="2"/>
      <c r="H32" s="592" t="s">
        <v>2120</v>
      </c>
    </row>
    <row r="33" spans="1:17" x14ac:dyDescent="0.25">
      <c r="C33" s="820" t="s">
        <v>2121</v>
      </c>
      <c r="D33" s="2"/>
      <c r="H33" s="2749">
        <v>50</v>
      </c>
      <c r="I33" s="2749"/>
    </row>
    <row r="34" spans="1:17" x14ac:dyDescent="0.25">
      <c r="C34" s="1344" t="s">
        <v>2122</v>
      </c>
      <c r="D34" s="1349"/>
      <c r="E34" s="1350"/>
      <c r="F34" s="1350"/>
      <c r="G34" s="1351"/>
      <c r="H34" s="2747">
        <f>+ROUNDUP(H16/(H33-L10),0)</f>
        <v>417</v>
      </c>
      <c r="I34" s="2748"/>
    </row>
    <row r="35" spans="1:17" s="4" customFormat="1" x14ac:dyDescent="0.25">
      <c r="B35" s="189"/>
      <c r="C35" s="12"/>
      <c r="D35" s="12"/>
      <c r="E35" s="12"/>
      <c r="F35" s="12"/>
      <c r="G35" s="51"/>
      <c r="H35" s="51"/>
      <c r="M35" s="18"/>
      <c r="N35" s="18"/>
      <c r="O35" s="18"/>
      <c r="P35" s="18"/>
    </row>
    <row r="36" spans="1:17" x14ac:dyDescent="0.25">
      <c r="A36" s="3"/>
      <c r="B36" s="200"/>
      <c r="C36" s="11"/>
      <c r="D36" s="11"/>
      <c r="E36" s="11"/>
      <c r="F36" s="11"/>
      <c r="G36" s="24"/>
      <c r="H36" s="24"/>
      <c r="I36" s="3"/>
      <c r="J36" s="3"/>
      <c r="K36" s="3"/>
      <c r="L36" s="3"/>
      <c r="M36" s="22"/>
      <c r="N36" s="22"/>
      <c r="O36" s="22"/>
      <c r="P36" s="22"/>
      <c r="Q36" s="3"/>
    </row>
    <row r="37" spans="1:17" x14ac:dyDescent="0.25">
      <c r="A37" s="1844" t="s">
        <v>20</v>
      </c>
      <c r="B37" s="1845"/>
      <c r="C37" s="1845"/>
      <c r="D37" s="1845"/>
      <c r="E37" s="1845"/>
      <c r="F37" s="1845"/>
      <c r="G37" s="1845"/>
      <c r="H37" s="1845"/>
      <c r="I37" s="1845"/>
      <c r="J37" s="1845"/>
      <c r="K37" s="1845"/>
      <c r="L37" s="1845"/>
      <c r="M37" s="1845"/>
      <c r="N37" s="1845"/>
      <c r="O37" s="1845"/>
      <c r="P37" s="1845"/>
      <c r="Q37" s="1846"/>
    </row>
    <row r="38" spans="1:17" x14ac:dyDescent="0.25">
      <c r="A38" s="1847" t="s">
        <v>281</v>
      </c>
      <c r="B38" s="1848"/>
      <c r="C38" s="1848"/>
      <c r="D38" s="1848"/>
      <c r="E38" s="1848"/>
      <c r="F38" s="1848"/>
      <c r="G38" s="1848"/>
      <c r="H38" s="1848"/>
      <c r="I38" s="1848"/>
      <c r="J38" s="1848"/>
      <c r="K38" s="1848"/>
      <c r="L38" s="1848"/>
      <c r="M38" s="1848"/>
      <c r="N38" s="1848"/>
      <c r="O38" s="1848"/>
      <c r="P38" s="1848"/>
      <c r="Q38" s="1849"/>
    </row>
    <row r="40" spans="1:17" ht="7.5" customHeight="1" x14ac:dyDescent="0.25">
      <c r="B40" s="207">
        <v>1</v>
      </c>
      <c r="G40" s="2729" t="s">
        <v>2143</v>
      </c>
      <c r="H40" s="2729"/>
      <c r="I40" s="2729"/>
    </row>
    <row r="41" spans="1:17" x14ac:dyDescent="0.25">
      <c r="B41" s="208" t="s">
        <v>11</v>
      </c>
      <c r="C41" s="209" t="s">
        <v>278</v>
      </c>
      <c r="D41" s="210"/>
      <c r="E41" s="210"/>
      <c r="F41" s="31"/>
      <c r="G41" s="4"/>
      <c r="H41" s="1320"/>
      <c r="I41" s="4"/>
      <c r="J41" s="1"/>
      <c r="K41" s="1"/>
      <c r="L41" s="1"/>
      <c r="M41" s="2682">
        <f>85000+5000</f>
        <v>90000</v>
      </c>
      <c r="N41" s="2683"/>
      <c r="O41" s="2682"/>
      <c r="P41" s="2684"/>
      <c r="Q41" s="4"/>
    </row>
    <row r="42" spans="1:17" x14ac:dyDescent="0.25">
      <c r="B42" s="208" t="s">
        <v>11</v>
      </c>
      <c r="C42" s="211" t="s">
        <v>13</v>
      </c>
      <c r="D42" s="212"/>
      <c r="E42" s="212"/>
      <c r="F42" s="203"/>
      <c r="G42" s="4"/>
      <c r="H42" s="189"/>
      <c r="I42" s="4"/>
      <c r="J42" s="4"/>
      <c r="K42" s="4"/>
      <c r="L42" s="4"/>
      <c r="M42" s="2673">
        <f>+M41*0.21</f>
        <v>18900</v>
      </c>
      <c r="N42" s="2674"/>
      <c r="O42" s="2673"/>
      <c r="P42" s="2675"/>
      <c r="Q42" s="4"/>
    </row>
    <row r="43" spans="1:17" x14ac:dyDescent="0.25">
      <c r="B43" s="208" t="s">
        <v>14</v>
      </c>
      <c r="C43" s="211"/>
      <c r="D43" s="203"/>
      <c r="E43" s="212"/>
      <c r="F43" s="20" t="s">
        <v>1</v>
      </c>
      <c r="G43" s="213" t="s">
        <v>2142</v>
      </c>
      <c r="H43" s="189"/>
      <c r="I43" s="4"/>
      <c r="J43" s="4"/>
      <c r="K43" s="4"/>
      <c r="L43" s="4"/>
      <c r="M43" s="2673"/>
      <c r="N43" s="2674"/>
      <c r="O43" s="2673">
        <f>5000*1.21</f>
        <v>6050</v>
      </c>
      <c r="P43" s="2675"/>
      <c r="Q43" s="4"/>
    </row>
    <row r="44" spans="1:17" x14ac:dyDescent="0.25">
      <c r="B44" s="208" t="s">
        <v>17</v>
      </c>
      <c r="C44" s="211"/>
      <c r="D44" s="203"/>
      <c r="E44" s="212"/>
      <c r="F44" s="20" t="s">
        <v>1</v>
      </c>
      <c r="G44" s="213" t="s">
        <v>2</v>
      </c>
      <c r="H44" s="189"/>
      <c r="I44" s="4"/>
      <c r="J44" s="4"/>
      <c r="K44" s="4"/>
      <c r="L44" s="4"/>
      <c r="M44" s="2673"/>
      <c r="N44" s="2674"/>
      <c r="O44" s="2673">
        <f>+M41+M42-O43</f>
        <v>102850</v>
      </c>
      <c r="P44" s="2675"/>
      <c r="Q44" s="4"/>
    </row>
    <row r="45" spans="1:17" ht="7.5" customHeight="1" x14ac:dyDescent="0.25">
      <c r="B45" s="207">
        <v>2</v>
      </c>
      <c r="C45" s="2679" t="s">
        <v>21</v>
      </c>
      <c r="D45" s="2680"/>
      <c r="E45" s="2680"/>
      <c r="F45" s="2680"/>
      <c r="G45" s="2729" t="s">
        <v>2144</v>
      </c>
      <c r="H45" s="2729"/>
      <c r="I45" s="2729"/>
      <c r="J45" s="2090" t="s">
        <v>117</v>
      </c>
      <c r="K45" s="2090"/>
      <c r="L45" s="2092"/>
      <c r="M45" s="2673"/>
      <c r="N45" s="2674"/>
      <c r="O45" s="2673"/>
      <c r="P45" s="2675"/>
      <c r="Q45" s="4"/>
    </row>
    <row r="46" spans="1:17" x14ac:dyDescent="0.25">
      <c r="B46" s="208" t="s">
        <v>207</v>
      </c>
      <c r="C46" s="211" t="s">
        <v>2</v>
      </c>
      <c r="D46" s="203"/>
      <c r="E46" s="212"/>
      <c r="F46" s="203"/>
      <c r="G46" s="214"/>
      <c r="H46" s="189"/>
      <c r="I46" s="4"/>
      <c r="J46" s="4"/>
      <c r="K46" s="4"/>
      <c r="L46" s="4"/>
      <c r="M46" s="2673">
        <f>+O48+O47</f>
        <v>10285</v>
      </c>
      <c r="N46" s="2674"/>
      <c r="O46" s="2673"/>
      <c r="P46" s="2675"/>
      <c r="Q46" s="4"/>
    </row>
    <row r="47" spans="1:17" x14ac:dyDescent="0.25">
      <c r="B47" s="208" t="s">
        <v>14</v>
      </c>
      <c r="C47" s="211"/>
      <c r="D47" s="203"/>
      <c r="E47" s="212"/>
      <c r="F47" s="20" t="s">
        <v>1</v>
      </c>
      <c r="G47" s="215" t="s">
        <v>13</v>
      </c>
      <c r="H47" s="189"/>
      <c r="I47" s="4"/>
      <c r="J47" s="4"/>
      <c r="K47" s="4"/>
      <c r="L47" s="4"/>
      <c r="M47" s="2673"/>
      <c r="N47" s="2674"/>
      <c r="O47" s="2673">
        <f>+O48*0.21</f>
        <v>1785</v>
      </c>
      <c r="P47" s="2675"/>
      <c r="Q47" s="4"/>
    </row>
    <row r="48" spans="1:17" x14ac:dyDescent="0.25">
      <c r="B48" s="208" t="s">
        <v>14</v>
      </c>
      <c r="C48" s="211"/>
      <c r="D48" s="203"/>
      <c r="E48" s="212"/>
      <c r="F48" s="20" t="s">
        <v>1</v>
      </c>
      <c r="G48" s="215" t="s">
        <v>278</v>
      </c>
      <c r="H48" s="189"/>
      <c r="I48" s="4"/>
      <c r="J48" s="4"/>
      <c r="K48" s="4"/>
      <c r="L48" s="4"/>
      <c r="M48" s="2673"/>
      <c r="N48" s="2674"/>
      <c r="O48" s="2673">
        <f>85000*0.1</f>
        <v>8500</v>
      </c>
      <c r="P48" s="2675"/>
      <c r="Q48" s="4"/>
    </row>
    <row r="49" spans="2:17" ht="7.5" customHeight="1" x14ac:dyDescent="0.25">
      <c r="B49" s="207">
        <v>3</v>
      </c>
      <c r="C49" s="2679" t="s">
        <v>21</v>
      </c>
      <c r="D49" s="2680"/>
      <c r="E49" s="2680"/>
      <c r="F49" s="2680"/>
      <c r="G49" s="2729" t="s">
        <v>2145</v>
      </c>
      <c r="H49" s="2729"/>
      <c r="I49" s="2729"/>
      <c r="J49" s="2090" t="s">
        <v>117</v>
      </c>
      <c r="K49" s="2090"/>
      <c r="L49" s="2092"/>
      <c r="M49" s="2673"/>
      <c r="N49" s="2674"/>
      <c r="O49" s="2673"/>
      <c r="P49" s="2675"/>
      <c r="Q49" s="4"/>
    </row>
    <row r="50" spans="2:17" x14ac:dyDescent="0.25">
      <c r="B50" s="208" t="s">
        <v>11</v>
      </c>
      <c r="C50" s="211" t="s">
        <v>283</v>
      </c>
      <c r="D50" s="203"/>
      <c r="E50" s="212"/>
      <c r="F50" s="203"/>
      <c r="G50" s="216"/>
      <c r="H50" s="189"/>
      <c r="I50" s="4"/>
      <c r="J50" s="4"/>
      <c r="K50" s="4"/>
      <c r="L50" s="4"/>
      <c r="M50" s="2673">
        <f>+M41-O48</f>
        <v>81500</v>
      </c>
      <c r="N50" s="2674"/>
      <c r="O50" s="217"/>
      <c r="P50" s="218"/>
      <c r="Q50" s="4"/>
    </row>
    <row r="51" spans="2:17" x14ac:dyDescent="0.25">
      <c r="B51" s="208" t="s">
        <v>14</v>
      </c>
      <c r="C51" s="211"/>
      <c r="D51" s="203"/>
      <c r="E51" s="212"/>
      <c r="F51" s="20" t="s">
        <v>1</v>
      </c>
      <c r="G51" s="219" t="s">
        <v>280</v>
      </c>
      <c r="H51" s="189"/>
      <c r="I51" s="4"/>
      <c r="J51" s="4"/>
      <c r="K51" s="4"/>
      <c r="L51" s="4"/>
      <c r="M51" s="217"/>
      <c r="N51" s="220"/>
      <c r="O51" s="2673">
        <f>+M50</f>
        <v>81500</v>
      </c>
      <c r="P51" s="2675"/>
      <c r="Q51" s="4"/>
    </row>
    <row r="52" spans="2:17" ht="7.5" customHeight="1" x14ac:dyDescent="0.25">
      <c r="B52" s="207">
        <v>4</v>
      </c>
      <c r="C52" s="2679" t="s">
        <v>21</v>
      </c>
      <c r="D52" s="2680"/>
      <c r="E52" s="2680"/>
      <c r="F52" s="2680"/>
      <c r="G52" s="2729" t="s">
        <v>2146</v>
      </c>
      <c r="H52" s="2729"/>
      <c r="I52" s="2729"/>
      <c r="J52" s="2090" t="s">
        <v>117</v>
      </c>
      <c r="K52" s="2090"/>
      <c r="L52" s="2092"/>
      <c r="M52" s="217"/>
      <c r="N52" s="220"/>
      <c r="O52" s="217"/>
      <c r="P52" s="218"/>
      <c r="Q52" s="4"/>
    </row>
    <row r="53" spans="2:17" x14ac:dyDescent="0.25">
      <c r="B53" s="208" t="s">
        <v>15</v>
      </c>
      <c r="C53" s="211" t="s">
        <v>284</v>
      </c>
      <c r="D53" s="203"/>
      <c r="E53" s="212"/>
      <c r="F53" s="203"/>
      <c r="G53" s="213"/>
      <c r="H53" s="189"/>
      <c r="I53" s="4"/>
      <c r="J53" s="4"/>
      <c r="K53" s="4"/>
      <c r="L53" s="4"/>
      <c r="M53" s="2673">
        <f>30000*0.8</f>
        <v>24000</v>
      </c>
      <c r="N53" s="2674"/>
      <c r="O53" s="2673"/>
      <c r="P53" s="2675"/>
      <c r="Q53" s="4"/>
    </row>
    <row r="54" spans="2:17" x14ac:dyDescent="0.25">
      <c r="B54" s="208" t="s">
        <v>15</v>
      </c>
      <c r="C54" s="211" t="s">
        <v>285</v>
      </c>
      <c r="D54" s="203"/>
      <c r="E54" s="212"/>
      <c r="F54" s="203"/>
      <c r="G54" s="213"/>
      <c r="H54" s="189"/>
      <c r="I54" s="4"/>
      <c r="J54" s="4"/>
      <c r="K54" s="4"/>
      <c r="L54" s="4"/>
      <c r="M54" s="2673">
        <f>30000*0.2</f>
        <v>6000</v>
      </c>
      <c r="N54" s="2674"/>
      <c r="O54" s="2673"/>
      <c r="P54" s="2675"/>
      <c r="Q54" s="4"/>
    </row>
    <row r="55" spans="2:17" x14ac:dyDescent="0.25">
      <c r="B55" s="208" t="s">
        <v>15</v>
      </c>
      <c r="C55" s="211" t="s">
        <v>286</v>
      </c>
      <c r="D55" s="203"/>
      <c r="E55" s="212"/>
      <c r="F55" s="203"/>
      <c r="G55" s="213"/>
      <c r="H55" s="189"/>
      <c r="I55" s="4"/>
      <c r="J55" s="4"/>
      <c r="K55" s="4"/>
      <c r="L55" s="4"/>
      <c r="M55" s="2673">
        <f>+M53*0.23</f>
        <v>5520</v>
      </c>
      <c r="N55" s="2674"/>
      <c r="O55" s="2673"/>
      <c r="P55" s="2675"/>
      <c r="Q55" s="4"/>
    </row>
    <row r="56" spans="2:17" x14ac:dyDescent="0.25">
      <c r="B56" s="208" t="s">
        <v>15</v>
      </c>
      <c r="C56" s="211" t="s">
        <v>287</v>
      </c>
      <c r="D56" s="203"/>
      <c r="E56" s="212"/>
      <c r="F56" s="203"/>
      <c r="G56" s="213"/>
      <c r="H56" s="189"/>
      <c r="I56" s="4"/>
      <c r="J56" s="4"/>
      <c r="K56" s="4"/>
      <c r="L56" s="4"/>
      <c r="M56" s="2673">
        <f>+M54*0.23</f>
        <v>1380</v>
      </c>
      <c r="N56" s="2674"/>
      <c r="O56" s="2673"/>
      <c r="P56" s="2675"/>
      <c r="Q56" s="4"/>
    </row>
    <row r="57" spans="2:17" x14ac:dyDescent="0.25">
      <c r="B57" s="208" t="s">
        <v>17</v>
      </c>
      <c r="C57" s="211"/>
      <c r="D57" s="203"/>
      <c r="E57" s="212"/>
      <c r="F57" s="20" t="s">
        <v>1</v>
      </c>
      <c r="G57" s="213" t="s">
        <v>288</v>
      </c>
      <c r="H57" s="189"/>
      <c r="I57" s="4"/>
      <c r="J57" s="4"/>
      <c r="K57" s="4"/>
      <c r="L57" s="4"/>
      <c r="M57" s="2673"/>
      <c r="N57" s="2674"/>
      <c r="O57" s="2673">
        <f>+(M53+M54)*0.83</f>
        <v>24900</v>
      </c>
      <c r="P57" s="2675"/>
      <c r="Q57" s="4"/>
    </row>
    <row r="58" spans="2:17" x14ac:dyDescent="0.25">
      <c r="B58" s="208" t="s">
        <v>17</v>
      </c>
      <c r="C58" s="211"/>
      <c r="D58" s="203"/>
      <c r="E58" s="212"/>
      <c r="F58" s="20" t="s">
        <v>1</v>
      </c>
      <c r="G58" s="215" t="s">
        <v>289</v>
      </c>
      <c r="H58" s="189"/>
      <c r="I58" s="4"/>
      <c r="J58" s="4"/>
      <c r="K58" s="4"/>
      <c r="L58" s="4"/>
      <c r="M58" s="2673"/>
      <c r="N58" s="2674"/>
      <c r="O58" s="2673">
        <f>+(M53+M54)*0.4</f>
        <v>12000</v>
      </c>
      <c r="P58" s="2675"/>
      <c r="Q58" s="4"/>
    </row>
    <row r="59" spans="2:17" ht="7.5" customHeight="1" x14ac:dyDescent="0.25">
      <c r="B59" s="207">
        <v>5</v>
      </c>
      <c r="C59" s="2679" t="s">
        <v>21</v>
      </c>
      <c r="D59" s="2680"/>
      <c r="E59" s="2680"/>
      <c r="F59" s="2680"/>
      <c r="G59" s="2729" t="s">
        <v>2146</v>
      </c>
      <c r="H59" s="2729"/>
      <c r="I59" s="2729"/>
      <c r="J59" s="2090" t="s">
        <v>117</v>
      </c>
      <c r="K59" s="2090"/>
      <c r="L59" s="2092"/>
      <c r="M59" s="2673"/>
      <c r="N59" s="2674"/>
      <c r="O59" s="2673"/>
      <c r="P59" s="2675"/>
      <c r="Q59" s="4"/>
    </row>
    <row r="60" spans="2:17" x14ac:dyDescent="0.25">
      <c r="B60" s="208" t="s">
        <v>15</v>
      </c>
      <c r="C60" s="211" t="s">
        <v>209</v>
      </c>
      <c r="D60" s="203"/>
      <c r="E60" s="212"/>
      <c r="F60" s="203"/>
      <c r="G60" s="221"/>
      <c r="H60" s="189"/>
      <c r="I60" s="4"/>
      <c r="J60" s="4"/>
      <c r="K60" s="4"/>
      <c r="L60" s="4"/>
      <c r="M60" s="2673">
        <v>10000</v>
      </c>
      <c r="N60" s="2674"/>
      <c r="O60" s="2673"/>
      <c r="P60" s="2675"/>
      <c r="Q60" s="4"/>
    </row>
    <row r="61" spans="2:17" x14ac:dyDescent="0.25">
      <c r="B61" s="208" t="s">
        <v>108</v>
      </c>
      <c r="C61" s="211"/>
      <c r="D61" s="203"/>
      <c r="E61" s="212"/>
      <c r="F61" s="20" t="s">
        <v>1</v>
      </c>
      <c r="G61" s="221" t="s">
        <v>210</v>
      </c>
      <c r="H61" s="189"/>
      <c r="I61" s="4"/>
      <c r="J61" s="4"/>
      <c r="K61" s="4"/>
      <c r="L61" s="4"/>
      <c r="M61" s="2673"/>
      <c r="N61" s="2674"/>
      <c r="O61" s="2673">
        <f>+M60</f>
        <v>10000</v>
      </c>
      <c r="P61" s="2675"/>
      <c r="Q61" s="4"/>
    </row>
    <row r="62" spans="2:17" ht="7.5" customHeight="1" x14ac:dyDescent="0.25">
      <c r="B62" s="207">
        <v>6</v>
      </c>
      <c r="C62" s="2679" t="s">
        <v>21</v>
      </c>
      <c r="D62" s="2680"/>
      <c r="E62" s="2680"/>
      <c r="F62" s="2680"/>
      <c r="G62" s="2729" t="s">
        <v>2146</v>
      </c>
      <c r="H62" s="2729"/>
      <c r="I62" s="2729"/>
      <c r="J62" s="2090" t="s">
        <v>117</v>
      </c>
      <c r="K62" s="2090"/>
      <c r="L62" s="2092"/>
      <c r="M62" s="2673"/>
      <c r="N62" s="2674"/>
      <c r="O62" s="2673"/>
      <c r="P62" s="2675"/>
      <c r="Q62" s="4"/>
    </row>
    <row r="63" spans="2:17" x14ac:dyDescent="0.25">
      <c r="B63" s="208" t="s">
        <v>11</v>
      </c>
      <c r="C63" s="211" t="s">
        <v>283</v>
      </c>
      <c r="D63" s="203"/>
      <c r="E63" s="212"/>
      <c r="F63" s="203"/>
      <c r="G63" s="213"/>
      <c r="H63" s="189"/>
      <c r="I63" s="4"/>
      <c r="J63" s="4"/>
      <c r="K63" s="4"/>
      <c r="L63" s="4"/>
      <c r="M63" s="2673">
        <f>SUM(O64:O66)</f>
        <v>39520</v>
      </c>
      <c r="N63" s="2674"/>
      <c r="O63" s="2673"/>
      <c r="P63" s="2675"/>
      <c r="Q63" s="4"/>
    </row>
    <row r="64" spans="2:17" x14ac:dyDescent="0.25">
      <c r="B64" s="208" t="s">
        <v>16</v>
      </c>
      <c r="C64" s="211"/>
      <c r="D64" s="203"/>
      <c r="E64" s="212"/>
      <c r="F64" s="20" t="s">
        <v>1</v>
      </c>
      <c r="G64" s="213" t="s">
        <v>284</v>
      </c>
      <c r="H64" s="189"/>
      <c r="I64" s="4"/>
      <c r="J64" s="4"/>
      <c r="K64" s="4"/>
      <c r="L64" s="4"/>
      <c r="M64" s="2673"/>
      <c r="N64" s="2674"/>
      <c r="O64" s="2673">
        <f>+M53</f>
        <v>24000</v>
      </c>
      <c r="P64" s="2675"/>
      <c r="Q64" s="4"/>
    </row>
    <row r="65" spans="2:17" x14ac:dyDescent="0.25">
      <c r="B65" s="208" t="s">
        <v>16</v>
      </c>
      <c r="C65" s="211"/>
      <c r="D65" s="203"/>
      <c r="E65" s="212"/>
      <c r="F65" s="20" t="s">
        <v>1</v>
      </c>
      <c r="G65" s="213" t="s">
        <v>286</v>
      </c>
      <c r="H65" s="189"/>
      <c r="I65" s="4"/>
      <c r="J65" s="4"/>
      <c r="K65" s="4"/>
      <c r="L65" s="4"/>
      <c r="M65" s="2673"/>
      <c r="N65" s="2674"/>
      <c r="O65" s="2673">
        <f>+M55</f>
        <v>5520</v>
      </c>
      <c r="P65" s="2675"/>
      <c r="Q65" s="4"/>
    </row>
    <row r="66" spans="2:17" x14ac:dyDescent="0.25">
      <c r="B66" s="208" t="s">
        <v>16</v>
      </c>
      <c r="C66" s="211"/>
      <c r="D66" s="203"/>
      <c r="E66" s="212"/>
      <c r="F66" s="20" t="s">
        <v>1</v>
      </c>
      <c r="G66" s="213" t="s">
        <v>290</v>
      </c>
      <c r="H66" s="189"/>
      <c r="I66" s="4"/>
      <c r="J66" s="4"/>
      <c r="K66" s="4"/>
      <c r="L66" s="4"/>
      <c r="M66" s="2673"/>
      <c r="N66" s="2674"/>
      <c r="O66" s="2673">
        <f>+M60</f>
        <v>10000</v>
      </c>
      <c r="P66" s="2675"/>
      <c r="Q66" s="4"/>
    </row>
    <row r="67" spans="2:17" ht="7.5" customHeight="1" x14ac:dyDescent="0.25">
      <c r="B67" s="207">
        <v>7</v>
      </c>
      <c r="C67" s="2679" t="s">
        <v>21</v>
      </c>
      <c r="D67" s="2680"/>
      <c r="E67" s="2680"/>
      <c r="F67" s="2680"/>
      <c r="G67" s="2729" t="s">
        <v>2146</v>
      </c>
      <c r="H67" s="2729"/>
      <c r="I67" s="2729"/>
      <c r="J67" s="2090" t="s">
        <v>117</v>
      </c>
      <c r="K67" s="2090"/>
      <c r="L67" s="2092"/>
      <c r="M67" s="2673"/>
      <c r="N67" s="2674"/>
      <c r="O67" s="2673"/>
      <c r="P67" s="2675"/>
      <c r="Q67" s="4"/>
    </row>
    <row r="68" spans="2:17" x14ac:dyDescent="0.25">
      <c r="B68" s="208" t="s">
        <v>11</v>
      </c>
      <c r="C68" s="211" t="s">
        <v>291</v>
      </c>
      <c r="D68" s="203"/>
      <c r="E68" s="212"/>
      <c r="F68" s="203"/>
      <c r="G68" s="213"/>
      <c r="H68" s="189"/>
      <c r="I68" s="4"/>
      <c r="J68" s="4"/>
      <c r="K68" s="4"/>
      <c r="L68" s="4"/>
      <c r="M68" s="2673">
        <f>+(M63+M50)*0.8</f>
        <v>96816</v>
      </c>
      <c r="N68" s="2674"/>
      <c r="O68" s="2673"/>
      <c r="P68" s="2675"/>
      <c r="Q68" s="4"/>
    </row>
    <row r="69" spans="2:17" x14ac:dyDescent="0.25">
      <c r="B69" s="208" t="s">
        <v>14</v>
      </c>
      <c r="C69" s="211"/>
      <c r="D69" s="203"/>
      <c r="E69" s="212"/>
      <c r="F69" s="20" t="s">
        <v>1</v>
      </c>
      <c r="G69" s="213" t="s">
        <v>283</v>
      </c>
      <c r="H69" s="189"/>
      <c r="I69" s="4"/>
      <c r="J69" s="4"/>
      <c r="K69" s="4"/>
      <c r="L69" s="4"/>
      <c r="M69" s="2673"/>
      <c r="N69" s="2674"/>
      <c r="O69" s="2673">
        <f>+M68</f>
        <v>96816</v>
      </c>
      <c r="P69" s="2675"/>
      <c r="Q69" s="4"/>
    </row>
    <row r="70" spans="2:17" ht="7.5" customHeight="1" x14ac:dyDescent="0.25">
      <c r="B70" s="207">
        <v>8</v>
      </c>
      <c r="C70" s="2679" t="s">
        <v>21</v>
      </c>
      <c r="D70" s="2680"/>
      <c r="E70" s="2680"/>
      <c r="F70" s="2680"/>
      <c r="G70" s="2729" t="s">
        <v>2146</v>
      </c>
      <c r="H70" s="2729"/>
      <c r="I70" s="2729"/>
      <c r="J70" s="2090" t="s">
        <v>117</v>
      </c>
      <c r="K70" s="2090"/>
      <c r="L70" s="2092"/>
      <c r="M70" s="2673"/>
      <c r="N70" s="2674"/>
      <c r="O70" s="2673"/>
      <c r="P70" s="2675"/>
      <c r="Q70" s="4"/>
    </row>
    <row r="71" spans="2:17" x14ac:dyDescent="0.25">
      <c r="B71" s="208" t="s">
        <v>11</v>
      </c>
      <c r="C71" s="211" t="s">
        <v>292</v>
      </c>
      <c r="D71" s="203"/>
      <c r="E71" s="212"/>
      <c r="F71" s="203"/>
      <c r="G71" s="213"/>
      <c r="H71" s="189"/>
      <c r="I71" s="4"/>
      <c r="J71" s="4"/>
      <c r="K71" s="4"/>
      <c r="L71" s="4"/>
      <c r="M71" s="2673">
        <f>+O73+O74</f>
        <v>118580</v>
      </c>
      <c r="N71" s="2674"/>
      <c r="O71" s="2673"/>
      <c r="P71" s="2675"/>
      <c r="Q71" s="4"/>
    </row>
    <row r="72" spans="2:17" x14ac:dyDescent="0.25">
      <c r="B72" s="1332" t="s">
        <v>15</v>
      </c>
      <c r="C72" s="211" t="s">
        <v>2147</v>
      </c>
      <c r="D72" s="1321"/>
      <c r="E72" s="212"/>
      <c r="F72" s="1321"/>
      <c r="G72" s="213"/>
      <c r="H72" s="1320"/>
      <c r="I72" s="4"/>
      <c r="J72" s="4"/>
      <c r="K72" s="4"/>
      <c r="L72" s="4"/>
      <c r="M72" s="2673">
        <f>+O75</f>
        <v>1470</v>
      </c>
      <c r="N72" s="2674"/>
      <c r="O72" s="1328"/>
      <c r="P72" s="1330"/>
      <c r="Q72" s="4"/>
    </row>
    <row r="73" spans="2:17" x14ac:dyDescent="0.25">
      <c r="B73" s="208" t="s">
        <v>16</v>
      </c>
      <c r="C73" s="211"/>
      <c r="D73" s="203"/>
      <c r="E73" s="212"/>
      <c r="F73" s="20" t="s">
        <v>1</v>
      </c>
      <c r="G73" s="213" t="s">
        <v>3</v>
      </c>
      <c r="H73" s="189"/>
      <c r="I73" s="4"/>
      <c r="J73" s="4"/>
      <c r="K73" s="4"/>
      <c r="L73" s="4"/>
      <c r="M73" s="2673"/>
      <c r="N73" s="2674"/>
      <c r="O73" s="2673">
        <v>98000</v>
      </c>
      <c r="P73" s="2675"/>
      <c r="Q73" s="4"/>
    </row>
    <row r="74" spans="2:17" x14ac:dyDescent="0.25">
      <c r="B74" s="208" t="s">
        <v>17</v>
      </c>
      <c r="C74" s="211"/>
      <c r="D74" s="203"/>
      <c r="E74" s="212"/>
      <c r="F74" s="20" t="s">
        <v>1</v>
      </c>
      <c r="G74" s="213" t="s">
        <v>12</v>
      </c>
      <c r="H74" s="189"/>
      <c r="I74" s="4"/>
      <c r="J74" s="4"/>
      <c r="K74" s="4"/>
      <c r="L74" s="4"/>
      <c r="M74" s="2673"/>
      <c r="N74" s="2674"/>
      <c r="O74" s="2673">
        <f>+O73*0.21</f>
        <v>20580</v>
      </c>
      <c r="P74" s="2675"/>
      <c r="Q74" s="4"/>
    </row>
    <row r="75" spans="2:17" x14ac:dyDescent="0.25">
      <c r="B75" s="1332" t="s">
        <v>17</v>
      </c>
      <c r="C75" s="211"/>
      <c r="D75" s="1321"/>
      <c r="E75" s="212"/>
      <c r="F75" s="20" t="s">
        <v>1</v>
      </c>
      <c r="G75" s="213" t="s">
        <v>2148</v>
      </c>
      <c r="H75" s="1320"/>
      <c r="I75" s="4"/>
      <c r="J75" s="4"/>
      <c r="K75" s="4"/>
      <c r="L75" s="4"/>
      <c r="M75" s="1328"/>
      <c r="N75" s="1329"/>
      <c r="O75" s="2673">
        <f>1.5%*O73</f>
        <v>1470</v>
      </c>
      <c r="P75" s="2675"/>
      <c r="Q75" s="4"/>
    </row>
    <row r="76" spans="2:17" ht="7.5" customHeight="1" x14ac:dyDescent="0.25">
      <c r="B76" s="208"/>
      <c r="C76" s="2679" t="s">
        <v>21</v>
      </c>
      <c r="D76" s="2680"/>
      <c r="E76" s="2680"/>
      <c r="F76" s="2680"/>
      <c r="G76" s="2729"/>
      <c r="H76" s="2729"/>
      <c r="I76" s="2729"/>
      <c r="J76" s="2090" t="s">
        <v>117</v>
      </c>
      <c r="K76" s="2090"/>
      <c r="L76" s="2092"/>
      <c r="M76" s="2673"/>
      <c r="N76" s="2674"/>
      <c r="O76" s="2673"/>
      <c r="P76" s="2675"/>
      <c r="Q76" s="4"/>
    </row>
    <row r="77" spans="2:17" x14ac:dyDescent="0.25">
      <c r="B77" s="208" t="s">
        <v>15</v>
      </c>
      <c r="C77" s="211" t="s">
        <v>293</v>
      </c>
      <c r="D77" s="203"/>
      <c r="E77" s="212"/>
      <c r="F77" s="203"/>
      <c r="G77" s="213"/>
      <c r="H77" s="189"/>
      <c r="I77" s="4"/>
      <c r="J77" s="4"/>
      <c r="K77" s="4"/>
      <c r="L77" s="4"/>
      <c r="M77" s="2673">
        <f>+M68*0.25</f>
        <v>24204</v>
      </c>
      <c r="N77" s="2674"/>
      <c r="O77" s="2673"/>
      <c r="P77" s="2675"/>
      <c r="Q77" s="4"/>
    </row>
    <row r="78" spans="2:17" x14ac:dyDescent="0.25">
      <c r="B78" s="208" t="s">
        <v>14</v>
      </c>
      <c r="C78" s="211"/>
      <c r="D78" s="203"/>
      <c r="E78" s="212"/>
      <c r="F78" s="20" t="s">
        <v>1</v>
      </c>
      <c r="G78" s="213" t="s">
        <v>291</v>
      </c>
      <c r="H78" s="189"/>
      <c r="I78" s="4"/>
      <c r="J78" s="4"/>
      <c r="K78" s="4"/>
      <c r="L78" s="4"/>
      <c r="M78" s="2673"/>
      <c r="N78" s="2674"/>
      <c r="O78" s="2673">
        <f>+M77</f>
        <v>24204</v>
      </c>
      <c r="P78" s="2675"/>
      <c r="Q78" s="4"/>
    </row>
    <row r="79" spans="2:17" ht="7.5" customHeight="1" x14ac:dyDescent="0.25">
      <c r="B79" s="207">
        <v>9</v>
      </c>
      <c r="C79" s="2679" t="s">
        <v>21</v>
      </c>
      <c r="D79" s="2680"/>
      <c r="E79" s="2680"/>
      <c r="F79" s="2680"/>
      <c r="G79" s="2729" t="s">
        <v>2146</v>
      </c>
      <c r="H79" s="2729"/>
      <c r="I79" s="2729"/>
      <c r="J79" s="2090" t="s">
        <v>117</v>
      </c>
      <c r="K79" s="2090"/>
      <c r="L79" s="2092"/>
      <c r="M79" s="2673"/>
      <c r="N79" s="2674"/>
      <c r="O79" s="2673"/>
      <c r="P79" s="2675"/>
      <c r="Q79" s="4"/>
    </row>
    <row r="80" spans="2:17" x14ac:dyDescent="0.25">
      <c r="B80" s="208" t="s">
        <v>15</v>
      </c>
      <c r="C80" s="211" t="s">
        <v>232</v>
      </c>
      <c r="D80" s="203"/>
      <c r="E80" s="212"/>
      <c r="F80" s="203"/>
      <c r="G80" s="216"/>
      <c r="H80" s="189"/>
      <c r="I80" s="4"/>
      <c r="J80" s="4"/>
      <c r="K80" s="4"/>
      <c r="L80" s="4"/>
      <c r="M80" s="2673">
        <f>+O73*0.25</f>
        <v>24500</v>
      </c>
      <c r="N80" s="2674"/>
      <c r="O80" s="2673"/>
      <c r="P80" s="2675"/>
      <c r="Q80" s="4"/>
    </row>
    <row r="81" spans="1:17" x14ac:dyDescent="0.25">
      <c r="B81" s="208" t="s">
        <v>207</v>
      </c>
      <c r="C81" s="211" t="s">
        <v>12</v>
      </c>
      <c r="D81" s="203"/>
      <c r="E81" s="212"/>
      <c r="F81" s="203"/>
      <c r="G81" s="216"/>
      <c r="H81" s="189"/>
      <c r="I81" s="4"/>
      <c r="J81" s="4"/>
      <c r="K81" s="4"/>
      <c r="L81" s="4"/>
      <c r="M81" s="2673">
        <f>+O74*0.25</f>
        <v>5145</v>
      </c>
      <c r="N81" s="2674"/>
      <c r="O81" s="2673"/>
      <c r="P81" s="2675"/>
      <c r="Q81" s="4"/>
    </row>
    <row r="82" spans="1:17" x14ac:dyDescent="0.25">
      <c r="B82" s="208" t="s">
        <v>14</v>
      </c>
      <c r="C82" s="211"/>
      <c r="D82" s="203"/>
      <c r="E82" s="212"/>
      <c r="F82" s="20" t="s">
        <v>1</v>
      </c>
      <c r="G82" s="213" t="s">
        <v>292</v>
      </c>
      <c r="H82" s="189"/>
      <c r="I82" s="4"/>
      <c r="J82" s="4"/>
      <c r="K82" s="4"/>
      <c r="L82" s="4"/>
      <c r="M82" s="2673"/>
      <c r="N82" s="2674"/>
      <c r="O82" s="2673">
        <f>+M80+M81</f>
        <v>29645</v>
      </c>
      <c r="P82" s="2675"/>
      <c r="Q82" s="4"/>
    </row>
    <row r="83" spans="1:17" ht="7.5" customHeight="1" x14ac:dyDescent="0.25">
      <c r="B83" s="208"/>
      <c r="C83" s="2679" t="s">
        <v>21</v>
      </c>
      <c r="D83" s="2680"/>
      <c r="E83" s="2680"/>
      <c r="F83" s="2680"/>
      <c r="G83" s="2729"/>
      <c r="H83" s="2729"/>
      <c r="I83" s="2729"/>
      <c r="J83" s="2090" t="s">
        <v>117</v>
      </c>
      <c r="K83" s="2090"/>
      <c r="L83" s="2092"/>
      <c r="M83" s="2673"/>
      <c r="N83" s="2674"/>
      <c r="O83" s="2673"/>
      <c r="P83" s="2675"/>
      <c r="Q83" s="4"/>
    </row>
    <row r="84" spans="1:17" x14ac:dyDescent="0.25">
      <c r="B84" s="208" t="s">
        <v>15</v>
      </c>
      <c r="C84" s="211" t="s">
        <v>294</v>
      </c>
      <c r="D84" s="203"/>
      <c r="E84" s="212"/>
      <c r="F84" s="203"/>
      <c r="G84" s="213"/>
      <c r="H84" s="189"/>
      <c r="I84" s="4"/>
      <c r="J84" s="4"/>
      <c r="K84" s="4"/>
      <c r="L84" s="4"/>
      <c r="M84" s="2673">
        <f>+M77*0.25</f>
        <v>6051</v>
      </c>
      <c r="N84" s="2674"/>
      <c r="O84" s="2673"/>
      <c r="P84" s="2675"/>
      <c r="Q84" s="4"/>
    </row>
    <row r="85" spans="1:17" x14ac:dyDescent="0.25">
      <c r="B85" s="208" t="s">
        <v>16</v>
      </c>
      <c r="C85" s="211"/>
      <c r="D85" s="203"/>
      <c r="E85" s="212"/>
      <c r="F85" s="20" t="s">
        <v>1</v>
      </c>
      <c r="G85" s="213" t="s">
        <v>293</v>
      </c>
      <c r="H85" s="189"/>
      <c r="I85" s="4"/>
      <c r="J85" s="4"/>
      <c r="K85" s="4"/>
      <c r="L85" s="4"/>
      <c r="M85" s="2673"/>
      <c r="N85" s="2674"/>
      <c r="O85" s="2673">
        <f>+M84</f>
        <v>6051</v>
      </c>
      <c r="P85" s="2675"/>
      <c r="Q85" s="4"/>
    </row>
    <row r="86" spans="1:17" ht="7.5" customHeight="1" x14ac:dyDescent="0.25">
      <c r="B86" s="207">
        <v>10</v>
      </c>
      <c r="C86" s="2679" t="s">
        <v>21</v>
      </c>
      <c r="D86" s="2680"/>
      <c r="E86" s="2680"/>
      <c r="F86" s="2680"/>
      <c r="G86" s="2729" t="s">
        <v>2146</v>
      </c>
      <c r="H86" s="2729"/>
      <c r="I86" s="2729"/>
      <c r="J86" s="2090" t="s">
        <v>117</v>
      </c>
      <c r="K86" s="2090"/>
      <c r="L86" s="2092"/>
      <c r="M86" s="2673"/>
      <c r="N86" s="2674"/>
      <c r="O86" s="2673"/>
      <c r="P86" s="2675"/>
      <c r="Q86" s="4"/>
    </row>
    <row r="87" spans="1:17" x14ac:dyDescent="0.25">
      <c r="B87" s="208" t="s">
        <v>207</v>
      </c>
      <c r="C87" s="211" t="s">
        <v>12</v>
      </c>
      <c r="D87" s="203"/>
      <c r="E87" s="212"/>
      <c r="F87" s="203"/>
      <c r="G87" s="213"/>
      <c r="H87" s="189"/>
      <c r="I87" s="4"/>
      <c r="J87" s="4"/>
      <c r="K87" s="4"/>
      <c r="L87" s="4"/>
      <c r="M87" s="2673">
        <f>+O74-M81</f>
        <v>15435</v>
      </c>
      <c r="N87" s="2674"/>
      <c r="O87" s="2673"/>
      <c r="P87" s="2675"/>
      <c r="Q87" s="4"/>
    </row>
    <row r="88" spans="1:17" x14ac:dyDescent="0.25">
      <c r="B88" s="208" t="s">
        <v>11</v>
      </c>
      <c r="C88" s="211" t="s">
        <v>295</v>
      </c>
      <c r="D88" s="203"/>
      <c r="E88" s="212"/>
      <c r="F88" s="203"/>
      <c r="G88" s="213"/>
      <c r="H88" s="189"/>
      <c r="I88" s="4"/>
      <c r="J88" s="4"/>
      <c r="K88" s="4"/>
      <c r="L88" s="4"/>
      <c r="M88" s="2673">
        <f>+O89-M87</f>
        <v>1680</v>
      </c>
      <c r="N88" s="2674"/>
      <c r="O88" s="2673"/>
      <c r="P88" s="2675"/>
      <c r="Q88" s="4"/>
    </row>
    <row r="89" spans="1:17" x14ac:dyDescent="0.25">
      <c r="B89" s="208" t="s">
        <v>14</v>
      </c>
      <c r="C89" s="222"/>
      <c r="D89" s="205"/>
      <c r="E89" s="223"/>
      <c r="F89" s="35" t="s">
        <v>1</v>
      </c>
      <c r="G89" s="224" t="s">
        <v>13</v>
      </c>
      <c r="H89" s="200"/>
      <c r="I89" s="3"/>
      <c r="J89" s="3"/>
      <c r="K89" s="3"/>
      <c r="L89" s="3"/>
      <c r="M89" s="2676"/>
      <c r="N89" s="2728"/>
      <c r="O89" s="2676">
        <f>+M42-O47</f>
        <v>17115</v>
      </c>
      <c r="P89" s="2677"/>
      <c r="Q89" s="4"/>
    </row>
    <row r="90" spans="1:17" x14ac:dyDescent="0.25">
      <c r="B90" s="213"/>
      <c r="C90" s="213"/>
      <c r="D90" s="213"/>
      <c r="E90" s="213"/>
      <c r="F90" s="4"/>
      <c r="G90" s="4"/>
      <c r="H90" s="189"/>
      <c r="M90" s="2725"/>
      <c r="N90" s="2725"/>
      <c r="O90" s="2725"/>
      <c r="P90" s="2725"/>
    </row>
    <row r="91" spans="1:17" ht="7.5" customHeight="1" x14ac:dyDescent="0.25"/>
    <row r="92" spans="1:17" s="4" customFormat="1" x14ac:dyDescent="0.25">
      <c r="B92" s="189"/>
      <c r="C92" s="12"/>
      <c r="D92" s="12"/>
      <c r="E92" s="12"/>
      <c r="F92" s="12"/>
      <c r="G92" s="51"/>
      <c r="H92" s="51"/>
      <c r="M92" s="18"/>
      <c r="N92" s="18"/>
      <c r="O92" s="18"/>
      <c r="P92" s="18"/>
    </row>
    <row r="93" spans="1:17" ht="8.25" customHeight="1" x14ac:dyDescent="0.25">
      <c r="A93" s="3"/>
      <c r="B93" s="200"/>
      <c r="C93" s="11"/>
      <c r="D93" s="11"/>
      <c r="E93" s="11"/>
      <c r="F93" s="11"/>
      <c r="G93" s="24"/>
      <c r="H93" s="24"/>
      <c r="I93" s="3"/>
      <c r="J93" s="3"/>
      <c r="K93" s="3"/>
      <c r="L93" s="3"/>
      <c r="M93" s="22"/>
      <c r="N93" s="22"/>
      <c r="O93" s="22"/>
      <c r="P93" s="22"/>
      <c r="Q93" s="3"/>
    </row>
    <row r="94" spans="1:17" x14ac:dyDescent="0.25">
      <c r="A94" s="1844" t="s">
        <v>20</v>
      </c>
      <c r="B94" s="1845"/>
      <c r="C94" s="1845"/>
      <c r="D94" s="1845"/>
      <c r="E94" s="1845"/>
      <c r="F94" s="1845"/>
      <c r="G94" s="1845"/>
      <c r="H94" s="1845"/>
      <c r="I94" s="1845"/>
      <c r="J94" s="1845"/>
      <c r="K94" s="1845"/>
      <c r="L94" s="1845"/>
      <c r="M94" s="1845"/>
      <c r="N94" s="1845"/>
      <c r="O94" s="1845"/>
      <c r="P94" s="1845"/>
      <c r="Q94" s="1846"/>
    </row>
    <row r="95" spans="1:17" x14ac:dyDescent="0.25">
      <c r="A95" s="1847" t="s">
        <v>2149</v>
      </c>
      <c r="B95" s="1848"/>
      <c r="C95" s="1848"/>
      <c r="D95" s="1848"/>
      <c r="E95" s="1848"/>
      <c r="F95" s="1848"/>
      <c r="G95" s="1848"/>
      <c r="H95" s="1848"/>
      <c r="I95" s="1848"/>
      <c r="J95" s="1848"/>
      <c r="K95" s="1848"/>
      <c r="L95" s="1848"/>
      <c r="M95" s="1848"/>
      <c r="N95" s="1848"/>
      <c r="O95" s="1848"/>
      <c r="P95" s="1848"/>
      <c r="Q95" s="1849"/>
    </row>
    <row r="96" spans="1:17" ht="8.25" customHeight="1" x14ac:dyDescent="0.25"/>
    <row r="98" spans="2:16" x14ac:dyDescent="0.25">
      <c r="B98" s="1051" t="s">
        <v>1768</v>
      </c>
      <c r="C98" s="2"/>
    </row>
    <row r="99" spans="2:16" x14ac:dyDescent="0.25">
      <c r="B99" s="2"/>
      <c r="C99" s="2"/>
    </row>
    <row r="100" spans="2:16" x14ac:dyDescent="0.25">
      <c r="B100" s="2"/>
      <c r="C100" s="592" t="s">
        <v>2150</v>
      </c>
      <c r="D100" s="2"/>
      <c r="F100" s="2"/>
      <c r="G100" s="2726">
        <v>180000</v>
      </c>
      <c r="H100" s="2726"/>
      <c r="I100" s="2726"/>
    </row>
    <row r="101" spans="2:16" x14ac:dyDescent="0.25">
      <c r="B101" s="2"/>
      <c r="C101" s="592" t="s">
        <v>2151</v>
      </c>
      <c r="D101" s="2"/>
      <c r="F101" s="2"/>
      <c r="G101" s="2726">
        <f>+G100*0.8</f>
        <v>144000</v>
      </c>
      <c r="H101" s="2726"/>
      <c r="I101" s="2726"/>
    </row>
    <row r="102" spans="2:16" x14ac:dyDescent="0.25">
      <c r="B102" s="2"/>
      <c r="C102" s="592" t="s">
        <v>2152</v>
      </c>
      <c r="D102" s="2"/>
      <c r="F102" s="2"/>
      <c r="G102" s="2726">
        <v>120</v>
      </c>
      <c r="H102" s="2726"/>
      <c r="I102" s="2726"/>
    </row>
    <row r="103" spans="2:16" ht="15.75" thickBot="1" x14ac:dyDescent="0.3">
      <c r="C103" s="1339" t="s">
        <v>3</v>
      </c>
      <c r="D103" s="773"/>
      <c r="E103" s="1354"/>
      <c r="F103" s="773"/>
      <c r="G103" s="2727">
        <f>+G101*G102</f>
        <v>17280000</v>
      </c>
      <c r="H103" s="2727"/>
      <c r="I103" s="2727"/>
    </row>
    <row r="104" spans="2:16" ht="15.75" thickTop="1" x14ac:dyDescent="0.25">
      <c r="C104" s="592"/>
      <c r="D104" s="2"/>
      <c r="F104" s="2"/>
      <c r="G104" s="2726"/>
      <c r="H104" s="2726"/>
      <c r="I104" s="2726"/>
    </row>
    <row r="105" spans="2:16" x14ac:dyDescent="0.25">
      <c r="B105" s="440" t="s">
        <v>2172</v>
      </c>
      <c r="C105" s="592"/>
      <c r="D105" s="2"/>
      <c r="F105" s="2"/>
      <c r="G105" s="1353"/>
      <c r="H105" s="1353"/>
      <c r="I105" s="1353"/>
    </row>
    <row r="106" spans="2:16" x14ac:dyDescent="0.25">
      <c r="G106" s="1318"/>
      <c r="H106" s="1318"/>
    </row>
    <row r="107" spans="2:16" x14ac:dyDescent="0.25">
      <c r="B107" s="2740"/>
      <c r="C107" s="2716" t="s">
        <v>2158</v>
      </c>
      <c r="D107" s="2717"/>
      <c r="E107" s="2750" t="s">
        <v>364</v>
      </c>
      <c r="F107" s="2751"/>
      <c r="G107" s="2751"/>
      <c r="H107" s="2752"/>
      <c r="I107" s="2750" t="s">
        <v>366</v>
      </c>
      <c r="J107" s="2751" t="s">
        <v>366</v>
      </c>
      <c r="K107" s="2751"/>
      <c r="L107" s="2752" t="s">
        <v>365</v>
      </c>
      <c r="M107" s="2750" t="s">
        <v>365</v>
      </c>
      <c r="N107" s="2751"/>
      <c r="O107" s="2751"/>
      <c r="P107" s="2752"/>
    </row>
    <row r="108" spans="2:16" x14ac:dyDescent="0.25">
      <c r="B108" s="2741"/>
      <c r="C108" s="2718"/>
      <c r="D108" s="2719"/>
      <c r="E108" s="2720" t="s">
        <v>2153</v>
      </c>
      <c r="F108" s="2720"/>
      <c r="G108" s="2720" t="s">
        <v>2154</v>
      </c>
      <c r="H108" s="2720"/>
      <c r="I108" s="2720" t="s">
        <v>2153</v>
      </c>
      <c r="J108" s="2720"/>
      <c r="K108" s="2720" t="s">
        <v>2154</v>
      </c>
      <c r="L108" s="2720"/>
      <c r="M108" s="2720" t="s">
        <v>2153</v>
      </c>
      <c r="N108" s="2720"/>
      <c r="O108" s="2720" t="s">
        <v>2154</v>
      </c>
      <c r="P108" s="2720"/>
    </row>
    <row r="109" spans="2:16" x14ac:dyDescent="0.25">
      <c r="B109" s="1355" t="s">
        <v>321</v>
      </c>
      <c r="C109" s="2723" t="s">
        <v>2157</v>
      </c>
      <c r="D109" s="2724"/>
      <c r="E109" s="2721">
        <v>0</v>
      </c>
      <c r="F109" s="2722"/>
      <c r="G109" s="2721">
        <v>0</v>
      </c>
      <c r="H109" s="2722"/>
      <c r="I109" s="2721">
        <v>0</v>
      </c>
      <c r="J109" s="2722"/>
      <c r="K109" s="2721">
        <f>1%*G103</f>
        <v>172800</v>
      </c>
      <c r="L109" s="2722"/>
      <c r="M109" s="2721">
        <v>0</v>
      </c>
      <c r="N109" s="2722"/>
      <c r="O109" s="2721">
        <v>0</v>
      </c>
      <c r="P109" s="2722"/>
    </row>
    <row r="110" spans="2:16" x14ac:dyDescent="0.25">
      <c r="B110" s="1356" t="s">
        <v>693</v>
      </c>
      <c r="C110" s="2723" t="s">
        <v>492</v>
      </c>
      <c r="D110" s="2724"/>
      <c r="E110" s="2721">
        <v>0</v>
      </c>
      <c r="F110" s="2722"/>
      <c r="G110" s="2721">
        <f>+(2500000-250000)/(1000000)*G100</f>
        <v>405000</v>
      </c>
      <c r="H110" s="2722"/>
      <c r="I110" s="2721">
        <v>0</v>
      </c>
      <c r="J110" s="2722"/>
      <c r="K110" s="2721">
        <v>0</v>
      </c>
      <c r="L110" s="2722"/>
      <c r="M110" s="2721">
        <v>0</v>
      </c>
      <c r="N110" s="2722"/>
      <c r="O110" s="2721">
        <v>0</v>
      </c>
      <c r="P110" s="2722"/>
    </row>
    <row r="111" spans="2:16" x14ac:dyDescent="0.25">
      <c r="B111" s="1356" t="s">
        <v>2130</v>
      </c>
      <c r="C111" s="2723" t="s">
        <v>297</v>
      </c>
      <c r="D111" s="2724"/>
      <c r="E111" s="2721">
        <f>(3835000*49%)+((3835000*6%)/3)</f>
        <v>1955850</v>
      </c>
      <c r="F111" s="2722"/>
      <c r="G111" s="2753">
        <v>0</v>
      </c>
      <c r="H111" s="2754"/>
      <c r="I111" s="2721">
        <f>(3835000*25%)+((3835000*6%)/3)</f>
        <v>1035450</v>
      </c>
      <c r="J111" s="2722"/>
      <c r="K111" s="2721">
        <v>0</v>
      </c>
      <c r="L111" s="2722"/>
      <c r="M111" s="2721">
        <f>(3835000*20%)+((3835000*6%)/3)</f>
        <v>843700</v>
      </c>
      <c r="N111" s="2722"/>
      <c r="O111" s="2721">
        <v>0</v>
      </c>
      <c r="P111" s="2722"/>
    </row>
    <row r="112" spans="2:16" x14ac:dyDescent="0.25">
      <c r="B112" s="1356" t="s">
        <v>1925</v>
      </c>
      <c r="C112" s="2723" t="s">
        <v>298</v>
      </c>
      <c r="D112" s="2724"/>
      <c r="E112" s="2721">
        <f>+E111*16%</f>
        <v>312936</v>
      </c>
      <c r="F112" s="2722"/>
      <c r="G112" s="2721">
        <v>0</v>
      </c>
      <c r="H112" s="2722"/>
      <c r="I112" s="2721">
        <f>+I111*16%</f>
        <v>165672</v>
      </c>
      <c r="J112" s="2722"/>
      <c r="K112" s="2721">
        <v>0</v>
      </c>
      <c r="L112" s="2722"/>
      <c r="M112" s="2721">
        <f>+M111*16%</f>
        <v>134992</v>
      </c>
      <c r="N112" s="2722"/>
      <c r="O112" s="2721">
        <v>0</v>
      </c>
      <c r="P112" s="2722"/>
    </row>
    <row r="113" spans="2:16" x14ac:dyDescent="0.25">
      <c r="B113" s="1356" t="s">
        <v>2155</v>
      </c>
      <c r="C113" s="2723" t="s">
        <v>304</v>
      </c>
      <c r="D113" s="2724"/>
      <c r="E113" s="2721">
        <v>0</v>
      </c>
      <c r="F113" s="2722"/>
      <c r="G113" s="2721">
        <f>55*G100</f>
        <v>9900000</v>
      </c>
      <c r="H113" s="2722"/>
      <c r="I113" s="2721">
        <v>0</v>
      </c>
      <c r="J113" s="2722"/>
      <c r="K113" s="2721">
        <v>0</v>
      </c>
      <c r="L113" s="2722"/>
      <c r="M113" s="2721">
        <v>0</v>
      </c>
      <c r="N113" s="2722"/>
      <c r="O113" s="2721">
        <v>0</v>
      </c>
      <c r="P113" s="2722"/>
    </row>
    <row r="114" spans="2:16" x14ac:dyDescent="0.25">
      <c r="B114" s="1357" t="s">
        <v>2156</v>
      </c>
      <c r="C114" s="2723" t="s">
        <v>126</v>
      </c>
      <c r="D114" s="2724"/>
      <c r="E114" s="2721">
        <f>205000*0.25</f>
        <v>51250</v>
      </c>
      <c r="F114" s="2722"/>
      <c r="G114" s="2721">
        <v>0</v>
      </c>
      <c r="H114" s="2722"/>
      <c r="I114" s="2721">
        <f>+E114</f>
        <v>51250</v>
      </c>
      <c r="J114" s="2722"/>
      <c r="K114" s="2721">
        <v>0</v>
      </c>
      <c r="L114" s="2722"/>
      <c r="M114" s="2721">
        <f>205000*0.5</f>
        <v>102500</v>
      </c>
      <c r="N114" s="2722"/>
      <c r="O114" s="2721">
        <v>0</v>
      </c>
      <c r="P114" s="2722"/>
    </row>
    <row r="115" spans="2:16" ht="15.75" thickBot="1" x14ac:dyDescent="0.3">
      <c r="B115" s="1358"/>
      <c r="C115" s="1339" t="s">
        <v>1160</v>
      </c>
      <c r="D115" s="770"/>
      <c r="E115" s="2705">
        <f>SUM(E109:F114)</f>
        <v>2320036</v>
      </c>
      <c r="F115" s="2706"/>
      <c r="G115" s="2705">
        <f>SUM(G109:H114)</f>
        <v>10305000</v>
      </c>
      <c r="H115" s="2706"/>
      <c r="I115" s="2705">
        <f>SUM(I109:J114)</f>
        <v>1252372</v>
      </c>
      <c r="J115" s="2706"/>
      <c r="K115" s="2705">
        <f>SUM(K109:L114)</f>
        <v>172800</v>
      </c>
      <c r="L115" s="2706"/>
      <c r="M115" s="2705">
        <f>SUM(M109:N114)</f>
        <v>1081192</v>
      </c>
      <c r="N115" s="2706"/>
      <c r="O115" s="2705">
        <f>SUM(O109:P114)</f>
        <v>0</v>
      </c>
      <c r="P115" s="2706"/>
    </row>
    <row r="116" spans="2:16" ht="15.75" thickTop="1" x14ac:dyDescent="0.25"/>
    <row r="117" spans="2:16" x14ac:dyDescent="0.25">
      <c r="B117" s="440" t="s">
        <v>2171</v>
      </c>
    </row>
    <row r="118" spans="2:16" x14ac:dyDescent="0.25">
      <c r="C118" s="1319" t="s">
        <v>2166</v>
      </c>
    </row>
    <row r="120" spans="2:16" x14ac:dyDescent="0.25">
      <c r="C120" s="138" t="s">
        <v>2159</v>
      </c>
      <c r="D120" s="1324" t="s">
        <v>2161</v>
      </c>
      <c r="E120" s="2"/>
    </row>
    <row r="121" spans="2:16" x14ac:dyDescent="0.25">
      <c r="C121" s="2"/>
      <c r="D121" s="1359" t="s">
        <v>2162</v>
      </c>
      <c r="E121" s="2707">
        <f>+E115+I115+M115</f>
        <v>4653600</v>
      </c>
      <c r="F121" s="2708"/>
      <c r="G121" s="2"/>
      <c r="H121" s="2"/>
    </row>
    <row r="122" spans="2:16" x14ac:dyDescent="0.25">
      <c r="C122" s="138" t="s">
        <v>2160</v>
      </c>
      <c r="D122" s="2" t="s">
        <v>2163</v>
      </c>
      <c r="E122" s="2"/>
    </row>
    <row r="123" spans="2:16" x14ac:dyDescent="0.25">
      <c r="D123" s="2" t="s">
        <v>2164</v>
      </c>
      <c r="E123" s="2"/>
    </row>
    <row r="124" spans="2:16" x14ac:dyDescent="0.25">
      <c r="D124" s="72" t="s">
        <v>2164</v>
      </c>
      <c r="E124" s="2709">
        <f>+G102-((G115/G100)+(K115/G101))</f>
        <v>61.55</v>
      </c>
      <c r="F124" s="2710"/>
    </row>
    <row r="126" spans="2:16" x14ac:dyDescent="0.25">
      <c r="D126" s="1324" t="s">
        <v>2165</v>
      </c>
    </row>
    <row r="127" spans="2:16" x14ac:dyDescent="0.25">
      <c r="D127" s="1324" t="s">
        <v>2167</v>
      </c>
      <c r="J127" s="2711">
        <f>+E121/E124</f>
        <v>75606.823720552406</v>
      </c>
      <c r="K127" s="2711"/>
    </row>
    <row r="128" spans="2:16" x14ac:dyDescent="0.25">
      <c r="D128" s="1362" t="s">
        <v>2167</v>
      </c>
      <c r="E128" s="1363"/>
      <c r="F128" s="1363"/>
      <c r="G128" s="1364"/>
      <c r="H128" s="1364"/>
      <c r="I128" s="1345"/>
      <c r="J128" s="2712">
        <f>+ROUNDUP(J127,0)</f>
        <v>75607</v>
      </c>
      <c r="K128" s="2713"/>
    </row>
    <row r="129" spans="2:16" x14ac:dyDescent="0.25">
      <c r="B129" s="1318"/>
    </row>
    <row r="130" spans="2:16" x14ac:dyDescent="0.25">
      <c r="B130" s="1318"/>
      <c r="C130" s="1319" t="s">
        <v>2168</v>
      </c>
    </row>
    <row r="131" spans="2:16" x14ac:dyDescent="0.25">
      <c r="B131" s="1318"/>
      <c r="D131" s="1324" t="s">
        <v>2169</v>
      </c>
    </row>
    <row r="132" spans="2:16" x14ac:dyDescent="0.25">
      <c r="B132" s="1318"/>
      <c r="D132" s="1362" t="s">
        <v>2170</v>
      </c>
      <c r="E132" s="1350"/>
      <c r="F132" s="1350"/>
      <c r="G132" s="1351"/>
      <c r="H132" s="1351"/>
      <c r="I132" s="2714">
        <f>+J128*G102</f>
        <v>9072840</v>
      </c>
      <c r="J132" s="2714"/>
      <c r="K132" s="2715"/>
    </row>
    <row r="133" spans="2:16" x14ac:dyDescent="0.25">
      <c r="B133" s="1318"/>
    </row>
    <row r="134" spans="2:16" x14ac:dyDescent="0.25">
      <c r="B134" s="440" t="s">
        <v>2173</v>
      </c>
    </row>
    <row r="135" spans="2:16" x14ac:dyDescent="0.25">
      <c r="B135" s="1318"/>
    </row>
    <row r="136" spans="2:16" x14ac:dyDescent="0.25">
      <c r="B136" s="1318"/>
      <c r="C136" s="1366" t="s">
        <v>2179</v>
      </c>
    </row>
    <row r="137" spans="2:16" x14ac:dyDescent="0.25">
      <c r="B137" s="2"/>
      <c r="C137" s="1318" t="s">
        <v>11</v>
      </c>
      <c r="D137" s="1290" t="s">
        <v>283</v>
      </c>
      <c r="E137" s="139"/>
      <c r="F137" s="139"/>
      <c r="G137" s="139"/>
      <c r="H137" s="1"/>
      <c r="I137" s="1"/>
      <c r="J137" s="1"/>
      <c r="K137" s="2685">
        <f>+SUM(N138:O142)</f>
        <v>12625036</v>
      </c>
      <c r="L137" s="2686"/>
      <c r="M137" s="2686"/>
      <c r="N137" s="2685"/>
      <c r="O137" s="2686"/>
      <c r="P137" s="2687"/>
    </row>
    <row r="138" spans="2:16" x14ac:dyDescent="0.25">
      <c r="B138" s="2"/>
      <c r="C138" s="1318" t="s">
        <v>14</v>
      </c>
      <c r="D138" s="1323"/>
      <c r="E138" s="1320" t="s">
        <v>1</v>
      </c>
      <c r="F138" s="1324" t="s">
        <v>304</v>
      </c>
      <c r="G138" s="4"/>
      <c r="H138" s="4"/>
      <c r="I138" s="4"/>
      <c r="J138" s="4"/>
      <c r="K138" s="2703"/>
      <c r="L138" s="2702"/>
      <c r="M138" s="2702"/>
      <c r="N138" s="2703">
        <f>+G113</f>
        <v>9900000</v>
      </c>
      <c r="O138" s="2702"/>
      <c r="P138" s="2704"/>
    </row>
    <row r="139" spans="2:16" x14ac:dyDescent="0.25">
      <c r="B139" s="2"/>
      <c r="C139" s="7" t="s">
        <v>2174</v>
      </c>
      <c r="D139" s="1323"/>
      <c r="E139" s="1320" t="s">
        <v>1</v>
      </c>
      <c r="F139" s="1324" t="s">
        <v>2175</v>
      </c>
      <c r="G139" s="4"/>
      <c r="H139" s="4"/>
      <c r="I139" s="4"/>
      <c r="J139" s="4"/>
      <c r="K139" s="2703"/>
      <c r="L139" s="2702"/>
      <c r="M139" s="2702"/>
      <c r="N139" s="2703">
        <f>+E111</f>
        <v>1955850</v>
      </c>
      <c r="O139" s="2702"/>
      <c r="P139" s="2704"/>
    </row>
    <row r="140" spans="2:16" x14ac:dyDescent="0.25">
      <c r="B140" s="2"/>
      <c r="C140" s="1318" t="s">
        <v>2174</v>
      </c>
      <c r="D140" s="1323"/>
      <c r="E140" s="1320" t="s">
        <v>1</v>
      </c>
      <c r="F140" s="1324" t="s">
        <v>2176</v>
      </c>
      <c r="G140" s="4"/>
      <c r="H140" s="4"/>
      <c r="I140" s="4"/>
      <c r="J140" s="4"/>
      <c r="K140" s="2703"/>
      <c r="L140" s="2702"/>
      <c r="M140" s="2702"/>
      <c r="N140" s="2703">
        <f>+E112</f>
        <v>312936</v>
      </c>
      <c r="O140" s="2702"/>
      <c r="P140" s="2704"/>
    </row>
    <row r="141" spans="2:16" x14ac:dyDescent="0.25">
      <c r="B141" s="2"/>
      <c r="C141" s="1318" t="s">
        <v>2174</v>
      </c>
      <c r="D141" s="1323"/>
      <c r="E141" s="1320" t="s">
        <v>1</v>
      </c>
      <c r="F141" s="1324" t="s">
        <v>2177</v>
      </c>
      <c r="G141" s="4"/>
      <c r="H141" s="4"/>
      <c r="I141" s="4"/>
      <c r="J141" s="4"/>
      <c r="K141" s="2703"/>
      <c r="L141" s="2702"/>
      <c r="M141" s="2702"/>
      <c r="N141" s="2703">
        <f>+G110</f>
        <v>405000</v>
      </c>
      <c r="O141" s="2702"/>
      <c r="P141" s="2704"/>
    </row>
    <row r="142" spans="2:16" x14ac:dyDescent="0.25">
      <c r="B142" s="2"/>
      <c r="C142" s="1318" t="s">
        <v>2174</v>
      </c>
      <c r="D142" s="1326"/>
      <c r="E142" s="1322" t="s">
        <v>1</v>
      </c>
      <c r="F142" s="1327" t="s">
        <v>2178</v>
      </c>
      <c r="G142" s="3"/>
      <c r="H142" s="3"/>
      <c r="I142" s="3"/>
      <c r="J142" s="3"/>
      <c r="K142" s="2688"/>
      <c r="L142" s="2689"/>
      <c r="M142" s="2689"/>
      <c r="N142" s="2688">
        <f>+E114</f>
        <v>51250</v>
      </c>
      <c r="O142" s="2689"/>
      <c r="P142" s="2690"/>
    </row>
    <row r="143" spans="2:16" x14ac:dyDescent="0.25">
      <c r="B143" s="1318"/>
      <c r="C143" s="1324"/>
      <c r="D143" s="4"/>
      <c r="E143" s="1320"/>
      <c r="F143" s="1324"/>
      <c r="G143" s="4"/>
      <c r="H143" s="4"/>
      <c r="I143" s="4"/>
      <c r="J143" s="4"/>
      <c r="K143" s="4"/>
      <c r="L143" s="1320"/>
      <c r="M143" s="1320"/>
      <c r="N143" s="1365"/>
      <c r="O143" s="1320"/>
    </row>
    <row r="144" spans="2:16" x14ac:dyDescent="0.25">
      <c r="B144" s="1318"/>
      <c r="C144" s="1324"/>
      <c r="D144" s="4"/>
      <c r="E144" s="1320"/>
      <c r="F144" s="1324"/>
      <c r="G144" s="4"/>
      <c r="H144" s="4"/>
      <c r="I144" s="4"/>
      <c r="J144" s="4"/>
      <c r="K144" s="4"/>
      <c r="L144" s="1320"/>
      <c r="M144" s="1320"/>
      <c r="N144" s="1365"/>
      <c r="O144" s="1320"/>
    </row>
    <row r="145" spans="2:16" x14ac:dyDescent="0.25">
      <c r="B145" s="2"/>
      <c r="C145" s="1366" t="s">
        <v>2180</v>
      </c>
    </row>
    <row r="146" spans="2:16" x14ac:dyDescent="0.25">
      <c r="B146" s="2"/>
      <c r="C146" s="1318" t="s">
        <v>11</v>
      </c>
      <c r="D146" s="156" t="s">
        <v>291</v>
      </c>
      <c r="E146" s="139"/>
      <c r="F146" s="139"/>
      <c r="G146" s="139"/>
      <c r="H146" s="1"/>
      <c r="I146" s="1"/>
      <c r="J146" s="157"/>
      <c r="K146" s="2685">
        <f>+K137</f>
        <v>12625036</v>
      </c>
      <c r="L146" s="2686"/>
      <c r="M146" s="2686"/>
      <c r="N146" s="2685"/>
      <c r="O146" s="2686"/>
      <c r="P146" s="2687"/>
    </row>
    <row r="147" spans="2:16" x14ac:dyDescent="0.25">
      <c r="B147" s="2"/>
      <c r="C147" s="1318" t="s">
        <v>14</v>
      </c>
      <c r="D147" s="1326"/>
      <c r="E147" s="1322" t="s">
        <v>1</v>
      </c>
      <c r="F147" s="1327" t="s">
        <v>283</v>
      </c>
      <c r="G147" s="3"/>
      <c r="H147" s="3"/>
      <c r="I147" s="3"/>
      <c r="J147" s="354"/>
      <c r="K147" s="2688"/>
      <c r="L147" s="2689"/>
      <c r="M147" s="2689"/>
      <c r="N147" s="2688">
        <f>+K146</f>
        <v>12625036</v>
      </c>
      <c r="O147" s="2689"/>
      <c r="P147" s="2690"/>
    </row>
    <row r="148" spans="2:16" x14ac:dyDescent="0.25">
      <c r="B148" s="2"/>
      <c r="C148" s="1320"/>
      <c r="D148" s="1324"/>
      <c r="E148" s="1320"/>
      <c r="F148" s="1324"/>
      <c r="G148" s="4"/>
      <c r="H148" s="4"/>
      <c r="I148" s="4"/>
      <c r="J148" s="4"/>
      <c r="K148" s="2702"/>
      <c r="L148" s="2702"/>
      <c r="M148" s="2702"/>
      <c r="N148" s="2702"/>
      <c r="O148" s="2702"/>
      <c r="P148" s="2702"/>
    </row>
    <row r="149" spans="2:16" x14ac:dyDescent="0.25">
      <c r="B149" s="2"/>
      <c r="C149" s="1366" t="s">
        <v>2181</v>
      </c>
      <c r="K149" s="1367"/>
      <c r="L149" s="1367"/>
      <c r="M149" s="1368"/>
      <c r="N149" s="1368"/>
      <c r="O149" s="1368"/>
      <c r="P149" s="1368"/>
    </row>
    <row r="150" spans="2:16" x14ac:dyDescent="0.25">
      <c r="B150" s="2"/>
      <c r="C150" s="1318" t="s">
        <v>15</v>
      </c>
      <c r="D150" s="156" t="s">
        <v>293</v>
      </c>
      <c r="E150" s="139"/>
      <c r="F150" s="139"/>
      <c r="G150" s="139"/>
      <c r="H150" s="1"/>
      <c r="I150" s="1"/>
      <c r="J150" s="157"/>
      <c r="K150" s="2685">
        <f>+K146*80%</f>
        <v>10100028.800000001</v>
      </c>
      <c r="L150" s="2686"/>
      <c r="M150" s="2686"/>
      <c r="N150" s="2685"/>
      <c r="O150" s="2686"/>
      <c r="P150" s="2687"/>
    </row>
    <row r="151" spans="2:16" x14ac:dyDescent="0.25">
      <c r="B151" s="1318"/>
      <c r="C151" s="1318" t="s">
        <v>14</v>
      </c>
      <c r="D151" s="1326"/>
      <c r="E151" s="1322" t="s">
        <v>1</v>
      </c>
      <c r="F151" s="1327" t="s">
        <v>291</v>
      </c>
      <c r="G151" s="3"/>
      <c r="H151" s="3"/>
      <c r="I151" s="3"/>
      <c r="J151" s="354"/>
      <c r="K151" s="2688"/>
      <c r="L151" s="2689"/>
      <c r="M151" s="2689"/>
      <c r="N151" s="2688">
        <f>+K150</f>
        <v>10100028.800000001</v>
      </c>
      <c r="O151" s="2689"/>
      <c r="P151" s="2690"/>
    </row>
    <row r="152" spans="2:16" x14ac:dyDescent="0.25">
      <c r="B152" s="1318"/>
      <c r="C152" s="1324"/>
      <c r="D152" s="4"/>
      <c r="E152" s="1320"/>
      <c r="F152" s="1324"/>
      <c r="G152" s="4"/>
      <c r="H152" s="4"/>
      <c r="I152" s="4"/>
      <c r="J152" s="4"/>
      <c r="K152" s="4"/>
      <c r="L152" s="1320"/>
      <c r="M152" s="1320"/>
      <c r="N152" s="1365"/>
      <c r="O152" s="1320"/>
    </row>
    <row r="153" spans="2:16" x14ac:dyDescent="0.25">
      <c r="B153" s="1318"/>
      <c r="C153" s="1324"/>
      <c r="D153" s="4"/>
      <c r="E153" s="1320"/>
      <c r="F153" s="1324"/>
      <c r="G153" s="4"/>
      <c r="H153" s="4"/>
      <c r="I153" s="4"/>
      <c r="J153" s="4"/>
      <c r="K153" s="4"/>
      <c r="L153" s="1320"/>
      <c r="M153" s="1320"/>
      <c r="N153" s="1365"/>
      <c r="O153" s="1320"/>
    </row>
    <row r="154" spans="2:16" x14ac:dyDescent="0.25">
      <c r="B154" s="440" t="s">
        <v>2184</v>
      </c>
      <c r="C154" s="1324"/>
      <c r="D154" s="4"/>
      <c r="E154" s="1320"/>
      <c r="F154" s="1324"/>
      <c r="G154" s="4"/>
      <c r="H154" s="4"/>
      <c r="I154" s="4"/>
      <c r="J154" s="4"/>
      <c r="K154" s="4"/>
      <c r="L154" s="1320"/>
      <c r="M154" s="1320"/>
      <c r="N154" s="1365"/>
      <c r="O154" s="1320"/>
    </row>
    <row r="155" spans="2:16" x14ac:dyDescent="0.25">
      <c r="B155" s="1318"/>
      <c r="C155" s="1324"/>
      <c r="D155" s="4"/>
      <c r="E155" s="1320"/>
      <c r="F155" s="1324"/>
      <c r="G155" s="4"/>
      <c r="H155" s="4"/>
      <c r="I155" s="4"/>
      <c r="J155" s="4"/>
      <c r="K155" s="4"/>
      <c r="L155" s="1320"/>
      <c r="M155" s="1320"/>
      <c r="N155" s="1365"/>
      <c r="O155" s="1320"/>
    </row>
    <row r="156" spans="2:16" x14ac:dyDescent="0.25">
      <c r="C156" s="1324" t="s">
        <v>2182</v>
      </c>
    </row>
    <row r="157" spans="2:16" x14ac:dyDescent="0.25">
      <c r="B157" s="1318"/>
      <c r="C157" s="1324"/>
    </row>
    <row r="158" spans="2:16" x14ac:dyDescent="0.25">
      <c r="B158" s="1318"/>
    </row>
    <row r="159" spans="2:16" x14ac:dyDescent="0.25">
      <c r="B159" s="1318"/>
      <c r="C159" s="2"/>
      <c r="D159" s="1324" t="s">
        <v>2183</v>
      </c>
      <c r="G159" s="12"/>
      <c r="I159" s="27"/>
    </row>
    <row r="160" spans="2:16" x14ac:dyDescent="0.25">
      <c r="B160" s="1318"/>
      <c r="C160" s="2"/>
      <c r="D160" s="1359" t="s">
        <v>2185</v>
      </c>
      <c r="E160" s="37"/>
      <c r="F160" s="37"/>
      <c r="G160" s="37"/>
      <c r="H160" s="2691">
        <f>+N151/G101</f>
        <v>70.139088888888892</v>
      </c>
      <c r="I160" s="2692"/>
      <c r="J160" s="1369"/>
    </row>
    <row r="161" spans="2:16" x14ac:dyDescent="0.25">
      <c r="B161" s="1318"/>
    </row>
    <row r="162" spans="2:16" s="4" customFormat="1" x14ac:dyDescent="0.25">
      <c r="B162" s="189"/>
      <c r="C162" s="12"/>
      <c r="D162" s="1324" t="s">
        <v>2186</v>
      </c>
      <c r="E162" s="12"/>
      <c r="F162" s="12"/>
      <c r="G162" s="51"/>
      <c r="H162" s="51"/>
      <c r="M162" s="18"/>
      <c r="N162" s="18"/>
      <c r="O162" s="18"/>
      <c r="P162" s="18"/>
    </row>
    <row r="163" spans="2:16" s="4" customFormat="1" x14ac:dyDescent="0.25">
      <c r="B163" s="1320"/>
      <c r="C163" s="12"/>
      <c r="D163" s="1324" t="s">
        <v>2188</v>
      </c>
      <c r="E163" s="12"/>
      <c r="F163" s="12"/>
      <c r="G163" s="51"/>
      <c r="H163" s="51"/>
      <c r="M163" s="18"/>
      <c r="N163" s="18"/>
      <c r="O163" s="18"/>
      <c r="P163" s="18"/>
    </row>
    <row r="164" spans="2:16" s="4" customFormat="1" x14ac:dyDescent="0.25">
      <c r="B164" s="1320"/>
      <c r="C164" s="12"/>
      <c r="D164" s="1359" t="s">
        <v>2187</v>
      </c>
      <c r="E164" s="37"/>
      <c r="F164" s="37"/>
      <c r="G164" s="1325"/>
      <c r="H164" s="2691">
        <f>+H160+70</f>
        <v>140.13908888888889</v>
      </c>
      <c r="I164" s="2692"/>
      <c r="M164" s="18"/>
      <c r="N164" s="18"/>
      <c r="O164" s="18"/>
      <c r="P164" s="18"/>
    </row>
    <row r="165" spans="2:16" s="4" customFormat="1" x14ac:dyDescent="0.25">
      <c r="B165" s="1320"/>
      <c r="C165" s="12"/>
      <c r="D165" s="12"/>
      <c r="E165" s="12"/>
      <c r="F165" s="12"/>
      <c r="G165" s="51"/>
      <c r="H165" s="51"/>
      <c r="M165" s="18"/>
      <c r="N165" s="18"/>
      <c r="O165" s="18"/>
      <c r="P165" s="18"/>
    </row>
    <row r="166" spans="2:16" s="4" customFormat="1" x14ac:dyDescent="0.25">
      <c r="B166" s="1320"/>
      <c r="C166" s="12"/>
      <c r="D166" s="1319" t="s">
        <v>2189</v>
      </c>
      <c r="E166" s="12"/>
      <c r="F166" s="12"/>
      <c r="G166" s="1324" t="s">
        <v>2190</v>
      </c>
      <c r="H166" s="51"/>
      <c r="M166" s="18"/>
      <c r="N166" s="18"/>
      <c r="O166" s="18"/>
      <c r="P166" s="18"/>
    </row>
    <row r="167" spans="2:16" s="4" customFormat="1" x14ac:dyDescent="0.25">
      <c r="B167" s="1320"/>
      <c r="C167" s="12"/>
      <c r="D167" s="1319" t="s">
        <v>2119</v>
      </c>
      <c r="E167" s="12"/>
      <c r="G167" s="1324" t="s">
        <v>2191</v>
      </c>
      <c r="H167" s="51"/>
      <c r="M167" s="18"/>
      <c r="N167" s="18"/>
      <c r="O167" s="18"/>
      <c r="P167" s="18"/>
    </row>
    <row r="168" spans="2:16" s="4" customFormat="1" x14ac:dyDescent="0.25">
      <c r="B168" s="1320"/>
      <c r="C168" s="12"/>
      <c r="D168" s="12"/>
      <c r="E168" s="12"/>
      <c r="F168" s="12"/>
      <c r="G168" s="1361" t="s">
        <v>2192</v>
      </c>
      <c r="H168" s="1370"/>
      <c r="M168" s="18"/>
      <c r="N168" s="18"/>
      <c r="O168" s="18"/>
      <c r="P168" s="18"/>
    </row>
    <row r="169" spans="2:16" s="4" customFormat="1" x14ac:dyDescent="0.25">
      <c r="B169" s="1320"/>
      <c r="C169" s="12"/>
      <c r="D169" s="12"/>
      <c r="E169" s="12"/>
      <c r="F169" s="12"/>
      <c r="G169" s="51"/>
      <c r="H169" s="51"/>
      <c r="M169" s="18"/>
      <c r="N169" s="18"/>
      <c r="O169" s="18"/>
      <c r="P169" s="18"/>
    </row>
    <row r="170" spans="2:16" s="4" customFormat="1" x14ac:dyDescent="0.25">
      <c r="B170" s="1320"/>
      <c r="C170" s="12"/>
      <c r="D170" s="12"/>
      <c r="E170" s="12"/>
      <c r="F170" s="12"/>
      <c r="G170" s="51"/>
      <c r="H170" s="51"/>
      <c r="M170" s="18"/>
      <c r="N170" s="18"/>
      <c r="O170" s="18"/>
      <c r="P170" s="18"/>
    </row>
    <row r="171" spans="2:16" s="4" customFormat="1" x14ac:dyDescent="0.25">
      <c r="B171" s="1320"/>
      <c r="C171" s="12"/>
      <c r="D171" s="12"/>
      <c r="E171" s="12"/>
      <c r="F171" s="12"/>
      <c r="G171" s="51"/>
      <c r="H171" s="51"/>
      <c r="M171" s="18"/>
      <c r="N171" s="18"/>
      <c r="O171" s="18"/>
      <c r="P171" s="18"/>
    </row>
    <row r="172" spans="2:16" s="4" customFormat="1" x14ac:dyDescent="0.25">
      <c r="B172" s="1320"/>
      <c r="C172" s="12"/>
      <c r="D172" s="12"/>
      <c r="E172" s="12"/>
      <c r="F172" s="12"/>
      <c r="G172" s="51"/>
      <c r="H172" s="51"/>
      <c r="M172" s="18"/>
      <c r="N172" s="18"/>
      <c r="O172" s="18"/>
      <c r="P172" s="18"/>
    </row>
    <row r="173" spans="2:16" s="4" customFormat="1" x14ac:dyDescent="0.25">
      <c r="B173" s="1320"/>
      <c r="C173" s="12"/>
      <c r="D173" s="12"/>
      <c r="E173" s="12"/>
      <c r="F173" s="12"/>
      <c r="G173" s="51"/>
      <c r="H173" s="51"/>
      <c r="M173" s="18"/>
      <c r="N173" s="18"/>
      <c r="O173" s="18"/>
      <c r="P173" s="18"/>
    </row>
    <row r="174" spans="2:16" s="4" customFormat="1" x14ac:dyDescent="0.25">
      <c r="B174" s="1320"/>
      <c r="C174" s="12"/>
      <c r="D174" s="12"/>
      <c r="E174" s="12"/>
      <c r="F174" s="12"/>
      <c r="G174" s="51"/>
      <c r="H174" s="51"/>
      <c r="M174" s="18"/>
      <c r="N174" s="18"/>
      <c r="O174" s="18"/>
      <c r="P174" s="18"/>
    </row>
    <row r="175" spans="2:16" s="4" customFormat="1" x14ac:dyDescent="0.25">
      <c r="B175" s="1320"/>
      <c r="C175" s="12"/>
      <c r="D175" s="12"/>
      <c r="E175" s="12"/>
      <c r="F175" s="12"/>
      <c r="G175" s="51"/>
      <c r="H175" s="51"/>
      <c r="M175" s="18"/>
      <c r="N175" s="18"/>
      <c r="O175" s="18"/>
      <c r="P175" s="18"/>
    </row>
    <row r="176" spans="2:16" s="4" customFormat="1" x14ac:dyDescent="0.25">
      <c r="B176" s="1320"/>
      <c r="C176" s="12"/>
      <c r="D176" s="12"/>
      <c r="E176" s="12"/>
      <c r="F176" s="12"/>
      <c r="G176" s="51"/>
      <c r="H176" s="51"/>
      <c r="M176" s="18"/>
      <c r="N176" s="18"/>
      <c r="O176" s="18"/>
      <c r="P176" s="18"/>
    </row>
    <row r="177" spans="1:17" s="4" customFormat="1" x14ac:dyDescent="0.25">
      <c r="B177" s="1320"/>
      <c r="C177" s="12"/>
      <c r="D177" s="12"/>
      <c r="E177" s="12"/>
      <c r="F177" s="12"/>
      <c r="G177" s="51"/>
      <c r="H177" s="51"/>
      <c r="M177" s="18"/>
      <c r="N177" s="18"/>
      <c r="O177" s="18"/>
      <c r="P177" s="18"/>
    </row>
    <row r="178" spans="1:17" s="4" customFormat="1" x14ac:dyDescent="0.25">
      <c r="B178" s="1320"/>
      <c r="C178" s="12"/>
      <c r="D178" s="12"/>
      <c r="E178" s="12"/>
      <c r="F178" s="12"/>
      <c r="G178" s="51"/>
      <c r="H178" s="51"/>
      <c r="M178" s="18"/>
      <c r="N178" s="18"/>
      <c r="O178" s="18"/>
      <c r="P178" s="18"/>
    </row>
    <row r="179" spans="1:17" s="4" customFormat="1" x14ac:dyDescent="0.25">
      <c r="B179" s="1320"/>
      <c r="C179" s="12"/>
      <c r="D179" s="12"/>
      <c r="E179" s="12"/>
      <c r="F179" s="12"/>
      <c r="G179" s="51"/>
      <c r="H179" s="51"/>
      <c r="M179" s="18"/>
      <c r="N179" s="18"/>
      <c r="O179" s="18"/>
      <c r="P179" s="18"/>
    </row>
    <row r="180" spans="1:17" x14ac:dyDescent="0.25">
      <c r="A180" s="4"/>
      <c r="B180" s="1320"/>
      <c r="G180" s="51"/>
      <c r="H180" s="51"/>
      <c r="I180" s="4"/>
      <c r="J180" s="4"/>
      <c r="K180" s="4"/>
      <c r="L180" s="4"/>
      <c r="M180" s="18"/>
      <c r="N180" s="18"/>
      <c r="O180" s="18"/>
      <c r="P180" s="18"/>
      <c r="Q180" s="4"/>
    </row>
    <row r="181" spans="1:17" x14ac:dyDescent="0.25">
      <c r="A181" s="4"/>
      <c r="B181" s="1320"/>
      <c r="G181" s="51"/>
      <c r="H181" s="51"/>
      <c r="I181" s="4"/>
      <c r="J181" s="4"/>
      <c r="K181" s="4"/>
      <c r="L181" s="4"/>
      <c r="M181" s="18"/>
      <c r="N181" s="18"/>
      <c r="O181" s="18"/>
      <c r="P181" s="18"/>
      <c r="Q181" s="4"/>
    </row>
    <row r="182" spans="1:17" x14ac:dyDescent="0.25">
      <c r="A182" s="4"/>
      <c r="B182" s="1320"/>
      <c r="G182" s="51"/>
      <c r="H182" s="51"/>
      <c r="I182" s="4"/>
      <c r="J182" s="4"/>
      <c r="K182" s="4"/>
      <c r="L182" s="4"/>
      <c r="M182" s="18"/>
      <c r="N182" s="18"/>
      <c r="O182" s="18"/>
      <c r="P182" s="18"/>
      <c r="Q182" s="4"/>
    </row>
    <row r="183" spans="1:17" x14ac:dyDescent="0.25">
      <c r="A183" s="4"/>
      <c r="B183" s="1320"/>
      <c r="G183" s="51"/>
      <c r="H183" s="51"/>
      <c r="I183" s="4"/>
      <c r="J183" s="4"/>
      <c r="K183" s="4"/>
      <c r="L183" s="4"/>
      <c r="M183" s="18"/>
      <c r="N183" s="18"/>
      <c r="O183" s="18"/>
      <c r="P183" s="18"/>
      <c r="Q183" s="4"/>
    </row>
    <row r="184" spans="1:17" x14ac:dyDescent="0.25">
      <c r="A184" s="4"/>
      <c r="B184" s="1320"/>
      <c r="G184" s="51"/>
      <c r="H184" s="51"/>
      <c r="I184" s="4"/>
      <c r="J184" s="4"/>
      <c r="K184" s="4"/>
      <c r="L184" s="4"/>
      <c r="M184" s="18"/>
      <c r="N184" s="18"/>
      <c r="O184" s="18"/>
      <c r="P184" s="18"/>
      <c r="Q184" s="4"/>
    </row>
    <row r="185" spans="1:17" x14ac:dyDescent="0.25">
      <c r="A185" s="4"/>
      <c r="B185" s="1320"/>
      <c r="G185" s="51"/>
      <c r="H185" s="51"/>
      <c r="I185" s="4"/>
      <c r="J185" s="4"/>
      <c r="K185" s="4"/>
      <c r="L185" s="4"/>
      <c r="M185" s="18"/>
      <c r="N185" s="18"/>
      <c r="O185" s="18"/>
      <c r="P185" s="18"/>
      <c r="Q185" s="4"/>
    </row>
    <row r="186" spans="1:17" x14ac:dyDescent="0.25">
      <c r="A186" s="4"/>
      <c r="B186" s="1320"/>
      <c r="G186" s="51"/>
      <c r="H186" s="51"/>
      <c r="I186" s="4"/>
      <c r="J186" s="4"/>
      <c r="K186" s="4"/>
      <c r="L186" s="4"/>
      <c r="M186" s="18"/>
      <c r="N186" s="18"/>
      <c r="O186" s="18"/>
      <c r="P186" s="18"/>
      <c r="Q186" s="4"/>
    </row>
    <row r="187" spans="1:17" x14ac:dyDescent="0.25">
      <c r="A187" s="4"/>
      <c r="B187" s="1320"/>
      <c r="G187" s="51"/>
      <c r="H187" s="51"/>
      <c r="I187" s="4"/>
      <c r="J187" s="4"/>
      <c r="K187" s="4"/>
      <c r="L187" s="4"/>
      <c r="M187" s="18"/>
      <c r="N187" s="18"/>
      <c r="O187" s="18"/>
      <c r="P187" s="18"/>
      <c r="Q187" s="4"/>
    </row>
    <row r="188" spans="1:17" x14ac:dyDescent="0.25">
      <c r="A188" s="4"/>
      <c r="B188" s="1320"/>
      <c r="G188" s="51"/>
      <c r="H188" s="51"/>
      <c r="I188" s="4"/>
      <c r="J188" s="4"/>
      <c r="K188" s="4"/>
      <c r="L188" s="4"/>
      <c r="M188" s="18"/>
      <c r="N188" s="18"/>
      <c r="O188" s="18"/>
      <c r="P188" s="18"/>
      <c r="Q188" s="4"/>
    </row>
    <row r="189" spans="1:17" x14ac:dyDescent="0.25">
      <c r="A189" s="4"/>
      <c r="B189" s="1320"/>
      <c r="G189" s="51"/>
      <c r="H189" s="51"/>
      <c r="I189" s="4"/>
      <c r="J189" s="4"/>
      <c r="K189" s="4"/>
      <c r="L189" s="4"/>
      <c r="M189" s="18"/>
      <c r="N189" s="18"/>
      <c r="O189" s="18"/>
      <c r="P189" s="18"/>
      <c r="Q189" s="4"/>
    </row>
    <row r="190" spans="1:17" x14ac:dyDescent="0.25">
      <c r="A190" s="4"/>
      <c r="B190" s="1320"/>
      <c r="G190" s="51"/>
      <c r="H190" s="51"/>
      <c r="I190" s="4"/>
      <c r="J190" s="4"/>
      <c r="K190" s="4"/>
      <c r="L190" s="4"/>
      <c r="M190" s="18"/>
      <c r="N190" s="18"/>
      <c r="O190" s="18"/>
      <c r="P190" s="18"/>
      <c r="Q190" s="4"/>
    </row>
    <row r="191" spans="1:17" x14ac:dyDescent="0.25">
      <c r="A191" s="4"/>
      <c r="B191" s="1320"/>
      <c r="G191" s="51"/>
      <c r="H191" s="51"/>
      <c r="I191" s="4"/>
      <c r="J191" s="4"/>
      <c r="K191" s="4"/>
      <c r="L191" s="4"/>
      <c r="M191" s="18"/>
      <c r="N191" s="18"/>
      <c r="O191" s="18"/>
      <c r="P191" s="18"/>
      <c r="Q191" s="4"/>
    </row>
    <row r="192" spans="1:17" x14ac:dyDescent="0.25">
      <c r="A192" s="4"/>
      <c r="B192" s="1320"/>
      <c r="G192" s="51"/>
      <c r="H192" s="51"/>
      <c r="I192" s="4"/>
      <c r="J192" s="4"/>
      <c r="K192" s="4"/>
      <c r="L192" s="4"/>
      <c r="M192" s="18"/>
      <c r="N192" s="18"/>
      <c r="O192" s="18"/>
      <c r="P192" s="18"/>
      <c r="Q192" s="4"/>
    </row>
    <row r="193" spans="1:17" x14ac:dyDescent="0.25">
      <c r="A193" s="4"/>
      <c r="B193" s="1320"/>
      <c r="G193" s="51"/>
      <c r="H193" s="51"/>
      <c r="I193" s="4"/>
      <c r="J193" s="4"/>
      <c r="K193" s="4"/>
      <c r="L193" s="4"/>
      <c r="M193" s="18"/>
      <c r="N193" s="18"/>
      <c r="O193" s="18"/>
      <c r="P193" s="18"/>
      <c r="Q193" s="4"/>
    </row>
    <row r="194" spans="1:17" x14ac:dyDescent="0.25">
      <c r="A194" s="4"/>
      <c r="B194" s="1445"/>
      <c r="G194" s="1447"/>
      <c r="H194" s="1447"/>
      <c r="I194" s="4"/>
      <c r="J194" s="4"/>
      <c r="K194" s="4"/>
      <c r="L194" s="4"/>
      <c r="M194" s="18"/>
      <c r="N194" s="18"/>
      <c r="O194" s="18"/>
      <c r="P194" s="18"/>
      <c r="Q194" s="4"/>
    </row>
    <row r="195" spans="1:17" x14ac:dyDescent="0.25">
      <c r="A195" s="1844" t="s">
        <v>20</v>
      </c>
      <c r="B195" s="1845"/>
      <c r="C195" s="1845"/>
      <c r="D195" s="1845"/>
      <c r="E195" s="1845"/>
      <c r="F195" s="1845"/>
      <c r="G195" s="1845"/>
      <c r="H195" s="1845"/>
      <c r="I195" s="1845"/>
      <c r="J195" s="1845"/>
      <c r="K195" s="1845"/>
      <c r="L195" s="1845"/>
      <c r="M195" s="1845"/>
      <c r="N195" s="1845"/>
      <c r="O195" s="1845"/>
      <c r="P195" s="1845"/>
      <c r="Q195" s="1846"/>
    </row>
    <row r="196" spans="1:17" x14ac:dyDescent="0.25">
      <c r="A196" s="1847" t="s">
        <v>2273</v>
      </c>
      <c r="B196" s="1848"/>
      <c r="C196" s="1848"/>
      <c r="D196" s="1848"/>
      <c r="E196" s="1848"/>
      <c r="F196" s="1848"/>
      <c r="G196" s="1848"/>
      <c r="H196" s="1848"/>
      <c r="I196" s="1848"/>
      <c r="J196" s="1848"/>
      <c r="K196" s="1848"/>
      <c r="L196" s="1848"/>
      <c r="M196" s="1848"/>
      <c r="N196" s="1848"/>
      <c r="O196" s="1848"/>
      <c r="P196" s="1848"/>
      <c r="Q196" s="1849"/>
    </row>
    <row r="197" spans="1:17" x14ac:dyDescent="0.25">
      <c r="B197" s="1444"/>
    </row>
    <row r="198" spans="1:17" x14ac:dyDescent="0.25">
      <c r="A198" s="4"/>
      <c r="G198" s="1447"/>
      <c r="H198" s="1447"/>
      <c r="I198" s="4"/>
      <c r="J198" s="4"/>
      <c r="K198" s="4"/>
      <c r="L198" s="4"/>
      <c r="M198" s="18"/>
      <c r="N198" s="18"/>
      <c r="O198" s="18"/>
      <c r="P198" s="18"/>
      <c r="Q198" s="4"/>
    </row>
    <row r="199" spans="1:17" x14ac:dyDescent="0.2">
      <c r="A199" s="4"/>
      <c r="B199" s="1450"/>
      <c r="C199" s="259"/>
      <c r="D199" s="259"/>
      <c r="E199" s="259"/>
      <c r="F199" s="259"/>
      <c r="G199" s="2697" t="s">
        <v>2274</v>
      </c>
      <c r="H199" s="2698"/>
      <c r="I199" s="2698"/>
      <c r="J199" s="2695" t="s">
        <v>2275</v>
      </c>
      <c r="K199" s="2695"/>
      <c r="L199" s="2695"/>
      <c r="M199" s="2695" t="s">
        <v>2276</v>
      </c>
      <c r="N199" s="2695"/>
      <c r="O199" s="2696"/>
      <c r="P199" s="2"/>
    </row>
    <row r="200" spans="1:17" s="417" customFormat="1" x14ac:dyDescent="0.2">
      <c r="A200" s="362"/>
      <c r="B200" s="1450" t="s">
        <v>55</v>
      </c>
      <c r="C200" s="259"/>
      <c r="D200" s="259"/>
      <c r="E200" s="259"/>
      <c r="F200" s="259"/>
      <c r="G200" s="1451"/>
      <c r="H200" s="2601">
        <v>350</v>
      </c>
      <c r="I200" s="2601"/>
      <c r="J200" s="1452"/>
      <c r="K200" s="2699">
        <v>150</v>
      </c>
      <c r="L200" s="2699"/>
      <c r="M200" s="1453"/>
      <c r="N200" s="2699">
        <f>+H200+K200</f>
        <v>500</v>
      </c>
      <c r="O200" s="2700"/>
    </row>
    <row r="201" spans="1:17" x14ac:dyDescent="0.2">
      <c r="A201" s="4"/>
      <c r="B201" s="27"/>
      <c r="C201" s="259"/>
      <c r="D201" s="259"/>
      <c r="E201" s="259"/>
      <c r="F201" s="259"/>
      <c r="G201" s="1454" t="s">
        <v>2288</v>
      </c>
      <c r="H201" s="2693" t="s">
        <v>2277</v>
      </c>
      <c r="I201" s="2693"/>
      <c r="J201" s="1454" t="str">
        <f>+G201</f>
        <v>$ Unit.</v>
      </c>
      <c r="K201" s="2693" t="str">
        <f>+H201</f>
        <v>$ Total</v>
      </c>
      <c r="L201" s="2693"/>
      <c r="M201" s="1454" t="str">
        <f>+J201</f>
        <v>$ Unit.</v>
      </c>
      <c r="N201" s="2693" t="str">
        <f>+K201</f>
        <v>$ Total</v>
      </c>
      <c r="O201" s="2693"/>
      <c r="P201" s="2"/>
    </row>
    <row r="202" spans="1:17" x14ac:dyDescent="0.25">
      <c r="A202" s="4"/>
      <c r="B202" s="259"/>
      <c r="C202" s="259"/>
      <c r="D202" s="259"/>
      <c r="E202" s="259"/>
      <c r="F202" s="259"/>
      <c r="G202" s="259"/>
      <c r="H202" s="259"/>
      <c r="I202" s="259"/>
      <c r="J202" s="259"/>
      <c r="K202" s="259"/>
      <c r="L202" s="259"/>
      <c r="M202" s="259"/>
      <c r="N202" s="259"/>
      <c r="O202" s="259"/>
      <c r="P202" s="2"/>
    </row>
    <row r="203" spans="1:17" x14ac:dyDescent="0.2">
      <c r="A203" s="4"/>
      <c r="B203" s="1455" t="s">
        <v>3</v>
      </c>
      <c r="C203" s="1456"/>
      <c r="D203" s="1456"/>
      <c r="E203" s="1456"/>
      <c r="F203" s="1456"/>
      <c r="G203" s="1457">
        <v>500</v>
      </c>
      <c r="H203" s="2694">
        <f>+H200*G203</f>
        <v>175000</v>
      </c>
      <c r="I203" s="2694"/>
      <c r="J203" s="1457">
        <v>520</v>
      </c>
      <c r="K203" s="2694">
        <f>+K200*J203</f>
        <v>78000</v>
      </c>
      <c r="L203" s="2694"/>
      <c r="M203" s="1455"/>
      <c r="N203" s="2694">
        <f>+H203+K203</f>
        <v>253000</v>
      </c>
      <c r="O203" s="2701"/>
      <c r="P203" s="2"/>
    </row>
    <row r="204" spans="1:17" x14ac:dyDescent="0.2">
      <c r="A204" s="4"/>
      <c r="B204" s="1458"/>
      <c r="C204" s="259"/>
      <c r="D204" s="259"/>
      <c r="E204" s="259"/>
      <c r="F204" s="259"/>
      <c r="G204" s="1459"/>
      <c r="H204" s="1459"/>
      <c r="I204" s="1459"/>
      <c r="J204" s="1458"/>
      <c r="K204" s="1460"/>
      <c r="L204" s="1460"/>
      <c r="M204" s="1460"/>
      <c r="N204" s="1458"/>
      <c r="O204" s="261"/>
      <c r="P204" s="2"/>
    </row>
    <row r="205" spans="1:17" x14ac:dyDescent="0.2">
      <c r="A205" s="4"/>
      <c r="B205" s="1461" t="s">
        <v>2278</v>
      </c>
      <c r="C205" s="260"/>
      <c r="D205" s="260"/>
      <c r="E205" s="260"/>
      <c r="F205" s="260"/>
      <c r="G205" s="1462">
        <f>50*0.75</f>
        <v>37.5</v>
      </c>
      <c r="H205" s="2588">
        <f>+$H$200*G205</f>
        <v>13125</v>
      </c>
      <c r="I205" s="2588"/>
      <c r="J205" s="1462">
        <f>55*0.75</f>
        <v>41.25</v>
      </c>
      <c r="K205" s="2599">
        <f>+$K$200*J205</f>
        <v>6187.5</v>
      </c>
      <c r="L205" s="2599"/>
      <c r="M205" s="1463"/>
      <c r="N205" s="2588">
        <f>+H205+K205</f>
        <v>19312.5</v>
      </c>
      <c r="O205" s="2602"/>
      <c r="P205" s="2"/>
    </row>
    <row r="206" spans="1:17" x14ac:dyDescent="0.2">
      <c r="A206" s="4"/>
      <c r="B206" s="1464" t="s">
        <v>2279</v>
      </c>
      <c r="C206" s="261"/>
      <c r="D206" s="261"/>
      <c r="E206" s="261"/>
      <c r="F206" s="261"/>
      <c r="G206" s="1465">
        <v>5</v>
      </c>
      <c r="H206" s="2578">
        <f>+$H$200*G206</f>
        <v>1750</v>
      </c>
      <c r="I206" s="2578"/>
      <c r="J206" s="1465">
        <v>5</v>
      </c>
      <c r="K206" s="2600">
        <f>+$K$200*J206</f>
        <v>750</v>
      </c>
      <c r="L206" s="2600"/>
      <c r="M206" s="1466"/>
      <c r="N206" s="2579">
        <f>+H206+K206</f>
        <v>2500</v>
      </c>
      <c r="O206" s="2603"/>
      <c r="P206" s="2"/>
    </row>
    <row r="207" spans="1:17" x14ac:dyDescent="0.2">
      <c r="A207" s="4"/>
      <c r="B207" s="1467" t="s">
        <v>2280</v>
      </c>
      <c r="C207" s="1468"/>
      <c r="D207" s="1468"/>
      <c r="E207" s="1468"/>
      <c r="F207" s="1468"/>
      <c r="G207" s="1469">
        <f>SUM(G205:G206)</f>
        <v>42.5</v>
      </c>
      <c r="H207" s="2581">
        <f>SUM(H205:I206)</f>
        <v>14875</v>
      </c>
      <c r="I207" s="2581"/>
      <c r="J207" s="1469">
        <f>SUM(J205:J206)</f>
        <v>46.25</v>
      </c>
      <c r="K207" s="2601">
        <f>SUM(K205:L206)</f>
        <v>6937.5</v>
      </c>
      <c r="L207" s="2601"/>
      <c r="M207" s="1470"/>
      <c r="N207" s="2581">
        <f>+H207+K207</f>
        <v>21812.5</v>
      </c>
      <c r="O207" s="2582"/>
      <c r="P207" s="2"/>
    </row>
    <row r="208" spans="1:17" x14ac:dyDescent="0.2">
      <c r="A208" s="4"/>
      <c r="B208" s="1458"/>
      <c r="C208" s="261"/>
      <c r="D208" s="261"/>
      <c r="E208" s="261"/>
      <c r="F208" s="261"/>
      <c r="G208" s="1459"/>
      <c r="H208" s="1459"/>
      <c r="I208" s="1459"/>
      <c r="J208" s="1459"/>
      <c r="K208" s="1471"/>
      <c r="L208" s="1471"/>
      <c r="M208" s="1471"/>
      <c r="N208" s="1458"/>
      <c r="O208" s="261"/>
      <c r="P208" s="2"/>
    </row>
    <row r="209" spans="1:16" x14ac:dyDescent="0.2">
      <c r="A209" s="4"/>
      <c r="B209" s="1461" t="s">
        <v>2281</v>
      </c>
      <c r="C209" s="260"/>
      <c r="D209" s="260"/>
      <c r="E209" s="260"/>
      <c r="F209" s="260"/>
      <c r="G209" s="1462">
        <f>+M209</f>
        <v>96</v>
      </c>
      <c r="H209" s="2588">
        <f>+G209*$H$200</f>
        <v>33600</v>
      </c>
      <c r="I209" s="2588"/>
      <c r="J209" s="1462">
        <f>+M209</f>
        <v>96</v>
      </c>
      <c r="K209" s="2588">
        <f>+J209*$K$200</f>
        <v>14400</v>
      </c>
      <c r="L209" s="2588"/>
      <c r="M209" s="1463">
        <f>+N209/$N$200</f>
        <v>96</v>
      </c>
      <c r="N209" s="2588">
        <v>48000</v>
      </c>
      <c r="O209" s="2589"/>
      <c r="P209" s="2"/>
    </row>
    <row r="210" spans="1:16" x14ac:dyDescent="0.2">
      <c r="A210" s="4"/>
      <c r="B210" s="1464" t="s">
        <v>2282</v>
      </c>
      <c r="C210" s="261"/>
      <c r="D210" s="261"/>
      <c r="E210" s="261"/>
      <c r="F210" s="261"/>
      <c r="G210" s="1472">
        <f t="shared" ref="G210:G212" si="0">+M210</f>
        <v>14.4</v>
      </c>
      <c r="H210" s="2576">
        <f t="shared" ref="H210:H212" si="1">+G210*$H$200</f>
        <v>5040</v>
      </c>
      <c r="I210" s="2576"/>
      <c r="J210" s="1472">
        <f>+M210</f>
        <v>14.4</v>
      </c>
      <c r="K210" s="2576">
        <f t="shared" ref="K210:K212" si="2">+J210*$K$200</f>
        <v>2160</v>
      </c>
      <c r="L210" s="2576"/>
      <c r="M210" s="1466">
        <f t="shared" ref="M210:M212" si="3">+N210/$N$200</f>
        <v>14.4</v>
      </c>
      <c r="N210" s="2576">
        <f>+N209*0.15</f>
        <v>7200</v>
      </c>
      <c r="O210" s="2577"/>
      <c r="P210" s="2"/>
    </row>
    <row r="211" spans="1:16" x14ac:dyDescent="0.2">
      <c r="A211" s="4"/>
      <c r="B211" s="1464" t="s">
        <v>2283</v>
      </c>
      <c r="C211" s="261"/>
      <c r="D211" s="261"/>
      <c r="E211" s="261"/>
      <c r="F211" s="261"/>
      <c r="G211" s="1472">
        <f t="shared" si="0"/>
        <v>9.1999999999999993</v>
      </c>
      <c r="H211" s="2576">
        <f t="shared" si="1"/>
        <v>3219.9999999999995</v>
      </c>
      <c r="I211" s="2576"/>
      <c r="J211" s="1472">
        <f>+M211</f>
        <v>9.1999999999999993</v>
      </c>
      <c r="K211" s="2576">
        <f t="shared" si="2"/>
        <v>1380</v>
      </c>
      <c r="L211" s="2576"/>
      <c r="M211" s="1466">
        <f t="shared" si="3"/>
        <v>9.1999999999999993</v>
      </c>
      <c r="N211" s="2576">
        <f>+(N209+N210)/12</f>
        <v>4600</v>
      </c>
      <c r="O211" s="2577"/>
      <c r="P211" s="2"/>
    </row>
    <row r="212" spans="1:16" x14ac:dyDescent="0.2">
      <c r="A212" s="4"/>
      <c r="B212" s="1464" t="s">
        <v>2284</v>
      </c>
      <c r="C212" s="261"/>
      <c r="D212" s="261"/>
      <c r="E212" s="261"/>
      <c r="F212" s="261"/>
      <c r="G212" s="1465">
        <f t="shared" si="0"/>
        <v>84</v>
      </c>
      <c r="H212" s="2578">
        <f t="shared" si="1"/>
        <v>29400</v>
      </c>
      <c r="I212" s="2578"/>
      <c r="J212" s="1465">
        <f>+M212</f>
        <v>84</v>
      </c>
      <c r="K212" s="2578">
        <f t="shared" si="2"/>
        <v>12600</v>
      </c>
      <c r="L212" s="2578"/>
      <c r="M212" s="1466">
        <f t="shared" si="3"/>
        <v>84</v>
      </c>
      <c r="N212" s="2578">
        <f>60000*0.7</f>
        <v>42000</v>
      </c>
      <c r="O212" s="2579"/>
      <c r="P212" s="2"/>
    </row>
    <row r="213" spans="1:16" x14ac:dyDescent="0.2">
      <c r="A213" s="4"/>
      <c r="B213" s="1467" t="s">
        <v>2289</v>
      </c>
      <c r="C213" s="1468"/>
      <c r="D213" s="1468"/>
      <c r="E213" s="1468"/>
      <c r="F213" s="1468"/>
      <c r="G213" s="1469">
        <f>SUM(G209:G212)</f>
        <v>203.60000000000002</v>
      </c>
      <c r="H213" s="2581">
        <f>SUM(H209:I212)</f>
        <v>71260</v>
      </c>
      <c r="I213" s="2581"/>
      <c r="J213" s="1469">
        <f>SUM(J209:J212)</f>
        <v>203.60000000000002</v>
      </c>
      <c r="K213" s="2581">
        <f>SUM(K209:L212)</f>
        <v>30540</v>
      </c>
      <c r="L213" s="2581"/>
      <c r="M213" s="1473"/>
      <c r="N213" s="2581">
        <f>SUM(N209:O212)</f>
        <v>101800</v>
      </c>
      <c r="O213" s="2582"/>
      <c r="P213" s="2"/>
    </row>
    <row r="214" spans="1:16" x14ac:dyDescent="0.2">
      <c r="A214" s="4"/>
      <c r="B214" s="1458"/>
      <c r="C214" s="259"/>
      <c r="D214" s="259"/>
      <c r="E214" s="259"/>
      <c r="F214" s="259"/>
      <c r="G214" s="1459"/>
      <c r="H214" s="1459"/>
      <c r="I214" s="1459"/>
      <c r="J214" s="1459"/>
      <c r="K214" s="1471"/>
      <c r="L214" s="1471"/>
      <c r="M214" s="1471"/>
      <c r="N214" s="1474"/>
      <c r="O214" s="259"/>
      <c r="P214" s="2"/>
    </row>
    <row r="215" spans="1:16" x14ac:dyDescent="0.2">
      <c r="A215" s="4"/>
      <c r="B215" s="1475" t="s">
        <v>2290</v>
      </c>
      <c r="C215" s="1476"/>
      <c r="D215" s="1476"/>
      <c r="E215" s="1476"/>
      <c r="F215" s="1476"/>
      <c r="G215" s="1477">
        <f>+G213+G207</f>
        <v>246.10000000000002</v>
      </c>
      <c r="H215" s="2590">
        <f>+H207+H213</f>
        <v>86135</v>
      </c>
      <c r="I215" s="2591"/>
      <c r="J215" s="1477">
        <f>+J207+J213</f>
        <v>249.85000000000002</v>
      </c>
      <c r="K215" s="2590">
        <f>+K207+K213</f>
        <v>37477.5</v>
      </c>
      <c r="L215" s="2591"/>
      <c r="M215" s="1478"/>
      <c r="N215" s="2590">
        <f>+H215+K215</f>
        <v>123612.5</v>
      </c>
      <c r="O215" s="2591"/>
      <c r="P215" s="1500" t="s">
        <v>148</v>
      </c>
    </row>
    <row r="216" spans="1:16" x14ac:dyDescent="0.2">
      <c r="A216" s="4"/>
      <c r="B216" s="1479"/>
      <c r="C216" s="1480"/>
      <c r="D216" s="1480"/>
      <c r="E216" s="1480"/>
      <c r="F216" s="1480"/>
      <c r="G216" s="1481"/>
      <c r="H216" s="1482"/>
      <c r="I216" s="1482"/>
      <c r="J216" s="1481"/>
      <c r="K216" s="1482"/>
      <c r="L216" s="1482"/>
      <c r="M216" s="1471"/>
      <c r="N216" s="1482"/>
      <c r="O216" s="1482"/>
      <c r="P216" s="2"/>
    </row>
    <row r="217" spans="1:16" x14ac:dyDescent="0.2">
      <c r="A217" s="4"/>
      <c r="B217" s="1475" t="s">
        <v>2285</v>
      </c>
      <c r="C217" s="1476"/>
      <c r="D217" s="1476"/>
      <c r="E217" s="1476"/>
      <c r="F217" s="1476"/>
      <c r="G217" s="2592">
        <f>+(G203/G215)-1</f>
        <v>1.0316944331572531</v>
      </c>
      <c r="H217" s="2593"/>
      <c r="I217" s="2594"/>
      <c r="J217" s="2592">
        <f>+(J203/J215)-1</f>
        <v>1.0812487492495495</v>
      </c>
      <c r="K217" s="2593"/>
      <c r="L217" s="2594"/>
      <c r="M217" s="1471"/>
      <c r="N217" s="1481"/>
      <c r="O217" s="259"/>
      <c r="P217" s="2"/>
    </row>
    <row r="218" spans="1:16" x14ac:dyDescent="0.2">
      <c r="A218" s="4"/>
      <c r="B218" s="1479"/>
      <c r="C218" s="1480"/>
      <c r="D218" s="1480"/>
      <c r="E218" s="1480"/>
      <c r="F218" s="1480"/>
      <c r="G218" s="1499"/>
      <c r="H218" s="1499"/>
      <c r="I218" s="1499"/>
      <c r="J218" s="1499"/>
      <c r="K218" s="1499"/>
      <c r="L218" s="1499"/>
      <c r="M218" s="1471"/>
      <c r="N218" s="1481"/>
      <c r="O218" s="259"/>
      <c r="P218" s="2"/>
    </row>
    <row r="219" spans="1:16" x14ac:dyDescent="0.2">
      <c r="A219" s="4"/>
      <c r="B219" s="1461" t="s">
        <v>2291</v>
      </c>
      <c r="C219" s="260"/>
      <c r="D219" s="260"/>
      <c r="E219" s="260"/>
      <c r="F219" s="260"/>
      <c r="G219" s="1483">
        <f>+H219/H200</f>
        <v>25</v>
      </c>
      <c r="H219" s="2595">
        <f>5%*H203</f>
        <v>8750</v>
      </c>
      <c r="I219" s="2596"/>
      <c r="J219" s="1483">
        <f>+K219/K200</f>
        <v>26</v>
      </c>
      <c r="K219" s="2597">
        <f>5%*K203</f>
        <v>3900</v>
      </c>
      <c r="L219" s="2598"/>
      <c r="M219" s="1484"/>
      <c r="N219" s="2597">
        <f>5%*N203</f>
        <v>12650</v>
      </c>
      <c r="O219" s="2598"/>
      <c r="P219" s="2"/>
    </row>
    <row r="220" spans="1:16" x14ac:dyDescent="0.2">
      <c r="A220" s="4"/>
      <c r="B220" s="1467" t="s">
        <v>2286</v>
      </c>
      <c r="C220" s="1485"/>
      <c r="D220" s="1485"/>
      <c r="E220" s="1485"/>
      <c r="F220" s="1485"/>
      <c r="G220" s="1486">
        <f>+G203-G207-G219</f>
        <v>432.5</v>
      </c>
      <c r="H220" s="2583">
        <f>+H203-H207-H219</f>
        <v>151375</v>
      </c>
      <c r="I220" s="2584"/>
      <c r="J220" s="1486">
        <f>+J203-J207-J219</f>
        <v>447.75</v>
      </c>
      <c r="K220" s="2581">
        <f>+K203-K207-K219</f>
        <v>67162.5</v>
      </c>
      <c r="L220" s="2582"/>
      <c r="M220" s="1467"/>
      <c r="N220" s="2581">
        <f>+N203-N207-N219</f>
        <v>218537.5</v>
      </c>
      <c r="O220" s="2582"/>
      <c r="P220" s="2"/>
    </row>
    <row r="221" spans="1:16" x14ac:dyDescent="0.2">
      <c r="A221" s="4"/>
      <c r="B221" s="1458"/>
      <c r="C221" s="259"/>
      <c r="D221" s="259"/>
      <c r="E221" s="259"/>
      <c r="F221" s="259"/>
      <c r="G221" s="1487"/>
      <c r="H221" s="1487"/>
      <c r="I221" s="1487"/>
      <c r="J221" s="1487"/>
      <c r="K221" s="1487"/>
      <c r="L221" s="1488"/>
      <c r="M221" s="1471"/>
      <c r="N221" s="1459"/>
      <c r="O221" s="261"/>
      <c r="P221" s="2"/>
    </row>
    <row r="222" spans="1:16" x14ac:dyDescent="0.2">
      <c r="A222" s="4"/>
      <c r="B222" s="1489" t="s">
        <v>2287</v>
      </c>
      <c r="C222" s="1490"/>
      <c r="D222" s="1490"/>
      <c r="E222" s="1490"/>
      <c r="F222" s="1490"/>
      <c r="G222" s="2585">
        <f>+H220/H203</f>
        <v>0.86499999999999999</v>
      </c>
      <c r="H222" s="2586"/>
      <c r="I222" s="2586"/>
      <c r="J222" s="2585">
        <f>+K220/K203</f>
        <v>0.86105769230769236</v>
      </c>
      <c r="K222" s="2586"/>
      <c r="L222" s="2587"/>
      <c r="M222" s="2586">
        <f>+N220/N203</f>
        <v>0.86378458498023714</v>
      </c>
      <c r="N222" s="2586"/>
      <c r="O222" s="2587"/>
      <c r="P222" s="1500" t="s">
        <v>160</v>
      </c>
    </row>
    <row r="223" spans="1:16" x14ac:dyDescent="0.2">
      <c r="A223" s="4"/>
      <c r="B223" s="1458"/>
      <c r="C223" s="259"/>
      <c r="D223" s="259"/>
      <c r="E223" s="259"/>
      <c r="F223" s="259"/>
      <c r="G223" s="1459"/>
      <c r="H223" s="1459"/>
      <c r="I223" s="1459"/>
      <c r="J223" s="1459"/>
      <c r="K223" s="1471"/>
      <c r="L223" s="1471"/>
      <c r="M223" s="1471"/>
      <c r="N223" s="1474"/>
      <c r="O223" s="259"/>
      <c r="P223" s="2"/>
    </row>
    <row r="224" spans="1:16" x14ac:dyDescent="0.2">
      <c r="A224" s="4"/>
      <c r="B224" s="1461" t="s">
        <v>2292</v>
      </c>
      <c r="C224" s="260"/>
      <c r="D224" s="260"/>
      <c r="E224" s="260"/>
      <c r="F224" s="260"/>
      <c r="G224" s="1487"/>
      <c r="H224" s="1487"/>
      <c r="I224" s="1487"/>
      <c r="J224" s="1487"/>
      <c r="K224" s="1488"/>
      <c r="L224" s="1488"/>
      <c r="M224" s="1488"/>
      <c r="N224" s="2588">
        <f>36000+28200</f>
        <v>64200</v>
      </c>
      <c r="O224" s="2589"/>
      <c r="P224" s="2"/>
    </row>
    <row r="225" spans="1:17" x14ac:dyDescent="0.2">
      <c r="A225" s="4"/>
      <c r="B225" s="1464" t="s">
        <v>2293</v>
      </c>
      <c r="C225" s="261"/>
      <c r="D225" s="261"/>
      <c r="E225" s="261"/>
      <c r="F225" s="261"/>
      <c r="G225" s="1459"/>
      <c r="H225" s="1459"/>
      <c r="I225" s="1459"/>
      <c r="J225" s="1459"/>
      <c r="K225" s="1471"/>
      <c r="L225" s="1471"/>
      <c r="M225" s="1471"/>
      <c r="N225" s="2576">
        <f>+N224*0.15</f>
        <v>9630</v>
      </c>
      <c r="O225" s="2577"/>
      <c r="P225" s="2"/>
    </row>
    <row r="226" spans="1:17" x14ac:dyDescent="0.2">
      <c r="A226" s="4"/>
      <c r="B226" s="1464" t="s">
        <v>2294</v>
      </c>
      <c r="C226" s="261"/>
      <c r="D226" s="261"/>
      <c r="E226" s="261"/>
      <c r="F226" s="261"/>
      <c r="G226" s="1459"/>
      <c r="H226" s="1459"/>
      <c r="I226" s="1459"/>
      <c r="J226" s="1458"/>
      <c r="K226" s="1458"/>
      <c r="L226" s="1458"/>
      <c r="M226" s="1458"/>
      <c r="N226" s="2576">
        <f>+(N224+N225)/12</f>
        <v>6152.5</v>
      </c>
      <c r="O226" s="2577"/>
      <c r="P226" s="2"/>
    </row>
    <row r="227" spans="1:17" x14ac:dyDescent="0.2">
      <c r="A227" s="4"/>
      <c r="B227" s="1464" t="s">
        <v>2295</v>
      </c>
      <c r="C227" s="1459"/>
      <c r="D227" s="1459"/>
      <c r="E227" s="1459"/>
      <c r="F227" s="1458"/>
      <c r="G227" s="1459"/>
      <c r="H227" s="1459"/>
      <c r="I227" s="1459"/>
      <c r="J227" s="1458"/>
      <c r="K227" s="1458"/>
      <c r="L227" s="1458"/>
      <c r="M227" s="1458"/>
      <c r="N227" s="2578">
        <f>30%*60000</f>
        <v>18000</v>
      </c>
      <c r="O227" s="2579"/>
      <c r="P227" s="18"/>
      <c r="Q227" s="4"/>
    </row>
    <row r="228" spans="1:17" x14ac:dyDescent="0.2">
      <c r="A228" s="4"/>
      <c r="B228" s="1467" t="s">
        <v>398</v>
      </c>
      <c r="C228" s="1491"/>
      <c r="D228" s="1491"/>
      <c r="E228" s="1491"/>
      <c r="F228" s="1492"/>
      <c r="G228" s="1491"/>
      <c r="H228" s="1491"/>
      <c r="I228" s="1491"/>
      <c r="J228" s="1492"/>
      <c r="K228" s="1492"/>
      <c r="L228" s="1492"/>
      <c r="M228" s="1492"/>
      <c r="N228" s="2581">
        <f>SUM(N224:O227)</f>
        <v>97982.5</v>
      </c>
      <c r="O228" s="2582"/>
      <c r="P228" s="18"/>
      <c r="Q228" s="4"/>
    </row>
    <row r="229" spans="1:17" x14ac:dyDescent="0.2">
      <c r="A229" s="4"/>
      <c r="B229" s="1458"/>
      <c r="C229" s="1459"/>
      <c r="D229" s="1459"/>
      <c r="E229" s="1459"/>
      <c r="F229" s="1458"/>
      <c r="G229" s="1459"/>
      <c r="H229" s="1459"/>
      <c r="I229" s="1459"/>
      <c r="J229" s="1458"/>
      <c r="K229" s="1458"/>
      <c r="L229" s="1458"/>
      <c r="M229" s="1458"/>
      <c r="N229" s="1493"/>
      <c r="O229" s="1493"/>
      <c r="P229" s="18"/>
      <c r="Q229" s="4"/>
    </row>
    <row r="230" spans="1:17" x14ac:dyDescent="0.2">
      <c r="A230" s="4"/>
      <c r="B230" s="1494" t="s">
        <v>421</v>
      </c>
      <c r="C230" s="1495"/>
      <c r="D230" s="1495"/>
      <c r="E230" s="1495"/>
      <c r="F230" s="1496"/>
      <c r="G230" s="1496"/>
      <c r="H230" s="1496"/>
      <c r="I230" s="1496"/>
      <c r="J230" s="1496"/>
      <c r="K230" s="1497"/>
      <c r="L230" s="1497"/>
      <c r="M230" s="1498"/>
      <c r="N230" s="2580">
        <f>+N203-N215-N219-N228</f>
        <v>18755</v>
      </c>
      <c r="O230" s="2580"/>
      <c r="P230" s="1500" t="s">
        <v>178</v>
      </c>
      <c r="Q230" s="4"/>
    </row>
    <row r="231" spans="1:17" x14ac:dyDescent="0.25">
      <c r="A231" s="4"/>
      <c r="B231" s="1445"/>
      <c r="G231" s="1447"/>
      <c r="H231" s="1447"/>
      <c r="I231" s="4"/>
      <c r="J231" s="4"/>
      <c r="K231" s="4"/>
      <c r="L231" s="4"/>
      <c r="M231" s="18"/>
      <c r="N231" s="18"/>
      <c r="O231" s="18"/>
      <c r="P231" s="18"/>
      <c r="Q231" s="4"/>
    </row>
    <row r="232" spans="1:17" x14ac:dyDescent="0.25">
      <c r="A232" s="4"/>
      <c r="B232" s="1445"/>
      <c r="G232" s="1447"/>
      <c r="H232" s="1447"/>
      <c r="I232" s="4"/>
      <c r="J232" s="4"/>
      <c r="K232" s="4"/>
      <c r="L232" s="4"/>
      <c r="M232" s="18"/>
      <c r="N232" s="18"/>
      <c r="O232" s="18"/>
      <c r="P232" s="18"/>
      <c r="Q232" s="4"/>
    </row>
    <row r="233" spans="1:17" x14ac:dyDescent="0.25">
      <c r="A233" s="4"/>
      <c r="B233" s="1445"/>
      <c r="G233" s="1447"/>
      <c r="H233" s="1447"/>
      <c r="I233" s="4"/>
      <c r="J233" s="4"/>
      <c r="K233" s="4"/>
      <c r="L233" s="4"/>
      <c r="M233" s="18"/>
      <c r="N233" s="18"/>
      <c r="O233" s="18"/>
      <c r="P233" s="18"/>
      <c r="Q233" s="4"/>
    </row>
    <row r="234" spans="1:17" x14ac:dyDescent="0.25">
      <c r="A234" s="4"/>
      <c r="B234" s="1445"/>
      <c r="G234" s="1447"/>
      <c r="H234" s="1447"/>
      <c r="I234" s="4"/>
      <c r="J234" s="4"/>
      <c r="K234" s="4"/>
      <c r="L234" s="4"/>
      <c r="M234" s="18"/>
      <c r="N234" s="18"/>
      <c r="O234" s="18"/>
      <c r="P234" s="18"/>
      <c r="Q234" s="4"/>
    </row>
    <row r="235" spans="1:17" x14ac:dyDescent="0.25">
      <c r="A235" s="4"/>
      <c r="B235" s="1445"/>
      <c r="G235" s="1447"/>
      <c r="H235" s="1447"/>
      <c r="I235" s="4"/>
      <c r="J235" s="4"/>
      <c r="K235" s="4"/>
      <c r="L235" s="4"/>
      <c r="M235" s="18"/>
      <c r="N235" s="18"/>
      <c r="O235" s="18"/>
      <c r="P235" s="18"/>
      <c r="Q235" s="4"/>
    </row>
    <row r="236" spans="1:17" x14ac:dyDescent="0.25">
      <c r="A236" s="4"/>
      <c r="B236" s="1445"/>
      <c r="G236" s="1447"/>
      <c r="H236" s="1447"/>
      <c r="I236" s="4"/>
      <c r="J236" s="4"/>
      <c r="K236" s="4"/>
      <c r="L236" s="4"/>
      <c r="M236" s="18"/>
      <c r="N236" s="18"/>
      <c r="O236" s="18"/>
      <c r="P236" s="18"/>
      <c r="Q236" s="4"/>
    </row>
    <row r="237" spans="1:17" x14ac:dyDescent="0.25">
      <c r="A237" s="4"/>
      <c r="B237" s="1445"/>
      <c r="G237" s="1447"/>
      <c r="H237" s="1447"/>
      <c r="I237" s="4"/>
      <c r="J237" s="4"/>
      <c r="K237" s="4"/>
      <c r="L237" s="4"/>
      <c r="M237" s="18"/>
      <c r="N237" s="18"/>
      <c r="O237" s="18"/>
      <c r="P237" s="18"/>
      <c r="Q237" s="4"/>
    </row>
    <row r="238" spans="1:17" x14ac:dyDescent="0.25">
      <c r="A238" s="4"/>
      <c r="B238" s="1445"/>
      <c r="G238" s="1447"/>
      <c r="H238" s="1447"/>
      <c r="I238" s="4"/>
      <c r="J238" s="4"/>
      <c r="K238" s="4"/>
      <c r="L238" s="4"/>
      <c r="M238" s="18"/>
      <c r="N238" s="18"/>
      <c r="O238" s="18"/>
      <c r="P238" s="18"/>
      <c r="Q238" s="4"/>
    </row>
    <row r="239" spans="1:17" x14ac:dyDescent="0.25">
      <c r="A239" s="4"/>
      <c r="B239" s="1445"/>
      <c r="G239" s="1447"/>
      <c r="H239" s="1447"/>
      <c r="I239" s="4"/>
      <c r="J239" s="4"/>
      <c r="K239" s="4"/>
      <c r="L239" s="4"/>
      <c r="M239" s="18"/>
      <c r="N239" s="18"/>
      <c r="O239" s="18"/>
      <c r="P239" s="18"/>
      <c r="Q239" s="4"/>
    </row>
    <row r="240" spans="1:17" x14ac:dyDescent="0.25">
      <c r="A240" s="4"/>
      <c r="B240" s="1445"/>
      <c r="G240" s="1447"/>
      <c r="H240" s="1447"/>
      <c r="I240" s="4"/>
      <c r="J240" s="4"/>
      <c r="K240" s="4"/>
      <c r="L240" s="4"/>
      <c r="M240" s="18"/>
      <c r="N240" s="18"/>
      <c r="O240" s="18"/>
      <c r="P240" s="18"/>
      <c r="Q240" s="4"/>
    </row>
    <row r="241" spans="1:17" x14ac:dyDescent="0.25">
      <c r="A241" s="4"/>
      <c r="B241" s="1445"/>
      <c r="G241" s="1447"/>
      <c r="H241" s="1447"/>
      <c r="I241" s="4"/>
      <c r="J241" s="4"/>
      <c r="K241" s="4"/>
      <c r="L241" s="4"/>
      <c r="M241" s="18"/>
      <c r="N241" s="18"/>
      <c r="O241" s="18"/>
      <c r="P241" s="18"/>
      <c r="Q241" s="4"/>
    </row>
    <row r="242" spans="1:17" x14ac:dyDescent="0.25">
      <c r="A242" s="4"/>
      <c r="B242" s="1445"/>
      <c r="G242" s="1447"/>
      <c r="H242" s="1447"/>
      <c r="I242" s="4"/>
      <c r="J242" s="4"/>
      <c r="K242" s="4"/>
      <c r="L242" s="4"/>
      <c r="M242" s="18"/>
      <c r="N242" s="18"/>
      <c r="O242" s="18"/>
      <c r="P242" s="18"/>
      <c r="Q242" s="4"/>
    </row>
    <row r="243" spans="1:17" x14ac:dyDescent="0.25">
      <c r="A243" s="4"/>
      <c r="B243" s="1445"/>
      <c r="G243" s="1447"/>
      <c r="H243" s="1447"/>
      <c r="I243" s="4"/>
      <c r="J243" s="4"/>
      <c r="K243" s="4"/>
      <c r="L243" s="4"/>
      <c r="M243" s="18"/>
      <c r="N243" s="18"/>
      <c r="O243" s="18"/>
      <c r="P243" s="18"/>
      <c r="Q243" s="4"/>
    </row>
    <row r="244" spans="1:17" x14ac:dyDescent="0.25">
      <c r="A244" s="4"/>
      <c r="B244" s="1320"/>
      <c r="G244" s="51"/>
      <c r="H244" s="51"/>
      <c r="I244" s="4"/>
      <c r="J244" s="4"/>
      <c r="K244" s="4"/>
      <c r="L244" s="4"/>
      <c r="M244" s="18"/>
      <c r="N244" s="18"/>
      <c r="O244" s="18"/>
      <c r="P244" s="18"/>
      <c r="Q244" s="4"/>
    </row>
    <row r="245" spans="1:17" x14ac:dyDescent="0.25">
      <c r="A245" s="1844" t="s">
        <v>20</v>
      </c>
      <c r="B245" s="1845"/>
      <c r="C245" s="1845"/>
      <c r="D245" s="1845"/>
      <c r="E245" s="1845"/>
      <c r="F245" s="1845"/>
      <c r="G245" s="1845"/>
      <c r="H245" s="1845"/>
      <c r="I245" s="1845"/>
      <c r="J245" s="1845"/>
      <c r="K245" s="1845"/>
      <c r="L245" s="1845"/>
      <c r="M245" s="1845"/>
      <c r="N245" s="1845"/>
      <c r="O245" s="1845"/>
      <c r="P245" s="1845"/>
      <c r="Q245" s="1846"/>
    </row>
    <row r="246" spans="1:17" x14ac:dyDescent="0.25">
      <c r="A246" s="1847" t="s">
        <v>306</v>
      </c>
      <c r="B246" s="1848"/>
      <c r="C246" s="1848"/>
      <c r="D246" s="1848"/>
      <c r="E246" s="1848"/>
      <c r="F246" s="1848"/>
      <c r="G246" s="1848"/>
      <c r="H246" s="1848"/>
      <c r="I246" s="1848"/>
      <c r="J246" s="1848"/>
      <c r="K246" s="1848"/>
      <c r="L246" s="1848"/>
      <c r="M246" s="1848"/>
      <c r="N246" s="1848"/>
      <c r="O246" s="1848"/>
      <c r="P246" s="1848"/>
      <c r="Q246" s="1849"/>
    </row>
    <row r="248" spans="1:17" x14ac:dyDescent="0.25">
      <c r="B248" s="6" t="s">
        <v>307</v>
      </c>
      <c r="C248" s="21" t="s">
        <v>308</v>
      </c>
    </row>
    <row r="250" spans="1:17" x14ac:dyDescent="0.25">
      <c r="B250" s="108">
        <v>1</v>
      </c>
      <c r="M250" s="2103" t="s">
        <v>9</v>
      </c>
      <c r="N250" s="2103"/>
      <c r="O250" s="2103" t="s">
        <v>8</v>
      </c>
      <c r="P250" s="2103"/>
    </row>
    <row r="251" spans="1:17" x14ac:dyDescent="0.25">
      <c r="B251" s="208" t="s">
        <v>11</v>
      </c>
      <c r="C251" s="209" t="s">
        <v>278</v>
      </c>
      <c r="D251" s="210"/>
      <c r="E251" s="210"/>
      <c r="F251" s="31"/>
      <c r="G251" s="1"/>
      <c r="H251" s="201"/>
      <c r="I251" s="1"/>
      <c r="J251" s="1"/>
      <c r="K251" s="1"/>
      <c r="L251" s="1"/>
      <c r="M251" s="2682">
        <f>+(32*275)+(60*10)</f>
        <v>9400</v>
      </c>
      <c r="N251" s="2683"/>
      <c r="O251" s="2682"/>
      <c r="P251" s="2684"/>
      <c r="Q251" s="4"/>
    </row>
    <row r="252" spans="1:17" x14ac:dyDescent="0.25">
      <c r="B252" s="208" t="s">
        <v>11</v>
      </c>
      <c r="C252" s="211" t="s">
        <v>13</v>
      </c>
      <c r="D252" s="212"/>
      <c r="E252" s="212"/>
      <c r="F252" s="203"/>
      <c r="G252" s="4"/>
      <c r="H252" s="189"/>
      <c r="I252" s="4"/>
      <c r="J252" s="4"/>
      <c r="K252" s="4"/>
      <c r="L252" s="4"/>
      <c r="M252" s="2673">
        <f>+(M251*0.21)+M350</f>
        <v>2100</v>
      </c>
      <c r="N252" s="2674"/>
      <c r="O252" s="2673"/>
      <c r="P252" s="2675"/>
      <c r="Q252" s="4"/>
    </row>
    <row r="253" spans="1:17" x14ac:dyDescent="0.25">
      <c r="B253" s="208" t="s">
        <v>142</v>
      </c>
      <c r="C253" s="211" t="s">
        <v>143</v>
      </c>
      <c r="D253" s="212"/>
      <c r="E253" s="212"/>
      <c r="F253" s="203"/>
      <c r="G253" s="4"/>
      <c r="H253" s="189"/>
      <c r="I253" s="4"/>
      <c r="J253" s="4"/>
      <c r="K253" s="4"/>
      <c r="L253" s="4"/>
      <c r="M253" s="2673">
        <f>+M349</f>
        <v>600</v>
      </c>
      <c r="N253" s="2675"/>
      <c r="O253" s="217"/>
      <c r="P253" s="218"/>
      <c r="Q253" s="4"/>
    </row>
    <row r="254" spans="1:17" x14ac:dyDescent="0.25">
      <c r="B254" s="208" t="s">
        <v>14</v>
      </c>
      <c r="C254" s="211"/>
      <c r="D254" s="203"/>
      <c r="E254" s="212"/>
      <c r="F254" s="20" t="s">
        <v>1</v>
      </c>
      <c r="G254" s="213" t="s">
        <v>24</v>
      </c>
      <c r="H254" s="189"/>
      <c r="I254" s="4"/>
      <c r="J254" s="4"/>
      <c r="K254" s="4"/>
      <c r="L254" s="4"/>
      <c r="M254" s="2673"/>
      <c r="N254" s="2674"/>
      <c r="O254" s="2673">
        <v>1374</v>
      </c>
      <c r="P254" s="2675"/>
      <c r="Q254" s="4"/>
    </row>
    <row r="255" spans="1:17" x14ac:dyDescent="0.25">
      <c r="B255" s="208" t="s">
        <v>17</v>
      </c>
      <c r="C255" s="211"/>
      <c r="D255" s="203"/>
      <c r="E255" s="212"/>
      <c r="F255" s="20" t="s">
        <v>1</v>
      </c>
      <c r="G255" s="213" t="s">
        <v>6</v>
      </c>
      <c r="H255" s="189"/>
      <c r="I255" s="4"/>
      <c r="J255" s="4"/>
      <c r="K255" s="4"/>
      <c r="L255" s="4"/>
      <c r="M255" s="2673"/>
      <c r="N255" s="2674"/>
      <c r="O255" s="2673">
        <f>+M351</f>
        <v>10726</v>
      </c>
      <c r="P255" s="2675"/>
      <c r="Q255" s="4"/>
    </row>
    <row r="256" spans="1:17" x14ac:dyDescent="0.25">
      <c r="B256" s="208"/>
      <c r="C256" s="225" t="s">
        <v>196</v>
      </c>
      <c r="D256" s="203"/>
      <c r="E256" s="212"/>
      <c r="F256" s="20"/>
      <c r="G256" s="213"/>
      <c r="H256" s="189"/>
      <c r="I256" s="4"/>
      <c r="J256" s="4"/>
      <c r="K256" s="4"/>
      <c r="L256" s="4"/>
      <c r="M256" s="217"/>
      <c r="N256" s="220"/>
      <c r="O256" s="217"/>
      <c r="P256" s="218"/>
      <c r="Q256" s="4"/>
    </row>
    <row r="257" spans="2:17" x14ac:dyDescent="0.25">
      <c r="B257" s="108">
        <v>2</v>
      </c>
      <c r="C257" s="2679" t="s">
        <v>21</v>
      </c>
      <c r="D257" s="2680"/>
      <c r="E257" s="2680"/>
      <c r="F257" s="2680"/>
      <c r="G257" s="2681"/>
      <c r="H257" s="2681"/>
      <c r="I257" s="2681"/>
      <c r="J257" s="2090" t="s">
        <v>117</v>
      </c>
      <c r="K257" s="2090"/>
      <c r="L257" s="2092"/>
      <c r="M257" s="2673"/>
      <c r="N257" s="2674"/>
      <c r="O257" s="2673"/>
      <c r="P257" s="2675"/>
      <c r="Q257" s="4"/>
    </row>
    <row r="258" spans="2:17" x14ac:dyDescent="0.25">
      <c r="B258" s="208" t="s">
        <v>207</v>
      </c>
      <c r="C258" s="211" t="s">
        <v>309</v>
      </c>
      <c r="D258" s="203"/>
      <c r="E258" s="212"/>
      <c r="F258" s="203"/>
      <c r="G258" s="214"/>
      <c r="H258" s="189"/>
      <c r="I258" s="4"/>
      <c r="J258" s="4"/>
      <c r="K258" s="4"/>
      <c r="L258" s="4"/>
      <c r="M258" s="2673">
        <v>900</v>
      </c>
      <c r="N258" s="2674"/>
      <c r="O258" s="2673"/>
      <c r="P258" s="2675"/>
      <c r="Q258" s="4"/>
    </row>
    <row r="259" spans="2:17" x14ac:dyDescent="0.25">
      <c r="B259" s="208" t="s">
        <v>11</v>
      </c>
      <c r="C259" s="211" t="s">
        <v>13</v>
      </c>
      <c r="D259" s="203"/>
      <c r="E259" s="212"/>
      <c r="F259" s="203"/>
      <c r="G259" s="214"/>
      <c r="H259" s="189"/>
      <c r="I259" s="4"/>
      <c r="J259" s="4"/>
      <c r="K259" s="4"/>
      <c r="L259" s="4"/>
      <c r="M259" s="2673">
        <f>0.21*800</f>
        <v>168</v>
      </c>
      <c r="N259" s="2674"/>
      <c r="O259" s="217"/>
      <c r="P259" s="218"/>
      <c r="Q259" s="4"/>
    </row>
    <row r="260" spans="2:17" x14ac:dyDescent="0.25">
      <c r="B260" s="208" t="s">
        <v>14</v>
      </c>
      <c r="C260" s="211"/>
      <c r="D260" s="203"/>
      <c r="E260" s="212"/>
      <c r="F260" s="20" t="s">
        <v>1</v>
      </c>
      <c r="G260" s="215" t="s">
        <v>10</v>
      </c>
      <c r="H260" s="189"/>
      <c r="I260" s="4"/>
      <c r="J260" s="4"/>
      <c r="K260" s="4"/>
      <c r="L260" s="4"/>
      <c r="M260" s="2673"/>
      <c r="N260" s="2674"/>
      <c r="O260" s="2673">
        <f>800*1.21</f>
        <v>968</v>
      </c>
      <c r="P260" s="2675"/>
      <c r="Q260" s="4"/>
    </row>
    <row r="261" spans="2:17" x14ac:dyDescent="0.25">
      <c r="B261" s="208" t="s">
        <v>16</v>
      </c>
      <c r="C261" s="211"/>
      <c r="D261" s="203"/>
      <c r="E261" s="212"/>
      <c r="F261" s="20" t="s">
        <v>1</v>
      </c>
      <c r="G261" s="215" t="s">
        <v>310</v>
      </c>
      <c r="H261" s="189"/>
      <c r="I261" s="4"/>
      <c r="J261" s="4"/>
      <c r="K261" s="4"/>
      <c r="L261" s="4"/>
      <c r="M261" s="2673"/>
      <c r="N261" s="2674"/>
      <c r="O261" s="2673">
        <f>+M258+M259-O260</f>
        <v>100</v>
      </c>
      <c r="P261" s="2675"/>
      <c r="Q261" s="4"/>
    </row>
    <row r="262" spans="2:17" x14ac:dyDescent="0.25">
      <c r="B262" s="108">
        <v>3</v>
      </c>
      <c r="C262" s="2679" t="s">
        <v>21</v>
      </c>
      <c r="D262" s="2680"/>
      <c r="E262" s="2680"/>
      <c r="F262" s="2680"/>
      <c r="G262" s="2681"/>
      <c r="H262" s="2681"/>
      <c r="I262" s="2681"/>
      <c r="J262" s="2090" t="s">
        <v>117</v>
      </c>
      <c r="K262" s="2090"/>
      <c r="L262" s="2092"/>
      <c r="M262" s="2673"/>
      <c r="N262" s="2674"/>
      <c r="O262" s="2673"/>
      <c r="P262" s="2675"/>
      <c r="Q262" s="4"/>
    </row>
    <row r="263" spans="2:17" x14ac:dyDescent="0.25">
      <c r="B263" s="208" t="s">
        <v>11</v>
      </c>
      <c r="C263" s="211" t="s">
        <v>278</v>
      </c>
      <c r="D263" s="203"/>
      <c r="E263" s="212"/>
      <c r="F263" s="203"/>
      <c r="G263" s="214"/>
      <c r="H263" s="189"/>
      <c r="I263" s="4"/>
      <c r="J263" s="4"/>
      <c r="K263" s="4"/>
      <c r="L263" s="4"/>
      <c r="M263" s="2673">
        <f>72*500</f>
        <v>36000</v>
      </c>
      <c r="N263" s="2674"/>
      <c r="O263" s="2673"/>
      <c r="P263" s="2675"/>
      <c r="Q263" s="4"/>
    </row>
    <row r="264" spans="2:17" x14ac:dyDescent="0.25">
      <c r="B264" s="208" t="s">
        <v>11</v>
      </c>
      <c r="C264" s="211" t="s">
        <v>13</v>
      </c>
      <c r="D264" s="203"/>
      <c r="E264" s="212"/>
      <c r="F264" s="203"/>
      <c r="G264" s="214"/>
      <c r="H264" s="189"/>
      <c r="I264" s="4"/>
      <c r="J264" s="4"/>
      <c r="K264" s="4"/>
      <c r="L264" s="4"/>
      <c r="M264" s="2673">
        <f>+M263*0.21</f>
        <v>7560</v>
      </c>
      <c r="N264" s="2674"/>
      <c r="O264" s="217"/>
      <c r="P264" s="218"/>
      <c r="Q264" s="4"/>
    </row>
    <row r="265" spans="2:17" x14ac:dyDescent="0.25">
      <c r="B265" s="208" t="s">
        <v>14</v>
      </c>
      <c r="C265" s="211"/>
      <c r="D265" s="203"/>
      <c r="E265" s="212"/>
      <c r="F265" s="20" t="s">
        <v>1</v>
      </c>
      <c r="G265" s="215" t="s">
        <v>311</v>
      </c>
      <c r="H265" s="189"/>
      <c r="I265" s="4"/>
      <c r="J265" s="4"/>
      <c r="K265" s="4"/>
      <c r="L265" s="4"/>
      <c r="M265" s="2673"/>
      <c r="N265" s="2674"/>
      <c r="O265" s="2673">
        <f>+M263+M264</f>
        <v>43560</v>
      </c>
      <c r="P265" s="2675"/>
      <c r="Q265" s="4"/>
    </row>
    <row r="266" spans="2:17" x14ac:dyDescent="0.25">
      <c r="B266" s="108">
        <v>4</v>
      </c>
      <c r="C266" s="2679" t="s">
        <v>21</v>
      </c>
      <c r="D266" s="2680"/>
      <c r="E266" s="2680"/>
      <c r="F266" s="2680"/>
      <c r="G266" s="2681"/>
      <c r="H266" s="2681"/>
      <c r="I266" s="2681"/>
      <c r="J266" s="2090" t="s">
        <v>117</v>
      </c>
      <c r="K266" s="2090"/>
      <c r="L266" s="2092"/>
      <c r="M266" s="2673"/>
      <c r="N266" s="2674"/>
      <c r="O266" s="2673"/>
      <c r="P266" s="2675"/>
      <c r="Q266" s="4"/>
    </row>
    <row r="267" spans="2:17" x14ac:dyDescent="0.25">
      <c r="B267" s="208" t="s">
        <v>11</v>
      </c>
      <c r="C267" s="211" t="s">
        <v>24</v>
      </c>
      <c r="D267" s="203"/>
      <c r="E267" s="212"/>
      <c r="F267" s="203"/>
      <c r="G267" s="214"/>
      <c r="H267" s="189"/>
      <c r="I267" s="4"/>
      <c r="J267" s="4"/>
      <c r="K267" s="4"/>
      <c r="L267" s="4"/>
      <c r="M267" s="2673">
        <f>+O268+O269</f>
        <v>2662</v>
      </c>
      <c r="N267" s="2674"/>
      <c r="O267" s="2673"/>
      <c r="P267" s="2675"/>
      <c r="Q267" s="4"/>
    </row>
    <row r="268" spans="2:17" x14ac:dyDescent="0.25">
      <c r="B268" s="208" t="s">
        <v>14</v>
      </c>
      <c r="C268" s="211"/>
      <c r="D268" s="203"/>
      <c r="E268" s="212"/>
      <c r="F268" s="20" t="s">
        <v>1</v>
      </c>
      <c r="G268" s="215" t="s">
        <v>280</v>
      </c>
      <c r="H268" s="189"/>
      <c r="I268" s="4"/>
      <c r="J268" s="4"/>
      <c r="K268" s="4"/>
      <c r="L268" s="4"/>
      <c r="M268" s="2673"/>
      <c r="N268" s="2674"/>
      <c r="O268" s="2673">
        <f>32*(275-(275*0.75))</f>
        <v>2200</v>
      </c>
      <c r="P268" s="2675"/>
      <c r="Q268" s="4"/>
    </row>
    <row r="269" spans="2:17" x14ac:dyDescent="0.25">
      <c r="B269" s="208" t="s">
        <v>14</v>
      </c>
      <c r="C269" s="211"/>
      <c r="D269" s="203"/>
      <c r="E269" s="212"/>
      <c r="F269" s="20" t="s">
        <v>1</v>
      </c>
      <c r="G269" s="215" t="s">
        <v>13</v>
      </c>
      <c r="H269" s="189"/>
      <c r="I269" s="4"/>
      <c r="J269" s="4"/>
      <c r="K269" s="4"/>
      <c r="L269" s="4"/>
      <c r="M269" s="217"/>
      <c r="N269" s="220"/>
      <c r="O269" s="2673">
        <f>+O268*0.21</f>
        <v>462</v>
      </c>
      <c r="P269" s="2675"/>
      <c r="Q269" s="4"/>
    </row>
    <row r="270" spans="2:17" x14ac:dyDescent="0.25">
      <c r="B270" s="208"/>
      <c r="C270" s="225" t="s">
        <v>211</v>
      </c>
      <c r="D270" s="203"/>
      <c r="E270" s="212"/>
      <c r="F270" s="20"/>
      <c r="G270" s="213"/>
      <c r="H270" s="189"/>
      <c r="I270" s="4"/>
      <c r="J270" s="4"/>
      <c r="K270" s="4"/>
      <c r="L270" s="4"/>
      <c r="M270" s="217"/>
      <c r="N270" s="220"/>
      <c r="O270" s="217"/>
      <c r="P270" s="218"/>
      <c r="Q270" s="4"/>
    </row>
    <row r="271" spans="2:17" x14ac:dyDescent="0.25">
      <c r="B271" s="108">
        <v>5</v>
      </c>
      <c r="C271" s="2679" t="s">
        <v>21</v>
      </c>
      <c r="D271" s="2680"/>
      <c r="E271" s="2680"/>
      <c r="F271" s="2680"/>
      <c r="G271" s="2681"/>
      <c r="H271" s="2681"/>
      <c r="I271" s="2681"/>
      <c r="J271" s="2090" t="s">
        <v>117</v>
      </c>
      <c r="K271" s="2090"/>
      <c r="L271" s="2092"/>
      <c r="M271" s="2673"/>
      <c r="N271" s="2674"/>
      <c r="O271" s="2673"/>
      <c r="P271" s="2675"/>
      <c r="Q271" s="4"/>
    </row>
    <row r="272" spans="2:17" x14ac:dyDescent="0.25">
      <c r="B272" s="208" t="s">
        <v>11</v>
      </c>
      <c r="C272" s="211" t="s">
        <v>283</v>
      </c>
      <c r="D272" s="203"/>
      <c r="E272" s="212"/>
      <c r="F272" s="203"/>
      <c r="G272" s="214"/>
      <c r="H272" s="189"/>
      <c r="I272" s="4"/>
      <c r="J272" s="4"/>
      <c r="K272" s="4"/>
      <c r="L272" s="4"/>
      <c r="M272" s="2673">
        <f>+O273</f>
        <v>35700</v>
      </c>
      <c r="N272" s="2674"/>
      <c r="O272" s="2673"/>
      <c r="P272" s="2675"/>
      <c r="Q272" s="4"/>
    </row>
    <row r="273" spans="2:17" x14ac:dyDescent="0.25">
      <c r="B273" s="208" t="s">
        <v>14</v>
      </c>
      <c r="C273" s="211"/>
      <c r="D273" s="203"/>
      <c r="E273" s="212"/>
      <c r="F273" s="20" t="s">
        <v>1</v>
      </c>
      <c r="G273" s="215" t="s">
        <v>280</v>
      </c>
      <c r="H273" s="189"/>
      <c r="I273" s="4"/>
      <c r="J273" s="4"/>
      <c r="K273" s="4"/>
      <c r="L273" s="4"/>
      <c r="M273" s="2673"/>
      <c r="N273" s="2674"/>
      <c r="O273" s="2673">
        <f>+N370</f>
        <v>35700</v>
      </c>
      <c r="P273" s="2675"/>
      <c r="Q273" s="4"/>
    </row>
    <row r="274" spans="2:17" x14ac:dyDescent="0.25">
      <c r="B274" s="208"/>
      <c r="C274" s="225" t="s">
        <v>312</v>
      </c>
      <c r="D274" s="203"/>
      <c r="E274" s="212"/>
      <c r="F274" s="20"/>
      <c r="G274" s="213"/>
      <c r="H274" s="189"/>
      <c r="I274" s="4"/>
      <c r="J274" s="4"/>
      <c r="K274" s="4"/>
      <c r="L274" s="4"/>
      <c r="M274" s="217"/>
      <c r="N274" s="220"/>
      <c r="O274" s="217"/>
      <c r="P274" s="218"/>
      <c r="Q274" s="4"/>
    </row>
    <row r="275" spans="2:17" x14ac:dyDescent="0.25">
      <c r="B275" s="108">
        <v>6</v>
      </c>
      <c r="C275" s="2679" t="s">
        <v>21</v>
      </c>
      <c r="D275" s="2680"/>
      <c r="E275" s="2680"/>
      <c r="F275" s="2680"/>
      <c r="G275" s="2681"/>
      <c r="H275" s="2681"/>
      <c r="I275" s="2681"/>
      <c r="J275" s="2090" t="s">
        <v>117</v>
      </c>
      <c r="K275" s="2090"/>
      <c r="L275" s="2092"/>
      <c r="M275" s="2673"/>
      <c r="N275" s="2674"/>
      <c r="O275" s="2673"/>
      <c r="P275" s="2675"/>
      <c r="Q275" s="4"/>
    </row>
    <row r="276" spans="2:17" x14ac:dyDescent="0.25">
      <c r="B276" s="208" t="s">
        <v>15</v>
      </c>
      <c r="C276" s="211" t="s">
        <v>209</v>
      </c>
      <c r="D276" s="203"/>
      <c r="E276" s="212"/>
      <c r="F276" s="203"/>
      <c r="G276" s="214"/>
      <c r="H276" s="189"/>
      <c r="I276" s="4"/>
      <c r="J276" s="4"/>
      <c r="K276" s="4"/>
      <c r="L276" s="4"/>
      <c r="M276" s="2673">
        <f>+L376</f>
        <v>225</v>
      </c>
      <c r="N276" s="2674"/>
      <c r="O276" s="2673"/>
      <c r="P276" s="2675"/>
      <c r="Q276" s="4"/>
    </row>
    <row r="277" spans="2:17" x14ac:dyDescent="0.25">
      <c r="B277" s="208" t="s">
        <v>15</v>
      </c>
      <c r="C277" s="211" t="s">
        <v>100</v>
      </c>
      <c r="D277" s="203"/>
      <c r="E277" s="212"/>
      <c r="F277" s="203"/>
      <c r="G277" s="214"/>
      <c r="H277" s="189"/>
      <c r="I277" s="4"/>
      <c r="J277" s="4"/>
      <c r="K277" s="4"/>
      <c r="L277" s="4"/>
      <c r="M277" s="2673">
        <f>+L377</f>
        <v>700</v>
      </c>
      <c r="N277" s="2674"/>
      <c r="O277" s="217"/>
      <c r="P277" s="218"/>
      <c r="Q277" s="4"/>
    </row>
    <row r="278" spans="2:17" x14ac:dyDescent="0.25">
      <c r="B278" s="208" t="s">
        <v>108</v>
      </c>
      <c r="C278" s="211"/>
      <c r="D278" s="203"/>
      <c r="E278" s="212"/>
      <c r="F278" s="20" t="s">
        <v>1</v>
      </c>
      <c r="G278" s="215" t="s">
        <v>106</v>
      </c>
      <c r="H278" s="189"/>
      <c r="I278" s="4"/>
      <c r="J278" s="4"/>
      <c r="K278" s="4"/>
      <c r="L278" s="4"/>
      <c r="M278" s="217"/>
      <c r="N278" s="220"/>
      <c r="O278" s="2673">
        <f>+M276</f>
        <v>225</v>
      </c>
      <c r="P278" s="2675"/>
      <c r="Q278" s="4"/>
    </row>
    <row r="279" spans="2:17" x14ac:dyDescent="0.25">
      <c r="B279" s="208" t="s">
        <v>108</v>
      </c>
      <c r="C279" s="211"/>
      <c r="D279" s="203"/>
      <c r="E279" s="212"/>
      <c r="F279" s="20" t="s">
        <v>1</v>
      </c>
      <c r="G279" s="215" t="s">
        <v>102</v>
      </c>
      <c r="H279" s="189"/>
      <c r="I279" s="4"/>
      <c r="J279" s="4"/>
      <c r="K279" s="4"/>
      <c r="L279" s="4"/>
      <c r="M279" s="2673"/>
      <c r="N279" s="2674"/>
      <c r="O279" s="2673">
        <f>+M277</f>
        <v>700</v>
      </c>
      <c r="P279" s="2675"/>
      <c r="Q279" s="4"/>
    </row>
    <row r="280" spans="2:17" x14ac:dyDescent="0.25">
      <c r="B280" s="208"/>
      <c r="C280" s="225" t="s">
        <v>258</v>
      </c>
      <c r="D280" s="203"/>
      <c r="E280" s="212"/>
      <c r="F280" s="20"/>
      <c r="G280" s="213"/>
      <c r="H280" s="189"/>
      <c r="I280" s="4"/>
      <c r="J280" s="4"/>
      <c r="K280" s="4"/>
      <c r="L280" s="4"/>
      <c r="M280" s="217"/>
      <c r="N280" s="220"/>
      <c r="O280" s="217"/>
      <c r="P280" s="218"/>
      <c r="Q280" s="4"/>
    </row>
    <row r="281" spans="2:17" x14ac:dyDescent="0.25">
      <c r="B281" s="108">
        <v>7</v>
      </c>
      <c r="C281" s="2679" t="s">
        <v>21</v>
      </c>
      <c r="D281" s="2680"/>
      <c r="E281" s="2680"/>
      <c r="F281" s="2680"/>
      <c r="G281" s="2681"/>
      <c r="H281" s="2681"/>
      <c r="I281" s="2681"/>
      <c r="J281" s="2090" t="s">
        <v>117</v>
      </c>
      <c r="K281" s="2090"/>
      <c r="L281" s="2092"/>
      <c r="M281" s="2673"/>
      <c r="N281" s="2674"/>
      <c r="O281" s="2673"/>
      <c r="P281" s="2675"/>
      <c r="Q281" s="4"/>
    </row>
    <row r="282" spans="2:17" x14ac:dyDescent="0.25">
      <c r="B282" s="208" t="s">
        <v>15</v>
      </c>
      <c r="C282" s="211" t="s">
        <v>297</v>
      </c>
      <c r="D282" s="203"/>
      <c r="E282" s="212"/>
      <c r="F282" s="203"/>
      <c r="G282" s="214"/>
      <c r="H282" s="189"/>
      <c r="I282" s="4"/>
      <c r="J282" s="4"/>
      <c r="K282" s="4"/>
      <c r="L282" s="4"/>
      <c r="M282" s="2673">
        <f>48000+(200*50)</f>
        <v>58000</v>
      </c>
      <c r="N282" s="2674"/>
      <c r="O282" s="2673"/>
      <c r="P282" s="2675"/>
      <c r="Q282" s="4"/>
    </row>
    <row r="283" spans="2:17" x14ac:dyDescent="0.25">
      <c r="B283" s="208" t="s">
        <v>15</v>
      </c>
      <c r="C283" s="211" t="s">
        <v>298</v>
      </c>
      <c r="D283" s="203"/>
      <c r="E283" s="212"/>
      <c r="F283" s="203"/>
      <c r="G283" s="214"/>
      <c r="H283" s="189"/>
      <c r="I283" s="4"/>
      <c r="J283" s="4"/>
      <c r="K283" s="4"/>
      <c r="L283" s="4"/>
      <c r="M283" s="2673">
        <f>48000*0.23</f>
        <v>11040</v>
      </c>
      <c r="N283" s="2674"/>
      <c r="O283" s="217"/>
      <c r="P283" s="218"/>
      <c r="Q283" s="4"/>
    </row>
    <row r="284" spans="2:17" x14ac:dyDescent="0.25">
      <c r="B284" s="208" t="s">
        <v>17</v>
      </c>
      <c r="C284" s="211"/>
      <c r="D284" s="203"/>
      <c r="E284" s="212"/>
      <c r="F284" s="20" t="s">
        <v>1</v>
      </c>
      <c r="G284" s="215" t="s">
        <v>288</v>
      </c>
      <c r="H284" s="189"/>
      <c r="I284" s="4"/>
      <c r="J284" s="4"/>
      <c r="K284" s="4"/>
      <c r="L284" s="4"/>
      <c r="M284" s="217"/>
      <c r="N284" s="220"/>
      <c r="O284" s="2673">
        <f>(48000*0.83)+(200*50)</f>
        <v>49840</v>
      </c>
      <c r="P284" s="2675"/>
      <c r="Q284" s="4"/>
    </row>
    <row r="285" spans="2:17" x14ac:dyDescent="0.25">
      <c r="B285" s="208" t="s">
        <v>17</v>
      </c>
      <c r="C285" s="211"/>
      <c r="D285" s="203"/>
      <c r="E285" s="212"/>
      <c r="F285" s="20" t="s">
        <v>1</v>
      </c>
      <c r="G285" s="215" t="s">
        <v>289</v>
      </c>
      <c r="H285" s="189"/>
      <c r="I285" s="4"/>
      <c r="J285" s="4"/>
      <c r="K285" s="4"/>
      <c r="L285" s="4"/>
      <c r="M285" s="2673"/>
      <c r="N285" s="2674"/>
      <c r="O285" s="2673">
        <f>48000*0.4</f>
        <v>19200</v>
      </c>
      <c r="P285" s="2675"/>
      <c r="Q285" s="4"/>
    </row>
    <row r="286" spans="2:17" x14ac:dyDescent="0.25">
      <c r="B286" s="208"/>
      <c r="C286" s="2679" t="s">
        <v>21</v>
      </c>
      <c r="D286" s="2680"/>
      <c r="E286" s="2680"/>
      <c r="F286" s="2680"/>
      <c r="G286" s="2681"/>
      <c r="H286" s="2681"/>
      <c r="I286" s="2681"/>
      <c r="J286" s="2090" t="s">
        <v>117</v>
      </c>
      <c r="K286" s="2090"/>
      <c r="L286" s="2092"/>
      <c r="M286" s="217"/>
      <c r="N286" s="220"/>
      <c r="O286" s="217"/>
      <c r="P286" s="218"/>
      <c r="Q286" s="4"/>
    </row>
    <row r="287" spans="2:17" x14ac:dyDescent="0.25">
      <c r="B287" s="208" t="s">
        <v>15</v>
      </c>
      <c r="C287" s="211" t="s">
        <v>313</v>
      </c>
      <c r="D287" s="203"/>
      <c r="E287" s="212"/>
      <c r="F287" s="203"/>
      <c r="G287" s="214"/>
      <c r="H287" s="189"/>
      <c r="I287" s="4"/>
      <c r="J287" s="4"/>
      <c r="K287" s="4"/>
      <c r="L287" s="4"/>
      <c r="M287" s="2673">
        <f>48000/12</f>
        <v>4000</v>
      </c>
      <c r="N287" s="2674"/>
      <c r="O287" s="2673"/>
      <c r="P287" s="2675"/>
      <c r="Q287" s="4"/>
    </row>
    <row r="288" spans="2:17" x14ac:dyDescent="0.25">
      <c r="B288" s="208" t="s">
        <v>15</v>
      </c>
      <c r="C288" s="211" t="s">
        <v>314</v>
      </c>
      <c r="D288" s="203"/>
      <c r="E288" s="212"/>
      <c r="F288" s="203"/>
      <c r="G288" s="214"/>
      <c r="H288" s="189"/>
      <c r="I288" s="4"/>
      <c r="J288" s="4"/>
      <c r="K288" s="4"/>
      <c r="L288" s="4"/>
      <c r="M288" s="2673">
        <f>+M287*0.23</f>
        <v>920</v>
      </c>
      <c r="N288" s="2674"/>
      <c r="O288" s="217"/>
      <c r="P288" s="218"/>
      <c r="Q288" s="4"/>
    </row>
    <row r="289" spans="1:17" x14ac:dyDescent="0.25">
      <c r="B289" s="208" t="s">
        <v>17</v>
      </c>
      <c r="C289" s="211"/>
      <c r="D289" s="203"/>
      <c r="E289" s="212"/>
      <c r="F289" s="20" t="s">
        <v>1</v>
      </c>
      <c r="G289" s="215" t="s">
        <v>315</v>
      </c>
      <c r="H289" s="189"/>
      <c r="I289" s="4"/>
      <c r="J289" s="4"/>
      <c r="K289" s="4"/>
      <c r="L289" s="4"/>
      <c r="M289" s="217"/>
      <c r="N289" s="220"/>
      <c r="O289" s="2673">
        <f>+M287+M288</f>
        <v>4920</v>
      </c>
      <c r="P289" s="2675"/>
      <c r="Q289" s="4"/>
    </row>
    <row r="290" spans="1:17" x14ac:dyDescent="0.25">
      <c r="B290" s="189"/>
      <c r="C290" s="2679" t="s">
        <v>21</v>
      </c>
      <c r="D290" s="2680"/>
      <c r="E290" s="2680"/>
      <c r="F290" s="2680"/>
      <c r="G290" s="2096" t="s">
        <v>222</v>
      </c>
      <c r="H290" s="2096"/>
      <c r="I290" s="2096"/>
      <c r="J290" s="2090" t="s">
        <v>117</v>
      </c>
      <c r="K290" s="2090"/>
      <c r="L290" s="2092"/>
      <c r="M290" s="2673"/>
      <c r="N290" s="2674"/>
      <c r="O290" s="2673"/>
      <c r="P290" s="2675"/>
      <c r="Q290" s="4"/>
    </row>
    <row r="291" spans="1:17" s="4" customFormat="1" x14ac:dyDescent="0.25">
      <c r="B291" s="189"/>
      <c r="C291" s="12"/>
      <c r="D291" s="12"/>
      <c r="E291" s="12"/>
      <c r="F291" s="12"/>
      <c r="G291" s="51"/>
      <c r="H291" s="51"/>
      <c r="M291" s="18"/>
      <c r="N291" s="18"/>
      <c r="O291" s="18"/>
      <c r="P291" s="18"/>
    </row>
    <row r="292" spans="1:17" x14ac:dyDescent="0.25">
      <c r="A292" s="4"/>
      <c r="B292" s="189"/>
      <c r="G292" s="51"/>
      <c r="H292" s="51"/>
      <c r="I292" s="4"/>
      <c r="J292" s="4"/>
      <c r="K292" s="4"/>
      <c r="L292" s="4"/>
      <c r="M292" s="18"/>
      <c r="N292" s="18"/>
      <c r="O292" s="18"/>
      <c r="P292" s="18"/>
      <c r="Q292" s="4"/>
    </row>
    <row r="293" spans="1:17" x14ac:dyDescent="0.25">
      <c r="B293" s="108">
        <v>8</v>
      </c>
      <c r="C293" s="2679" t="s">
        <v>21</v>
      </c>
      <c r="D293" s="2680"/>
      <c r="E293" s="2680"/>
      <c r="F293" s="2680"/>
      <c r="G293" s="2681"/>
      <c r="H293" s="2681"/>
      <c r="I293" s="2681"/>
      <c r="J293" s="2090" t="s">
        <v>117</v>
      </c>
      <c r="K293" s="2090"/>
      <c r="L293" s="2092"/>
      <c r="M293" s="2673"/>
      <c r="N293" s="2674"/>
      <c r="O293" s="2673"/>
      <c r="P293" s="2675"/>
      <c r="Q293" s="4"/>
    </row>
    <row r="294" spans="1:17" x14ac:dyDescent="0.25">
      <c r="B294" s="208" t="s">
        <v>15</v>
      </c>
      <c r="C294" s="211" t="s">
        <v>316</v>
      </c>
      <c r="D294" s="203"/>
      <c r="E294" s="212"/>
      <c r="F294" s="203"/>
      <c r="G294" s="214"/>
      <c r="H294" s="189"/>
      <c r="I294" s="4"/>
      <c r="J294" s="4"/>
      <c r="K294" s="4"/>
      <c r="L294" s="4"/>
      <c r="M294" s="2673">
        <v>1290</v>
      </c>
      <c r="N294" s="2674"/>
      <c r="O294" s="2673"/>
      <c r="P294" s="2675"/>
      <c r="Q294" s="4"/>
    </row>
    <row r="295" spans="1:17" x14ac:dyDescent="0.25">
      <c r="B295" s="208" t="s">
        <v>17</v>
      </c>
      <c r="C295" s="211"/>
      <c r="D295" s="203"/>
      <c r="E295" s="212"/>
      <c r="F295" s="20" t="s">
        <v>1</v>
      </c>
      <c r="G295" s="215" t="s">
        <v>309</v>
      </c>
      <c r="H295" s="189"/>
      <c r="I295" s="4"/>
      <c r="J295" s="4"/>
      <c r="K295" s="4"/>
      <c r="L295" s="4"/>
      <c r="M295" s="217"/>
      <c r="N295" s="220"/>
      <c r="O295" s="2673">
        <f>+M294</f>
        <v>1290</v>
      </c>
      <c r="P295" s="2675"/>
      <c r="Q295" s="4"/>
    </row>
    <row r="296" spans="1:17" x14ac:dyDescent="0.25">
      <c r="B296" s="108">
        <v>9</v>
      </c>
      <c r="C296" s="2679" t="s">
        <v>21</v>
      </c>
      <c r="D296" s="2680"/>
      <c r="E296" s="2680"/>
      <c r="F296" s="2680"/>
      <c r="G296" s="2681"/>
      <c r="H296" s="2681"/>
      <c r="I296" s="2681"/>
      <c r="J296" s="2090" t="s">
        <v>117</v>
      </c>
      <c r="K296" s="2090"/>
      <c r="L296" s="2092"/>
      <c r="M296" s="2673"/>
      <c r="N296" s="2674"/>
      <c r="O296" s="2673"/>
      <c r="P296" s="2675"/>
      <c r="Q296" s="4"/>
    </row>
    <row r="297" spans="1:17" x14ac:dyDescent="0.25">
      <c r="B297" s="208" t="s">
        <v>15</v>
      </c>
      <c r="C297" s="211" t="s">
        <v>317</v>
      </c>
      <c r="D297" s="203"/>
      <c r="E297" s="212"/>
      <c r="F297" s="203"/>
      <c r="G297" s="214"/>
      <c r="H297" s="189"/>
      <c r="I297" s="4"/>
      <c r="J297" s="4"/>
      <c r="K297" s="4"/>
      <c r="L297" s="4"/>
      <c r="M297" s="2673">
        <v>8500</v>
      </c>
      <c r="N297" s="2674"/>
      <c r="O297" s="2673"/>
      <c r="P297" s="2675"/>
      <c r="Q297" s="4"/>
    </row>
    <row r="298" spans="1:17" x14ac:dyDescent="0.25">
      <c r="B298" s="208" t="s">
        <v>11</v>
      </c>
      <c r="C298" s="211" t="s">
        <v>13</v>
      </c>
      <c r="D298" s="203"/>
      <c r="E298" s="212"/>
      <c r="F298" s="203"/>
      <c r="G298" s="214"/>
      <c r="H298" s="189"/>
      <c r="I298" s="4"/>
      <c r="J298" s="4"/>
      <c r="K298" s="4"/>
      <c r="L298" s="4"/>
      <c r="M298" s="2673">
        <f>+M297*0.21</f>
        <v>1785</v>
      </c>
      <c r="N298" s="2674"/>
      <c r="O298" s="217"/>
      <c r="P298" s="218"/>
      <c r="Q298" s="4"/>
    </row>
    <row r="299" spans="1:17" x14ac:dyDescent="0.25">
      <c r="B299" s="208" t="s">
        <v>17</v>
      </c>
      <c r="C299" s="211"/>
      <c r="D299" s="203"/>
      <c r="E299" s="212"/>
      <c r="F299" s="20" t="s">
        <v>1</v>
      </c>
      <c r="G299" s="215" t="s">
        <v>235</v>
      </c>
      <c r="H299" s="189"/>
      <c r="I299" s="4"/>
      <c r="J299" s="4"/>
      <c r="K299" s="4"/>
      <c r="L299" s="4"/>
      <c r="M299" s="217"/>
      <c r="N299" s="220"/>
      <c r="O299" s="2673">
        <f>+M297+M298</f>
        <v>10285</v>
      </c>
      <c r="P299" s="2675"/>
      <c r="Q299" s="4"/>
    </row>
    <row r="300" spans="1:17" x14ac:dyDescent="0.25">
      <c r="B300" s="108">
        <v>10</v>
      </c>
      <c r="C300" s="2679" t="s">
        <v>21</v>
      </c>
      <c r="D300" s="2680"/>
      <c r="E300" s="2680"/>
      <c r="F300" s="2680"/>
      <c r="G300" s="2681"/>
      <c r="H300" s="2681"/>
      <c r="I300" s="2681"/>
      <c r="J300" s="2090" t="s">
        <v>117</v>
      </c>
      <c r="K300" s="2090"/>
      <c r="L300" s="2092"/>
      <c r="M300" s="2673"/>
      <c r="N300" s="2674"/>
      <c r="O300" s="2673"/>
      <c r="P300" s="2675"/>
      <c r="Q300" s="4"/>
    </row>
    <row r="301" spans="1:17" x14ac:dyDescent="0.25">
      <c r="B301" s="208" t="s">
        <v>15</v>
      </c>
      <c r="C301" s="211" t="s">
        <v>299</v>
      </c>
      <c r="D301" s="203"/>
      <c r="E301" s="212"/>
      <c r="F301" s="203"/>
      <c r="G301" s="214"/>
      <c r="H301" s="189"/>
      <c r="I301" s="4"/>
      <c r="J301" s="4"/>
      <c r="K301" s="4"/>
      <c r="L301" s="4"/>
      <c r="M301" s="2673">
        <v>500</v>
      </c>
      <c r="N301" s="2674"/>
      <c r="O301" s="2673"/>
      <c r="P301" s="2675"/>
      <c r="Q301" s="4"/>
    </row>
    <row r="302" spans="1:17" x14ac:dyDescent="0.25">
      <c r="B302" s="208" t="s">
        <v>11</v>
      </c>
      <c r="C302" s="211" t="s">
        <v>13</v>
      </c>
      <c r="D302" s="203"/>
      <c r="E302" s="212"/>
      <c r="F302" s="203"/>
      <c r="G302" s="214"/>
      <c r="H302" s="189"/>
      <c r="I302" s="4"/>
      <c r="J302" s="4"/>
      <c r="K302" s="4"/>
      <c r="L302" s="4"/>
      <c r="M302" s="2673">
        <f>+M301*0.21</f>
        <v>105</v>
      </c>
      <c r="N302" s="2674"/>
      <c r="O302" s="217"/>
      <c r="P302" s="218"/>
      <c r="Q302" s="4"/>
    </row>
    <row r="303" spans="1:17" x14ac:dyDescent="0.25">
      <c r="B303" s="208" t="s">
        <v>17</v>
      </c>
      <c r="C303" s="211"/>
      <c r="D303" s="203"/>
      <c r="E303" s="212"/>
      <c r="F303" s="20" t="s">
        <v>1</v>
      </c>
      <c r="G303" s="215" t="s">
        <v>318</v>
      </c>
      <c r="H303" s="189"/>
      <c r="I303" s="4"/>
      <c r="J303" s="4"/>
      <c r="K303" s="4"/>
      <c r="L303" s="4"/>
      <c r="M303" s="217"/>
      <c r="N303" s="220"/>
      <c r="O303" s="2673">
        <f>+M301+M302</f>
        <v>605</v>
      </c>
      <c r="P303" s="2675"/>
      <c r="Q303" s="4"/>
    </row>
    <row r="304" spans="1:17" x14ac:dyDescent="0.25">
      <c r="B304" s="208"/>
      <c r="C304" s="2679" t="s">
        <v>21</v>
      </c>
      <c r="D304" s="2680"/>
      <c r="E304" s="2680"/>
      <c r="F304" s="2680"/>
      <c r="G304" s="2681"/>
      <c r="H304" s="2681"/>
      <c r="I304" s="2681"/>
      <c r="J304" s="2090" t="s">
        <v>117</v>
      </c>
      <c r="K304" s="2090"/>
      <c r="L304" s="2092"/>
      <c r="M304" s="217"/>
      <c r="N304" s="220"/>
      <c r="O304" s="217"/>
      <c r="P304" s="218"/>
      <c r="Q304" s="4"/>
    </row>
    <row r="305" spans="2:17" x14ac:dyDescent="0.25">
      <c r="B305" s="208" t="s">
        <v>15</v>
      </c>
      <c r="C305" s="211" t="s">
        <v>319</v>
      </c>
      <c r="D305" s="203"/>
      <c r="E305" s="212"/>
      <c r="F305" s="20"/>
      <c r="G305" s="215"/>
      <c r="H305" s="189"/>
      <c r="I305" s="4"/>
      <c r="J305" s="4"/>
      <c r="K305" s="4"/>
      <c r="L305" s="4"/>
      <c r="M305" s="2673">
        <f>+O306</f>
        <v>200</v>
      </c>
      <c r="N305" s="2675"/>
      <c r="O305" s="217"/>
      <c r="P305" s="218"/>
      <c r="Q305" s="4"/>
    </row>
    <row r="306" spans="2:17" x14ac:dyDescent="0.25">
      <c r="B306" s="208" t="s">
        <v>320</v>
      </c>
      <c r="C306" s="211"/>
      <c r="D306" s="203"/>
      <c r="E306" s="212"/>
      <c r="F306" s="20" t="s">
        <v>1</v>
      </c>
      <c r="G306" s="215" t="s">
        <v>143</v>
      </c>
      <c r="H306" s="189"/>
      <c r="I306" s="4"/>
      <c r="J306" s="4"/>
      <c r="K306" s="4"/>
      <c r="L306" s="4"/>
      <c r="M306" s="217"/>
      <c r="N306" s="220"/>
      <c r="O306" s="2673">
        <f>+M253/3</f>
        <v>200</v>
      </c>
      <c r="P306" s="2675"/>
      <c r="Q306" s="4"/>
    </row>
    <row r="307" spans="2:17" x14ac:dyDescent="0.25">
      <c r="B307" s="230" t="s">
        <v>321</v>
      </c>
      <c r="C307" s="2679" t="s">
        <v>21</v>
      </c>
      <c r="D307" s="2680"/>
      <c r="E307" s="2680"/>
      <c r="F307" s="2680"/>
      <c r="G307" s="2681"/>
      <c r="H307" s="2681"/>
      <c r="I307" s="2681"/>
      <c r="J307" s="2090" t="s">
        <v>117</v>
      </c>
      <c r="K307" s="2090"/>
      <c r="L307" s="2092"/>
      <c r="M307" s="2673"/>
      <c r="N307" s="2674"/>
      <c r="O307" s="2673"/>
      <c r="P307" s="2675"/>
      <c r="Q307" s="4"/>
    </row>
    <row r="308" spans="2:17" x14ac:dyDescent="0.25">
      <c r="B308" s="208" t="s">
        <v>11</v>
      </c>
      <c r="C308" s="211" t="s">
        <v>283</v>
      </c>
      <c r="D308" s="203"/>
      <c r="E308" s="212"/>
      <c r="F308" s="203"/>
      <c r="G308" s="214"/>
      <c r="H308" s="189"/>
      <c r="I308" s="4"/>
      <c r="J308" s="4"/>
      <c r="K308" s="4"/>
      <c r="L308" s="4"/>
      <c r="M308" s="2673">
        <f>+SUM(O309:P316)</f>
        <v>29300</v>
      </c>
      <c r="N308" s="2674"/>
      <c r="O308" s="2673"/>
      <c r="P308" s="2675"/>
      <c r="Q308" s="4"/>
    </row>
    <row r="309" spans="2:17" x14ac:dyDescent="0.25">
      <c r="B309" s="208" t="s">
        <v>16</v>
      </c>
      <c r="C309" s="211"/>
      <c r="D309" s="203"/>
      <c r="E309" s="212"/>
      <c r="F309" s="20" t="s">
        <v>1</v>
      </c>
      <c r="G309" s="215" t="str">
        <f>+C276</f>
        <v>Depreciaciones Maquinarias</v>
      </c>
      <c r="H309" s="189"/>
      <c r="I309" s="4"/>
      <c r="J309" s="4"/>
      <c r="K309" s="4"/>
      <c r="L309" s="4"/>
      <c r="M309" s="217"/>
      <c r="N309" s="220"/>
      <c r="O309" s="2673">
        <f>+I398</f>
        <v>225</v>
      </c>
      <c r="P309" s="2675"/>
      <c r="Q309" s="4"/>
    </row>
    <row r="310" spans="2:17" x14ac:dyDescent="0.25">
      <c r="B310" s="208" t="s">
        <v>16</v>
      </c>
      <c r="C310" s="211"/>
      <c r="D310" s="203"/>
      <c r="E310" s="212"/>
      <c r="F310" s="20" t="s">
        <v>1</v>
      </c>
      <c r="G310" s="215" t="str">
        <f>+C277</f>
        <v>Depreciaciones Inmuebles</v>
      </c>
      <c r="H310" s="189"/>
      <c r="I310" s="4"/>
      <c r="J310" s="4"/>
      <c r="K310" s="4"/>
      <c r="L310" s="4"/>
      <c r="M310" s="217"/>
      <c r="N310" s="220"/>
      <c r="O310" s="2673">
        <f>+I400</f>
        <v>315</v>
      </c>
      <c r="P310" s="2675"/>
      <c r="Q310" s="4"/>
    </row>
    <row r="311" spans="2:17" x14ac:dyDescent="0.25">
      <c r="B311" s="208" t="s">
        <v>16</v>
      </c>
      <c r="C311" s="211"/>
      <c r="D311" s="203"/>
      <c r="E311" s="212"/>
      <c r="F311" s="20" t="s">
        <v>1</v>
      </c>
      <c r="G311" s="215" t="str">
        <f>+C282</f>
        <v>Sueldos</v>
      </c>
      <c r="H311" s="189"/>
      <c r="I311" s="4"/>
      <c r="J311" s="4"/>
      <c r="K311" s="4"/>
      <c r="L311" s="4"/>
      <c r="M311" s="217"/>
      <c r="N311" s="220"/>
      <c r="O311" s="2673">
        <f>+I402+I404</f>
        <v>22000</v>
      </c>
      <c r="P311" s="2675"/>
      <c r="Q311" s="4"/>
    </row>
    <row r="312" spans="2:17" x14ac:dyDescent="0.25">
      <c r="B312" s="208" t="s">
        <v>16</v>
      </c>
      <c r="C312" s="211"/>
      <c r="D312" s="203"/>
      <c r="E312" s="212"/>
      <c r="F312" s="20" t="s">
        <v>1</v>
      </c>
      <c r="G312" s="215" t="str">
        <f>+C283</f>
        <v>Cargas sociales</v>
      </c>
      <c r="H312" s="189"/>
      <c r="I312" s="4"/>
      <c r="J312" s="4"/>
      <c r="K312" s="4"/>
      <c r="L312" s="4"/>
      <c r="M312" s="217"/>
      <c r="N312" s="220"/>
      <c r="O312" s="2673">
        <f>+I406</f>
        <v>2760</v>
      </c>
      <c r="P312" s="2675"/>
      <c r="Q312" s="4"/>
    </row>
    <row r="313" spans="2:17" x14ac:dyDescent="0.25">
      <c r="B313" s="208" t="s">
        <v>16</v>
      </c>
      <c r="C313" s="211"/>
      <c r="D313" s="203"/>
      <c r="E313" s="212"/>
      <c r="F313" s="20" t="s">
        <v>1</v>
      </c>
      <c r="G313" s="215" t="str">
        <f>+C287</f>
        <v>S.A.C.</v>
      </c>
      <c r="H313" s="189"/>
      <c r="I313" s="4"/>
      <c r="J313" s="4"/>
      <c r="K313" s="4"/>
      <c r="L313" s="4"/>
      <c r="M313" s="217"/>
      <c r="N313" s="220"/>
      <c r="O313" s="2673">
        <f>+I408</f>
        <v>1000</v>
      </c>
      <c r="P313" s="2675"/>
      <c r="Q313" s="4"/>
    </row>
    <row r="314" spans="2:17" x14ac:dyDescent="0.25">
      <c r="B314" s="208" t="s">
        <v>16</v>
      </c>
      <c r="C314" s="211"/>
      <c r="D314" s="203"/>
      <c r="E314" s="212"/>
      <c r="F314" s="20" t="s">
        <v>1</v>
      </c>
      <c r="G314" s="215" t="str">
        <f>+C288</f>
        <v>Cargas sociales s/S.A.C.</v>
      </c>
      <c r="H314" s="189"/>
      <c r="I314" s="4"/>
      <c r="J314" s="4"/>
      <c r="K314" s="4"/>
      <c r="L314" s="4"/>
      <c r="M314" s="217"/>
      <c r="N314" s="220"/>
      <c r="O314" s="2673">
        <f>+I410</f>
        <v>230</v>
      </c>
      <c r="P314" s="2675"/>
      <c r="Q314" s="4"/>
    </row>
    <row r="315" spans="2:17" x14ac:dyDescent="0.25">
      <c r="B315" s="208" t="s">
        <v>16</v>
      </c>
      <c r="C315" s="211"/>
      <c r="D315" s="203"/>
      <c r="E315" s="212"/>
      <c r="F315" s="20" t="s">
        <v>1</v>
      </c>
      <c r="G315" s="215" t="str">
        <f>+C294</f>
        <v>Gastos por Electricidad</v>
      </c>
      <c r="H315" s="189"/>
      <c r="I315" s="4"/>
      <c r="J315" s="4"/>
      <c r="K315" s="4"/>
      <c r="L315" s="4"/>
      <c r="M315" s="217"/>
      <c r="N315" s="220"/>
      <c r="O315" s="2673">
        <f>+I412</f>
        <v>645</v>
      </c>
      <c r="P315" s="2675"/>
      <c r="Q315" s="4"/>
    </row>
    <row r="316" spans="2:17" x14ac:dyDescent="0.25">
      <c r="B316" s="208" t="s">
        <v>16</v>
      </c>
      <c r="C316" s="211"/>
      <c r="D316" s="203"/>
      <c r="E316" s="212"/>
      <c r="F316" s="20" t="s">
        <v>1</v>
      </c>
      <c r="G316" s="215" t="str">
        <f>+C297</f>
        <v>Gastos por servicio de comida</v>
      </c>
      <c r="H316" s="189"/>
      <c r="I316" s="4"/>
      <c r="J316" s="4"/>
      <c r="K316" s="4"/>
      <c r="L316" s="4"/>
      <c r="M316" s="217"/>
      <c r="N316" s="220"/>
      <c r="O316" s="2673">
        <f>+I414</f>
        <v>2125</v>
      </c>
      <c r="P316" s="2675"/>
      <c r="Q316" s="4"/>
    </row>
    <row r="317" spans="2:17" x14ac:dyDescent="0.25">
      <c r="B317" s="208"/>
      <c r="C317" s="225" t="s">
        <v>259</v>
      </c>
      <c r="D317" s="203"/>
      <c r="E317" s="212"/>
      <c r="F317" s="20"/>
      <c r="G317" s="213"/>
      <c r="H317" s="189"/>
      <c r="I317" s="4"/>
      <c r="J317" s="4"/>
      <c r="K317" s="4"/>
      <c r="L317" s="4"/>
      <c r="M317" s="217"/>
      <c r="N317" s="220"/>
      <c r="O317" s="217"/>
      <c r="P317" s="218"/>
      <c r="Q317" s="4"/>
    </row>
    <row r="318" spans="2:17" x14ac:dyDescent="0.25">
      <c r="B318" s="108">
        <v>11</v>
      </c>
      <c r="C318" s="2679" t="s">
        <v>21</v>
      </c>
      <c r="D318" s="2680"/>
      <c r="E318" s="2680"/>
      <c r="F318" s="2680"/>
      <c r="G318" s="2681"/>
      <c r="H318" s="2681"/>
      <c r="I318" s="2681"/>
      <c r="J318" s="2090" t="s">
        <v>117</v>
      </c>
      <c r="K318" s="2090"/>
      <c r="L318" s="2092"/>
      <c r="M318" s="2673"/>
      <c r="N318" s="2674"/>
      <c r="O318" s="2673"/>
      <c r="P318" s="2675"/>
      <c r="Q318" s="4"/>
    </row>
    <row r="319" spans="2:17" x14ac:dyDescent="0.25">
      <c r="B319" s="208" t="s">
        <v>11</v>
      </c>
      <c r="C319" s="211" t="s">
        <v>291</v>
      </c>
      <c r="D319" s="203"/>
      <c r="E319" s="212"/>
      <c r="F319" s="203"/>
      <c r="G319" s="214"/>
      <c r="H319" s="189"/>
      <c r="I319" s="4"/>
      <c r="J319" s="4"/>
      <c r="K319" s="4"/>
      <c r="L319" s="4"/>
      <c r="M319" s="2673">
        <f>+O321-M320</f>
        <v>62400</v>
      </c>
      <c r="N319" s="2674"/>
      <c r="O319" s="2673"/>
      <c r="P319" s="2675"/>
      <c r="Q319" s="4"/>
    </row>
    <row r="320" spans="2:17" x14ac:dyDescent="0.25">
      <c r="B320" s="208" t="s">
        <v>15</v>
      </c>
      <c r="C320" s="211" t="s">
        <v>322</v>
      </c>
      <c r="D320" s="203"/>
      <c r="E320" s="212"/>
      <c r="F320" s="20"/>
      <c r="G320" s="215"/>
      <c r="H320" s="189"/>
      <c r="I320" s="4"/>
      <c r="J320" s="4"/>
      <c r="K320" s="4"/>
      <c r="L320" s="4"/>
      <c r="M320" s="2673">
        <f>+H427*2</f>
        <v>2600</v>
      </c>
      <c r="N320" s="2674"/>
      <c r="O320" s="2673"/>
      <c r="P320" s="2675"/>
      <c r="Q320" s="4"/>
    </row>
    <row r="321" spans="2:17" x14ac:dyDescent="0.25">
      <c r="B321" s="208" t="s">
        <v>14</v>
      </c>
      <c r="C321" s="211"/>
      <c r="D321" s="203"/>
      <c r="E321" s="212"/>
      <c r="F321" s="20" t="s">
        <v>1</v>
      </c>
      <c r="G321" s="215" t="s">
        <v>283</v>
      </c>
      <c r="H321" s="189"/>
      <c r="I321" s="4"/>
      <c r="J321" s="4"/>
      <c r="K321" s="4"/>
      <c r="L321" s="4"/>
      <c r="M321" s="217"/>
      <c r="N321" s="220"/>
      <c r="O321" s="2673">
        <f>+M308+M272</f>
        <v>65000</v>
      </c>
      <c r="P321" s="2675"/>
      <c r="Q321" s="4"/>
    </row>
    <row r="322" spans="2:17" x14ac:dyDescent="0.25">
      <c r="B322" s="208"/>
      <c r="C322" s="225" t="s">
        <v>323</v>
      </c>
      <c r="D322" s="203"/>
      <c r="E322" s="212"/>
      <c r="F322" s="20"/>
      <c r="G322" s="213"/>
      <c r="H322" s="189"/>
      <c r="I322" s="4"/>
      <c r="J322" s="4"/>
      <c r="K322" s="4"/>
      <c r="L322" s="4"/>
      <c r="M322" s="217"/>
      <c r="N322" s="220"/>
      <c r="O322" s="217"/>
      <c r="P322" s="218"/>
      <c r="Q322" s="4"/>
    </row>
    <row r="323" spans="2:17" x14ac:dyDescent="0.25">
      <c r="B323" s="108">
        <v>12</v>
      </c>
      <c r="C323" s="2679" t="s">
        <v>21</v>
      </c>
      <c r="D323" s="2680"/>
      <c r="E323" s="2680"/>
      <c r="F323" s="2680"/>
      <c r="G323" s="2681"/>
      <c r="H323" s="2681"/>
      <c r="I323" s="2681"/>
      <c r="J323" s="2090" t="s">
        <v>117</v>
      </c>
      <c r="K323" s="2090"/>
      <c r="L323" s="2092"/>
      <c r="M323" s="2673"/>
      <c r="N323" s="2674"/>
      <c r="O323" s="2673"/>
      <c r="P323" s="2675"/>
      <c r="Q323" s="4"/>
    </row>
    <row r="324" spans="2:17" x14ac:dyDescent="0.25">
      <c r="B324" s="208" t="s">
        <v>11</v>
      </c>
      <c r="C324" s="211" t="s">
        <v>227</v>
      </c>
      <c r="D324" s="203"/>
      <c r="E324" s="212"/>
      <c r="F324" s="203"/>
      <c r="G324" s="214"/>
      <c r="H324" s="189"/>
      <c r="I324" s="4"/>
      <c r="J324" s="4"/>
      <c r="K324" s="4"/>
      <c r="L324" s="4"/>
      <c r="M324" s="2673">
        <v>5000</v>
      </c>
      <c r="N324" s="2674"/>
      <c r="O324" s="2673"/>
      <c r="P324" s="2675"/>
      <c r="Q324" s="4"/>
    </row>
    <row r="325" spans="2:17" x14ac:dyDescent="0.25">
      <c r="B325" s="208" t="s">
        <v>11</v>
      </c>
      <c r="C325" s="211" t="s">
        <v>10</v>
      </c>
      <c r="D325" s="203"/>
      <c r="E325" s="212"/>
      <c r="F325" s="203"/>
      <c r="G325" s="214"/>
      <c r="H325" s="189"/>
      <c r="I325" s="4"/>
      <c r="J325" s="4"/>
      <c r="K325" s="4"/>
      <c r="L325" s="4"/>
      <c r="M325" s="2673">
        <v>30000</v>
      </c>
      <c r="N325" s="2674"/>
      <c r="O325" s="217"/>
      <c r="P325" s="218"/>
      <c r="Q325" s="4"/>
    </row>
    <row r="326" spans="2:17" x14ac:dyDescent="0.25">
      <c r="B326" s="208" t="s">
        <v>11</v>
      </c>
      <c r="C326" s="211" t="s">
        <v>0</v>
      </c>
      <c r="D326" s="203"/>
      <c r="E326" s="212"/>
      <c r="F326" s="20"/>
      <c r="G326" s="215"/>
      <c r="H326" s="189"/>
      <c r="I326" s="4"/>
      <c r="J326" s="4"/>
      <c r="K326" s="4"/>
      <c r="L326" s="4"/>
      <c r="M326" s="2673">
        <f>+O327+O328-M324-M325</f>
        <v>110200</v>
      </c>
      <c r="N326" s="2674"/>
      <c r="O326" s="2673"/>
      <c r="P326" s="2675"/>
      <c r="Q326" s="4"/>
    </row>
    <row r="327" spans="2:17" x14ac:dyDescent="0.25">
      <c r="B327" s="208" t="s">
        <v>16</v>
      </c>
      <c r="C327" s="211"/>
      <c r="D327" s="203"/>
      <c r="E327" s="212"/>
      <c r="F327" s="20" t="s">
        <v>1</v>
      </c>
      <c r="G327" s="215" t="s">
        <v>3</v>
      </c>
      <c r="H327" s="189"/>
      <c r="I327" s="4"/>
      <c r="J327" s="4"/>
      <c r="K327" s="4"/>
      <c r="L327" s="4"/>
      <c r="M327" s="217"/>
      <c r="N327" s="220"/>
      <c r="O327" s="2673">
        <f>30*4000</f>
        <v>120000</v>
      </c>
      <c r="P327" s="2675"/>
      <c r="Q327" s="4"/>
    </row>
    <row r="328" spans="2:17" x14ac:dyDescent="0.25">
      <c r="B328" s="208" t="s">
        <v>17</v>
      </c>
      <c r="C328" s="211"/>
      <c r="D328" s="203"/>
      <c r="E328" s="212"/>
      <c r="F328" s="20" t="s">
        <v>1</v>
      </c>
      <c r="G328" s="215" t="s">
        <v>12</v>
      </c>
      <c r="H328" s="189"/>
      <c r="I328" s="4"/>
      <c r="J328" s="4"/>
      <c r="K328" s="4"/>
      <c r="L328" s="4"/>
      <c r="M328" s="217"/>
      <c r="N328" s="220"/>
      <c r="O328" s="2673">
        <f>+O327*0.21</f>
        <v>25200</v>
      </c>
      <c r="P328" s="2675"/>
      <c r="Q328" s="4"/>
    </row>
    <row r="329" spans="2:17" x14ac:dyDescent="0.25">
      <c r="B329" s="208"/>
      <c r="C329" s="2679" t="s">
        <v>21</v>
      </c>
      <c r="D329" s="2680"/>
      <c r="E329" s="2680"/>
      <c r="F329" s="2680"/>
      <c r="G329" s="2681"/>
      <c r="H329" s="2681"/>
      <c r="I329" s="2681"/>
      <c r="J329" s="2090" t="s">
        <v>117</v>
      </c>
      <c r="K329" s="2090"/>
      <c r="L329" s="2092"/>
      <c r="M329" s="2673"/>
      <c r="N329" s="2674"/>
      <c r="O329" s="2673"/>
      <c r="P329" s="2675"/>
      <c r="Q329" s="4"/>
    </row>
    <row r="330" spans="2:17" x14ac:dyDescent="0.25">
      <c r="B330" s="208" t="s">
        <v>15</v>
      </c>
      <c r="C330" s="211" t="s">
        <v>293</v>
      </c>
      <c r="D330" s="203"/>
      <c r="E330" s="212"/>
      <c r="F330" s="20"/>
      <c r="G330" s="215"/>
      <c r="H330" s="189"/>
      <c r="I330" s="4"/>
      <c r="J330" s="4"/>
      <c r="K330" s="4"/>
      <c r="L330" s="4"/>
      <c r="M330" s="2673">
        <f>30*H427</f>
        <v>39000</v>
      </c>
      <c r="N330" s="2674"/>
      <c r="O330" s="2673"/>
      <c r="P330" s="2675"/>
      <c r="Q330" s="4"/>
    </row>
    <row r="331" spans="2:17" x14ac:dyDescent="0.25">
      <c r="B331" s="208" t="s">
        <v>14</v>
      </c>
      <c r="C331" s="211"/>
      <c r="D331" s="203"/>
      <c r="E331" s="212"/>
      <c r="F331" s="20" t="s">
        <v>1</v>
      </c>
      <c r="G331" s="215" t="s">
        <v>291</v>
      </c>
      <c r="H331" s="189"/>
      <c r="I331" s="4"/>
      <c r="J331" s="4"/>
      <c r="K331" s="4"/>
      <c r="L331" s="4"/>
      <c r="M331" s="217"/>
      <c r="N331" s="220"/>
      <c r="O331" s="2673">
        <f>+M330</f>
        <v>39000</v>
      </c>
      <c r="P331" s="2675"/>
      <c r="Q331" s="4"/>
    </row>
    <row r="332" spans="2:17" x14ac:dyDescent="0.25">
      <c r="B332" s="108">
        <v>13</v>
      </c>
      <c r="C332" s="2679" t="s">
        <v>21</v>
      </c>
      <c r="D332" s="2680"/>
      <c r="E332" s="2680"/>
      <c r="F332" s="2680"/>
      <c r="G332" s="2681"/>
      <c r="H332" s="2681"/>
      <c r="I332" s="2681"/>
      <c r="J332" s="2090" t="s">
        <v>117</v>
      </c>
      <c r="K332" s="2090"/>
      <c r="L332" s="2092"/>
      <c r="M332" s="2673"/>
      <c r="N332" s="2674"/>
      <c r="O332" s="2673"/>
      <c r="P332" s="2675"/>
      <c r="Q332" s="4"/>
    </row>
    <row r="333" spans="2:17" x14ac:dyDescent="0.25">
      <c r="B333" s="208" t="s">
        <v>207</v>
      </c>
      <c r="C333" s="211" t="s">
        <v>12</v>
      </c>
      <c r="D333" s="203"/>
      <c r="E333" s="212"/>
      <c r="F333" s="20"/>
      <c r="G333" s="215"/>
      <c r="H333" s="189"/>
      <c r="I333" s="4"/>
      <c r="J333" s="4"/>
      <c r="K333" s="4"/>
      <c r="L333" s="4"/>
      <c r="M333" s="2673">
        <f>+O328</f>
        <v>25200</v>
      </c>
      <c r="N333" s="2674"/>
      <c r="O333" s="2673"/>
      <c r="P333" s="2675"/>
      <c r="Q333" s="4"/>
    </row>
    <row r="334" spans="2:17" x14ac:dyDescent="0.25">
      <c r="B334" s="208" t="s">
        <v>17</v>
      </c>
      <c r="C334" s="211"/>
      <c r="D334" s="203"/>
      <c r="E334" s="212"/>
      <c r="F334" s="20" t="s">
        <v>1</v>
      </c>
      <c r="G334" s="215" t="s">
        <v>324</v>
      </c>
      <c r="H334" s="189"/>
      <c r="I334" s="4"/>
      <c r="J334" s="4"/>
      <c r="K334" s="4"/>
      <c r="L334" s="4"/>
      <c r="M334" s="217"/>
      <c r="N334" s="220"/>
      <c r="O334" s="2673">
        <f>+M333-O335</f>
        <v>13944</v>
      </c>
      <c r="P334" s="2675"/>
      <c r="Q334" s="4"/>
    </row>
    <row r="335" spans="2:17" x14ac:dyDescent="0.25">
      <c r="B335" s="208" t="s">
        <v>14</v>
      </c>
      <c r="C335" s="222"/>
      <c r="D335" s="205"/>
      <c r="E335" s="223"/>
      <c r="F335" s="35" t="s">
        <v>1</v>
      </c>
      <c r="G335" s="226" t="s">
        <v>13</v>
      </c>
      <c r="H335" s="200"/>
      <c r="I335" s="3"/>
      <c r="J335" s="3"/>
      <c r="K335" s="3"/>
      <c r="L335" s="3"/>
      <c r="M335" s="231"/>
      <c r="N335" s="232"/>
      <c r="O335" s="2676">
        <f>+M302+M298-O269+M264+M259+M252</f>
        <v>11256</v>
      </c>
      <c r="P335" s="2677"/>
      <c r="Q335" s="4"/>
    </row>
    <row r="336" spans="2:17" x14ac:dyDescent="0.25">
      <c r="B336" s="189"/>
      <c r="C336" s="233"/>
      <c r="D336" s="233"/>
      <c r="E336" s="233"/>
      <c r="F336" s="233"/>
      <c r="G336" s="184"/>
      <c r="H336" s="184"/>
      <c r="I336" s="184"/>
      <c r="J336" s="183"/>
      <c r="K336" s="183"/>
      <c r="L336" s="183"/>
      <c r="M336" s="220"/>
      <c r="N336" s="220"/>
      <c r="O336" s="220"/>
      <c r="P336" s="220"/>
      <c r="Q336" s="4"/>
    </row>
    <row r="337" spans="1:17" x14ac:dyDescent="0.25">
      <c r="B337" s="189"/>
      <c r="C337" s="233"/>
      <c r="D337" s="233"/>
      <c r="E337" s="233"/>
      <c r="F337" s="233"/>
      <c r="G337" s="184"/>
      <c r="H337" s="184"/>
      <c r="I337" s="184"/>
      <c r="J337" s="183"/>
      <c r="K337" s="183"/>
      <c r="L337" s="183"/>
      <c r="M337" s="220"/>
      <c r="N337" s="220"/>
      <c r="O337" s="220"/>
      <c r="P337" s="220"/>
      <c r="Q337" s="4"/>
    </row>
    <row r="338" spans="1:17" x14ac:dyDescent="0.25">
      <c r="B338" s="189"/>
      <c r="C338" s="233"/>
      <c r="D338" s="233"/>
      <c r="E338" s="233"/>
      <c r="F338" s="233"/>
      <c r="G338" s="184"/>
      <c r="H338" s="184"/>
      <c r="I338" s="184"/>
      <c r="J338" s="183"/>
      <c r="K338" s="183"/>
      <c r="L338" s="183"/>
      <c r="M338" s="220"/>
      <c r="N338" s="220"/>
      <c r="O338" s="220"/>
      <c r="P338" s="220"/>
      <c r="Q338" s="4"/>
    </row>
    <row r="339" spans="1:17" x14ac:dyDescent="0.25">
      <c r="B339" s="189"/>
      <c r="C339" s="233"/>
      <c r="D339" s="233"/>
      <c r="E339" s="233"/>
      <c r="F339" s="233"/>
      <c r="G339" s="184"/>
      <c r="H339" s="184"/>
      <c r="I339" s="184"/>
      <c r="J339" s="183"/>
      <c r="K339" s="183"/>
      <c r="L339" s="183"/>
      <c r="M339" s="220"/>
      <c r="N339" s="220"/>
      <c r="O339" s="220"/>
      <c r="P339" s="220"/>
      <c r="Q339" s="4"/>
    </row>
    <row r="340" spans="1:17" x14ac:dyDescent="0.25">
      <c r="B340" s="189"/>
      <c r="C340" s="233"/>
      <c r="D340" s="233"/>
      <c r="E340" s="233"/>
      <c r="F340" s="233"/>
      <c r="G340" s="184"/>
      <c r="H340" s="184"/>
      <c r="I340" s="184"/>
      <c r="J340" s="183"/>
      <c r="K340" s="183"/>
      <c r="L340" s="183"/>
      <c r="M340" s="220"/>
      <c r="N340" s="220"/>
      <c r="O340" s="220"/>
      <c r="P340" s="220"/>
      <c r="Q340" s="4"/>
    </row>
    <row r="341" spans="1:17" s="4" customFormat="1" x14ac:dyDescent="0.25">
      <c r="B341" s="189"/>
      <c r="C341" s="233"/>
      <c r="D341" s="233"/>
      <c r="E341" s="233"/>
      <c r="F341" s="233"/>
      <c r="G341" s="184"/>
      <c r="H341" s="184"/>
      <c r="I341" s="184"/>
      <c r="J341" s="183"/>
      <c r="K341" s="183"/>
      <c r="L341" s="183"/>
      <c r="M341" s="220"/>
      <c r="N341" s="220"/>
      <c r="O341" s="220"/>
      <c r="P341" s="220"/>
    </row>
    <row r="342" spans="1:17" x14ac:dyDescent="0.25">
      <c r="A342" s="4"/>
      <c r="B342" s="189"/>
      <c r="C342" s="233"/>
      <c r="D342" s="233"/>
      <c r="E342" s="233"/>
      <c r="F342" s="233"/>
      <c r="G342" s="184"/>
      <c r="H342" s="184"/>
      <c r="I342" s="184"/>
      <c r="J342" s="183"/>
      <c r="K342" s="183"/>
      <c r="L342" s="183"/>
      <c r="M342" s="220"/>
      <c r="N342" s="220"/>
      <c r="O342" s="220"/>
      <c r="P342" s="220"/>
      <c r="Q342" s="4"/>
    </row>
    <row r="343" spans="1:17" x14ac:dyDescent="0.25">
      <c r="B343" s="107" t="s">
        <v>92</v>
      </c>
    </row>
    <row r="345" spans="1:17" x14ac:dyDescent="0.25">
      <c r="B345" s="6" t="s">
        <v>148</v>
      </c>
      <c r="C345" s="136" t="s">
        <v>325</v>
      </c>
    </row>
    <row r="346" spans="1:17" x14ac:dyDescent="0.25">
      <c r="B346" s="6"/>
      <c r="C346" s="136"/>
    </row>
    <row r="347" spans="1:17" x14ac:dyDescent="0.25">
      <c r="C347" s="4" t="s">
        <v>326</v>
      </c>
      <c r="E347" s="28" t="s">
        <v>327</v>
      </c>
      <c r="I347" s="106" t="s">
        <v>328</v>
      </c>
      <c r="M347" s="1920">
        <f>+(M251*1.21)-O254</f>
        <v>10000</v>
      </c>
      <c r="N347" s="1920"/>
    </row>
    <row r="348" spans="1:17" x14ac:dyDescent="0.25">
      <c r="C348" s="4"/>
      <c r="E348" s="28" t="s">
        <v>329</v>
      </c>
      <c r="I348" s="75" t="s">
        <v>330</v>
      </c>
      <c r="M348" s="2678">
        <f>+M347*0.24/12</f>
        <v>200</v>
      </c>
      <c r="N348" s="2678"/>
    </row>
    <row r="349" spans="1:17" x14ac:dyDescent="0.25">
      <c r="C349" s="4"/>
      <c r="E349" s="28" t="s">
        <v>331</v>
      </c>
      <c r="I349" s="75" t="s">
        <v>332</v>
      </c>
      <c r="M349" s="1920">
        <f>+M348*3</f>
        <v>600</v>
      </c>
      <c r="N349" s="1920"/>
    </row>
    <row r="350" spans="1:17" x14ac:dyDescent="0.25">
      <c r="C350" s="4"/>
      <c r="E350" s="28" t="s">
        <v>333</v>
      </c>
      <c r="I350" s="75" t="s">
        <v>334</v>
      </c>
      <c r="M350" s="1920">
        <f>+M349*0.21</f>
        <v>126</v>
      </c>
      <c r="N350" s="1920"/>
    </row>
    <row r="351" spans="1:17" x14ac:dyDescent="0.25">
      <c r="C351" s="4"/>
      <c r="E351" s="28" t="s">
        <v>335</v>
      </c>
      <c r="I351" s="75" t="s">
        <v>336</v>
      </c>
      <c r="M351" s="2108">
        <f>+M347+M349+M350</f>
        <v>10726</v>
      </c>
      <c r="N351" s="2108"/>
    </row>
    <row r="352" spans="1:17" x14ac:dyDescent="0.25">
      <c r="E352" s="28"/>
    </row>
    <row r="353" spans="2:15" x14ac:dyDescent="0.25">
      <c r="C353" s="4" t="s">
        <v>337</v>
      </c>
      <c r="E353" s="28" t="s">
        <v>338</v>
      </c>
      <c r="I353" s="75" t="s">
        <v>339</v>
      </c>
      <c r="M353" s="1920">
        <f>+M251*0.21</f>
        <v>1974</v>
      </c>
      <c r="N353" s="1920"/>
    </row>
    <row r="354" spans="2:15" x14ac:dyDescent="0.25">
      <c r="E354" s="28" t="s">
        <v>333</v>
      </c>
      <c r="I354" s="75" t="s">
        <v>334</v>
      </c>
      <c r="M354" s="2100">
        <f>+M350</f>
        <v>126</v>
      </c>
      <c r="N354" s="2100"/>
    </row>
    <row r="355" spans="2:15" x14ac:dyDescent="0.25">
      <c r="E355" s="28"/>
      <c r="M355" s="1920">
        <f>+M353+M354</f>
        <v>2100</v>
      </c>
      <c r="N355" s="1920"/>
    </row>
    <row r="356" spans="2:15" x14ac:dyDescent="0.25">
      <c r="B356" s="6" t="s">
        <v>160</v>
      </c>
      <c r="C356" s="112" t="s">
        <v>340</v>
      </c>
    </row>
    <row r="357" spans="2:15" x14ac:dyDescent="0.25">
      <c r="B357" s="6"/>
      <c r="C357" s="112"/>
    </row>
    <row r="358" spans="2:15" x14ac:dyDescent="0.25">
      <c r="E358" s="28" t="s">
        <v>341</v>
      </c>
      <c r="M358" s="1920">
        <v>275</v>
      </c>
      <c r="N358" s="1920"/>
    </row>
    <row r="359" spans="2:15" x14ac:dyDescent="0.25">
      <c r="E359" s="28" t="s">
        <v>342</v>
      </c>
      <c r="I359" s="75" t="s">
        <v>343</v>
      </c>
      <c r="M359" s="1920">
        <f>+M358*0.75</f>
        <v>206.25</v>
      </c>
      <c r="N359" s="1920"/>
    </row>
    <row r="360" spans="2:15" x14ac:dyDescent="0.25">
      <c r="E360" s="28" t="s">
        <v>344</v>
      </c>
      <c r="I360" s="75" t="s">
        <v>345</v>
      </c>
      <c r="M360" s="2108">
        <f>+(M358-M359)*32</f>
        <v>2200</v>
      </c>
      <c r="N360" s="2108"/>
    </row>
    <row r="361" spans="2:15" x14ac:dyDescent="0.25">
      <c r="E361" s="28" t="s">
        <v>346</v>
      </c>
      <c r="I361" s="75" t="s">
        <v>347</v>
      </c>
      <c r="M361" s="1920">
        <f>+M360*0.21</f>
        <v>462</v>
      </c>
      <c r="N361" s="1920"/>
    </row>
    <row r="363" spans="2:15" x14ac:dyDescent="0.25">
      <c r="B363" s="6" t="s">
        <v>178</v>
      </c>
      <c r="C363" s="136" t="s">
        <v>303</v>
      </c>
    </row>
    <row r="365" spans="2:15" x14ac:dyDescent="0.25">
      <c r="C365" s="2672" t="s">
        <v>304</v>
      </c>
      <c r="D365" s="2672"/>
      <c r="E365" s="2672"/>
      <c r="F365" s="2452" t="s">
        <v>348</v>
      </c>
      <c r="G365" s="2452"/>
      <c r="H365" s="2452" t="s">
        <v>349</v>
      </c>
      <c r="I365" s="2452"/>
      <c r="J365" s="2452" t="s">
        <v>350</v>
      </c>
      <c r="K365" s="2452"/>
      <c r="L365" s="2452"/>
      <c r="M365" s="2452"/>
      <c r="N365" s="2452"/>
      <c r="O365" s="2452"/>
    </row>
    <row r="366" spans="2:15" x14ac:dyDescent="0.25">
      <c r="C366" s="2383" t="s">
        <v>351</v>
      </c>
      <c r="D366" s="2670"/>
      <c r="E366" s="2384"/>
      <c r="F366" s="2554" t="s">
        <v>352</v>
      </c>
      <c r="G366" s="2020"/>
      <c r="H366" s="2554" t="s">
        <v>353</v>
      </c>
      <c r="I366" s="2020"/>
      <c r="J366" s="2554" t="s">
        <v>354</v>
      </c>
      <c r="K366" s="2113"/>
      <c r="L366" s="2671">
        <f>+M359</f>
        <v>206.25</v>
      </c>
      <c r="M366" s="2671"/>
      <c r="N366" s="2106">
        <f>+L366*32</f>
        <v>6600</v>
      </c>
      <c r="O366" s="2107"/>
    </row>
    <row r="367" spans="2:15" x14ac:dyDescent="0.25">
      <c r="C367" s="2379"/>
      <c r="D367" s="2261"/>
      <c r="E367" s="2380"/>
      <c r="F367" s="2547"/>
      <c r="G367" s="2172"/>
      <c r="H367" s="2547"/>
      <c r="I367" s="2172"/>
      <c r="J367" s="2547" t="s">
        <v>355</v>
      </c>
      <c r="K367" s="2111"/>
      <c r="L367" s="2534">
        <v>200</v>
      </c>
      <c r="M367" s="2534"/>
      <c r="N367" s="2006">
        <f>+L367*18</f>
        <v>3600</v>
      </c>
      <c r="O367" s="2007"/>
    </row>
    <row r="368" spans="2:15" x14ac:dyDescent="0.25">
      <c r="C368" s="2663" t="s">
        <v>356</v>
      </c>
      <c r="D368" s="2664"/>
      <c r="E368" s="2666"/>
      <c r="F368" s="2536" t="s">
        <v>352</v>
      </c>
      <c r="G368" s="2538"/>
      <c r="H368" s="2536" t="s">
        <v>353</v>
      </c>
      <c r="I368" s="2538"/>
      <c r="J368" s="2536" t="s">
        <v>353</v>
      </c>
      <c r="K368" s="2537"/>
      <c r="L368" s="2667">
        <v>10</v>
      </c>
      <c r="M368" s="2667"/>
      <c r="N368" s="2668">
        <f>50*10</f>
        <v>500</v>
      </c>
      <c r="O368" s="2669"/>
    </row>
    <row r="369" spans="2:15" x14ac:dyDescent="0.25">
      <c r="C369" s="2663" t="s">
        <v>357</v>
      </c>
      <c r="D369" s="2664"/>
      <c r="E369" s="2666"/>
      <c r="F369" s="2536" t="s">
        <v>352</v>
      </c>
      <c r="G369" s="2538"/>
      <c r="H369" s="2536" t="s">
        <v>353</v>
      </c>
      <c r="I369" s="2538"/>
      <c r="J369" s="2536" t="s">
        <v>353</v>
      </c>
      <c r="K369" s="2537"/>
      <c r="L369" s="2667">
        <v>500</v>
      </c>
      <c r="M369" s="2667"/>
      <c r="N369" s="2668">
        <f>50*500</f>
        <v>25000</v>
      </c>
      <c r="O369" s="2669"/>
    </row>
    <row r="370" spans="2:15" x14ac:dyDescent="0.25">
      <c r="C370" s="2663" t="s">
        <v>305</v>
      </c>
      <c r="D370" s="2664"/>
      <c r="E370" s="2664"/>
      <c r="F370" s="227"/>
      <c r="G370" s="191"/>
      <c r="H370" s="191"/>
      <c r="I370" s="228"/>
      <c r="J370" s="228"/>
      <c r="K370" s="228"/>
      <c r="L370" s="228"/>
      <c r="M370" s="229"/>
      <c r="N370" s="2665">
        <f>+SUM(N366:O369)</f>
        <v>35700</v>
      </c>
      <c r="O370" s="2115"/>
    </row>
    <row r="372" spans="2:15" x14ac:dyDescent="0.25">
      <c r="B372" s="6" t="s">
        <v>236</v>
      </c>
      <c r="C372" s="112" t="s">
        <v>358</v>
      </c>
    </row>
    <row r="373" spans="2:15" x14ac:dyDescent="0.25">
      <c r="C373" s="113"/>
    </row>
    <row r="374" spans="2:15" x14ac:dyDescent="0.25">
      <c r="C374" s="131"/>
      <c r="D374" s="132"/>
      <c r="E374" s="2449" t="s">
        <v>183</v>
      </c>
      <c r="F374" s="2449"/>
      <c r="G374" s="2449" t="s">
        <v>182</v>
      </c>
      <c r="H374" s="2449"/>
      <c r="I374" s="2443" t="s">
        <v>40</v>
      </c>
      <c r="J374" s="2444"/>
      <c r="K374" s="2445"/>
      <c r="L374" s="2421" t="s">
        <v>181</v>
      </c>
      <c r="M374" s="2421"/>
    </row>
    <row r="375" spans="2:15" x14ac:dyDescent="0.25">
      <c r="C375" s="133"/>
      <c r="D375" s="134"/>
      <c r="E375" s="2449"/>
      <c r="F375" s="2449"/>
      <c r="G375" s="2449"/>
      <c r="H375" s="2449"/>
      <c r="I375" s="2446"/>
      <c r="J375" s="2447"/>
      <c r="K375" s="2448"/>
      <c r="L375" s="2421"/>
      <c r="M375" s="2421"/>
    </row>
    <row r="376" spans="2:15" x14ac:dyDescent="0.25">
      <c r="C376" s="72" t="s">
        <v>51</v>
      </c>
      <c r="D376" s="73"/>
      <c r="E376" s="2417">
        <f>+'Balances CostoProd'!C21</f>
        <v>50000</v>
      </c>
      <c r="F376" s="2417"/>
      <c r="G376" s="2417">
        <f>+E376*0.9</f>
        <v>45000</v>
      </c>
      <c r="H376" s="2417"/>
      <c r="I376" s="2419">
        <v>10000</v>
      </c>
      <c r="J376" s="2420"/>
      <c r="K376" s="130" t="s">
        <v>359</v>
      </c>
      <c r="L376" s="2422">
        <f>+G376/I376*50</f>
        <v>225</v>
      </c>
      <c r="M376" s="2422"/>
      <c r="N376" s="234" t="s">
        <v>360</v>
      </c>
    </row>
    <row r="377" spans="2:15" x14ac:dyDescent="0.25">
      <c r="C377" s="72" t="s">
        <v>187</v>
      </c>
      <c r="D377" s="73"/>
      <c r="E377" s="2417">
        <v>420000</v>
      </c>
      <c r="F377" s="2417"/>
      <c r="G377" s="2417">
        <f>+E377</f>
        <v>420000</v>
      </c>
      <c r="H377" s="2417"/>
      <c r="I377" s="2419">
        <f>+G377/L377</f>
        <v>600</v>
      </c>
      <c r="J377" s="2420"/>
      <c r="K377" s="130" t="s">
        <v>62</v>
      </c>
      <c r="L377" s="2422">
        <v>700</v>
      </c>
      <c r="M377" s="2422"/>
    </row>
    <row r="379" spans="2:15" x14ac:dyDescent="0.25">
      <c r="G379" s="2655"/>
      <c r="H379" s="2655"/>
      <c r="I379" s="235"/>
    </row>
    <row r="391" spans="1:17" s="4" customFormat="1" x14ac:dyDescent="0.25">
      <c r="B391" s="189"/>
      <c r="C391" s="12"/>
      <c r="D391" s="12"/>
      <c r="E391" s="12"/>
      <c r="F391" s="12"/>
      <c r="G391" s="51"/>
      <c r="H391" s="51"/>
      <c r="M391" s="18"/>
      <c r="N391" s="18"/>
      <c r="O391" s="18"/>
      <c r="P391" s="18"/>
    </row>
    <row r="392" spans="1:17" x14ac:dyDescent="0.25">
      <c r="A392" s="4"/>
      <c r="B392" s="189"/>
      <c r="G392" s="51"/>
      <c r="H392" s="51"/>
      <c r="I392" s="4"/>
      <c r="J392" s="4"/>
      <c r="K392" s="4"/>
      <c r="L392" s="4"/>
      <c r="M392" s="18"/>
      <c r="N392" s="18"/>
      <c r="O392" s="18"/>
      <c r="P392" s="18"/>
      <c r="Q392" s="4"/>
    </row>
    <row r="393" spans="1:17" x14ac:dyDescent="0.25">
      <c r="B393" s="6" t="s">
        <v>247</v>
      </c>
      <c r="C393" s="112" t="s">
        <v>361</v>
      </c>
    </row>
    <row r="394" spans="1:17" x14ac:dyDescent="0.25">
      <c r="C394" s="189"/>
      <c r="D394" s="189"/>
      <c r="E394" s="189"/>
      <c r="F394" s="189"/>
      <c r="I394" s="7"/>
      <c r="J394" s="7"/>
      <c r="K394" s="7"/>
      <c r="L394" s="7"/>
      <c r="M394" s="188"/>
      <c r="N394" s="188"/>
      <c r="O394" s="188"/>
      <c r="P394" s="188"/>
    </row>
    <row r="395" spans="1:17" ht="15" customHeight="1" x14ac:dyDescent="0.25">
      <c r="B395" s="2423" t="s">
        <v>362</v>
      </c>
      <c r="C395" s="2656"/>
      <c r="D395" s="2660" t="s">
        <v>363</v>
      </c>
      <c r="E395" s="2652" t="s">
        <v>305</v>
      </c>
      <c r="F395" s="2652"/>
      <c r="G395" s="2652"/>
      <c r="H395" s="2652" t="s">
        <v>364</v>
      </c>
      <c r="I395" s="2652"/>
      <c r="J395" s="2652"/>
      <c r="K395" s="2652" t="s">
        <v>365</v>
      </c>
      <c r="L395" s="2652"/>
      <c r="M395" s="2652"/>
      <c r="N395" s="2652" t="s">
        <v>366</v>
      </c>
      <c r="O395" s="2652"/>
      <c r="P395" s="2652"/>
    </row>
    <row r="396" spans="1:17" x14ac:dyDescent="0.25">
      <c r="B396" s="2657"/>
      <c r="C396" s="2658"/>
      <c r="D396" s="2661"/>
      <c r="E396" s="2652"/>
      <c r="F396" s="2652"/>
      <c r="G396" s="2652"/>
      <c r="H396" s="2652"/>
      <c r="I396" s="2652"/>
      <c r="J396" s="2652"/>
      <c r="K396" s="2652"/>
      <c r="L396" s="2652"/>
      <c r="M396" s="2652"/>
      <c r="N396" s="2652"/>
      <c r="O396" s="2652"/>
      <c r="P396" s="2652"/>
    </row>
    <row r="397" spans="1:17" x14ac:dyDescent="0.25">
      <c r="B397" s="2425"/>
      <c r="C397" s="2659"/>
      <c r="D397" s="2662"/>
      <c r="E397" s="236" t="s">
        <v>367</v>
      </c>
      <c r="F397" s="2653" t="s">
        <v>164</v>
      </c>
      <c r="G397" s="2654"/>
      <c r="H397" s="236" t="s">
        <v>367</v>
      </c>
      <c r="I397" s="2653" t="s">
        <v>164</v>
      </c>
      <c r="J397" s="2654"/>
      <c r="K397" s="236" t="s">
        <v>367</v>
      </c>
      <c r="L397" s="2653" t="s">
        <v>164</v>
      </c>
      <c r="M397" s="2654"/>
      <c r="N397" s="236" t="s">
        <v>367</v>
      </c>
      <c r="O397" s="2653" t="s">
        <v>164</v>
      </c>
      <c r="P397" s="2654"/>
    </row>
    <row r="398" spans="1:17" x14ac:dyDescent="0.25">
      <c r="B398" s="2638" t="s">
        <v>368</v>
      </c>
      <c r="C398" s="2639"/>
      <c r="D398" s="2648" t="s">
        <v>369</v>
      </c>
      <c r="E398" s="2636" t="s">
        <v>370</v>
      </c>
      <c r="F398" s="2045">
        <f>+L376</f>
        <v>225</v>
      </c>
      <c r="G398" s="2156"/>
      <c r="H398" s="2649">
        <v>1</v>
      </c>
      <c r="I398" s="2045">
        <f>+L376</f>
        <v>225</v>
      </c>
      <c r="J398" s="2156"/>
      <c r="K398" s="2650">
        <v>0</v>
      </c>
      <c r="L398" s="2045">
        <v>0</v>
      </c>
      <c r="M398" s="2156"/>
      <c r="N398" s="2650">
        <v>0</v>
      </c>
      <c r="O398" s="2045">
        <v>0</v>
      </c>
      <c r="P398" s="2156"/>
    </row>
    <row r="399" spans="1:17" x14ac:dyDescent="0.25">
      <c r="B399" s="2640"/>
      <c r="C399" s="2641"/>
      <c r="D399" s="2643"/>
      <c r="E399" s="2637"/>
      <c r="F399" s="2167"/>
      <c r="G399" s="2085"/>
      <c r="H399" s="2637"/>
      <c r="I399" s="2167"/>
      <c r="J399" s="2085"/>
      <c r="K399" s="2651"/>
      <c r="L399" s="2167"/>
      <c r="M399" s="2085"/>
      <c r="N399" s="2651"/>
      <c r="O399" s="2167"/>
      <c r="P399" s="2085"/>
    </row>
    <row r="400" spans="1:17" x14ac:dyDescent="0.25">
      <c r="B400" s="2638" t="s">
        <v>371</v>
      </c>
      <c r="C400" s="2639"/>
      <c r="D400" s="2642" t="s">
        <v>372</v>
      </c>
      <c r="E400" s="2636">
        <f>+'Balances CostoProd'!L16</f>
        <v>200</v>
      </c>
      <c r="F400" s="2045">
        <f>+L377</f>
        <v>700</v>
      </c>
      <c r="G400" s="2156"/>
      <c r="H400" s="2636">
        <f>+'Balances CostoProd'!I16</f>
        <v>90</v>
      </c>
      <c r="I400" s="2045">
        <f>+$F400/$E400*H400</f>
        <v>315</v>
      </c>
      <c r="J400" s="2156"/>
      <c r="K400" s="2636">
        <f>+'Balances CostoProd'!J16</f>
        <v>40</v>
      </c>
      <c r="L400" s="2045">
        <f>+$F400/$E400*K400</f>
        <v>140</v>
      </c>
      <c r="M400" s="2156"/>
      <c r="N400" s="2636">
        <f>+'Balances CostoProd'!K16</f>
        <v>70</v>
      </c>
      <c r="O400" s="2045">
        <f>+$F400/$E400*N400</f>
        <v>245</v>
      </c>
      <c r="P400" s="2156"/>
    </row>
    <row r="401" spans="2:16" x14ac:dyDescent="0.25">
      <c r="B401" s="2640"/>
      <c r="C401" s="2641"/>
      <c r="D401" s="2643"/>
      <c r="E401" s="2637"/>
      <c r="F401" s="2167"/>
      <c r="G401" s="2085"/>
      <c r="H401" s="2637"/>
      <c r="I401" s="2167"/>
      <c r="J401" s="2085"/>
      <c r="K401" s="2637"/>
      <c r="L401" s="2167"/>
      <c r="M401" s="2085"/>
      <c r="N401" s="2637"/>
      <c r="O401" s="2167"/>
      <c r="P401" s="2085"/>
    </row>
    <row r="402" spans="2:16" x14ac:dyDescent="0.25">
      <c r="B402" s="2638" t="s">
        <v>373</v>
      </c>
      <c r="C402" s="2639"/>
      <c r="D402" s="2642" t="s">
        <v>374</v>
      </c>
      <c r="E402" s="2636">
        <f>+'Balances CostoProd'!L14-1</f>
        <v>4</v>
      </c>
      <c r="F402" s="2045">
        <v>48000</v>
      </c>
      <c r="G402" s="2156"/>
      <c r="H402" s="2636">
        <f>+'Balances CostoProd'!$I$14-1</f>
        <v>1</v>
      </c>
      <c r="I402" s="2045">
        <f>+$F402/$E402*H402</f>
        <v>12000</v>
      </c>
      <c r="J402" s="2156"/>
      <c r="K402" s="2636">
        <f>+'Balances CostoProd'!$J$14</f>
        <v>1</v>
      </c>
      <c r="L402" s="2045">
        <f>+$F402/$E402*K402</f>
        <v>12000</v>
      </c>
      <c r="M402" s="2156"/>
      <c r="N402" s="2636">
        <f>+'Balances CostoProd'!$K$14</f>
        <v>2</v>
      </c>
      <c r="O402" s="2045">
        <f>+$F402/$E402*N402</f>
        <v>24000</v>
      </c>
      <c r="P402" s="2156"/>
    </row>
    <row r="403" spans="2:16" x14ac:dyDescent="0.25">
      <c r="B403" s="2640"/>
      <c r="C403" s="2641"/>
      <c r="D403" s="2643"/>
      <c r="E403" s="2637"/>
      <c r="F403" s="2167"/>
      <c r="G403" s="2085"/>
      <c r="H403" s="2637"/>
      <c r="I403" s="2167"/>
      <c r="J403" s="2085"/>
      <c r="K403" s="2637"/>
      <c r="L403" s="2167"/>
      <c r="M403" s="2085"/>
      <c r="N403" s="2637"/>
      <c r="O403" s="2167"/>
      <c r="P403" s="2085"/>
    </row>
    <row r="404" spans="2:16" ht="15" customHeight="1" x14ac:dyDescent="0.25">
      <c r="B404" s="2638" t="s">
        <v>375</v>
      </c>
      <c r="C404" s="2639"/>
      <c r="D404" s="2648" t="s">
        <v>369</v>
      </c>
      <c r="E404" s="2636" t="s">
        <v>370</v>
      </c>
      <c r="F404" s="2045">
        <f>50*200</f>
        <v>10000</v>
      </c>
      <c r="G404" s="2156"/>
      <c r="H404" s="2649">
        <v>1</v>
      </c>
      <c r="I404" s="2045">
        <f>+F404</f>
        <v>10000</v>
      </c>
      <c r="J404" s="2156"/>
      <c r="K404" s="2650">
        <v>0</v>
      </c>
      <c r="L404" s="2045">
        <v>0</v>
      </c>
      <c r="M404" s="2156"/>
      <c r="N404" s="2650">
        <v>0</v>
      </c>
      <c r="O404" s="2045">
        <v>0</v>
      </c>
      <c r="P404" s="2156"/>
    </row>
    <row r="405" spans="2:16" x14ac:dyDescent="0.25">
      <c r="B405" s="2640"/>
      <c r="C405" s="2641"/>
      <c r="D405" s="2643"/>
      <c r="E405" s="2637"/>
      <c r="F405" s="2167"/>
      <c r="G405" s="2085"/>
      <c r="H405" s="2637"/>
      <c r="I405" s="2167"/>
      <c r="J405" s="2085"/>
      <c r="K405" s="2651"/>
      <c r="L405" s="2167"/>
      <c r="M405" s="2085"/>
      <c r="N405" s="2651"/>
      <c r="O405" s="2167"/>
      <c r="P405" s="2085"/>
    </row>
    <row r="406" spans="2:16" x14ac:dyDescent="0.25">
      <c r="B406" s="2638" t="s">
        <v>298</v>
      </c>
      <c r="C406" s="2639"/>
      <c r="D406" s="2642" t="s">
        <v>374</v>
      </c>
      <c r="E406" s="2636">
        <f>+$E$402</f>
        <v>4</v>
      </c>
      <c r="F406" s="2045">
        <f>+M283</f>
        <v>11040</v>
      </c>
      <c r="G406" s="2156"/>
      <c r="H406" s="2636">
        <f>+'Balances CostoProd'!$I$14-1</f>
        <v>1</v>
      </c>
      <c r="I406" s="2045">
        <f>+$F406/$E406*H406</f>
        <v>2760</v>
      </c>
      <c r="J406" s="2156"/>
      <c r="K406" s="2636">
        <f>+'Balances CostoProd'!$J$14</f>
        <v>1</v>
      </c>
      <c r="L406" s="2045">
        <f>+$F406/$E406*K406</f>
        <v>2760</v>
      </c>
      <c r="M406" s="2156"/>
      <c r="N406" s="2636">
        <f>+'Balances CostoProd'!$K$14</f>
        <v>2</v>
      </c>
      <c r="O406" s="2045">
        <f>+$F406/$E406*N406</f>
        <v>5520</v>
      </c>
      <c r="P406" s="2156"/>
    </row>
    <row r="407" spans="2:16" x14ac:dyDescent="0.25">
      <c r="B407" s="2640"/>
      <c r="C407" s="2641"/>
      <c r="D407" s="2643"/>
      <c r="E407" s="2637"/>
      <c r="F407" s="2167"/>
      <c r="G407" s="2085"/>
      <c r="H407" s="2637"/>
      <c r="I407" s="2167"/>
      <c r="J407" s="2085"/>
      <c r="K407" s="2637"/>
      <c r="L407" s="2167"/>
      <c r="M407" s="2085"/>
      <c r="N407" s="2637"/>
      <c r="O407" s="2167"/>
      <c r="P407" s="2085"/>
    </row>
    <row r="408" spans="2:16" x14ac:dyDescent="0.25">
      <c r="B408" s="2638" t="s">
        <v>313</v>
      </c>
      <c r="C408" s="2639"/>
      <c r="D408" s="2642" t="s">
        <v>374</v>
      </c>
      <c r="E408" s="2636">
        <f>+$E$402</f>
        <v>4</v>
      </c>
      <c r="F408" s="2045">
        <f>+M287</f>
        <v>4000</v>
      </c>
      <c r="G408" s="2156"/>
      <c r="H408" s="2636">
        <f>+'Balances CostoProd'!$I$14-1</f>
        <v>1</v>
      </c>
      <c r="I408" s="2045">
        <f>+$F408/$E408*H408</f>
        <v>1000</v>
      </c>
      <c r="J408" s="2156"/>
      <c r="K408" s="2636">
        <f>+'Balances CostoProd'!$J$14</f>
        <v>1</v>
      </c>
      <c r="L408" s="2045">
        <f>+$F408/$E408*K408</f>
        <v>1000</v>
      </c>
      <c r="M408" s="2156"/>
      <c r="N408" s="2636">
        <f>+'Balances CostoProd'!$K$14</f>
        <v>2</v>
      </c>
      <c r="O408" s="2045">
        <f>+$F408/$E408*N408</f>
        <v>2000</v>
      </c>
      <c r="P408" s="2156"/>
    </row>
    <row r="409" spans="2:16" x14ac:dyDescent="0.25">
      <c r="B409" s="2640"/>
      <c r="C409" s="2641"/>
      <c r="D409" s="2643"/>
      <c r="E409" s="2637"/>
      <c r="F409" s="2167"/>
      <c r="G409" s="2085"/>
      <c r="H409" s="2637"/>
      <c r="I409" s="2167"/>
      <c r="J409" s="2085"/>
      <c r="K409" s="2637"/>
      <c r="L409" s="2167"/>
      <c r="M409" s="2085"/>
      <c r="N409" s="2637"/>
      <c r="O409" s="2167"/>
      <c r="P409" s="2085"/>
    </row>
    <row r="410" spans="2:16" x14ac:dyDescent="0.25">
      <c r="B410" s="2638" t="s">
        <v>376</v>
      </c>
      <c r="C410" s="2639"/>
      <c r="D410" s="2642" t="s">
        <v>374</v>
      </c>
      <c r="E410" s="2636">
        <f>+$E$402</f>
        <v>4</v>
      </c>
      <c r="F410" s="2045">
        <f>+M288</f>
        <v>920</v>
      </c>
      <c r="G410" s="2156"/>
      <c r="H410" s="2636">
        <f>+'Balances CostoProd'!$I$14-1</f>
        <v>1</v>
      </c>
      <c r="I410" s="2045">
        <f>+$F410/$E410*H410</f>
        <v>230</v>
      </c>
      <c r="J410" s="2156"/>
      <c r="K410" s="2636">
        <f>+'Balances CostoProd'!$J$14</f>
        <v>1</v>
      </c>
      <c r="L410" s="2045">
        <f>+$F410/$E410*K410</f>
        <v>230</v>
      </c>
      <c r="M410" s="2156"/>
      <c r="N410" s="2636">
        <f>+'Balances CostoProd'!$K$14</f>
        <v>2</v>
      </c>
      <c r="O410" s="2045">
        <f>+$F410/$E410*N410</f>
        <v>460</v>
      </c>
      <c r="P410" s="2156"/>
    </row>
    <row r="411" spans="2:16" x14ac:dyDescent="0.25">
      <c r="B411" s="2640"/>
      <c r="C411" s="2641"/>
      <c r="D411" s="2643"/>
      <c r="E411" s="2637"/>
      <c r="F411" s="2167"/>
      <c r="G411" s="2085"/>
      <c r="H411" s="2637"/>
      <c r="I411" s="2167"/>
      <c r="J411" s="2085"/>
      <c r="K411" s="2637"/>
      <c r="L411" s="2167"/>
      <c r="M411" s="2085"/>
      <c r="N411" s="2637"/>
      <c r="O411" s="2167"/>
      <c r="P411" s="2085"/>
    </row>
    <row r="412" spans="2:16" x14ac:dyDescent="0.25">
      <c r="B412" s="2638" t="s">
        <v>377</v>
      </c>
      <c r="C412" s="2639"/>
      <c r="D412" s="2642" t="s">
        <v>378</v>
      </c>
      <c r="E412" s="2636">
        <f>+'Balances CostoProd'!L15</f>
        <v>460</v>
      </c>
      <c r="F412" s="2045">
        <f>+M294</f>
        <v>1290</v>
      </c>
      <c r="G412" s="2156"/>
      <c r="H412" s="2636">
        <f>+'Balances CostoProd'!I15</f>
        <v>230</v>
      </c>
      <c r="I412" s="2045">
        <f>+$F412/$E412*H412</f>
        <v>645</v>
      </c>
      <c r="J412" s="2156"/>
      <c r="K412" s="2636">
        <f>+'Balances CostoProd'!J15</f>
        <v>92</v>
      </c>
      <c r="L412" s="2045">
        <f>+$F412/$E412*K412</f>
        <v>258</v>
      </c>
      <c r="M412" s="2156"/>
      <c r="N412" s="2636">
        <f>+'Balances CostoProd'!K15</f>
        <v>138</v>
      </c>
      <c r="O412" s="2045">
        <f>+$F412/$E412*N412</f>
        <v>387</v>
      </c>
      <c r="P412" s="2156"/>
    </row>
    <row r="413" spans="2:16" x14ac:dyDescent="0.25">
      <c r="B413" s="2640"/>
      <c r="C413" s="2641"/>
      <c r="D413" s="2643"/>
      <c r="E413" s="2637"/>
      <c r="F413" s="2167"/>
      <c r="G413" s="2085"/>
      <c r="H413" s="2637"/>
      <c r="I413" s="2167"/>
      <c r="J413" s="2085"/>
      <c r="K413" s="2637"/>
      <c r="L413" s="2167"/>
      <c r="M413" s="2085"/>
      <c r="N413" s="2637"/>
      <c r="O413" s="2167"/>
      <c r="P413" s="2085"/>
    </row>
    <row r="414" spans="2:16" x14ac:dyDescent="0.25">
      <c r="B414" s="2638" t="s">
        <v>379</v>
      </c>
      <c r="C414" s="2639"/>
      <c r="D414" s="2642" t="s">
        <v>374</v>
      </c>
      <c r="E414" s="2636">
        <f>+$E$402</f>
        <v>4</v>
      </c>
      <c r="F414" s="2045">
        <f>+M297</f>
        <v>8500</v>
      </c>
      <c r="G414" s="2156"/>
      <c r="H414" s="2636">
        <f>+'Balances CostoProd'!$I$14-1</f>
        <v>1</v>
      </c>
      <c r="I414" s="2045">
        <f>+$F414/$E414*H414</f>
        <v>2125</v>
      </c>
      <c r="J414" s="2156"/>
      <c r="K414" s="2636">
        <f>+'Balances CostoProd'!$J$14</f>
        <v>1</v>
      </c>
      <c r="L414" s="2045">
        <f>+$F414/$E414*K414</f>
        <v>2125</v>
      </c>
      <c r="M414" s="2156"/>
      <c r="N414" s="2636">
        <f>+'Balances CostoProd'!$K$14</f>
        <v>2</v>
      </c>
      <c r="O414" s="2045">
        <f>+$F414/$E414*N414</f>
        <v>4250</v>
      </c>
      <c r="P414" s="2156"/>
    </row>
    <row r="415" spans="2:16" x14ac:dyDescent="0.25">
      <c r="B415" s="2640"/>
      <c r="C415" s="2641"/>
      <c r="D415" s="2643"/>
      <c r="E415" s="2637"/>
      <c r="F415" s="2167"/>
      <c r="G415" s="2085"/>
      <c r="H415" s="2637"/>
      <c r="I415" s="2167"/>
      <c r="J415" s="2085"/>
      <c r="K415" s="2637"/>
      <c r="L415" s="2167"/>
      <c r="M415" s="2085"/>
      <c r="N415" s="2637"/>
      <c r="O415" s="2167"/>
      <c r="P415" s="2085"/>
    </row>
    <row r="417" spans="2:16" ht="19.5" customHeight="1" x14ac:dyDescent="0.25">
      <c r="B417" s="2644" t="s">
        <v>305</v>
      </c>
      <c r="C417" s="2645"/>
      <c r="D417" s="2646"/>
      <c r="E417" s="2235">
        <f>+SUM(F398:G415)</f>
        <v>84675</v>
      </c>
      <c r="F417" s="2647"/>
      <c r="G417" s="2236"/>
      <c r="H417" s="2235">
        <f>+SUM(I398:J415)</f>
        <v>29300</v>
      </c>
      <c r="I417" s="2647"/>
      <c r="J417" s="2236"/>
      <c r="K417" s="2235">
        <f>+SUM(L398:M415)</f>
        <v>18513</v>
      </c>
      <c r="L417" s="2647"/>
      <c r="M417" s="2236"/>
      <c r="N417" s="2235">
        <f>+SUM(O398:P415)</f>
        <v>36862</v>
      </c>
      <c r="O417" s="2647"/>
      <c r="P417" s="2236"/>
    </row>
    <row r="418" spans="2:16" x14ac:dyDescent="0.25">
      <c r="B418" s="6"/>
      <c r="C418" s="237"/>
      <c r="D418" s="237"/>
      <c r="E418" s="237"/>
      <c r="F418" s="237"/>
      <c r="G418" s="238"/>
      <c r="H418" s="238"/>
      <c r="I418" s="239"/>
      <c r="J418" s="239"/>
      <c r="K418" s="239"/>
      <c r="L418" s="239"/>
      <c r="M418" s="240"/>
      <c r="N418" s="240"/>
      <c r="O418" s="240"/>
      <c r="P418" s="240"/>
    </row>
    <row r="419" spans="2:16" x14ac:dyDescent="0.25">
      <c r="B419" s="2633"/>
      <c r="C419" s="2633"/>
      <c r="D419" s="2633"/>
    </row>
    <row r="421" spans="2:16" x14ac:dyDescent="0.25">
      <c r="B421" s="6" t="s">
        <v>380</v>
      </c>
      <c r="C421" s="112" t="s">
        <v>381</v>
      </c>
    </row>
    <row r="423" spans="2:16" x14ac:dyDescent="0.25">
      <c r="C423" s="4" t="s">
        <v>382</v>
      </c>
      <c r="D423" s="4"/>
      <c r="E423" s="4"/>
      <c r="F423" s="4"/>
      <c r="G423" s="2"/>
      <c r="H423" s="1920">
        <f>+N370</f>
        <v>35700</v>
      </c>
      <c r="I423" s="1920"/>
      <c r="K423" s="75" t="s">
        <v>383</v>
      </c>
    </row>
    <row r="424" spans="2:16" x14ac:dyDescent="0.25">
      <c r="C424" s="4" t="s">
        <v>384</v>
      </c>
      <c r="D424" s="4"/>
      <c r="E424" s="4"/>
      <c r="F424" s="4"/>
      <c r="G424" s="2"/>
      <c r="H424" s="1920">
        <f>+H417</f>
        <v>29300</v>
      </c>
      <c r="I424" s="1920"/>
      <c r="K424" s="75" t="s">
        <v>385</v>
      </c>
    </row>
    <row r="425" spans="2:16" x14ac:dyDescent="0.25">
      <c r="C425" s="4" t="s">
        <v>386</v>
      </c>
      <c r="D425" s="4"/>
      <c r="E425" s="4"/>
      <c r="F425" s="4"/>
      <c r="G425" s="2"/>
      <c r="H425" s="2108">
        <f>+H423+H424</f>
        <v>65000</v>
      </c>
      <c r="I425" s="2108"/>
      <c r="K425" s="75"/>
    </row>
    <row r="426" spans="2:16" x14ac:dyDescent="0.25">
      <c r="G426" s="188"/>
      <c r="H426" s="188"/>
      <c r="M426" s="2"/>
    </row>
    <row r="427" spans="2:16" ht="15.75" thickBot="1" x14ac:dyDescent="0.3">
      <c r="C427" s="4" t="s">
        <v>387</v>
      </c>
      <c r="H427" s="2634">
        <f>+H425/50</f>
        <v>1300</v>
      </c>
      <c r="I427" s="2634"/>
      <c r="J427" s="75" t="s">
        <v>388</v>
      </c>
      <c r="M427" s="2"/>
    </row>
    <row r="428" spans="2:16" ht="15.75" thickTop="1" x14ac:dyDescent="0.25">
      <c r="H428" s="2635"/>
      <c r="I428" s="2635"/>
      <c r="M428" s="2"/>
    </row>
    <row r="429" spans="2:16" x14ac:dyDescent="0.25">
      <c r="H429" s="241"/>
      <c r="I429" s="1917"/>
      <c r="J429" s="1917"/>
    </row>
    <row r="430" spans="2:16" x14ac:dyDescent="0.25">
      <c r="J430" s="1917"/>
      <c r="K430" s="1917"/>
    </row>
    <row r="441" spans="1:17" s="4" customFormat="1" x14ac:dyDescent="0.25">
      <c r="B441" s="189"/>
      <c r="C441" s="12"/>
      <c r="D441" s="12"/>
      <c r="E441" s="12"/>
      <c r="F441" s="12"/>
      <c r="G441" s="51"/>
      <c r="H441" s="51"/>
      <c r="M441" s="18"/>
      <c r="N441" s="18"/>
      <c r="O441" s="18"/>
      <c r="P441" s="18"/>
    </row>
    <row r="442" spans="1:17" x14ac:dyDescent="0.25">
      <c r="A442" s="4"/>
      <c r="B442" s="189"/>
      <c r="G442" s="51"/>
      <c r="H442" s="51"/>
      <c r="I442" s="4"/>
      <c r="J442" s="4"/>
      <c r="K442" s="4"/>
      <c r="L442" s="4"/>
      <c r="M442" s="18"/>
      <c r="N442" s="18"/>
      <c r="O442" s="18"/>
      <c r="P442" s="18"/>
      <c r="Q442" s="4"/>
    </row>
    <row r="443" spans="1:17" ht="15" customHeight="1" x14ac:dyDescent="0.25">
      <c r="B443" s="6" t="s">
        <v>389</v>
      </c>
      <c r="C443" s="21" t="s">
        <v>390</v>
      </c>
      <c r="G443" s="2626" t="s">
        <v>391</v>
      </c>
      <c r="H443" s="2626"/>
      <c r="I443" s="2626" t="s">
        <v>392</v>
      </c>
      <c r="J443" s="2626"/>
      <c r="K443" s="2626" t="s">
        <v>393</v>
      </c>
      <c r="L443" s="2626"/>
      <c r="M443" s="2627" t="s">
        <v>394</v>
      </c>
      <c r="N443" s="2628"/>
      <c r="O443" s="2628"/>
      <c r="P443" s="2629"/>
    </row>
    <row r="444" spans="1:17" x14ac:dyDescent="0.25">
      <c r="G444" s="2626"/>
      <c r="H444" s="2626"/>
      <c r="I444" s="2626"/>
      <c r="J444" s="2626"/>
      <c r="K444" s="2626"/>
      <c r="L444" s="2626"/>
      <c r="M444" s="2630"/>
      <c r="N444" s="2631"/>
      <c r="O444" s="2631"/>
      <c r="P444" s="2632"/>
    </row>
    <row r="445" spans="1:17" x14ac:dyDescent="0.25">
      <c r="H445" s="2"/>
      <c r="L445" s="10"/>
    </row>
    <row r="446" spans="1:17" x14ac:dyDescent="0.25">
      <c r="B446"/>
      <c r="G446" s="242" t="s">
        <v>9</v>
      </c>
      <c r="H446" s="242" t="s">
        <v>8</v>
      </c>
      <c r="I446" s="242" t="s">
        <v>9</v>
      </c>
      <c r="J446" s="243" t="s">
        <v>8</v>
      </c>
      <c r="K446" s="242" t="s">
        <v>9</v>
      </c>
      <c r="L446" s="243" t="s">
        <v>8</v>
      </c>
      <c r="M446" s="2625" t="s">
        <v>394</v>
      </c>
      <c r="N446" s="2625"/>
      <c r="O446" s="2625"/>
      <c r="P446" s="2625"/>
    </row>
    <row r="447" spans="1:17" x14ac:dyDescent="0.25">
      <c r="B447" s="244" t="s">
        <v>24</v>
      </c>
      <c r="C447" s="245"/>
      <c r="D447" s="245"/>
      <c r="E447" s="245"/>
      <c r="F447" s="245"/>
      <c r="G447" s="246">
        <f>+'Balances CostoProd'!C20</f>
        <v>1374</v>
      </c>
      <c r="H447" s="246">
        <v>0</v>
      </c>
      <c r="I447" s="246">
        <f t="shared" ref="I447:I487" si="4">SUMIF($C$251:$C$335,B447,$M$251:$M$335)</f>
        <v>2662</v>
      </c>
      <c r="J447" s="246">
        <f t="shared" ref="J447:J487" si="5">+SUMIF($G$251:$G$335,B447,$O$251:$O$335)</f>
        <v>1374</v>
      </c>
      <c r="K447" s="246">
        <f>+IF(G447-H447+I447-J447&gt;0,G447-H447+I447-J447,0)</f>
        <v>2662</v>
      </c>
      <c r="L447" s="246">
        <f>+IF(G447-H447+I447-J447&lt;0,H447-G447+J447-I447,0)</f>
        <v>0</v>
      </c>
      <c r="M447" s="2620" t="s">
        <v>19</v>
      </c>
      <c r="N447" s="2620"/>
      <c r="O447" s="2620"/>
      <c r="P447" s="2620"/>
    </row>
    <row r="448" spans="1:17" x14ac:dyDescent="0.25">
      <c r="B448" s="244" t="s">
        <v>395</v>
      </c>
      <c r="C448" s="245"/>
      <c r="D448" s="245"/>
      <c r="E448" s="245"/>
      <c r="F448" s="245"/>
      <c r="G448" s="246">
        <v>0</v>
      </c>
      <c r="H448" s="246">
        <f>+'Balances CostoProd'!E23</f>
        <v>300000</v>
      </c>
      <c r="I448" s="246">
        <f t="shared" si="4"/>
        <v>0</v>
      </c>
      <c r="J448" s="246">
        <f t="shared" si="5"/>
        <v>0</v>
      </c>
      <c r="K448" s="246">
        <f t="shared" ref="K448:K487" si="6">+IF(G448-H448+I448-J448&gt;0,G448-H448+I448-J448,0)</f>
        <v>0</v>
      </c>
      <c r="L448" s="246">
        <f t="shared" ref="L448:L487" si="7">+IF(G448-H448+I448-J448&lt;0,H448-G448+J448-I448,0)</f>
        <v>300000</v>
      </c>
      <c r="M448" s="2620" t="s">
        <v>396</v>
      </c>
      <c r="N448" s="2620"/>
      <c r="O448" s="2620"/>
      <c r="P448" s="2620"/>
    </row>
    <row r="449" spans="2:16" x14ac:dyDescent="0.25">
      <c r="B449" s="244" t="s">
        <v>311</v>
      </c>
      <c r="C449" s="245"/>
      <c r="D449" s="245"/>
      <c r="E449" s="245"/>
      <c r="F449" s="245"/>
      <c r="G449" s="246">
        <f>+'Balances CostoProd'!C18</f>
        <v>48120</v>
      </c>
      <c r="H449" s="246">
        <v>0</v>
      </c>
      <c r="I449" s="246">
        <f t="shared" si="4"/>
        <v>0</v>
      </c>
      <c r="J449" s="246">
        <f t="shared" si="5"/>
        <v>43560</v>
      </c>
      <c r="K449" s="246">
        <f t="shared" si="6"/>
        <v>4560</v>
      </c>
      <c r="L449" s="246">
        <f t="shared" si="7"/>
        <v>0</v>
      </c>
      <c r="M449" s="2620" t="s">
        <v>397</v>
      </c>
      <c r="N449" s="2620"/>
      <c r="O449" s="2620"/>
      <c r="P449" s="2620"/>
    </row>
    <row r="450" spans="2:16" x14ac:dyDescent="0.25">
      <c r="B450" s="244" t="s">
        <v>10</v>
      </c>
      <c r="C450" s="245"/>
      <c r="D450" s="245"/>
      <c r="E450" s="245"/>
      <c r="F450" s="245"/>
      <c r="G450" s="246">
        <f>+'Balances CostoProd'!C17</f>
        <v>12350</v>
      </c>
      <c r="H450" s="246">
        <v>0</v>
      </c>
      <c r="I450" s="246">
        <f t="shared" si="4"/>
        <v>30000</v>
      </c>
      <c r="J450" s="246">
        <f t="shared" si="5"/>
        <v>968</v>
      </c>
      <c r="K450" s="246">
        <f t="shared" si="6"/>
        <v>41382</v>
      </c>
      <c r="L450" s="246">
        <f t="shared" si="7"/>
        <v>0</v>
      </c>
      <c r="M450" s="2620" t="s">
        <v>397</v>
      </c>
      <c r="N450" s="2620"/>
      <c r="O450" s="2620"/>
      <c r="P450" s="2620"/>
    </row>
    <row r="451" spans="2:16" x14ac:dyDescent="0.25">
      <c r="B451" s="244" t="s">
        <v>298</v>
      </c>
      <c r="C451" s="245"/>
      <c r="D451" s="245"/>
      <c r="E451" s="245"/>
      <c r="F451" s="245"/>
      <c r="G451" s="246">
        <v>0</v>
      </c>
      <c r="H451" s="246">
        <v>0</v>
      </c>
      <c r="I451" s="246">
        <f t="shared" si="4"/>
        <v>11040</v>
      </c>
      <c r="J451" s="246">
        <f t="shared" si="5"/>
        <v>2760</v>
      </c>
      <c r="K451" s="246">
        <f t="shared" si="6"/>
        <v>8280</v>
      </c>
      <c r="L451" s="246">
        <f t="shared" si="7"/>
        <v>0</v>
      </c>
      <c r="M451" s="2620" t="s">
        <v>398</v>
      </c>
      <c r="N451" s="2620"/>
      <c r="O451" s="2620"/>
      <c r="P451" s="2620"/>
    </row>
    <row r="452" spans="2:16" x14ac:dyDescent="0.25">
      <c r="B452" s="244" t="s">
        <v>314</v>
      </c>
      <c r="C452" s="245"/>
      <c r="D452" s="245"/>
      <c r="E452" s="245"/>
      <c r="F452" s="245"/>
      <c r="G452" s="246">
        <v>0</v>
      </c>
      <c r="H452" s="246">
        <v>0</v>
      </c>
      <c r="I452" s="246">
        <f t="shared" si="4"/>
        <v>920</v>
      </c>
      <c r="J452" s="246">
        <f t="shared" si="5"/>
        <v>230</v>
      </c>
      <c r="K452" s="246">
        <f t="shared" si="6"/>
        <v>690</v>
      </c>
      <c r="L452" s="246">
        <f t="shared" si="7"/>
        <v>0</v>
      </c>
      <c r="M452" s="2620" t="s">
        <v>398</v>
      </c>
      <c r="N452" s="2620"/>
      <c r="O452" s="2620"/>
      <c r="P452" s="2620"/>
    </row>
    <row r="453" spans="2:16" x14ac:dyDescent="0.25">
      <c r="B453" s="244" t="s">
        <v>289</v>
      </c>
      <c r="C453" s="245"/>
      <c r="D453" s="245"/>
      <c r="E453" s="245"/>
      <c r="F453" s="245"/>
      <c r="G453" s="246">
        <v>0</v>
      </c>
      <c r="H453" s="246">
        <v>0</v>
      </c>
      <c r="I453" s="246">
        <f t="shared" si="4"/>
        <v>0</v>
      </c>
      <c r="J453" s="246">
        <f t="shared" si="5"/>
        <v>19200</v>
      </c>
      <c r="K453" s="246">
        <f t="shared" si="6"/>
        <v>0</v>
      </c>
      <c r="L453" s="246">
        <f t="shared" si="7"/>
        <v>19200</v>
      </c>
      <c r="M453" s="2620" t="s">
        <v>399</v>
      </c>
      <c r="N453" s="2620"/>
      <c r="O453" s="2620"/>
      <c r="P453" s="2620"/>
    </row>
    <row r="454" spans="2:16" x14ac:dyDescent="0.25">
      <c r="B454" s="244" t="s">
        <v>293</v>
      </c>
      <c r="C454" s="245"/>
      <c r="D454" s="245"/>
      <c r="E454" s="245"/>
      <c r="F454" s="245"/>
      <c r="G454" s="246">
        <v>0</v>
      </c>
      <c r="H454" s="246">
        <v>0</v>
      </c>
      <c r="I454" s="246">
        <f t="shared" si="4"/>
        <v>39000</v>
      </c>
      <c r="J454" s="246">
        <f t="shared" si="5"/>
        <v>0</v>
      </c>
      <c r="K454" s="246">
        <f t="shared" si="6"/>
        <v>39000</v>
      </c>
      <c r="L454" s="246">
        <f t="shared" si="7"/>
        <v>0</v>
      </c>
      <c r="M454" s="2620" t="s">
        <v>400</v>
      </c>
      <c r="N454" s="2620"/>
      <c r="O454" s="2620"/>
      <c r="P454" s="2620"/>
    </row>
    <row r="455" spans="2:16" x14ac:dyDescent="0.25">
      <c r="B455" s="244" t="s">
        <v>102</v>
      </c>
      <c r="C455" s="245"/>
      <c r="D455" s="245"/>
      <c r="E455" s="245"/>
      <c r="F455" s="245"/>
      <c r="G455" s="246">
        <v>-7000</v>
      </c>
      <c r="H455" s="246">
        <v>0</v>
      </c>
      <c r="I455" s="246">
        <f t="shared" si="4"/>
        <v>0</v>
      </c>
      <c r="J455" s="246">
        <f t="shared" si="5"/>
        <v>700</v>
      </c>
      <c r="K455" s="246">
        <f>+G455-J455</f>
        <v>-7700</v>
      </c>
      <c r="L455" s="246">
        <v>0</v>
      </c>
      <c r="M455" s="2620" t="s">
        <v>401</v>
      </c>
      <c r="N455" s="2620"/>
      <c r="O455" s="2620"/>
      <c r="P455" s="2620"/>
    </row>
    <row r="456" spans="2:16" x14ac:dyDescent="0.25">
      <c r="B456" s="244" t="s">
        <v>106</v>
      </c>
      <c r="C456" s="245"/>
      <c r="D456" s="245"/>
      <c r="E456" s="245"/>
      <c r="F456" s="245"/>
      <c r="G456" s="246">
        <v>-1200</v>
      </c>
      <c r="H456" s="246">
        <v>0</v>
      </c>
      <c r="I456" s="246">
        <f t="shared" si="4"/>
        <v>0</v>
      </c>
      <c r="J456" s="246">
        <f t="shared" si="5"/>
        <v>225</v>
      </c>
      <c r="K456" s="246">
        <f>+G456-J456</f>
        <v>-1425</v>
      </c>
      <c r="L456" s="246">
        <v>0</v>
      </c>
      <c r="M456" s="2620" t="s">
        <v>401</v>
      </c>
      <c r="N456" s="2620"/>
      <c r="O456" s="2620"/>
      <c r="P456" s="2620"/>
    </row>
    <row r="457" spans="2:16" x14ac:dyDescent="0.25">
      <c r="B457" s="244" t="s">
        <v>100</v>
      </c>
      <c r="C457" s="245"/>
      <c r="D457" s="245"/>
      <c r="E457" s="245"/>
      <c r="F457" s="245"/>
      <c r="G457" s="246">
        <v>0</v>
      </c>
      <c r="H457" s="246">
        <v>0</v>
      </c>
      <c r="I457" s="246">
        <f t="shared" si="4"/>
        <v>700</v>
      </c>
      <c r="J457" s="246">
        <f t="shared" si="5"/>
        <v>315</v>
      </c>
      <c r="K457" s="246">
        <f t="shared" si="6"/>
        <v>385</v>
      </c>
      <c r="L457" s="246">
        <f t="shared" si="7"/>
        <v>0</v>
      </c>
      <c r="M457" s="2620" t="s">
        <v>398</v>
      </c>
      <c r="N457" s="2620"/>
      <c r="O457" s="2620"/>
      <c r="P457" s="2620"/>
    </row>
    <row r="458" spans="2:16" x14ac:dyDescent="0.25">
      <c r="B458" s="244" t="s">
        <v>209</v>
      </c>
      <c r="C458" s="245"/>
      <c r="D458" s="245"/>
      <c r="E458" s="245"/>
      <c r="F458" s="245"/>
      <c r="G458" s="246">
        <v>0</v>
      </c>
      <c r="H458" s="246">
        <v>0</v>
      </c>
      <c r="I458" s="246">
        <f t="shared" si="4"/>
        <v>225</v>
      </c>
      <c r="J458" s="246">
        <f t="shared" si="5"/>
        <v>225</v>
      </c>
      <c r="K458" s="246">
        <f t="shared" si="6"/>
        <v>0</v>
      </c>
      <c r="L458" s="246">
        <f t="shared" si="7"/>
        <v>0</v>
      </c>
      <c r="M458" s="2620" t="s">
        <v>398</v>
      </c>
      <c r="N458" s="2620"/>
      <c r="O458" s="2620"/>
      <c r="P458" s="2620"/>
    </row>
    <row r="459" spans="2:16" x14ac:dyDescent="0.25">
      <c r="B459" s="244" t="s">
        <v>0</v>
      </c>
      <c r="C459" s="245"/>
      <c r="D459" s="245"/>
      <c r="E459" s="245"/>
      <c r="F459" s="245"/>
      <c r="G459" s="246">
        <v>0</v>
      </c>
      <c r="H459" s="246">
        <v>0</v>
      </c>
      <c r="I459" s="246">
        <f t="shared" si="4"/>
        <v>110200</v>
      </c>
      <c r="J459" s="246">
        <f t="shared" si="5"/>
        <v>0</v>
      </c>
      <c r="K459" s="246">
        <f t="shared" si="6"/>
        <v>110200</v>
      </c>
      <c r="L459" s="246">
        <f t="shared" si="7"/>
        <v>0</v>
      </c>
      <c r="M459" s="2620" t="s">
        <v>403</v>
      </c>
      <c r="N459" s="2620"/>
      <c r="O459" s="2620"/>
      <c r="P459" s="2620"/>
    </row>
    <row r="460" spans="2:16" x14ac:dyDescent="0.25">
      <c r="B460" s="244" t="s">
        <v>6</v>
      </c>
      <c r="C460" s="245"/>
      <c r="D460" s="245"/>
      <c r="E460" s="245"/>
      <c r="F460" s="245"/>
      <c r="G460" s="246">
        <v>0</v>
      </c>
      <c r="H460" s="246">
        <v>0</v>
      </c>
      <c r="I460" s="246">
        <f t="shared" si="4"/>
        <v>0</v>
      </c>
      <c r="J460" s="246">
        <f t="shared" si="5"/>
        <v>10726</v>
      </c>
      <c r="K460" s="246">
        <f t="shared" si="6"/>
        <v>0</v>
      </c>
      <c r="L460" s="246">
        <f t="shared" si="7"/>
        <v>10726</v>
      </c>
      <c r="M460" s="2620" t="s">
        <v>404</v>
      </c>
      <c r="N460" s="2620"/>
      <c r="O460" s="2620"/>
      <c r="P460" s="2620"/>
    </row>
    <row r="461" spans="2:16" x14ac:dyDescent="0.25">
      <c r="B461" s="244" t="s">
        <v>405</v>
      </c>
      <c r="C461" s="245"/>
      <c r="D461" s="245"/>
      <c r="E461" s="245"/>
      <c r="F461" s="245"/>
      <c r="G461" s="246">
        <v>420000</v>
      </c>
      <c r="H461" s="246">
        <v>0</v>
      </c>
      <c r="I461" s="246">
        <f t="shared" si="4"/>
        <v>0</v>
      </c>
      <c r="J461" s="246">
        <f t="shared" si="5"/>
        <v>0</v>
      </c>
      <c r="K461" s="246">
        <f t="shared" si="6"/>
        <v>420000</v>
      </c>
      <c r="L461" s="246">
        <f t="shared" si="7"/>
        <v>0</v>
      </c>
      <c r="M461" s="2620" t="s">
        <v>401</v>
      </c>
      <c r="N461" s="2620"/>
      <c r="O461" s="2620"/>
      <c r="P461" s="2620"/>
    </row>
    <row r="462" spans="2:16" x14ac:dyDescent="0.25">
      <c r="B462" s="244" t="s">
        <v>316</v>
      </c>
      <c r="C462" s="245"/>
      <c r="D462" s="245"/>
      <c r="E462" s="245"/>
      <c r="F462" s="245"/>
      <c r="G462" s="246">
        <v>0</v>
      </c>
      <c r="H462" s="246">
        <v>0</v>
      </c>
      <c r="I462" s="246">
        <f t="shared" si="4"/>
        <v>1290</v>
      </c>
      <c r="J462" s="246">
        <f t="shared" si="5"/>
        <v>645</v>
      </c>
      <c r="K462" s="246">
        <f t="shared" si="6"/>
        <v>645</v>
      </c>
      <c r="L462" s="246">
        <f t="shared" si="7"/>
        <v>0</v>
      </c>
      <c r="M462" s="2620" t="s">
        <v>398</v>
      </c>
      <c r="N462" s="2620"/>
      <c r="O462" s="2620"/>
      <c r="P462" s="2620"/>
    </row>
    <row r="463" spans="2:16" x14ac:dyDescent="0.25">
      <c r="B463" s="244" t="s">
        <v>319</v>
      </c>
      <c r="C463" s="245"/>
      <c r="D463" s="245"/>
      <c r="E463" s="245"/>
      <c r="F463" s="245"/>
      <c r="G463" s="246">
        <v>0</v>
      </c>
      <c r="H463" s="246">
        <v>0</v>
      </c>
      <c r="I463" s="246">
        <f t="shared" si="4"/>
        <v>200</v>
      </c>
      <c r="J463" s="246">
        <f t="shared" si="5"/>
        <v>0</v>
      </c>
      <c r="K463" s="246">
        <f t="shared" si="6"/>
        <v>200</v>
      </c>
      <c r="L463" s="246">
        <f t="shared" si="7"/>
        <v>0</v>
      </c>
      <c r="M463" s="2620" t="s">
        <v>402</v>
      </c>
      <c r="N463" s="2620"/>
      <c r="O463" s="2620"/>
      <c r="P463" s="2620"/>
    </row>
    <row r="464" spans="2:16" x14ac:dyDescent="0.25">
      <c r="B464" s="244" t="s">
        <v>299</v>
      </c>
      <c r="C464" s="245"/>
      <c r="D464" s="245"/>
      <c r="E464" s="245"/>
      <c r="F464" s="245"/>
      <c r="G464" s="246">
        <v>0</v>
      </c>
      <c r="H464" s="246">
        <v>0</v>
      </c>
      <c r="I464" s="246">
        <f t="shared" si="4"/>
        <v>500</v>
      </c>
      <c r="J464" s="246">
        <f t="shared" si="5"/>
        <v>0</v>
      </c>
      <c r="K464" s="246">
        <f t="shared" si="6"/>
        <v>500</v>
      </c>
      <c r="L464" s="246">
        <f t="shared" si="7"/>
        <v>0</v>
      </c>
      <c r="M464" s="2620" t="s">
        <v>402</v>
      </c>
      <c r="N464" s="2620"/>
      <c r="O464" s="2620"/>
      <c r="P464" s="2620"/>
    </row>
    <row r="465" spans="2:16" x14ac:dyDescent="0.25">
      <c r="B465" s="244" t="s">
        <v>317</v>
      </c>
      <c r="C465" s="245"/>
      <c r="D465" s="245"/>
      <c r="E465" s="245"/>
      <c r="F465" s="245"/>
      <c r="G465" s="246">
        <v>0</v>
      </c>
      <c r="H465" s="246">
        <v>0</v>
      </c>
      <c r="I465" s="246">
        <f t="shared" si="4"/>
        <v>8500</v>
      </c>
      <c r="J465" s="246">
        <f t="shared" si="5"/>
        <v>2125</v>
      </c>
      <c r="K465" s="246">
        <f t="shared" si="6"/>
        <v>6375</v>
      </c>
      <c r="L465" s="246">
        <f t="shared" si="7"/>
        <v>0</v>
      </c>
      <c r="M465" s="2620" t="s">
        <v>398</v>
      </c>
      <c r="N465" s="2620"/>
      <c r="O465" s="2620"/>
      <c r="P465" s="2620"/>
    </row>
    <row r="466" spans="2:16" x14ac:dyDescent="0.25">
      <c r="B466" s="244" t="s">
        <v>318</v>
      </c>
      <c r="C466" s="245"/>
      <c r="D466" s="245"/>
      <c r="E466" s="245"/>
      <c r="F466" s="245"/>
      <c r="G466" s="246">
        <v>0</v>
      </c>
      <c r="H466" s="246">
        <v>0</v>
      </c>
      <c r="I466" s="246">
        <f t="shared" si="4"/>
        <v>0</v>
      </c>
      <c r="J466" s="246">
        <f t="shared" si="5"/>
        <v>605</v>
      </c>
      <c r="K466" s="246">
        <f t="shared" si="6"/>
        <v>0</v>
      </c>
      <c r="L466" s="246">
        <f t="shared" si="7"/>
        <v>605</v>
      </c>
      <c r="M466" s="2620" t="s">
        <v>406</v>
      </c>
      <c r="N466" s="2620"/>
      <c r="O466" s="2620"/>
      <c r="P466" s="2620"/>
    </row>
    <row r="467" spans="2:16" x14ac:dyDescent="0.25">
      <c r="B467" s="244" t="s">
        <v>143</v>
      </c>
      <c r="C467" s="245"/>
      <c r="D467" s="245"/>
      <c r="E467" s="245"/>
      <c r="F467" s="245"/>
      <c r="G467" s="246">
        <v>0</v>
      </c>
      <c r="H467" s="246">
        <v>0</v>
      </c>
      <c r="I467" s="246">
        <f t="shared" si="4"/>
        <v>600</v>
      </c>
      <c r="J467" s="246">
        <f t="shared" si="5"/>
        <v>200</v>
      </c>
      <c r="K467" s="246">
        <v>0</v>
      </c>
      <c r="L467" s="246">
        <f>-I467+J467</f>
        <v>-400</v>
      </c>
      <c r="M467" s="2620" t="s">
        <v>404</v>
      </c>
      <c r="N467" s="2620"/>
      <c r="O467" s="2620"/>
      <c r="P467" s="2620"/>
    </row>
    <row r="468" spans="2:16" x14ac:dyDescent="0.25">
      <c r="B468" s="244" t="s">
        <v>13</v>
      </c>
      <c r="C468" s="245"/>
      <c r="D468" s="245"/>
      <c r="E468" s="245"/>
      <c r="F468" s="245"/>
      <c r="G468" s="246">
        <v>0</v>
      </c>
      <c r="H468" s="246">
        <v>0</v>
      </c>
      <c r="I468" s="246">
        <f t="shared" si="4"/>
        <v>11718</v>
      </c>
      <c r="J468" s="246">
        <f t="shared" si="5"/>
        <v>11718</v>
      </c>
      <c r="K468" s="246">
        <f t="shared" si="6"/>
        <v>0</v>
      </c>
      <c r="L468" s="246">
        <f t="shared" si="7"/>
        <v>0</v>
      </c>
      <c r="M468" s="2620" t="s">
        <v>407</v>
      </c>
      <c r="N468" s="2620"/>
      <c r="O468" s="2620"/>
      <c r="P468" s="2620"/>
    </row>
    <row r="469" spans="2:16" x14ac:dyDescent="0.25">
      <c r="B469" s="244" t="s">
        <v>12</v>
      </c>
      <c r="C469" s="245"/>
      <c r="D469" s="245"/>
      <c r="E469" s="245"/>
      <c r="F469" s="245"/>
      <c r="G469" s="246">
        <v>0</v>
      </c>
      <c r="H469" s="246">
        <v>0</v>
      </c>
      <c r="I469" s="246">
        <f t="shared" si="4"/>
        <v>25200</v>
      </c>
      <c r="J469" s="246">
        <f t="shared" si="5"/>
        <v>25200</v>
      </c>
      <c r="K469" s="246">
        <f t="shared" si="6"/>
        <v>0</v>
      </c>
      <c r="L469" s="246">
        <f t="shared" si="7"/>
        <v>0</v>
      </c>
      <c r="M469" s="2620" t="s">
        <v>399</v>
      </c>
      <c r="N469" s="2620"/>
      <c r="O469" s="2620"/>
      <c r="P469" s="2620"/>
    </row>
    <row r="470" spans="2:16" x14ac:dyDescent="0.25">
      <c r="B470" s="244" t="s">
        <v>324</v>
      </c>
      <c r="C470" s="245"/>
      <c r="D470" s="245"/>
      <c r="E470" s="245"/>
      <c r="F470" s="245"/>
      <c r="G470" s="246">
        <v>0</v>
      </c>
      <c r="H470" s="246">
        <v>0</v>
      </c>
      <c r="I470" s="246">
        <f t="shared" si="4"/>
        <v>0</v>
      </c>
      <c r="J470" s="246">
        <f t="shared" si="5"/>
        <v>13944</v>
      </c>
      <c r="K470" s="246">
        <f t="shared" si="6"/>
        <v>0</v>
      </c>
      <c r="L470" s="246">
        <f t="shared" si="7"/>
        <v>13944</v>
      </c>
      <c r="M470" s="2620" t="s">
        <v>399</v>
      </c>
      <c r="N470" s="2620"/>
      <c r="O470" s="2620"/>
      <c r="P470" s="2620"/>
    </row>
    <row r="471" spans="2:16" x14ac:dyDescent="0.25">
      <c r="B471" s="244" t="s">
        <v>29</v>
      </c>
      <c r="C471" s="245"/>
      <c r="D471" s="245"/>
      <c r="E471" s="245"/>
      <c r="F471" s="245"/>
      <c r="G471" s="246">
        <v>50000</v>
      </c>
      <c r="H471" s="246">
        <v>0</v>
      </c>
      <c r="I471" s="246">
        <f t="shared" si="4"/>
        <v>0</v>
      </c>
      <c r="J471" s="246">
        <f t="shared" si="5"/>
        <v>0</v>
      </c>
      <c r="K471" s="246">
        <f t="shared" si="6"/>
        <v>50000</v>
      </c>
      <c r="L471" s="246">
        <f t="shared" si="7"/>
        <v>0</v>
      </c>
      <c r="M471" s="2620" t="s">
        <v>401</v>
      </c>
      <c r="N471" s="2620"/>
      <c r="O471" s="2620"/>
      <c r="P471" s="2620"/>
    </row>
    <row r="472" spans="2:16" x14ac:dyDescent="0.25">
      <c r="B472" s="244" t="s">
        <v>278</v>
      </c>
      <c r="C472" s="245"/>
      <c r="D472" s="245"/>
      <c r="E472" s="245"/>
      <c r="F472" s="245"/>
      <c r="G472" s="246">
        <f>+'Balances CostoProd'!C19</f>
        <v>6000</v>
      </c>
      <c r="H472" s="246">
        <v>0</v>
      </c>
      <c r="I472" s="246">
        <f t="shared" si="4"/>
        <v>45400</v>
      </c>
      <c r="J472" s="246">
        <f t="shared" si="5"/>
        <v>37900</v>
      </c>
      <c r="K472" s="246">
        <f t="shared" si="6"/>
        <v>13500</v>
      </c>
      <c r="L472" s="246">
        <f t="shared" si="7"/>
        <v>0</v>
      </c>
      <c r="M472" s="2620" t="s">
        <v>19</v>
      </c>
      <c r="N472" s="2620"/>
      <c r="O472" s="2620"/>
      <c r="P472" s="2620"/>
    </row>
    <row r="473" spans="2:16" x14ac:dyDescent="0.25">
      <c r="B473" s="244" t="s">
        <v>408</v>
      </c>
      <c r="C473" s="245"/>
      <c r="D473" s="245"/>
      <c r="E473" s="245"/>
      <c r="F473" s="245"/>
      <c r="G473" s="246">
        <v>0</v>
      </c>
      <c r="H473" s="246">
        <f>+'Balances CostoProd'!E20</f>
        <v>125000</v>
      </c>
      <c r="I473" s="246">
        <f t="shared" si="4"/>
        <v>0</v>
      </c>
      <c r="J473" s="246">
        <f t="shared" si="5"/>
        <v>0</v>
      </c>
      <c r="K473" s="246">
        <f t="shared" si="6"/>
        <v>0</v>
      </c>
      <c r="L473" s="246">
        <f t="shared" si="7"/>
        <v>125000</v>
      </c>
      <c r="M473" s="2620" t="s">
        <v>406</v>
      </c>
      <c r="N473" s="2620"/>
      <c r="O473" s="2620"/>
      <c r="P473" s="2620"/>
    </row>
    <row r="474" spans="2:16" x14ac:dyDescent="0.25">
      <c r="B474" s="244" t="s">
        <v>283</v>
      </c>
      <c r="C474" s="245"/>
      <c r="D474" s="245"/>
      <c r="E474" s="245"/>
      <c r="F474" s="245"/>
      <c r="G474" s="246">
        <v>0</v>
      </c>
      <c r="H474" s="246">
        <v>0</v>
      </c>
      <c r="I474" s="246">
        <f t="shared" si="4"/>
        <v>65000</v>
      </c>
      <c r="J474" s="246">
        <f t="shared" si="5"/>
        <v>65000</v>
      </c>
      <c r="K474" s="246">
        <f t="shared" si="6"/>
        <v>0</v>
      </c>
      <c r="L474" s="246">
        <f t="shared" si="7"/>
        <v>0</v>
      </c>
      <c r="M474" s="2620" t="s">
        <v>19</v>
      </c>
      <c r="N474" s="2620"/>
      <c r="O474" s="2620"/>
      <c r="P474" s="2620"/>
    </row>
    <row r="475" spans="2:16" x14ac:dyDescent="0.25">
      <c r="B475" s="244" t="s">
        <v>291</v>
      </c>
      <c r="C475" s="245"/>
      <c r="D475" s="245"/>
      <c r="E475" s="245"/>
      <c r="F475" s="245"/>
      <c r="G475" s="246">
        <v>0</v>
      </c>
      <c r="H475" s="246">
        <v>0</v>
      </c>
      <c r="I475" s="246">
        <f t="shared" si="4"/>
        <v>62400</v>
      </c>
      <c r="J475" s="246">
        <f t="shared" si="5"/>
        <v>39000</v>
      </c>
      <c r="K475" s="246">
        <f t="shared" si="6"/>
        <v>23400</v>
      </c>
      <c r="L475" s="246">
        <f t="shared" si="7"/>
        <v>0</v>
      </c>
      <c r="M475" s="2620" t="s">
        <v>19</v>
      </c>
      <c r="N475" s="2620"/>
      <c r="O475" s="2620"/>
      <c r="P475" s="2620"/>
    </row>
    <row r="476" spans="2:16" x14ac:dyDescent="0.25">
      <c r="B476" s="244" t="s">
        <v>322</v>
      </c>
      <c r="C476" s="245"/>
      <c r="D476" s="245"/>
      <c r="E476" s="245"/>
      <c r="F476" s="245"/>
      <c r="G476" s="246">
        <v>0</v>
      </c>
      <c r="H476" s="246">
        <v>0</v>
      </c>
      <c r="I476" s="246">
        <f t="shared" si="4"/>
        <v>2600</v>
      </c>
      <c r="J476" s="246">
        <f t="shared" si="5"/>
        <v>0</v>
      </c>
      <c r="K476" s="246">
        <f t="shared" si="6"/>
        <v>2600</v>
      </c>
      <c r="L476" s="246">
        <f t="shared" si="7"/>
        <v>0</v>
      </c>
      <c r="M476" s="2620" t="s">
        <v>409</v>
      </c>
      <c r="N476" s="2620"/>
      <c r="O476" s="2620"/>
      <c r="P476" s="2620"/>
    </row>
    <row r="477" spans="2:16" x14ac:dyDescent="0.25">
      <c r="B477" s="244" t="s">
        <v>2</v>
      </c>
      <c r="C477" s="245"/>
      <c r="D477" s="245"/>
      <c r="E477" s="245"/>
      <c r="F477" s="245"/>
      <c r="G477" s="246">
        <v>0</v>
      </c>
      <c r="H477" s="246">
        <f>+'Balances CostoProd'!E17</f>
        <v>21000</v>
      </c>
      <c r="I477" s="246">
        <f t="shared" si="4"/>
        <v>0</v>
      </c>
      <c r="J477" s="246">
        <f t="shared" si="5"/>
        <v>0</v>
      </c>
      <c r="K477" s="246">
        <f t="shared" si="6"/>
        <v>0</v>
      </c>
      <c r="L477" s="246">
        <f t="shared" si="7"/>
        <v>21000</v>
      </c>
      <c r="M477" s="2620" t="s">
        <v>404</v>
      </c>
      <c r="N477" s="2620"/>
      <c r="O477" s="2620"/>
      <c r="P477" s="2620"/>
    </row>
    <row r="478" spans="2:16" x14ac:dyDescent="0.25">
      <c r="B478" s="244" t="s">
        <v>235</v>
      </c>
      <c r="C478" s="245"/>
      <c r="D478" s="245"/>
      <c r="E478" s="245"/>
      <c r="F478" s="245"/>
      <c r="G478" s="246">
        <v>0</v>
      </c>
      <c r="H478" s="246">
        <v>0</v>
      </c>
      <c r="I478" s="246">
        <f t="shared" si="4"/>
        <v>0</v>
      </c>
      <c r="J478" s="246">
        <f t="shared" si="5"/>
        <v>10285</v>
      </c>
      <c r="K478" s="246">
        <f t="shared" si="6"/>
        <v>0</v>
      </c>
      <c r="L478" s="246">
        <f t="shared" si="7"/>
        <v>10285</v>
      </c>
      <c r="M478" s="2620" t="s">
        <v>404</v>
      </c>
      <c r="N478" s="2620"/>
      <c r="O478" s="2620"/>
      <c r="P478" s="2620"/>
    </row>
    <row r="479" spans="2:16" x14ac:dyDescent="0.25">
      <c r="B479" s="244" t="s">
        <v>309</v>
      </c>
      <c r="C479" s="245"/>
      <c r="D479" s="245"/>
      <c r="E479" s="245"/>
      <c r="F479" s="245"/>
      <c r="G479" s="246">
        <v>0</v>
      </c>
      <c r="H479" s="246">
        <f>+'Balances CostoProd'!E18</f>
        <v>900</v>
      </c>
      <c r="I479" s="246">
        <f t="shared" si="4"/>
        <v>900</v>
      </c>
      <c r="J479" s="246">
        <f t="shared" si="5"/>
        <v>1290</v>
      </c>
      <c r="K479" s="246">
        <f t="shared" si="6"/>
        <v>0</v>
      </c>
      <c r="L479" s="246">
        <f t="shared" si="7"/>
        <v>1290</v>
      </c>
      <c r="M479" s="2620" t="s">
        <v>404</v>
      </c>
      <c r="N479" s="2620"/>
      <c r="O479" s="2620"/>
      <c r="P479" s="2620"/>
    </row>
    <row r="480" spans="2:16" x14ac:dyDescent="0.25">
      <c r="B480" s="244" t="s">
        <v>315</v>
      </c>
      <c r="C480" s="245"/>
      <c r="D480" s="245"/>
      <c r="E480" s="245"/>
      <c r="F480" s="245"/>
      <c r="G480" s="246">
        <v>0</v>
      </c>
      <c r="H480" s="246">
        <f>+'Balances CostoProd'!E19</f>
        <v>24600</v>
      </c>
      <c r="I480" s="246">
        <f t="shared" si="4"/>
        <v>0</v>
      </c>
      <c r="J480" s="246">
        <f t="shared" si="5"/>
        <v>4920</v>
      </c>
      <c r="K480" s="246">
        <f t="shared" si="6"/>
        <v>0</v>
      </c>
      <c r="L480" s="246">
        <f t="shared" si="7"/>
        <v>29520</v>
      </c>
      <c r="M480" s="2620" t="s">
        <v>399</v>
      </c>
      <c r="N480" s="2620"/>
      <c r="O480" s="2620"/>
      <c r="P480" s="2620"/>
    </row>
    <row r="481" spans="1:17" x14ac:dyDescent="0.25">
      <c r="B481" s="244" t="s">
        <v>310</v>
      </c>
      <c r="C481" s="245"/>
      <c r="D481" s="245"/>
      <c r="E481" s="245"/>
      <c r="F481" s="245"/>
      <c r="G481" s="246">
        <v>0</v>
      </c>
      <c r="H481" s="246">
        <v>0</v>
      </c>
      <c r="I481" s="246">
        <f t="shared" si="4"/>
        <v>0</v>
      </c>
      <c r="J481" s="246">
        <f t="shared" si="5"/>
        <v>100</v>
      </c>
      <c r="K481" s="246">
        <f t="shared" si="6"/>
        <v>0</v>
      </c>
      <c r="L481" s="246">
        <f t="shared" si="7"/>
        <v>100</v>
      </c>
      <c r="M481" s="2620" t="s">
        <v>409</v>
      </c>
      <c r="N481" s="2620"/>
      <c r="O481" s="2620"/>
      <c r="P481" s="2620"/>
    </row>
    <row r="482" spans="1:17" x14ac:dyDescent="0.25">
      <c r="B482" s="244" t="s">
        <v>7</v>
      </c>
      <c r="C482" s="245"/>
      <c r="D482" s="245"/>
      <c r="E482" s="245"/>
      <c r="F482" s="245"/>
      <c r="G482" s="246">
        <v>0</v>
      </c>
      <c r="H482" s="246">
        <f>+'Balances CostoProd'!E24</f>
        <v>58144</v>
      </c>
      <c r="I482" s="246">
        <f t="shared" si="4"/>
        <v>0</v>
      </c>
      <c r="J482" s="246">
        <f t="shared" si="5"/>
        <v>0</v>
      </c>
      <c r="K482" s="246">
        <f t="shared" si="6"/>
        <v>0</v>
      </c>
      <c r="L482" s="246">
        <f t="shared" si="7"/>
        <v>58144</v>
      </c>
      <c r="M482" s="2620" t="s">
        <v>396</v>
      </c>
      <c r="N482" s="2620"/>
      <c r="O482" s="2620"/>
      <c r="P482" s="2620"/>
    </row>
    <row r="483" spans="1:17" x14ac:dyDescent="0.25">
      <c r="B483" s="244" t="s">
        <v>313</v>
      </c>
      <c r="C483" s="245"/>
      <c r="D483" s="245"/>
      <c r="E483" s="245"/>
      <c r="F483" s="245"/>
      <c r="G483" s="246">
        <v>0</v>
      </c>
      <c r="H483" s="246">
        <v>0</v>
      </c>
      <c r="I483" s="246">
        <f t="shared" si="4"/>
        <v>4000</v>
      </c>
      <c r="J483" s="246">
        <f t="shared" si="5"/>
        <v>1000</v>
      </c>
      <c r="K483" s="246">
        <f t="shared" si="6"/>
        <v>3000</v>
      </c>
      <c r="L483" s="246">
        <f t="shared" si="7"/>
        <v>0</v>
      </c>
      <c r="M483" s="2620" t="s">
        <v>398</v>
      </c>
      <c r="N483" s="2620"/>
      <c r="O483" s="2620"/>
      <c r="P483" s="2620"/>
    </row>
    <row r="484" spans="1:17" x14ac:dyDescent="0.25">
      <c r="B484" s="244" t="s">
        <v>297</v>
      </c>
      <c r="C484" s="245"/>
      <c r="D484" s="245"/>
      <c r="E484" s="245"/>
      <c r="F484" s="245"/>
      <c r="G484" s="246">
        <v>0</v>
      </c>
      <c r="H484" s="246">
        <v>0</v>
      </c>
      <c r="I484" s="246">
        <f t="shared" si="4"/>
        <v>58000</v>
      </c>
      <c r="J484" s="246">
        <f t="shared" si="5"/>
        <v>22000</v>
      </c>
      <c r="K484" s="246">
        <f t="shared" si="6"/>
        <v>36000</v>
      </c>
      <c r="L484" s="246">
        <f t="shared" si="7"/>
        <v>0</v>
      </c>
      <c r="M484" s="2620" t="s">
        <v>398</v>
      </c>
      <c r="N484" s="2620"/>
      <c r="O484" s="2620"/>
      <c r="P484" s="2620"/>
    </row>
    <row r="485" spans="1:17" x14ac:dyDescent="0.25">
      <c r="B485" s="244" t="s">
        <v>288</v>
      </c>
      <c r="C485" s="245"/>
      <c r="D485" s="245"/>
      <c r="E485" s="245"/>
      <c r="F485" s="245"/>
      <c r="G485" s="246">
        <v>0</v>
      </c>
      <c r="H485" s="246">
        <v>0</v>
      </c>
      <c r="I485" s="246">
        <f t="shared" si="4"/>
        <v>0</v>
      </c>
      <c r="J485" s="246">
        <f t="shared" si="5"/>
        <v>49840</v>
      </c>
      <c r="K485" s="246">
        <f t="shared" si="6"/>
        <v>0</v>
      </c>
      <c r="L485" s="246">
        <f t="shared" si="7"/>
        <v>49840</v>
      </c>
      <c r="M485" s="2620" t="s">
        <v>399</v>
      </c>
      <c r="N485" s="2620"/>
      <c r="O485" s="2620"/>
      <c r="P485" s="2620"/>
    </row>
    <row r="486" spans="1:17" x14ac:dyDescent="0.25">
      <c r="B486" s="244" t="s">
        <v>227</v>
      </c>
      <c r="C486" s="245"/>
      <c r="D486" s="245"/>
      <c r="E486" s="245"/>
      <c r="F486" s="245"/>
      <c r="G486" s="246">
        <v>0</v>
      </c>
      <c r="H486" s="246">
        <v>0</v>
      </c>
      <c r="I486" s="246">
        <f t="shared" si="4"/>
        <v>5000</v>
      </c>
      <c r="J486" s="246">
        <f t="shared" si="5"/>
        <v>0</v>
      </c>
      <c r="K486" s="246">
        <f t="shared" si="6"/>
        <v>5000</v>
      </c>
      <c r="L486" s="246">
        <f t="shared" si="7"/>
        <v>0</v>
      </c>
      <c r="M486" s="2620" t="s">
        <v>397</v>
      </c>
      <c r="N486" s="2620"/>
      <c r="O486" s="2620"/>
      <c r="P486" s="2620"/>
    </row>
    <row r="487" spans="1:17" x14ac:dyDescent="0.25">
      <c r="B487" s="247" t="s">
        <v>3</v>
      </c>
      <c r="C487" s="248"/>
      <c r="D487" s="248"/>
      <c r="E487" s="248"/>
      <c r="F487" s="248"/>
      <c r="G487" s="246">
        <v>0</v>
      </c>
      <c r="H487" s="246">
        <v>0</v>
      </c>
      <c r="I487" s="246">
        <f t="shared" si="4"/>
        <v>0</v>
      </c>
      <c r="J487" s="246">
        <f t="shared" si="5"/>
        <v>120000</v>
      </c>
      <c r="K487" s="246">
        <f t="shared" si="6"/>
        <v>0</v>
      </c>
      <c r="L487" s="246">
        <f t="shared" si="7"/>
        <v>120000</v>
      </c>
      <c r="M487" s="2620" t="s">
        <v>3</v>
      </c>
      <c r="N487" s="2620"/>
      <c r="O487" s="2620"/>
      <c r="P487" s="2620"/>
    </row>
    <row r="488" spans="1:17" x14ac:dyDescent="0.25">
      <c r="G488" s="249"/>
      <c r="H488" s="250"/>
      <c r="I488" s="251"/>
      <c r="J488" s="251"/>
      <c r="K488" s="250"/>
      <c r="L488" s="252"/>
      <c r="M488" s="2"/>
    </row>
    <row r="489" spans="1:17" x14ac:dyDescent="0.25">
      <c r="B489" s="253" t="s">
        <v>410</v>
      </c>
      <c r="C489" s="254"/>
      <c r="D489" s="254"/>
      <c r="E489" s="254"/>
      <c r="F489" s="254"/>
      <c r="G489" s="255">
        <f t="shared" ref="G489:L489" si="8">+SUM(G447:G487)</f>
        <v>529644</v>
      </c>
      <c r="H489" s="255">
        <f t="shared" si="8"/>
        <v>529644</v>
      </c>
      <c r="I489" s="255">
        <f t="shared" si="8"/>
        <v>486055</v>
      </c>
      <c r="J489" s="255">
        <f t="shared" si="8"/>
        <v>486055</v>
      </c>
      <c r="K489" s="255">
        <f t="shared" si="8"/>
        <v>759254</v>
      </c>
      <c r="L489" s="256">
        <f t="shared" si="8"/>
        <v>759254</v>
      </c>
      <c r="M489" s="2"/>
      <c r="N489" s="257"/>
    </row>
    <row r="490" spans="1:17" x14ac:dyDescent="0.25">
      <c r="A490" s="4"/>
      <c r="B490" s="189"/>
      <c r="G490" s="51"/>
      <c r="H490" s="935"/>
      <c r="I490" s="936"/>
      <c r="J490" s="936"/>
      <c r="K490" s="937"/>
      <c r="L490" s="936"/>
      <c r="M490" s="938"/>
      <c r="N490" s="18"/>
      <c r="O490" s="18"/>
      <c r="P490" s="18"/>
      <c r="Q490" s="4"/>
    </row>
    <row r="491" spans="1:17" s="4" customFormat="1" x14ac:dyDescent="0.25">
      <c r="B491" s="189"/>
      <c r="C491" s="12"/>
      <c r="D491" s="12"/>
      <c r="E491" s="12"/>
      <c r="F491" s="12"/>
      <c r="G491" s="51"/>
      <c r="H491" s="935"/>
      <c r="I491" s="936"/>
      <c r="J491" s="936"/>
      <c r="K491" s="936"/>
      <c r="L491" s="936"/>
      <c r="M491" s="938"/>
      <c r="N491" s="18"/>
      <c r="O491" s="18"/>
      <c r="P491" s="18"/>
    </row>
    <row r="492" spans="1:17" x14ac:dyDescent="0.25">
      <c r="B492" s="6" t="s">
        <v>411</v>
      </c>
      <c r="C492" s="258" t="s">
        <v>412</v>
      </c>
    </row>
    <row r="494" spans="1:17" x14ac:dyDescent="0.25">
      <c r="D494" s="112" t="s">
        <v>413</v>
      </c>
      <c r="E494" s="4"/>
      <c r="F494" s="4"/>
      <c r="G494" s="259"/>
      <c r="H494" s="259"/>
    </row>
    <row r="495" spans="1:17" x14ac:dyDescent="0.25">
      <c r="D495" s="4"/>
      <c r="E495" s="4"/>
      <c r="F495" s="4"/>
      <c r="G495" s="259"/>
      <c r="H495" s="259"/>
    </row>
    <row r="496" spans="1:17" x14ac:dyDescent="0.25">
      <c r="D496" s="156" t="s">
        <v>3</v>
      </c>
      <c r="E496" s="1"/>
      <c r="F496" s="1"/>
      <c r="G496" s="260"/>
      <c r="H496" s="23"/>
      <c r="I496" s="1"/>
      <c r="J496" s="2621">
        <f>+L487</f>
        <v>120000</v>
      </c>
      <c r="K496" s="2622"/>
    </row>
    <row r="497" spans="3:15" x14ac:dyDescent="0.25">
      <c r="D497" s="8" t="s">
        <v>400</v>
      </c>
      <c r="E497" s="4"/>
      <c r="F497" s="4"/>
      <c r="G497" s="261"/>
      <c r="H497" s="51"/>
      <c r="I497" s="4"/>
      <c r="J497" s="2616">
        <f>-+K454</f>
        <v>-39000</v>
      </c>
      <c r="K497" s="2617"/>
    </row>
    <row r="498" spans="3:15" x14ac:dyDescent="0.25">
      <c r="D498" s="262" t="s">
        <v>414</v>
      </c>
      <c r="E498" s="263"/>
      <c r="F498" s="263"/>
      <c r="G498" s="264"/>
      <c r="H498" s="265"/>
      <c r="I498" s="263"/>
      <c r="J498" s="2623">
        <f>+J496+J497</f>
        <v>81000</v>
      </c>
      <c r="K498" s="2624"/>
    </row>
    <row r="499" spans="3:15" x14ac:dyDescent="0.25">
      <c r="D499" s="8" t="s">
        <v>415</v>
      </c>
      <c r="E499" s="4"/>
      <c r="F499" s="4"/>
      <c r="G499" s="261"/>
      <c r="H499" s="51"/>
      <c r="I499" s="4"/>
      <c r="J499" s="2616">
        <f>-+K417</f>
        <v>-18513</v>
      </c>
      <c r="K499" s="2617"/>
      <c r="L499" s="266" t="s">
        <v>416</v>
      </c>
    </row>
    <row r="500" spans="3:15" x14ac:dyDescent="0.25">
      <c r="D500" s="8" t="s">
        <v>417</v>
      </c>
      <c r="E500" s="4"/>
      <c r="F500" s="4"/>
      <c r="G500" s="261"/>
      <c r="H500" s="51"/>
      <c r="I500" s="4"/>
      <c r="J500" s="2616">
        <f>-N417</f>
        <v>-36862</v>
      </c>
      <c r="K500" s="2617"/>
      <c r="L500" s="266" t="s">
        <v>416</v>
      </c>
    </row>
    <row r="501" spans="3:15" x14ac:dyDescent="0.25">
      <c r="D501" s="8" t="s">
        <v>409</v>
      </c>
      <c r="E501" s="4"/>
      <c r="F501" s="4"/>
      <c r="G501" s="261"/>
      <c r="H501" s="51"/>
      <c r="I501" s="4"/>
      <c r="J501" s="2612">
        <f>-K476+L481</f>
        <v>-2500</v>
      </c>
      <c r="K501" s="2613"/>
      <c r="L501" s="75"/>
    </row>
    <row r="502" spans="3:15" x14ac:dyDescent="0.25">
      <c r="D502" s="262" t="s">
        <v>418</v>
      </c>
      <c r="E502" s="263"/>
      <c r="F502" s="263"/>
      <c r="G502" s="264"/>
      <c r="H502" s="265"/>
      <c r="I502" s="263"/>
      <c r="J502" s="2614">
        <f>+SUM(J498:K501)</f>
        <v>23125</v>
      </c>
      <c r="K502" s="2615"/>
    </row>
    <row r="503" spans="3:15" x14ac:dyDescent="0.25">
      <c r="D503" s="8" t="s">
        <v>402</v>
      </c>
      <c r="E503" s="4"/>
      <c r="F503" s="4"/>
      <c r="G503" s="261"/>
      <c r="H503" s="51"/>
      <c r="I503" s="4"/>
      <c r="J503" s="267"/>
      <c r="K503" s="268"/>
    </row>
    <row r="504" spans="3:15" x14ac:dyDescent="0.25">
      <c r="D504" s="269" t="s">
        <v>419</v>
      </c>
      <c r="E504" s="4"/>
      <c r="F504" s="4"/>
      <c r="G504" s="261"/>
      <c r="H504" s="51"/>
      <c r="I504" s="4"/>
      <c r="J504" s="2616">
        <f>-K463-K464</f>
        <v>-700</v>
      </c>
      <c r="K504" s="2617"/>
    </row>
    <row r="505" spans="3:15" x14ac:dyDescent="0.25">
      <c r="D505" s="269" t="s">
        <v>420</v>
      </c>
      <c r="E505" s="4"/>
      <c r="F505" s="4"/>
      <c r="G505" s="261"/>
      <c r="H505" s="51"/>
      <c r="I505" s="4"/>
      <c r="J505" s="2616" t="e">
        <f>+#REF!</f>
        <v>#REF!</v>
      </c>
      <c r="K505" s="2617"/>
    </row>
    <row r="506" spans="3:15" ht="15.75" thickBot="1" x14ac:dyDescent="0.3">
      <c r="D506" s="270" t="s">
        <v>421</v>
      </c>
      <c r="E506" s="271"/>
      <c r="F506" s="271"/>
      <c r="G506" s="272"/>
      <c r="H506" s="273"/>
      <c r="I506" s="271"/>
      <c r="J506" s="2618" t="e">
        <f>+SUM(J502:K505)</f>
        <v>#REF!</v>
      </c>
      <c r="K506" s="2619"/>
    </row>
    <row r="507" spans="3:15" ht="15.75" thickTop="1" x14ac:dyDescent="0.25">
      <c r="D507" s="4"/>
      <c r="E507" s="4"/>
      <c r="F507" s="4"/>
      <c r="G507" s="259"/>
      <c r="J507" s="259"/>
    </row>
    <row r="508" spans="3:15" x14ac:dyDescent="0.25">
      <c r="D508" s="112" t="s">
        <v>422</v>
      </c>
      <c r="E508" s="4"/>
      <c r="F508" s="4"/>
      <c r="G508" s="259"/>
      <c r="J508" s="259"/>
    </row>
    <row r="509" spans="3:15" x14ac:dyDescent="0.25">
      <c r="D509" s="4"/>
      <c r="E509" s="4"/>
      <c r="F509" s="4"/>
      <c r="G509" s="259"/>
      <c r="J509" s="259"/>
    </row>
    <row r="510" spans="3:15" x14ac:dyDescent="0.25">
      <c r="C510" s="156" t="s">
        <v>397</v>
      </c>
      <c r="D510" s="139"/>
      <c r="E510" s="1"/>
      <c r="F510" s="1"/>
      <c r="G510" s="2045">
        <f ca="1">+SUMIF($M$447:$P$487,C510,$K$447:$K$487)-SUMIF($M$447:$P$487,C510,$L$447:$L$487)</f>
        <v>50942</v>
      </c>
      <c r="H510" s="2156"/>
      <c r="I510" s="156" t="s">
        <v>404</v>
      </c>
      <c r="J510" s="139"/>
      <c r="K510" s="1"/>
      <c r="L510" s="1"/>
      <c r="M510" s="140"/>
      <c r="N510" s="2045">
        <f ca="1">-SUMIF($M$447:$P$487,I510,$K$447:$K$487)+SUMIF($M$447:$P$487,I510,$L$447:$L$487)</f>
        <v>42901</v>
      </c>
      <c r="O510" s="2156"/>
    </row>
    <row r="511" spans="3:15" x14ac:dyDescent="0.25">
      <c r="C511" s="8" t="s">
        <v>403</v>
      </c>
      <c r="E511" s="4"/>
      <c r="F511" s="4"/>
      <c r="G511" s="1940">
        <f ca="1">+SUMIF($M$447:$P$487,C511,$K$447:$K$487)-SUMIF($M$447:$P$487,C511,$L$447:$L$487)</f>
        <v>110200</v>
      </c>
      <c r="H511" s="1926"/>
      <c r="I511" s="8" t="s">
        <v>399</v>
      </c>
      <c r="J511" s="12"/>
      <c r="K511" s="4"/>
      <c r="L511" s="4"/>
      <c r="M511" s="18"/>
      <c r="N511" s="1940">
        <f ca="1">-SUMIF($M$447:$P$487,I511,$K$447:$K$487)+SUMIF($M$447:$P$487,I511,$L$447:$L$487)</f>
        <v>112504</v>
      </c>
      <c r="O511" s="1926"/>
    </row>
    <row r="512" spans="3:15" ht="17.25" x14ac:dyDescent="0.25">
      <c r="C512" s="8" t="s">
        <v>423</v>
      </c>
      <c r="G512" s="2529">
        <f ca="1">+SUMIF($M$447:$P$487,C512,$K$447:$K$487)-SUMIF($M$447:$P$487,C512,$L$447:$L$487)</f>
        <v>39562</v>
      </c>
      <c r="H512" s="2451"/>
      <c r="I512" s="8" t="s">
        <v>406</v>
      </c>
      <c r="J512" s="12"/>
      <c r="K512" s="12"/>
      <c r="L512" s="12"/>
      <c r="M512" s="18"/>
      <c r="N512" s="2529">
        <f ca="1">-SUMIF($M$447:$P$487,I512,$K$447:$K$487)+SUMIF($M$447:$P$487,I512,$L$447:$L$487)</f>
        <v>125605</v>
      </c>
      <c r="O512" s="2451"/>
    </row>
    <row r="513" spans="3:15" x14ac:dyDescent="0.25">
      <c r="C513" s="274" t="s">
        <v>424</v>
      </c>
      <c r="D513" s="275"/>
      <c r="E513" s="275"/>
      <c r="F513" s="275"/>
      <c r="G513" s="2604">
        <f ca="1">+SUM(G510:H512)</f>
        <v>200704</v>
      </c>
      <c r="H513" s="2611"/>
      <c r="I513" s="274" t="s">
        <v>425</v>
      </c>
      <c r="J513" s="275"/>
      <c r="K513" s="275"/>
      <c r="L513" s="275"/>
      <c r="M513" s="276"/>
      <c r="N513" s="2604">
        <f ca="1">+SUM(N510:O512)</f>
        <v>281010</v>
      </c>
      <c r="O513" s="2611"/>
    </row>
    <row r="514" spans="3:15" ht="17.25" x14ac:dyDescent="0.25">
      <c r="C514" s="8" t="s">
        <v>401</v>
      </c>
      <c r="G514" s="2529">
        <f ca="1">+SUMIF($M$447:$P$487,C514,$K$447:$K$487)-SUMIF($M$447:$P$487,C514,$L$447:$L$487)</f>
        <v>460875</v>
      </c>
      <c r="H514" s="2529"/>
      <c r="I514" s="156"/>
      <c r="J514" s="1"/>
      <c r="K514" s="1"/>
      <c r="L514" s="1"/>
      <c r="M514" s="140"/>
      <c r="N514" s="140"/>
      <c r="O514" s="277"/>
    </row>
    <row r="515" spans="3:15" x14ac:dyDescent="0.25">
      <c r="C515" s="278" t="s">
        <v>426</v>
      </c>
      <c r="D515" s="279"/>
      <c r="E515" s="279"/>
      <c r="F515" s="279"/>
      <c r="G515" s="2604">
        <f ca="1">+G514</f>
        <v>460875</v>
      </c>
      <c r="H515" s="2604"/>
      <c r="I515" s="278" t="s">
        <v>396</v>
      </c>
      <c r="J515" s="279"/>
      <c r="K515" s="279"/>
      <c r="L515" s="279"/>
      <c r="M515" s="280"/>
      <c r="N515" s="2605" t="e">
        <f ca="1">-SUMIF($M$447:$P$487,I515,$K$447:$K$487)+SUMIF($M$447:$P$487,I515,$L$447:$L$487)+J506</f>
        <v>#REF!</v>
      </c>
      <c r="O515" s="2606"/>
    </row>
    <row r="516" spans="3:15" x14ac:dyDescent="0.25">
      <c r="C516" s="281" t="s">
        <v>427</v>
      </c>
      <c r="D516" s="282"/>
      <c r="E516" s="282"/>
      <c r="F516" s="282"/>
      <c r="G516" s="2607">
        <f ca="1">+G513+G515</f>
        <v>661579</v>
      </c>
      <c r="H516" s="2608"/>
      <c r="I516" s="283" t="s">
        <v>428</v>
      </c>
      <c r="J516" s="284"/>
      <c r="K516" s="284"/>
      <c r="L516" s="284"/>
      <c r="M516" s="285"/>
      <c r="N516" s="2609" t="e">
        <f ca="1">+N513+N515</f>
        <v>#REF!</v>
      </c>
      <c r="O516" s="2610"/>
    </row>
    <row r="518" spans="3:15" x14ac:dyDescent="0.25">
      <c r="C518" s="4"/>
      <c r="G518" s="1940"/>
      <c r="H518" s="1940"/>
      <c r="I518" s="4"/>
      <c r="J518" s="12"/>
      <c r="K518" s="12"/>
      <c r="L518" s="12"/>
      <c r="M518" s="18"/>
      <c r="N518" s="1940"/>
      <c r="O518" s="1940"/>
    </row>
    <row r="540" spans="2:16" s="4" customFormat="1" x14ac:dyDescent="0.25">
      <c r="B540" s="189"/>
      <c r="C540" s="12"/>
      <c r="D540" s="12"/>
      <c r="E540" s="12"/>
      <c r="F540" s="12"/>
      <c r="G540" s="51"/>
      <c r="H540" s="51"/>
      <c r="M540" s="18"/>
      <c r="N540" s="18"/>
      <c r="O540" s="18"/>
      <c r="P540" s="18"/>
    </row>
  </sheetData>
  <sheetProtection algorithmName="SHA-512" hashValue="f8rHqEoPXWLTi5O3yJOTzRZmA/An4+I8rrDij5MQa/5iTwoWKAd4DRirtbCIoM3p2xb5pUzwyMOKgxw1klVRdw==" saltValue="uxN0yUi2HrnxqoUtgiKafQ==" spinCount="100000" sheet="1" objects="1" scenarios="1"/>
  <mergeCells count="714">
    <mergeCell ref="C113:D113"/>
    <mergeCell ref="C114:D114"/>
    <mergeCell ref="E110:F110"/>
    <mergeCell ref="G110:H110"/>
    <mergeCell ref="I110:J110"/>
    <mergeCell ref="K110:L110"/>
    <mergeCell ref="O110:P110"/>
    <mergeCell ref="E111:F111"/>
    <mergeCell ref="G111:H111"/>
    <mergeCell ref="I111:J111"/>
    <mergeCell ref="K111:L111"/>
    <mergeCell ref="M113:N113"/>
    <mergeCell ref="O113:P113"/>
    <mergeCell ref="E113:F113"/>
    <mergeCell ref="G113:H113"/>
    <mergeCell ref="I113:J113"/>
    <mergeCell ref="K113:L113"/>
    <mergeCell ref="E114:F114"/>
    <mergeCell ref="G114:H114"/>
    <mergeCell ref="I114:J114"/>
    <mergeCell ref="K114:L114"/>
    <mergeCell ref="M114:N114"/>
    <mergeCell ref="O114:P114"/>
    <mergeCell ref="O75:P75"/>
    <mergeCell ref="M72:N72"/>
    <mergeCell ref="M46:N46"/>
    <mergeCell ref="O46:P46"/>
    <mergeCell ref="M47:N47"/>
    <mergeCell ref="O47:P47"/>
    <mergeCell ref="M48:N48"/>
    <mergeCell ref="O48:P48"/>
    <mergeCell ref="C49:F49"/>
    <mergeCell ref="G49:I49"/>
    <mergeCell ref="J49:L49"/>
    <mergeCell ref="M49:N49"/>
    <mergeCell ref="O49:P49"/>
    <mergeCell ref="M54:N54"/>
    <mergeCell ref="O54:P54"/>
    <mergeCell ref="M55:N55"/>
    <mergeCell ref="O55:P55"/>
    <mergeCell ref="M50:N50"/>
    <mergeCell ref="O51:P51"/>
    <mergeCell ref="C52:F52"/>
    <mergeCell ref="G52:I52"/>
    <mergeCell ref="J52:L52"/>
    <mergeCell ref="M53:N53"/>
    <mergeCell ref="O53:P53"/>
    <mergeCell ref="L6:M6"/>
    <mergeCell ref="H6:J6"/>
    <mergeCell ref="H8:J8"/>
    <mergeCell ref="H9:J9"/>
    <mergeCell ref="H10:J10"/>
    <mergeCell ref="H11:J11"/>
    <mergeCell ref="H12:J12"/>
    <mergeCell ref="H14:J14"/>
    <mergeCell ref="B107:B108"/>
    <mergeCell ref="H24:I24"/>
    <mergeCell ref="H25:I25"/>
    <mergeCell ref="H20:I20"/>
    <mergeCell ref="H34:I34"/>
    <mergeCell ref="H33:I33"/>
    <mergeCell ref="G40:I40"/>
    <mergeCell ref="E108:F108"/>
    <mergeCell ref="G108:H108"/>
    <mergeCell ref="I108:J108"/>
    <mergeCell ref="K108:L108"/>
    <mergeCell ref="E107:H107"/>
    <mergeCell ref="I107:L107"/>
    <mergeCell ref="M107:P107"/>
    <mergeCell ref="M56:N56"/>
    <mergeCell ref="O56:P56"/>
    <mergeCell ref="A2:Q2"/>
    <mergeCell ref="A3:Q3"/>
    <mergeCell ref="A37:Q37"/>
    <mergeCell ref="A38:Q38"/>
    <mergeCell ref="M41:N41"/>
    <mergeCell ref="O41:P41"/>
    <mergeCell ref="C45:F45"/>
    <mergeCell ref="G45:I45"/>
    <mergeCell ref="J45:L45"/>
    <mergeCell ref="M45:N45"/>
    <mergeCell ref="O45:P45"/>
    <mergeCell ref="M42:N42"/>
    <mergeCell ref="O42:P42"/>
    <mergeCell ref="M43:N43"/>
    <mergeCell ref="O43:P43"/>
    <mergeCell ref="M44:N44"/>
    <mergeCell ref="O44:P44"/>
    <mergeCell ref="H16:J16"/>
    <mergeCell ref="H15:J15"/>
    <mergeCell ref="L8:M8"/>
    <mergeCell ref="L9:M9"/>
    <mergeCell ref="L10:M10"/>
    <mergeCell ref="L11:M11"/>
    <mergeCell ref="L12:M12"/>
    <mergeCell ref="C62:F62"/>
    <mergeCell ref="G62:I62"/>
    <mergeCell ref="J62:L62"/>
    <mergeCell ref="M62:N62"/>
    <mergeCell ref="O62:P62"/>
    <mergeCell ref="M57:N57"/>
    <mergeCell ref="O57:P57"/>
    <mergeCell ref="M58:N58"/>
    <mergeCell ref="O58:P58"/>
    <mergeCell ref="C59:F59"/>
    <mergeCell ref="G59:I59"/>
    <mergeCell ref="J59:L59"/>
    <mergeCell ref="M59:N59"/>
    <mergeCell ref="O59:P59"/>
    <mergeCell ref="M63:N63"/>
    <mergeCell ref="O63:P63"/>
    <mergeCell ref="M64:N64"/>
    <mergeCell ref="O64:P64"/>
    <mergeCell ref="M65:N65"/>
    <mergeCell ref="O65:P65"/>
    <mergeCell ref="M60:N60"/>
    <mergeCell ref="O60:P60"/>
    <mergeCell ref="M61:N61"/>
    <mergeCell ref="O61:P61"/>
    <mergeCell ref="C70:F70"/>
    <mergeCell ref="G70:I70"/>
    <mergeCell ref="J70:L70"/>
    <mergeCell ref="M70:N70"/>
    <mergeCell ref="O70:P70"/>
    <mergeCell ref="M66:N66"/>
    <mergeCell ref="O66:P66"/>
    <mergeCell ref="C67:F67"/>
    <mergeCell ref="G67:I67"/>
    <mergeCell ref="J67:L67"/>
    <mergeCell ref="M67:N67"/>
    <mergeCell ref="O67:P67"/>
    <mergeCell ref="M71:N71"/>
    <mergeCell ref="O71:P71"/>
    <mergeCell ref="M73:N73"/>
    <mergeCell ref="O73:P73"/>
    <mergeCell ref="M74:N74"/>
    <mergeCell ref="O74:P74"/>
    <mergeCell ref="M68:N68"/>
    <mergeCell ref="O68:P68"/>
    <mergeCell ref="M69:N69"/>
    <mergeCell ref="O69:P69"/>
    <mergeCell ref="M78:N78"/>
    <mergeCell ref="O78:P78"/>
    <mergeCell ref="C79:F79"/>
    <mergeCell ref="G79:I79"/>
    <mergeCell ref="J79:L79"/>
    <mergeCell ref="M79:N79"/>
    <mergeCell ref="O79:P79"/>
    <mergeCell ref="C76:F76"/>
    <mergeCell ref="G76:I76"/>
    <mergeCell ref="J76:L76"/>
    <mergeCell ref="M76:N76"/>
    <mergeCell ref="O76:P76"/>
    <mergeCell ref="M77:N77"/>
    <mergeCell ref="O77:P77"/>
    <mergeCell ref="C83:F83"/>
    <mergeCell ref="G83:I83"/>
    <mergeCell ref="J83:L83"/>
    <mergeCell ref="M83:N83"/>
    <mergeCell ref="O83:P83"/>
    <mergeCell ref="M84:N84"/>
    <mergeCell ref="O84:P84"/>
    <mergeCell ref="M80:N80"/>
    <mergeCell ref="O80:P80"/>
    <mergeCell ref="M81:N81"/>
    <mergeCell ref="O81:P81"/>
    <mergeCell ref="M82:N82"/>
    <mergeCell ref="O82:P82"/>
    <mergeCell ref="M87:N87"/>
    <mergeCell ref="O87:P87"/>
    <mergeCell ref="M88:N88"/>
    <mergeCell ref="O88:P88"/>
    <mergeCell ref="M89:N89"/>
    <mergeCell ref="O89:P89"/>
    <mergeCell ref="M85:N85"/>
    <mergeCell ref="O85:P85"/>
    <mergeCell ref="C86:F86"/>
    <mergeCell ref="G86:I86"/>
    <mergeCell ref="J86:L86"/>
    <mergeCell ref="M86:N86"/>
    <mergeCell ref="O86:P86"/>
    <mergeCell ref="M90:N90"/>
    <mergeCell ref="O90:P90"/>
    <mergeCell ref="A94:Q94"/>
    <mergeCell ref="A95:Q95"/>
    <mergeCell ref="G100:I100"/>
    <mergeCell ref="G101:I101"/>
    <mergeCell ref="G102:I102"/>
    <mergeCell ref="G103:I103"/>
    <mergeCell ref="G104:I104"/>
    <mergeCell ref="C107:D108"/>
    <mergeCell ref="M108:N108"/>
    <mergeCell ref="O108:P108"/>
    <mergeCell ref="M109:N109"/>
    <mergeCell ref="M110:N110"/>
    <mergeCell ref="M111:N111"/>
    <mergeCell ref="O111:P111"/>
    <mergeCell ref="M112:N112"/>
    <mergeCell ref="O112:P112"/>
    <mergeCell ref="E109:F109"/>
    <mergeCell ref="G109:H109"/>
    <mergeCell ref="I109:J109"/>
    <mergeCell ref="K109:L109"/>
    <mergeCell ref="O109:P109"/>
    <mergeCell ref="C109:D109"/>
    <mergeCell ref="C110:D110"/>
    <mergeCell ref="C111:D111"/>
    <mergeCell ref="C112:D112"/>
    <mergeCell ref="E112:F112"/>
    <mergeCell ref="G112:H112"/>
    <mergeCell ref="I112:J112"/>
    <mergeCell ref="K112:L112"/>
    <mergeCell ref="M115:N115"/>
    <mergeCell ref="O115:P115"/>
    <mergeCell ref="E121:F121"/>
    <mergeCell ref="E115:F115"/>
    <mergeCell ref="G115:H115"/>
    <mergeCell ref="I115:J115"/>
    <mergeCell ref="K115:L115"/>
    <mergeCell ref="E124:F124"/>
    <mergeCell ref="N141:P141"/>
    <mergeCell ref="J127:K127"/>
    <mergeCell ref="J128:K128"/>
    <mergeCell ref="I132:K132"/>
    <mergeCell ref="N142:P142"/>
    <mergeCell ref="K146:M146"/>
    <mergeCell ref="N146:P146"/>
    <mergeCell ref="K147:M147"/>
    <mergeCell ref="N147:P147"/>
    <mergeCell ref="K148:M148"/>
    <mergeCell ref="N148:P148"/>
    <mergeCell ref="N137:P137"/>
    <mergeCell ref="N138:P138"/>
    <mergeCell ref="N139:P139"/>
    <mergeCell ref="N140:P140"/>
    <mergeCell ref="K137:M137"/>
    <mergeCell ref="K138:M138"/>
    <mergeCell ref="K139:M139"/>
    <mergeCell ref="K140:M140"/>
    <mergeCell ref="K141:M141"/>
    <mergeCell ref="K142:M142"/>
    <mergeCell ref="K150:M150"/>
    <mergeCell ref="N150:P150"/>
    <mergeCell ref="K151:M151"/>
    <mergeCell ref="N151:P151"/>
    <mergeCell ref="A245:Q245"/>
    <mergeCell ref="A246:Q246"/>
    <mergeCell ref="M250:N250"/>
    <mergeCell ref="O250:P250"/>
    <mergeCell ref="H160:I160"/>
    <mergeCell ref="H164:I164"/>
    <mergeCell ref="A195:Q195"/>
    <mergeCell ref="A196:Q196"/>
    <mergeCell ref="H201:I201"/>
    <mergeCell ref="H200:I200"/>
    <mergeCell ref="H203:I203"/>
    <mergeCell ref="K201:L201"/>
    <mergeCell ref="N201:O201"/>
    <mergeCell ref="M199:O199"/>
    <mergeCell ref="G199:I199"/>
    <mergeCell ref="J199:L199"/>
    <mergeCell ref="K200:L200"/>
    <mergeCell ref="N200:O200"/>
    <mergeCell ref="K203:L203"/>
    <mergeCell ref="N203:O203"/>
    <mergeCell ref="M255:N255"/>
    <mergeCell ref="O255:P255"/>
    <mergeCell ref="C257:F257"/>
    <mergeCell ref="G257:I257"/>
    <mergeCell ref="J257:L257"/>
    <mergeCell ref="M257:N257"/>
    <mergeCell ref="O257:P257"/>
    <mergeCell ref="M251:N251"/>
    <mergeCell ref="O251:P251"/>
    <mergeCell ref="M252:N252"/>
    <mergeCell ref="O252:P252"/>
    <mergeCell ref="M253:N253"/>
    <mergeCell ref="M254:N254"/>
    <mergeCell ref="O254:P254"/>
    <mergeCell ref="C262:F262"/>
    <mergeCell ref="G262:I262"/>
    <mergeCell ref="J262:L262"/>
    <mergeCell ref="M262:N262"/>
    <mergeCell ref="O262:P262"/>
    <mergeCell ref="M263:N263"/>
    <mergeCell ref="O263:P263"/>
    <mergeCell ref="M258:N258"/>
    <mergeCell ref="O258:P258"/>
    <mergeCell ref="M259:N259"/>
    <mergeCell ref="M260:N260"/>
    <mergeCell ref="O260:P260"/>
    <mergeCell ref="M261:N261"/>
    <mergeCell ref="O261:P261"/>
    <mergeCell ref="C266:F266"/>
    <mergeCell ref="G266:I266"/>
    <mergeCell ref="J266:L266"/>
    <mergeCell ref="M266:N266"/>
    <mergeCell ref="O266:P266"/>
    <mergeCell ref="M267:N267"/>
    <mergeCell ref="O267:P267"/>
    <mergeCell ref="M264:N264"/>
    <mergeCell ref="M265:N265"/>
    <mergeCell ref="O265:P265"/>
    <mergeCell ref="C275:F275"/>
    <mergeCell ref="G275:I275"/>
    <mergeCell ref="J275:L275"/>
    <mergeCell ref="M275:N275"/>
    <mergeCell ref="O275:P275"/>
    <mergeCell ref="M268:N268"/>
    <mergeCell ref="O268:P268"/>
    <mergeCell ref="O269:P269"/>
    <mergeCell ref="C271:F271"/>
    <mergeCell ref="G271:I271"/>
    <mergeCell ref="J271:L271"/>
    <mergeCell ref="M271:N271"/>
    <mergeCell ref="O271:P271"/>
    <mergeCell ref="M276:N276"/>
    <mergeCell ref="O276:P276"/>
    <mergeCell ref="M277:N277"/>
    <mergeCell ref="O278:P278"/>
    <mergeCell ref="M279:N279"/>
    <mergeCell ref="O279:P279"/>
    <mergeCell ref="M272:N272"/>
    <mergeCell ref="O272:P272"/>
    <mergeCell ref="M273:N273"/>
    <mergeCell ref="O273:P273"/>
    <mergeCell ref="M283:N283"/>
    <mergeCell ref="O284:P284"/>
    <mergeCell ref="M285:N285"/>
    <mergeCell ref="O285:P285"/>
    <mergeCell ref="C286:F286"/>
    <mergeCell ref="G286:I286"/>
    <mergeCell ref="J286:L286"/>
    <mergeCell ref="C281:F281"/>
    <mergeCell ref="G281:I281"/>
    <mergeCell ref="J281:L281"/>
    <mergeCell ref="M281:N281"/>
    <mergeCell ref="O281:P281"/>
    <mergeCell ref="M282:N282"/>
    <mergeCell ref="O282:P282"/>
    <mergeCell ref="M287:N287"/>
    <mergeCell ref="O287:P287"/>
    <mergeCell ref="M288:N288"/>
    <mergeCell ref="O289:P289"/>
    <mergeCell ref="C290:F290"/>
    <mergeCell ref="G290:I290"/>
    <mergeCell ref="J290:L290"/>
    <mergeCell ref="M290:N290"/>
    <mergeCell ref="O290:P290"/>
    <mergeCell ref="O295:P295"/>
    <mergeCell ref="C296:F296"/>
    <mergeCell ref="G296:I296"/>
    <mergeCell ref="J296:L296"/>
    <mergeCell ref="M296:N296"/>
    <mergeCell ref="O296:P296"/>
    <mergeCell ref="C293:F293"/>
    <mergeCell ref="G293:I293"/>
    <mergeCell ref="J293:L293"/>
    <mergeCell ref="M293:N293"/>
    <mergeCell ref="O293:P293"/>
    <mergeCell ref="M294:N294"/>
    <mergeCell ref="O294:P294"/>
    <mergeCell ref="M301:N301"/>
    <mergeCell ref="O301:P301"/>
    <mergeCell ref="M302:N302"/>
    <mergeCell ref="O303:P303"/>
    <mergeCell ref="C304:F304"/>
    <mergeCell ref="G304:I304"/>
    <mergeCell ref="J304:L304"/>
    <mergeCell ref="M297:N297"/>
    <mergeCell ref="O297:P297"/>
    <mergeCell ref="M298:N298"/>
    <mergeCell ref="O299:P299"/>
    <mergeCell ref="C300:F300"/>
    <mergeCell ref="G300:I300"/>
    <mergeCell ref="J300:L300"/>
    <mergeCell ref="M300:N300"/>
    <mergeCell ref="O300:P300"/>
    <mergeCell ref="M308:N308"/>
    <mergeCell ref="O308:P308"/>
    <mergeCell ref="O309:P309"/>
    <mergeCell ref="O310:P310"/>
    <mergeCell ref="O311:P311"/>
    <mergeCell ref="O312:P312"/>
    <mergeCell ref="M305:N305"/>
    <mergeCell ref="O306:P306"/>
    <mergeCell ref="C307:F307"/>
    <mergeCell ref="G307:I307"/>
    <mergeCell ref="J307:L307"/>
    <mergeCell ref="M307:N307"/>
    <mergeCell ref="O307:P307"/>
    <mergeCell ref="C323:F323"/>
    <mergeCell ref="G323:I323"/>
    <mergeCell ref="J323:L323"/>
    <mergeCell ref="M323:N323"/>
    <mergeCell ref="O323:P323"/>
    <mergeCell ref="O313:P313"/>
    <mergeCell ref="O314:P314"/>
    <mergeCell ref="O315:P315"/>
    <mergeCell ref="O316:P316"/>
    <mergeCell ref="C318:F318"/>
    <mergeCell ref="G318:I318"/>
    <mergeCell ref="J318:L318"/>
    <mergeCell ref="M318:N318"/>
    <mergeCell ref="O318:P318"/>
    <mergeCell ref="M324:N324"/>
    <mergeCell ref="O324:P324"/>
    <mergeCell ref="M325:N325"/>
    <mergeCell ref="M326:N326"/>
    <mergeCell ref="O326:P326"/>
    <mergeCell ref="O327:P327"/>
    <mergeCell ref="M319:N319"/>
    <mergeCell ref="O319:P319"/>
    <mergeCell ref="M320:N320"/>
    <mergeCell ref="O320:P320"/>
    <mergeCell ref="O321:P321"/>
    <mergeCell ref="C332:F332"/>
    <mergeCell ref="G332:I332"/>
    <mergeCell ref="J332:L332"/>
    <mergeCell ref="M332:N332"/>
    <mergeCell ref="O332:P332"/>
    <mergeCell ref="O328:P328"/>
    <mergeCell ref="C329:F329"/>
    <mergeCell ref="G329:I329"/>
    <mergeCell ref="J329:L329"/>
    <mergeCell ref="M329:N329"/>
    <mergeCell ref="O329:P329"/>
    <mergeCell ref="M333:N333"/>
    <mergeCell ref="O333:P333"/>
    <mergeCell ref="O334:P334"/>
    <mergeCell ref="O335:P335"/>
    <mergeCell ref="M347:N347"/>
    <mergeCell ref="M348:N348"/>
    <mergeCell ref="M330:N330"/>
    <mergeCell ref="O330:P330"/>
    <mergeCell ref="O331:P331"/>
    <mergeCell ref="M358:N358"/>
    <mergeCell ref="M359:N359"/>
    <mergeCell ref="M360:N360"/>
    <mergeCell ref="M361:N361"/>
    <mergeCell ref="C365:E365"/>
    <mergeCell ref="F365:G365"/>
    <mergeCell ref="H365:I365"/>
    <mergeCell ref="J365:O365"/>
    <mergeCell ref="M349:N349"/>
    <mergeCell ref="M350:N350"/>
    <mergeCell ref="M351:N351"/>
    <mergeCell ref="M353:N353"/>
    <mergeCell ref="M354:N354"/>
    <mergeCell ref="M355:N355"/>
    <mergeCell ref="C368:E368"/>
    <mergeCell ref="F368:G368"/>
    <mergeCell ref="H368:I368"/>
    <mergeCell ref="J368:K368"/>
    <mergeCell ref="L368:M368"/>
    <mergeCell ref="N368:O368"/>
    <mergeCell ref="C366:E367"/>
    <mergeCell ref="F366:G367"/>
    <mergeCell ref="H366:I367"/>
    <mergeCell ref="J366:K366"/>
    <mergeCell ref="L366:M366"/>
    <mergeCell ref="N366:O366"/>
    <mergeCell ref="J367:K367"/>
    <mergeCell ref="L367:M367"/>
    <mergeCell ref="N367:O367"/>
    <mergeCell ref="C370:E370"/>
    <mergeCell ref="N370:O370"/>
    <mergeCell ref="E374:F375"/>
    <mergeCell ref="G374:H375"/>
    <mergeCell ref="I374:K375"/>
    <mergeCell ref="L374:M375"/>
    <mergeCell ref="C369:E369"/>
    <mergeCell ref="F369:G369"/>
    <mergeCell ref="H369:I369"/>
    <mergeCell ref="J369:K369"/>
    <mergeCell ref="L369:M369"/>
    <mergeCell ref="N369:O369"/>
    <mergeCell ref="G379:H379"/>
    <mergeCell ref="B395:C397"/>
    <mergeCell ref="D395:D397"/>
    <mergeCell ref="E395:G396"/>
    <mergeCell ref="H395:J396"/>
    <mergeCell ref="K395:M396"/>
    <mergeCell ref="E376:F376"/>
    <mergeCell ref="G376:H376"/>
    <mergeCell ref="I376:J376"/>
    <mergeCell ref="L376:M376"/>
    <mergeCell ref="E377:F377"/>
    <mergeCell ref="G377:H377"/>
    <mergeCell ref="I377:J377"/>
    <mergeCell ref="L377:M377"/>
    <mergeCell ref="N395:P396"/>
    <mergeCell ref="F397:G397"/>
    <mergeCell ref="I397:J397"/>
    <mergeCell ref="L397:M397"/>
    <mergeCell ref="O397:P397"/>
    <mergeCell ref="B398:C399"/>
    <mergeCell ref="D398:D399"/>
    <mergeCell ref="E398:E399"/>
    <mergeCell ref="F398:G399"/>
    <mergeCell ref="H398:H399"/>
    <mergeCell ref="I398:J399"/>
    <mergeCell ref="K398:K399"/>
    <mergeCell ref="L398:M399"/>
    <mergeCell ref="N398:N399"/>
    <mergeCell ref="O398:P399"/>
    <mergeCell ref="O400:P401"/>
    <mergeCell ref="B402:C403"/>
    <mergeCell ref="D402:D403"/>
    <mergeCell ref="E402:E403"/>
    <mergeCell ref="F402:G403"/>
    <mergeCell ref="H402:H403"/>
    <mergeCell ref="I402:J403"/>
    <mergeCell ref="K402:K403"/>
    <mergeCell ref="L402:M403"/>
    <mergeCell ref="N402:N403"/>
    <mergeCell ref="O402:P403"/>
    <mergeCell ref="B400:C401"/>
    <mergeCell ref="D400:D401"/>
    <mergeCell ref="E400:E401"/>
    <mergeCell ref="F400:G401"/>
    <mergeCell ref="H400:H401"/>
    <mergeCell ref="I400:J401"/>
    <mergeCell ref="K400:K401"/>
    <mergeCell ref="L400:M401"/>
    <mergeCell ref="N400:N401"/>
    <mergeCell ref="O404:P405"/>
    <mergeCell ref="B406:C407"/>
    <mergeCell ref="D406:D407"/>
    <mergeCell ref="E406:E407"/>
    <mergeCell ref="F406:G407"/>
    <mergeCell ref="H406:H407"/>
    <mergeCell ref="I406:J407"/>
    <mergeCell ref="K406:K407"/>
    <mergeCell ref="L406:M407"/>
    <mergeCell ref="N406:N407"/>
    <mergeCell ref="O406:P407"/>
    <mergeCell ref="B404:C405"/>
    <mergeCell ref="D404:D405"/>
    <mergeCell ref="E404:E405"/>
    <mergeCell ref="F404:G405"/>
    <mergeCell ref="H404:H405"/>
    <mergeCell ref="I404:J405"/>
    <mergeCell ref="K404:K405"/>
    <mergeCell ref="L404:M405"/>
    <mergeCell ref="N404:N405"/>
    <mergeCell ref="O408:P409"/>
    <mergeCell ref="B410:C411"/>
    <mergeCell ref="D410:D411"/>
    <mergeCell ref="E410:E411"/>
    <mergeCell ref="F410:G411"/>
    <mergeCell ref="H410:H411"/>
    <mergeCell ref="I410:J411"/>
    <mergeCell ref="K410:K411"/>
    <mergeCell ref="L410:M411"/>
    <mergeCell ref="N410:N411"/>
    <mergeCell ref="O410:P411"/>
    <mergeCell ref="B408:C409"/>
    <mergeCell ref="D408:D409"/>
    <mergeCell ref="E408:E409"/>
    <mergeCell ref="F408:G409"/>
    <mergeCell ref="H408:H409"/>
    <mergeCell ref="I408:J409"/>
    <mergeCell ref="K408:K409"/>
    <mergeCell ref="L408:M409"/>
    <mergeCell ref="N408:N409"/>
    <mergeCell ref="B412:C413"/>
    <mergeCell ref="D412:D413"/>
    <mergeCell ref="E412:E413"/>
    <mergeCell ref="F412:G413"/>
    <mergeCell ref="H412:H413"/>
    <mergeCell ref="N414:N415"/>
    <mergeCell ref="O414:P415"/>
    <mergeCell ref="B417:D417"/>
    <mergeCell ref="E417:G417"/>
    <mergeCell ref="H417:J417"/>
    <mergeCell ref="K417:M417"/>
    <mergeCell ref="N417:P417"/>
    <mergeCell ref="I412:J413"/>
    <mergeCell ref="K412:K413"/>
    <mergeCell ref="L412:M413"/>
    <mergeCell ref="N412:N413"/>
    <mergeCell ref="O412:P413"/>
    <mergeCell ref="B414:C415"/>
    <mergeCell ref="D414:D415"/>
    <mergeCell ref="E414:E415"/>
    <mergeCell ref="F414:G415"/>
    <mergeCell ref="H414:H415"/>
    <mergeCell ref="B419:D419"/>
    <mergeCell ref="H423:I423"/>
    <mergeCell ref="H424:I424"/>
    <mergeCell ref="H425:I425"/>
    <mergeCell ref="H427:I427"/>
    <mergeCell ref="H428:I428"/>
    <mergeCell ref="I414:J415"/>
    <mergeCell ref="K414:K415"/>
    <mergeCell ref="L414:M415"/>
    <mergeCell ref="M446:P446"/>
    <mergeCell ref="M447:P447"/>
    <mergeCell ref="M448:P448"/>
    <mergeCell ref="M449:P449"/>
    <mergeCell ref="M450:P450"/>
    <mergeCell ref="M451:P451"/>
    <mergeCell ref="I429:J429"/>
    <mergeCell ref="J430:K430"/>
    <mergeCell ref="G443:H444"/>
    <mergeCell ref="I443:J444"/>
    <mergeCell ref="K443:L444"/>
    <mergeCell ref="M443:P444"/>
    <mergeCell ref="M458:P458"/>
    <mergeCell ref="M459:P459"/>
    <mergeCell ref="M460:P460"/>
    <mergeCell ref="M461:P461"/>
    <mergeCell ref="M462:P462"/>
    <mergeCell ref="M452:P452"/>
    <mergeCell ref="M453:P453"/>
    <mergeCell ref="M454:P454"/>
    <mergeCell ref="M455:P455"/>
    <mergeCell ref="M456:P456"/>
    <mergeCell ref="M457:P457"/>
    <mergeCell ref="M469:P469"/>
    <mergeCell ref="M470:P470"/>
    <mergeCell ref="M471:P471"/>
    <mergeCell ref="M472:P472"/>
    <mergeCell ref="M473:P473"/>
    <mergeCell ref="M474:P474"/>
    <mergeCell ref="M463:P463"/>
    <mergeCell ref="M464:P464"/>
    <mergeCell ref="M465:P465"/>
    <mergeCell ref="M466:P466"/>
    <mergeCell ref="M467:P467"/>
    <mergeCell ref="M468:P468"/>
    <mergeCell ref="M481:P481"/>
    <mergeCell ref="M482:P482"/>
    <mergeCell ref="M483:P483"/>
    <mergeCell ref="M484:P484"/>
    <mergeCell ref="M485:P485"/>
    <mergeCell ref="M486:P486"/>
    <mergeCell ref="M475:P475"/>
    <mergeCell ref="M476:P476"/>
    <mergeCell ref="M477:P477"/>
    <mergeCell ref="M478:P478"/>
    <mergeCell ref="M479:P479"/>
    <mergeCell ref="M480:P480"/>
    <mergeCell ref="J501:K501"/>
    <mergeCell ref="J502:K502"/>
    <mergeCell ref="J504:K504"/>
    <mergeCell ref="J505:K505"/>
    <mergeCell ref="J506:K506"/>
    <mergeCell ref="G510:H510"/>
    <mergeCell ref="M487:P487"/>
    <mergeCell ref="J496:K496"/>
    <mergeCell ref="J497:K497"/>
    <mergeCell ref="J498:K498"/>
    <mergeCell ref="J499:K499"/>
    <mergeCell ref="J500:K500"/>
    <mergeCell ref="G514:H514"/>
    <mergeCell ref="G515:H515"/>
    <mergeCell ref="N515:O515"/>
    <mergeCell ref="G516:H516"/>
    <mergeCell ref="N516:O516"/>
    <mergeCell ref="G518:H518"/>
    <mergeCell ref="N518:O518"/>
    <mergeCell ref="N510:O510"/>
    <mergeCell ref="G511:H511"/>
    <mergeCell ref="N511:O511"/>
    <mergeCell ref="G512:H512"/>
    <mergeCell ref="N512:O512"/>
    <mergeCell ref="G513:H513"/>
    <mergeCell ref="N513:O513"/>
    <mergeCell ref="H205:I205"/>
    <mergeCell ref="H206:I206"/>
    <mergeCell ref="H207:I207"/>
    <mergeCell ref="K205:L205"/>
    <mergeCell ref="K206:L206"/>
    <mergeCell ref="K207:L207"/>
    <mergeCell ref="N205:O205"/>
    <mergeCell ref="N206:O206"/>
    <mergeCell ref="N207:O207"/>
    <mergeCell ref="H209:I209"/>
    <mergeCell ref="H210:I210"/>
    <mergeCell ref="H211:I211"/>
    <mergeCell ref="H212:I212"/>
    <mergeCell ref="K209:L209"/>
    <mergeCell ref="K210:L210"/>
    <mergeCell ref="K211:L211"/>
    <mergeCell ref="K212:L212"/>
    <mergeCell ref="N209:O209"/>
    <mergeCell ref="N210:O210"/>
    <mergeCell ref="N211:O211"/>
    <mergeCell ref="N212:O212"/>
    <mergeCell ref="H213:I213"/>
    <mergeCell ref="K213:L213"/>
    <mergeCell ref="N213:O213"/>
    <mergeCell ref="N215:O215"/>
    <mergeCell ref="K215:L215"/>
    <mergeCell ref="H215:I215"/>
    <mergeCell ref="G217:I217"/>
    <mergeCell ref="J217:L217"/>
    <mergeCell ref="H219:I219"/>
    <mergeCell ref="K219:L219"/>
    <mergeCell ref="N219:O219"/>
    <mergeCell ref="N226:O226"/>
    <mergeCell ref="N227:O227"/>
    <mergeCell ref="N230:O230"/>
    <mergeCell ref="N228:O228"/>
    <mergeCell ref="H220:I220"/>
    <mergeCell ref="K220:L220"/>
    <mergeCell ref="N220:O220"/>
    <mergeCell ref="G222:I222"/>
    <mergeCell ref="J222:L222"/>
    <mergeCell ref="M222:O222"/>
    <mergeCell ref="N224:O224"/>
    <mergeCell ref="N225:O225"/>
  </mergeCells>
  <printOptions horizontalCentered="1"/>
  <pageMargins left="0.70866141732283472" right="1.1023622047244095" top="0.78740157480314965" bottom="0.78740157480314965"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 8: Medición del costo de producción</oddHeader>
    <oddFooter xml:space="preserve">&amp;C&amp;"Garamond,Normal"
</oddFooter>
  </headerFooter>
  <rowBreaks count="1" manualBreakCount="1">
    <brk id="35"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25"/>
  <sheetViews>
    <sheetView view="pageBreakPreview" zoomScale="90" zoomScaleNormal="100" zoomScaleSheetLayoutView="90" workbookViewId="0">
      <selection activeCell="I9" sqref="I9"/>
    </sheetView>
  </sheetViews>
  <sheetFormatPr baseColWidth="10" defaultColWidth="11.42578125" defaultRowHeight="15" x14ac:dyDescent="0.25"/>
  <cols>
    <col min="1" max="1" width="2.7109375" style="286" customWidth="1"/>
    <col min="2" max="2" width="23.140625" style="286" bestFit="1" customWidth="1"/>
    <col min="3" max="3" width="9.7109375" style="286" bestFit="1" customWidth="1"/>
    <col min="4" max="4" width="24.7109375" style="286" bestFit="1" customWidth="1"/>
    <col min="5" max="5" width="9.42578125" style="286" bestFit="1" customWidth="1"/>
    <col min="6" max="6" width="1.7109375" style="286" customWidth="1"/>
    <col min="7" max="7" width="11.42578125" style="286"/>
    <col min="8" max="8" width="16.7109375" style="286" bestFit="1" customWidth="1"/>
    <col min="9" max="9" width="13.140625" style="286" customWidth="1"/>
    <col min="10" max="10" width="14.7109375" style="286" customWidth="1"/>
    <col min="11" max="11" width="13.7109375" style="286" customWidth="1"/>
    <col min="12" max="12" width="13.140625" style="286" customWidth="1"/>
    <col min="13" max="16384" width="11.42578125" style="286"/>
  </cols>
  <sheetData>
    <row r="1" spans="2:12" ht="6.75" customHeight="1" x14ac:dyDescent="0.25"/>
    <row r="2" spans="2:12" ht="15.75" x14ac:dyDescent="0.25">
      <c r="B2" s="2756" t="s">
        <v>429</v>
      </c>
      <c r="C2" s="2756"/>
      <c r="D2" s="2756"/>
      <c r="E2" s="2756"/>
    </row>
    <row r="3" spans="2:12" ht="15.75" customHeight="1" x14ac:dyDescent="0.25">
      <c r="B3" s="2755" t="s">
        <v>430</v>
      </c>
      <c r="C3" s="2755"/>
      <c r="D3" s="2755"/>
      <c r="E3" s="2755"/>
    </row>
    <row r="4" spans="2:12" ht="15.75" x14ac:dyDescent="0.25">
      <c r="B4" s="287" t="s">
        <v>431</v>
      </c>
      <c r="C4" s="288"/>
      <c r="D4" s="287" t="s">
        <v>432</v>
      </c>
      <c r="E4" s="289"/>
    </row>
    <row r="5" spans="2:12" ht="15.75" x14ac:dyDescent="0.25">
      <c r="B5" s="290" t="s">
        <v>2141</v>
      </c>
      <c r="C5" s="291">
        <v>50000</v>
      </c>
      <c r="D5" s="292" t="s">
        <v>2</v>
      </c>
      <c r="E5" s="293">
        <v>70000</v>
      </c>
    </row>
    <row r="6" spans="2:12" ht="15.75" x14ac:dyDescent="0.25">
      <c r="B6" s="290" t="s">
        <v>51</v>
      </c>
      <c r="C6" s="291">
        <v>110000</v>
      </c>
      <c r="D6" s="287" t="s">
        <v>396</v>
      </c>
      <c r="E6" s="294"/>
    </row>
    <row r="7" spans="2:12" ht="15.75" x14ac:dyDescent="0.25">
      <c r="B7" s="290" t="s">
        <v>434</v>
      </c>
      <c r="C7" s="291">
        <v>-10000</v>
      </c>
      <c r="D7" s="290" t="s">
        <v>435</v>
      </c>
      <c r="E7" s="295">
        <v>90000</v>
      </c>
    </row>
    <row r="8" spans="2:12" ht="15.75" x14ac:dyDescent="0.25">
      <c r="B8" s="292" t="s">
        <v>436</v>
      </c>
      <c r="C8" s="296"/>
      <c r="D8" s="292" t="s">
        <v>437</v>
      </c>
      <c r="E8" s="293">
        <v>-10000</v>
      </c>
    </row>
    <row r="9" spans="2:12" ht="15.75" x14ac:dyDescent="0.25">
      <c r="B9" s="297" t="s">
        <v>438</v>
      </c>
      <c r="C9" s="298">
        <f>+SUM(C5:C8)</f>
        <v>150000</v>
      </c>
      <c r="D9" s="297" t="s">
        <v>439</v>
      </c>
      <c r="E9" s="298">
        <f>+SUM(E5:E8)</f>
        <v>150000</v>
      </c>
    </row>
    <row r="10" spans="2:12" ht="8.25" customHeight="1" x14ac:dyDescent="0.25"/>
    <row r="13" spans="2:12" ht="31.5" x14ac:dyDescent="0.25">
      <c r="F13" s="299"/>
      <c r="G13" s="299"/>
      <c r="H13" s="300"/>
      <c r="I13" s="301" t="s">
        <v>364</v>
      </c>
      <c r="J13" s="301" t="s">
        <v>442</v>
      </c>
      <c r="K13" s="301" t="s">
        <v>443</v>
      </c>
      <c r="L13" s="301" t="s">
        <v>410</v>
      </c>
    </row>
    <row r="14" spans="2:12" ht="15.75" x14ac:dyDescent="0.25">
      <c r="B14" s="2756" t="s">
        <v>444</v>
      </c>
      <c r="C14" s="2756"/>
      <c r="D14" s="2756"/>
      <c r="E14" s="2756"/>
      <c r="F14" s="299"/>
      <c r="G14" s="299"/>
      <c r="H14" s="302" t="s">
        <v>374</v>
      </c>
      <c r="I14" s="302">
        <v>2</v>
      </c>
      <c r="J14" s="302">
        <v>1</v>
      </c>
      <c r="K14" s="302">
        <v>2</v>
      </c>
      <c r="L14" s="302">
        <f>+SUM(I14:K14)</f>
        <v>5</v>
      </c>
    </row>
    <row r="15" spans="2:12" ht="15.75" x14ac:dyDescent="0.25">
      <c r="B15" s="2755" t="s">
        <v>440</v>
      </c>
      <c r="C15" s="2755"/>
      <c r="D15" s="2755"/>
      <c r="E15" s="2755"/>
      <c r="F15" s="299"/>
      <c r="G15" s="299"/>
      <c r="H15" s="302" t="s">
        <v>445</v>
      </c>
      <c r="I15" s="302">
        <v>230</v>
      </c>
      <c r="J15" s="302">
        <v>92</v>
      </c>
      <c r="K15" s="302">
        <v>138</v>
      </c>
      <c r="L15" s="302">
        <f>+SUM(I15:K15)</f>
        <v>460</v>
      </c>
    </row>
    <row r="16" spans="2:12" ht="15.75" x14ac:dyDescent="0.25">
      <c r="B16" s="303" t="s">
        <v>431</v>
      </c>
      <c r="C16" s="304"/>
      <c r="D16" s="305" t="s">
        <v>432</v>
      </c>
      <c r="E16" s="304"/>
      <c r="F16" s="299"/>
      <c r="G16" s="299"/>
      <c r="H16" s="302" t="s">
        <v>446</v>
      </c>
      <c r="I16" s="302">
        <v>90</v>
      </c>
      <c r="J16" s="302">
        <v>40</v>
      </c>
      <c r="K16" s="302">
        <v>70</v>
      </c>
      <c r="L16" s="302">
        <f>+SUM(I16:K16)</f>
        <v>200</v>
      </c>
    </row>
    <row r="17" spans="2:11" ht="15.75" x14ac:dyDescent="0.25">
      <c r="B17" s="306" t="s">
        <v>10</v>
      </c>
      <c r="C17" s="291">
        <v>12350</v>
      </c>
      <c r="D17" s="299" t="s">
        <v>2</v>
      </c>
      <c r="E17" s="307">
        <v>21000</v>
      </c>
      <c r="F17" s="299"/>
      <c r="G17" s="299"/>
      <c r="H17" s="299"/>
      <c r="I17" s="299"/>
      <c r="J17" s="299"/>
      <c r="K17" s="299"/>
    </row>
    <row r="18" spans="2:11" ht="15.75" x14ac:dyDescent="0.25">
      <c r="B18" s="306" t="s">
        <v>311</v>
      </c>
      <c r="C18" s="291">
        <v>48120</v>
      </c>
      <c r="D18" s="299" t="s">
        <v>309</v>
      </c>
      <c r="E18" s="307">
        <v>900</v>
      </c>
      <c r="F18" s="299"/>
      <c r="G18" s="299"/>
      <c r="H18" s="299"/>
      <c r="I18" s="299"/>
      <c r="J18" s="299"/>
      <c r="K18" s="299"/>
    </row>
    <row r="19" spans="2:11" ht="15.75" x14ac:dyDescent="0.25">
      <c r="B19" s="306" t="s">
        <v>447</v>
      </c>
      <c r="C19" s="291">
        <f>30*200</f>
        <v>6000</v>
      </c>
      <c r="D19" s="299" t="s">
        <v>448</v>
      </c>
      <c r="E19" s="307">
        <f>+'U7.2'!O289*5</f>
        <v>24600</v>
      </c>
      <c r="F19" s="299"/>
      <c r="G19" s="299"/>
      <c r="H19" s="299"/>
      <c r="I19" s="299"/>
      <c r="J19" s="299"/>
      <c r="K19" s="299"/>
    </row>
    <row r="20" spans="2:11" ht="15.75" x14ac:dyDescent="0.25">
      <c r="B20" s="306" t="s">
        <v>24</v>
      </c>
      <c r="C20" s="291">
        <v>1374</v>
      </c>
      <c r="D20" s="299" t="s">
        <v>408</v>
      </c>
      <c r="E20" s="307">
        <v>125000</v>
      </c>
      <c r="F20" s="299"/>
      <c r="G20" s="299"/>
      <c r="H20" s="308"/>
      <c r="I20" s="299"/>
      <c r="J20" s="299"/>
      <c r="K20" s="299"/>
    </row>
    <row r="21" spans="2:11" ht="15.75" x14ac:dyDescent="0.25">
      <c r="B21" s="306" t="s">
        <v>449</v>
      </c>
      <c r="C21" s="291">
        <v>50000</v>
      </c>
      <c r="D21" s="309" t="s">
        <v>450</v>
      </c>
      <c r="E21" s="310">
        <f>+E17+E18+E19+E20</f>
        <v>171500</v>
      </c>
      <c r="F21" s="299"/>
      <c r="G21" s="299"/>
      <c r="H21" s="311"/>
      <c r="I21" s="299"/>
      <c r="J21" s="299"/>
      <c r="K21" s="299"/>
    </row>
    <row r="22" spans="2:11" ht="15.75" x14ac:dyDescent="0.25">
      <c r="B22" s="306" t="s">
        <v>451</v>
      </c>
      <c r="C22" s="291">
        <v>-1200</v>
      </c>
      <c r="D22" s="303" t="s">
        <v>396</v>
      </c>
      <c r="E22" s="312"/>
      <c r="F22" s="299"/>
      <c r="G22" s="299"/>
      <c r="H22" s="299"/>
      <c r="I22" s="299"/>
      <c r="J22" s="299"/>
      <c r="K22" s="299"/>
    </row>
    <row r="23" spans="2:11" ht="15.75" x14ac:dyDescent="0.25">
      <c r="B23" s="306" t="s">
        <v>452</v>
      </c>
      <c r="C23" s="291">
        <v>420000</v>
      </c>
      <c r="D23" s="306" t="s">
        <v>395</v>
      </c>
      <c r="E23" s="307">
        <v>300000</v>
      </c>
      <c r="F23" s="299"/>
      <c r="G23" s="299"/>
      <c r="H23" s="299"/>
      <c r="I23" s="299"/>
      <c r="J23" s="299"/>
      <c r="K23" s="299"/>
    </row>
    <row r="24" spans="2:11" ht="15.75" x14ac:dyDescent="0.25">
      <c r="B24" s="313" t="s">
        <v>453</v>
      </c>
      <c r="C24" s="296">
        <f>+-C23*10/(50*12)</f>
        <v>-7000</v>
      </c>
      <c r="D24" s="313" t="s">
        <v>7</v>
      </c>
      <c r="E24" s="314">
        <f>+C25-SUM(E21:E23)</f>
        <v>58144</v>
      </c>
    </row>
    <row r="25" spans="2:11" ht="15.75" x14ac:dyDescent="0.25">
      <c r="B25" s="315" t="s">
        <v>438</v>
      </c>
      <c r="C25" s="316">
        <f>+SUM(C17:C24)</f>
        <v>529644</v>
      </c>
      <c r="D25" s="315" t="s">
        <v>439</v>
      </c>
      <c r="E25" s="316">
        <f>+SUM(E21:E24)</f>
        <v>529644</v>
      </c>
    </row>
  </sheetData>
  <mergeCells count="4">
    <mergeCell ref="B15:E15"/>
    <mergeCell ref="B2:E2"/>
    <mergeCell ref="B3:E3"/>
    <mergeCell ref="B14:E14"/>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tint="-0.249977111117893"/>
  </sheetPr>
  <dimension ref="A1:U352"/>
  <sheetViews>
    <sheetView showGridLines="0" view="pageLayout" topLeftCell="A244" zoomScaleNormal="100" zoomScaleSheetLayoutView="50" workbookViewId="0">
      <selection activeCell="J167" sqref="J167"/>
    </sheetView>
  </sheetViews>
  <sheetFormatPr baseColWidth="10" defaultColWidth="9.140625" defaultRowHeight="15" x14ac:dyDescent="0.25"/>
  <cols>
    <col min="1" max="1" width="1.140625" style="2" customWidth="1"/>
    <col min="2" max="2" width="4.7109375" style="7" customWidth="1"/>
    <col min="3" max="6" width="4" style="12" customWidth="1"/>
    <col min="7" max="12" width="4" style="27" customWidth="1"/>
    <col min="13" max="16" width="4" style="2" customWidth="1"/>
    <col min="17" max="20" width="4.7109375" style="10" customWidth="1"/>
    <col min="21" max="21" width="0.7109375" style="2" customWidth="1"/>
    <col min="22" max="22" width="12" style="2" bestFit="1" customWidth="1"/>
    <col min="23" max="23" width="9.140625" style="2"/>
    <col min="24" max="24" width="12" style="2" bestFit="1" customWidth="1"/>
    <col min="25" max="16384" width="9.140625" style="2"/>
  </cols>
  <sheetData>
    <row r="1" spans="1:21" s="4" customFormat="1" x14ac:dyDescent="0.25">
      <c r="B1" s="189"/>
      <c r="C1" s="12"/>
      <c r="D1" s="12"/>
      <c r="E1" s="12"/>
      <c r="F1" s="12"/>
      <c r="G1" s="51"/>
      <c r="H1" s="51"/>
      <c r="I1" s="51"/>
      <c r="J1" s="51"/>
      <c r="K1" s="51"/>
      <c r="L1" s="51"/>
      <c r="Q1" s="18"/>
      <c r="R1" s="18"/>
      <c r="S1" s="18"/>
      <c r="T1" s="18"/>
    </row>
    <row r="2" spans="1:21" s="4" customFormat="1" x14ac:dyDescent="0.25">
      <c r="A2" s="1844" t="s">
        <v>20</v>
      </c>
      <c r="B2" s="1845"/>
      <c r="C2" s="1845"/>
      <c r="D2" s="1845"/>
      <c r="E2" s="1845"/>
      <c r="F2" s="1845"/>
      <c r="G2" s="1845"/>
      <c r="H2" s="1845"/>
      <c r="I2" s="1845"/>
      <c r="J2" s="1845"/>
      <c r="K2" s="1845"/>
      <c r="L2" s="1845"/>
      <c r="M2" s="1845"/>
      <c r="N2" s="1845"/>
      <c r="O2" s="1845"/>
      <c r="P2" s="1845"/>
      <c r="Q2" s="1845"/>
      <c r="R2" s="1845"/>
      <c r="S2" s="1845"/>
      <c r="T2" s="1845"/>
      <c r="U2" s="1846"/>
    </row>
    <row r="3" spans="1:21" s="4" customFormat="1" x14ac:dyDescent="0.25">
      <c r="A3" s="1847" t="s">
        <v>454</v>
      </c>
      <c r="B3" s="1848"/>
      <c r="C3" s="1848"/>
      <c r="D3" s="1848"/>
      <c r="E3" s="1848"/>
      <c r="F3" s="1848"/>
      <c r="G3" s="1848"/>
      <c r="H3" s="1848"/>
      <c r="I3" s="1848"/>
      <c r="J3" s="1848"/>
      <c r="K3" s="1848"/>
      <c r="L3" s="1848"/>
      <c r="M3" s="1848"/>
      <c r="N3" s="1848"/>
      <c r="O3" s="1848"/>
      <c r="P3" s="1848"/>
      <c r="Q3" s="1848"/>
      <c r="R3" s="1848"/>
      <c r="S3" s="1848"/>
      <c r="T3" s="1848"/>
      <c r="U3" s="1849"/>
    </row>
    <row r="4" spans="1:21" s="317" customFormat="1" x14ac:dyDescent="0.25">
      <c r="Q4" s="318"/>
      <c r="R4" s="318"/>
      <c r="S4" s="318"/>
      <c r="T4" s="318"/>
    </row>
    <row r="5" spans="1:21" s="317" customFormat="1" x14ac:dyDescent="0.25">
      <c r="B5" s="939" t="s">
        <v>148</v>
      </c>
      <c r="C5" s="940" t="s">
        <v>455</v>
      </c>
      <c r="D5" s="941"/>
      <c r="E5" s="941"/>
      <c r="F5" s="941"/>
      <c r="G5" s="942"/>
      <c r="H5" s="942"/>
      <c r="I5" s="942"/>
      <c r="J5" s="942"/>
      <c r="K5" s="942"/>
      <c r="L5" s="942"/>
      <c r="M5" s="942"/>
      <c r="N5" s="943"/>
      <c r="O5" s="943"/>
      <c r="P5" s="941"/>
      <c r="Q5" s="944"/>
      <c r="R5" s="944"/>
      <c r="S5" s="944"/>
      <c r="T5" s="944"/>
    </row>
    <row r="6" spans="1:21" s="317" customFormat="1" x14ac:dyDescent="0.25">
      <c r="B6" s="945"/>
      <c r="C6" s="945" t="s">
        <v>11</v>
      </c>
      <c r="D6" s="946" t="s">
        <v>456</v>
      </c>
      <c r="E6" s="947"/>
      <c r="F6" s="948"/>
      <c r="G6" s="949"/>
      <c r="H6" s="949"/>
      <c r="I6" s="950"/>
      <c r="J6" s="2858" t="s">
        <v>457</v>
      </c>
      <c r="K6" s="2859"/>
      <c r="L6" s="951"/>
      <c r="M6" s="952"/>
      <c r="N6" s="953"/>
      <c r="O6" s="953"/>
      <c r="P6" s="941"/>
      <c r="Q6" s="954"/>
      <c r="R6" s="954"/>
      <c r="S6" s="954"/>
      <c r="T6" s="954"/>
    </row>
    <row r="7" spans="1:21" s="317" customFormat="1" x14ac:dyDescent="0.25">
      <c r="B7" s="2862" t="s">
        <v>458</v>
      </c>
      <c r="C7" s="2863"/>
      <c r="D7" s="955"/>
      <c r="E7" s="956" t="s">
        <v>1</v>
      </c>
      <c r="F7" s="957" t="s">
        <v>435</v>
      </c>
      <c r="G7" s="958"/>
      <c r="H7" s="958"/>
      <c r="I7" s="959"/>
      <c r="J7" s="960"/>
      <c r="K7" s="958"/>
      <c r="L7" s="2860" t="s">
        <v>457</v>
      </c>
      <c r="M7" s="2861"/>
      <c r="N7" s="953"/>
      <c r="O7" s="953"/>
      <c r="P7" s="953"/>
      <c r="Q7" s="954"/>
      <c r="R7" s="954"/>
      <c r="S7" s="954"/>
      <c r="T7" s="954"/>
    </row>
    <row r="8" spans="1:21" s="317" customFormat="1" x14ac:dyDescent="0.25">
      <c r="B8" s="945"/>
      <c r="C8" s="2857" t="s">
        <v>459</v>
      </c>
      <c r="D8" s="2857"/>
      <c r="E8" s="2857"/>
      <c r="F8" s="2857"/>
      <c r="G8" s="2857"/>
      <c r="H8" s="2857"/>
      <c r="I8" s="2857"/>
      <c r="J8" s="2857"/>
      <c r="K8" s="2857"/>
      <c r="L8" s="2857"/>
      <c r="M8" s="2857"/>
      <c r="N8" s="2857"/>
      <c r="O8" s="2857"/>
      <c r="P8" s="2857"/>
      <c r="Q8" s="2857"/>
      <c r="R8" s="2857"/>
      <c r="S8" s="2857"/>
      <c r="T8" s="2857"/>
    </row>
    <row r="9" spans="1:21" s="317" customFormat="1" x14ac:dyDescent="0.25">
      <c r="B9" s="945"/>
      <c r="C9" s="2857"/>
      <c r="D9" s="2857"/>
      <c r="E9" s="2857"/>
      <c r="F9" s="2857"/>
      <c r="G9" s="2857"/>
      <c r="H9" s="2857"/>
      <c r="I9" s="2857"/>
      <c r="J9" s="2857"/>
      <c r="K9" s="2857"/>
      <c r="L9" s="2857"/>
      <c r="M9" s="2857"/>
      <c r="N9" s="2857"/>
      <c r="O9" s="2857"/>
      <c r="P9" s="2857"/>
      <c r="Q9" s="2857"/>
      <c r="R9" s="2857"/>
      <c r="S9" s="2857"/>
      <c r="T9" s="2857"/>
    </row>
    <row r="10" spans="1:21" s="317" customFormat="1" x14ac:dyDescent="0.25">
      <c r="B10" s="961"/>
      <c r="C10" s="2857"/>
      <c r="D10" s="2857"/>
      <c r="E10" s="2857"/>
      <c r="F10" s="2857"/>
      <c r="G10" s="2857"/>
      <c r="H10" s="2857"/>
      <c r="I10" s="2857"/>
      <c r="J10" s="2857"/>
      <c r="K10" s="2857"/>
      <c r="L10" s="2857"/>
      <c r="M10" s="2857"/>
      <c r="N10" s="2857"/>
      <c r="O10" s="2857"/>
      <c r="P10" s="2857"/>
      <c r="Q10" s="2857"/>
      <c r="R10" s="2857"/>
      <c r="S10" s="2857"/>
      <c r="T10" s="2857"/>
    </row>
    <row r="11" spans="1:21" s="317" customFormat="1" x14ac:dyDescent="0.25">
      <c r="B11" s="945"/>
      <c r="C11" s="940" t="s">
        <v>460</v>
      </c>
      <c r="D11" s="962"/>
      <c r="E11" s="962"/>
      <c r="F11" s="962"/>
      <c r="G11" s="942"/>
      <c r="H11" s="942"/>
      <c r="I11" s="942"/>
      <c r="J11" s="942"/>
      <c r="K11" s="942"/>
      <c r="L11" s="942"/>
      <c r="M11" s="942"/>
      <c r="N11" s="953"/>
      <c r="O11" s="953"/>
      <c r="P11" s="941"/>
      <c r="Q11" s="954"/>
      <c r="R11" s="954"/>
      <c r="S11" s="954"/>
      <c r="T11" s="954"/>
    </row>
    <row r="12" spans="1:21" s="317" customFormat="1" x14ac:dyDescent="0.25">
      <c r="B12" s="945"/>
      <c r="C12" s="945" t="s">
        <v>11</v>
      </c>
      <c r="D12" s="946" t="s">
        <v>10</v>
      </c>
      <c r="E12" s="947"/>
      <c r="F12" s="948"/>
      <c r="G12" s="949"/>
      <c r="H12" s="949"/>
      <c r="I12" s="950"/>
      <c r="J12" s="2858" t="s">
        <v>457</v>
      </c>
      <c r="K12" s="2859"/>
      <c r="L12" s="951"/>
      <c r="M12" s="952"/>
      <c r="N12" s="953"/>
      <c r="O12" s="953"/>
      <c r="P12" s="953"/>
      <c r="Q12" s="954"/>
      <c r="R12" s="954"/>
      <c r="S12" s="954"/>
      <c r="T12" s="954"/>
    </row>
    <row r="13" spans="1:21" s="317" customFormat="1" x14ac:dyDescent="0.25">
      <c r="B13" s="945"/>
      <c r="C13" s="945" t="s">
        <v>14</v>
      </c>
      <c r="D13" s="955"/>
      <c r="E13" s="956" t="s">
        <v>1</v>
      </c>
      <c r="F13" s="957" t="s">
        <v>456</v>
      </c>
      <c r="G13" s="958"/>
      <c r="H13" s="958"/>
      <c r="I13" s="959"/>
      <c r="J13" s="960"/>
      <c r="K13" s="958"/>
      <c r="L13" s="2860" t="s">
        <v>457</v>
      </c>
      <c r="M13" s="2861"/>
      <c r="N13" s="953"/>
      <c r="O13" s="953"/>
      <c r="P13" s="953"/>
      <c r="Q13" s="954"/>
      <c r="R13" s="954"/>
      <c r="S13" s="954"/>
      <c r="T13" s="954"/>
    </row>
    <row r="14" spans="1:21" s="317" customFormat="1" x14ac:dyDescent="0.25">
      <c r="B14" s="945"/>
      <c r="C14" s="963"/>
      <c r="D14" s="940"/>
      <c r="E14" s="940"/>
      <c r="F14" s="964"/>
      <c r="G14" s="940"/>
      <c r="H14" s="945"/>
      <c r="I14" s="945"/>
      <c r="J14" s="945"/>
      <c r="K14" s="945"/>
      <c r="L14" s="945"/>
      <c r="M14" s="953"/>
      <c r="N14" s="953"/>
      <c r="O14" s="953"/>
      <c r="P14" s="953"/>
      <c r="Q14" s="965"/>
      <c r="R14" s="965"/>
      <c r="S14" s="965"/>
      <c r="T14" s="965"/>
    </row>
    <row r="15" spans="1:21" s="317" customFormat="1" x14ac:dyDescent="0.25">
      <c r="B15" s="939" t="s">
        <v>160</v>
      </c>
      <c r="C15" s="963"/>
      <c r="D15" s="940"/>
      <c r="E15" s="940"/>
      <c r="F15" s="964"/>
      <c r="G15" s="940"/>
      <c r="H15" s="945"/>
      <c r="I15" s="945"/>
      <c r="J15" s="945"/>
      <c r="K15" s="945"/>
      <c r="L15" s="945"/>
      <c r="M15" s="953"/>
      <c r="N15" s="953"/>
      <c r="O15" s="953"/>
      <c r="P15" s="953"/>
      <c r="Q15" s="965"/>
      <c r="R15" s="965"/>
      <c r="S15" s="965"/>
      <c r="T15" s="965"/>
    </row>
    <row r="16" spans="1:21" s="317" customFormat="1" ht="15" customHeight="1" x14ac:dyDescent="0.25">
      <c r="B16" s="966" t="s">
        <v>461</v>
      </c>
      <c r="C16" s="2857" t="s">
        <v>462</v>
      </c>
      <c r="D16" s="2857"/>
      <c r="E16" s="2857"/>
      <c r="F16" s="2857"/>
      <c r="G16" s="2857"/>
      <c r="H16" s="2857"/>
      <c r="I16" s="2857"/>
      <c r="J16" s="2857"/>
      <c r="K16" s="2857"/>
      <c r="L16" s="2857"/>
      <c r="M16" s="2857"/>
      <c r="N16" s="2857"/>
      <c r="O16" s="2857"/>
      <c r="P16" s="2857"/>
      <c r="Q16" s="2857"/>
      <c r="R16" s="2857"/>
      <c r="S16" s="2857"/>
      <c r="T16" s="2857"/>
    </row>
    <row r="17" spans="2:20" s="317" customFormat="1" x14ac:dyDescent="0.25">
      <c r="B17" s="945"/>
      <c r="C17" s="2857"/>
      <c r="D17" s="2857"/>
      <c r="E17" s="2857"/>
      <c r="F17" s="2857"/>
      <c r="G17" s="2857"/>
      <c r="H17" s="2857"/>
      <c r="I17" s="2857"/>
      <c r="J17" s="2857"/>
      <c r="K17" s="2857"/>
      <c r="L17" s="2857"/>
      <c r="M17" s="2857"/>
      <c r="N17" s="2857"/>
      <c r="O17" s="2857"/>
      <c r="P17" s="2857"/>
      <c r="Q17" s="2857"/>
      <c r="R17" s="2857"/>
      <c r="S17" s="2857"/>
      <c r="T17" s="2857"/>
    </row>
    <row r="18" spans="2:20" s="317" customFormat="1" x14ac:dyDescent="0.25">
      <c r="B18" s="945"/>
      <c r="C18" s="2857"/>
      <c r="D18" s="2857"/>
      <c r="E18" s="2857"/>
      <c r="F18" s="2857"/>
      <c r="G18" s="2857"/>
      <c r="H18" s="2857"/>
      <c r="I18" s="2857"/>
      <c r="J18" s="2857"/>
      <c r="K18" s="2857"/>
      <c r="L18" s="2857"/>
      <c r="M18" s="2857"/>
      <c r="N18" s="2857"/>
      <c r="O18" s="2857"/>
      <c r="P18" s="2857"/>
      <c r="Q18" s="2857"/>
      <c r="R18" s="2857"/>
      <c r="S18" s="2857"/>
      <c r="T18" s="2857"/>
    </row>
    <row r="19" spans="2:20" s="317" customFormat="1" x14ac:dyDescent="0.25">
      <c r="B19" s="945"/>
      <c r="C19" s="2857"/>
      <c r="D19" s="2857"/>
      <c r="E19" s="2857"/>
      <c r="F19" s="2857"/>
      <c r="G19" s="2857"/>
      <c r="H19" s="2857"/>
      <c r="I19" s="2857"/>
      <c r="J19" s="2857"/>
      <c r="K19" s="2857"/>
      <c r="L19" s="2857"/>
      <c r="M19" s="2857"/>
      <c r="N19" s="2857"/>
      <c r="O19" s="2857"/>
      <c r="P19" s="2857"/>
      <c r="Q19" s="2857"/>
      <c r="R19" s="2857"/>
      <c r="S19" s="2857"/>
      <c r="T19" s="2857"/>
    </row>
    <row r="20" spans="2:20" s="317" customFormat="1" x14ac:dyDescent="0.25">
      <c r="B20" s="945"/>
      <c r="C20" s="967"/>
      <c r="D20" s="967"/>
      <c r="E20" s="967"/>
      <c r="F20" s="967"/>
      <c r="G20" s="967"/>
      <c r="H20" s="967"/>
      <c r="I20" s="967"/>
      <c r="J20" s="967"/>
      <c r="K20" s="967"/>
      <c r="L20" s="967"/>
      <c r="M20" s="967"/>
      <c r="N20" s="967"/>
      <c r="O20" s="967"/>
      <c r="P20" s="967"/>
      <c r="Q20" s="967"/>
      <c r="R20" s="967"/>
      <c r="S20" s="967"/>
      <c r="T20" s="967"/>
    </row>
    <row r="21" spans="2:20" s="317" customFormat="1" ht="15" customHeight="1" x14ac:dyDescent="0.25">
      <c r="B21" s="966" t="s">
        <v>461</v>
      </c>
      <c r="C21" s="2857" t="s">
        <v>463</v>
      </c>
      <c r="D21" s="2857"/>
      <c r="E21" s="2857"/>
      <c r="F21" s="2857"/>
      <c r="G21" s="2857"/>
      <c r="H21" s="2857"/>
      <c r="I21" s="2857"/>
      <c r="J21" s="2857"/>
      <c r="K21" s="2857"/>
      <c r="L21" s="2857"/>
      <c r="M21" s="2857"/>
      <c r="N21" s="2857"/>
      <c r="O21" s="2857"/>
      <c r="P21" s="2857"/>
      <c r="Q21" s="2857"/>
      <c r="R21" s="2857"/>
      <c r="S21" s="2857"/>
      <c r="T21" s="2857"/>
    </row>
    <row r="22" spans="2:20" s="317" customFormat="1" x14ac:dyDescent="0.25">
      <c r="B22" s="945"/>
      <c r="C22" s="2857"/>
      <c r="D22" s="2857"/>
      <c r="E22" s="2857"/>
      <c r="F22" s="2857"/>
      <c r="G22" s="2857"/>
      <c r="H22" s="2857"/>
      <c r="I22" s="2857"/>
      <c r="J22" s="2857"/>
      <c r="K22" s="2857"/>
      <c r="L22" s="2857"/>
      <c r="M22" s="2857"/>
      <c r="N22" s="2857"/>
      <c r="O22" s="2857"/>
      <c r="P22" s="2857"/>
      <c r="Q22" s="2857"/>
      <c r="R22" s="2857"/>
      <c r="S22" s="2857"/>
      <c r="T22" s="2857"/>
    </row>
    <row r="23" spans="2:20" s="317" customFormat="1" x14ac:dyDescent="0.25">
      <c r="B23" s="945"/>
      <c r="C23" s="2857"/>
      <c r="D23" s="2857"/>
      <c r="E23" s="2857"/>
      <c r="F23" s="2857"/>
      <c r="G23" s="2857"/>
      <c r="H23" s="2857"/>
      <c r="I23" s="2857"/>
      <c r="J23" s="2857"/>
      <c r="K23" s="2857"/>
      <c r="L23" s="2857"/>
      <c r="M23" s="2857"/>
      <c r="N23" s="2857"/>
      <c r="O23" s="2857"/>
      <c r="P23" s="2857"/>
      <c r="Q23" s="2857"/>
      <c r="R23" s="2857"/>
      <c r="S23" s="2857"/>
      <c r="T23" s="2857"/>
    </row>
    <row r="24" spans="2:20" s="317" customFormat="1" x14ac:dyDescent="0.25">
      <c r="B24" s="939"/>
      <c r="C24" s="2857"/>
      <c r="D24" s="2857"/>
      <c r="E24" s="2857"/>
      <c r="F24" s="2857"/>
      <c r="G24" s="2857"/>
      <c r="H24" s="2857"/>
      <c r="I24" s="2857"/>
      <c r="J24" s="2857"/>
      <c r="K24" s="2857"/>
      <c r="L24" s="2857"/>
      <c r="M24" s="2857"/>
      <c r="N24" s="2857"/>
      <c r="O24" s="2857"/>
      <c r="P24" s="2857"/>
      <c r="Q24" s="2857"/>
      <c r="R24" s="2857"/>
      <c r="S24" s="2857"/>
      <c r="T24" s="2857"/>
    </row>
    <row r="25" spans="2:20" s="317" customFormat="1" x14ac:dyDescent="0.25">
      <c r="B25" s="945"/>
      <c r="C25" s="2857"/>
      <c r="D25" s="2857"/>
      <c r="E25" s="2857"/>
      <c r="F25" s="2857"/>
      <c r="G25" s="2857"/>
      <c r="H25" s="2857"/>
      <c r="I25" s="2857"/>
      <c r="J25" s="2857"/>
      <c r="K25" s="2857"/>
      <c r="L25" s="2857"/>
      <c r="M25" s="2857"/>
      <c r="N25" s="2857"/>
      <c r="O25" s="2857"/>
      <c r="P25" s="2857"/>
      <c r="Q25" s="2857"/>
      <c r="R25" s="2857"/>
      <c r="S25" s="2857"/>
      <c r="T25" s="2857"/>
    </row>
    <row r="26" spans="2:20" s="317" customFormat="1" x14ac:dyDescent="0.25">
      <c r="B26" s="945"/>
      <c r="C26" s="2857"/>
      <c r="D26" s="2857"/>
      <c r="E26" s="2857"/>
      <c r="F26" s="2857"/>
      <c r="G26" s="2857"/>
      <c r="H26" s="2857"/>
      <c r="I26" s="2857"/>
      <c r="J26" s="2857"/>
      <c r="K26" s="2857"/>
      <c r="L26" s="2857"/>
      <c r="M26" s="2857"/>
      <c r="N26" s="2857"/>
      <c r="O26" s="2857"/>
      <c r="P26" s="2857"/>
      <c r="Q26" s="2857"/>
      <c r="R26" s="2857"/>
      <c r="S26" s="2857"/>
      <c r="T26" s="2857"/>
    </row>
    <row r="27" spans="2:20" s="317" customFormat="1" x14ac:dyDescent="0.25">
      <c r="B27" s="945"/>
      <c r="C27" s="967"/>
      <c r="D27" s="967"/>
      <c r="E27" s="967"/>
      <c r="F27" s="967"/>
      <c r="G27" s="967"/>
      <c r="H27" s="967"/>
      <c r="I27" s="967"/>
      <c r="J27" s="967"/>
      <c r="K27" s="967"/>
      <c r="L27" s="967"/>
      <c r="M27" s="967"/>
      <c r="N27" s="967"/>
      <c r="O27" s="967"/>
      <c r="P27" s="967"/>
      <c r="Q27" s="967"/>
      <c r="R27" s="967"/>
      <c r="S27" s="967"/>
      <c r="T27" s="967"/>
    </row>
    <row r="28" spans="2:20" s="317" customFormat="1" x14ac:dyDescent="0.25">
      <c r="B28" s="966" t="s">
        <v>461</v>
      </c>
      <c r="C28" s="2857" t="s">
        <v>464</v>
      </c>
      <c r="D28" s="2857"/>
      <c r="E28" s="2857"/>
      <c r="F28" s="2857"/>
      <c r="G28" s="2857"/>
      <c r="H28" s="2857"/>
      <c r="I28" s="2857"/>
      <c r="J28" s="2857"/>
      <c r="K28" s="2857"/>
      <c r="L28" s="2857"/>
      <c r="M28" s="2857"/>
      <c r="N28" s="2857"/>
      <c r="O28" s="2857"/>
      <c r="P28" s="2857"/>
      <c r="Q28" s="2857"/>
      <c r="R28" s="2857"/>
      <c r="S28" s="2857"/>
      <c r="T28" s="2857"/>
    </row>
    <row r="29" spans="2:20" s="317" customFormat="1" x14ac:dyDescent="0.25">
      <c r="B29" s="968"/>
      <c r="C29" s="2857"/>
      <c r="D29" s="2857"/>
      <c r="E29" s="2857"/>
      <c r="F29" s="2857"/>
      <c r="G29" s="2857"/>
      <c r="H29" s="2857"/>
      <c r="I29" s="2857"/>
      <c r="J29" s="2857"/>
      <c r="K29" s="2857"/>
      <c r="L29" s="2857"/>
      <c r="M29" s="2857"/>
      <c r="N29" s="2857"/>
      <c r="O29" s="2857"/>
      <c r="P29" s="2857"/>
      <c r="Q29" s="2857"/>
      <c r="R29" s="2857"/>
      <c r="S29" s="2857"/>
      <c r="T29" s="2857"/>
    </row>
    <row r="30" spans="2:20" s="317" customFormat="1" x14ac:dyDescent="0.25">
      <c r="B30" s="945"/>
      <c r="C30" s="2857"/>
      <c r="D30" s="2857"/>
      <c r="E30" s="2857"/>
      <c r="F30" s="2857"/>
      <c r="G30" s="2857"/>
      <c r="H30" s="2857"/>
      <c r="I30" s="2857"/>
      <c r="J30" s="2857"/>
      <c r="K30" s="2857"/>
      <c r="L30" s="2857"/>
      <c r="M30" s="2857"/>
      <c r="N30" s="2857"/>
      <c r="O30" s="2857"/>
      <c r="P30" s="2857"/>
      <c r="Q30" s="2857"/>
      <c r="R30" s="2857"/>
      <c r="S30" s="2857"/>
      <c r="T30" s="2857"/>
    </row>
    <row r="31" spans="2:20" s="317" customFormat="1" x14ac:dyDescent="0.25">
      <c r="B31" s="945"/>
      <c r="C31" s="2857"/>
      <c r="D31" s="2857"/>
      <c r="E31" s="2857"/>
      <c r="F31" s="2857"/>
      <c r="G31" s="2857"/>
      <c r="H31" s="2857"/>
      <c r="I31" s="2857"/>
      <c r="J31" s="2857"/>
      <c r="K31" s="2857"/>
      <c r="L31" s="2857"/>
      <c r="M31" s="2857"/>
      <c r="N31" s="2857"/>
      <c r="O31" s="2857"/>
      <c r="P31" s="2857"/>
      <c r="Q31" s="2857"/>
      <c r="R31" s="2857"/>
      <c r="S31" s="2857"/>
      <c r="T31" s="2857"/>
    </row>
    <row r="32" spans="2:20" s="317" customFormat="1" x14ac:dyDescent="0.25">
      <c r="B32" s="945"/>
      <c r="C32" s="967"/>
      <c r="D32" s="967"/>
      <c r="E32" s="967"/>
      <c r="F32" s="967"/>
      <c r="G32" s="967"/>
      <c r="H32" s="967"/>
      <c r="I32" s="967"/>
      <c r="J32" s="967"/>
      <c r="K32" s="967"/>
      <c r="L32" s="967"/>
      <c r="M32" s="967"/>
      <c r="N32" s="967"/>
      <c r="O32" s="967"/>
      <c r="P32" s="967"/>
      <c r="Q32" s="967"/>
      <c r="R32" s="967"/>
      <c r="S32" s="967"/>
      <c r="T32" s="967"/>
    </row>
    <row r="33" spans="2:20" s="317" customFormat="1" ht="15" customHeight="1" x14ac:dyDescent="0.25">
      <c r="B33" s="966" t="s">
        <v>461</v>
      </c>
      <c r="C33" s="2857" t="s">
        <v>465</v>
      </c>
      <c r="D33" s="2857"/>
      <c r="E33" s="2857"/>
      <c r="F33" s="2857"/>
      <c r="G33" s="2857"/>
      <c r="H33" s="2857"/>
      <c r="I33" s="2857"/>
      <c r="J33" s="2857"/>
      <c r="K33" s="2857"/>
      <c r="L33" s="2857"/>
      <c r="M33" s="2857"/>
      <c r="N33" s="2857"/>
      <c r="O33" s="2857"/>
      <c r="P33" s="2857"/>
      <c r="Q33" s="2857"/>
      <c r="R33" s="2857"/>
      <c r="S33" s="2857"/>
      <c r="T33" s="2857"/>
    </row>
    <row r="34" spans="2:20" s="317" customFormat="1" x14ac:dyDescent="0.25">
      <c r="B34" s="968"/>
      <c r="C34" s="2857"/>
      <c r="D34" s="2857"/>
      <c r="E34" s="2857"/>
      <c r="F34" s="2857"/>
      <c r="G34" s="2857"/>
      <c r="H34" s="2857"/>
      <c r="I34" s="2857"/>
      <c r="J34" s="2857"/>
      <c r="K34" s="2857"/>
      <c r="L34" s="2857"/>
      <c r="M34" s="2857"/>
      <c r="N34" s="2857"/>
      <c r="O34" s="2857"/>
      <c r="P34" s="2857"/>
      <c r="Q34" s="2857"/>
      <c r="R34" s="2857"/>
      <c r="S34" s="2857"/>
      <c r="T34" s="2857"/>
    </row>
    <row r="35" spans="2:20" s="317" customFormat="1" x14ac:dyDescent="0.25">
      <c r="B35" s="945"/>
      <c r="C35" s="2857"/>
      <c r="D35" s="2857"/>
      <c r="E35" s="2857"/>
      <c r="F35" s="2857"/>
      <c r="G35" s="2857"/>
      <c r="H35" s="2857"/>
      <c r="I35" s="2857"/>
      <c r="J35" s="2857"/>
      <c r="K35" s="2857"/>
      <c r="L35" s="2857"/>
      <c r="M35" s="2857"/>
      <c r="N35" s="2857"/>
      <c r="O35" s="2857"/>
      <c r="P35" s="2857"/>
      <c r="Q35" s="2857"/>
      <c r="R35" s="2857"/>
      <c r="S35" s="2857"/>
      <c r="T35" s="2857"/>
    </row>
    <row r="36" spans="2:20" s="317" customFormat="1" x14ac:dyDescent="0.25">
      <c r="B36" s="945"/>
      <c r="C36" s="2857"/>
      <c r="D36" s="2857"/>
      <c r="E36" s="2857"/>
      <c r="F36" s="2857"/>
      <c r="G36" s="2857"/>
      <c r="H36" s="2857"/>
      <c r="I36" s="2857"/>
      <c r="J36" s="2857"/>
      <c r="K36" s="2857"/>
      <c r="L36" s="2857"/>
      <c r="M36" s="2857"/>
      <c r="N36" s="2857"/>
      <c r="O36" s="2857"/>
      <c r="P36" s="2857"/>
      <c r="Q36" s="2857"/>
      <c r="R36" s="2857"/>
      <c r="S36" s="2857"/>
      <c r="T36" s="2857"/>
    </row>
    <row r="37" spans="2:20" s="317" customFormat="1" ht="15" customHeight="1" x14ac:dyDescent="0.25">
      <c r="B37" s="968"/>
      <c r="C37" s="2856" t="s">
        <v>466</v>
      </c>
      <c r="D37" s="2856"/>
      <c r="E37" s="2856"/>
      <c r="F37" s="2856"/>
      <c r="G37" s="2856"/>
      <c r="H37" s="2856"/>
      <c r="I37" s="2856"/>
      <c r="J37" s="2856"/>
      <c r="K37" s="2856"/>
      <c r="L37" s="2856"/>
      <c r="M37" s="2856"/>
      <c r="N37" s="2856"/>
      <c r="O37" s="2856"/>
      <c r="P37" s="2856"/>
      <c r="Q37" s="2856"/>
      <c r="R37" s="2856"/>
      <c r="S37" s="2856"/>
      <c r="T37" s="2856"/>
    </row>
    <row r="38" spans="2:20" s="317" customFormat="1" x14ac:dyDescent="0.25">
      <c r="B38" s="945"/>
      <c r="C38" s="2856"/>
      <c r="D38" s="2856"/>
      <c r="E38" s="2856"/>
      <c r="F38" s="2856"/>
      <c r="G38" s="2856"/>
      <c r="H38" s="2856"/>
      <c r="I38" s="2856"/>
      <c r="J38" s="2856"/>
      <c r="K38" s="2856"/>
      <c r="L38" s="2856"/>
      <c r="M38" s="2856"/>
      <c r="N38" s="2856"/>
      <c r="O38" s="2856"/>
      <c r="P38" s="2856"/>
      <c r="Q38" s="2856"/>
      <c r="R38" s="2856"/>
      <c r="S38" s="2856"/>
      <c r="T38" s="2856"/>
    </row>
    <row r="39" spans="2:20" s="317" customFormat="1" x14ac:dyDescent="0.25">
      <c r="B39" s="945"/>
      <c r="C39" s="2856"/>
      <c r="D39" s="2856"/>
      <c r="E39" s="2856"/>
      <c r="F39" s="2856"/>
      <c r="G39" s="2856"/>
      <c r="H39" s="2856"/>
      <c r="I39" s="2856"/>
      <c r="J39" s="2856"/>
      <c r="K39" s="2856"/>
      <c r="L39" s="2856"/>
      <c r="M39" s="2856"/>
      <c r="N39" s="2856"/>
      <c r="O39" s="2856"/>
      <c r="P39" s="2856"/>
      <c r="Q39" s="2856"/>
      <c r="R39" s="2856"/>
      <c r="S39" s="2856"/>
      <c r="T39" s="2856"/>
    </row>
    <row r="40" spans="2:20" s="317" customFormat="1" x14ac:dyDescent="0.25">
      <c r="B40" s="945"/>
      <c r="C40" s="969"/>
      <c r="D40" s="969"/>
      <c r="E40" s="969"/>
      <c r="F40" s="969"/>
      <c r="G40" s="969"/>
      <c r="H40" s="969"/>
      <c r="I40" s="969"/>
      <c r="J40" s="969"/>
      <c r="K40" s="969"/>
      <c r="L40" s="969"/>
      <c r="M40" s="969"/>
      <c r="N40" s="969"/>
      <c r="O40" s="969"/>
      <c r="P40" s="969"/>
      <c r="Q40" s="969"/>
      <c r="R40" s="969"/>
      <c r="S40" s="969"/>
      <c r="T40" s="969"/>
    </row>
    <row r="41" spans="2:20" s="317" customFormat="1" x14ac:dyDescent="0.25">
      <c r="B41" s="966" t="s">
        <v>461</v>
      </c>
      <c r="C41" s="2857" t="s">
        <v>467</v>
      </c>
      <c r="D41" s="2857"/>
      <c r="E41" s="2857"/>
      <c r="F41" s="2857"/>
      <c r="G41" s="2857"/>
      <c r="H41" s="2857"/>
      <c r="I41" s="2857"/>
      <c r="J41" s="2857"/>
      <c r="K41" s="2857"/>
      <c r="L41" s="2857"/>
      <c r="M41" s="2857"/>
      <c r="N41" s="2857"/>
      <c r="O41" s="2857"/>
      <c r="P41" s="2857"/>
      <c r="Q41" s="2857"/>
      <c r="R41" s="2857"/>
      <c r="S41" s="2857"/>
      <c r="T41" s="2857"/>
    </row>
    <row r="42" spans="2:20" s="317" customFormat="1" x14ac:dyDescent="0.25">
      <c r="B42" s="953"/>
      <c r="C42" s="2857"/>
      <c r="D42" s="2857"/>
      <c r="E42" s="2857"/>
      <c r="F42" s="2857"/>
      <c r="G42" s="2857"/>
      <c r="H42" s="2857"/>
      <c r="I42" s="2857"/>
      <c r="J42" s="2857"/>
      <c r="K42" s="2857"/>
      <c r="L42" s="2857"/>
      <c r="M42" s="2857"/>
      <c r="N42" s="2857"/>
      <c r="O42" s="2857"/>
      <c r="P42" s="2857"/>
      <c r="Q42" s="2857"/>
      <c r="R42" s="2857"/>
      <c r="S42" s="2857"/>
      <c r="T42" s="2857"/>
    </row>
    <row r="43" spans="2:20" s="317" customFormat="1" x14ac:dyDescent="0.25">
      <c r="B43" s="945"/>
      <c r="C43" s="2857"/>
      <c r="D43" s="2857"/>
      <c r="E43" s="2857"/>
      <c r="F43" s="2857"/>
      <c r="G43" s="2857"/>
      <c r="H43" s="2857"/>
      <c r="I43" s="2857"/>
      <c r="J43" s="2857"/>
      <c r="K43" s="2857"/>
      <c r="L43" s="2857"/>
      <c r="M43" s="2857"/>
      <c r="N43" s="2857"/>
      <c r="O43" s="2857"/>
      <c r="P43" s="2857"/>
      <c r="Q43" s="2857"/>
      <c r="R43" s="2857"/>
      <c r="S43" s="2857"/>
      <c r="T43" s="2857"/>
    </row>
    <row r="44" spans="2:20" ht="15" customHeight="1" x14ac:dyDescent="0.25">
      <c r="B44" s="970"/>
      <c r="C44" s="2856" t="s">
        <v>468</v>
      </c>
      <c r="D44" s="2856"/>
      <c r="E44" s="2856"/>
      <c r="F44" s="2856"/>
      <c r="G44" s="2856"/>
      <c r="H44" s="2856"/>
      <c r="I44" s="2856"/>
      <c r="J44" s="2856"/>
      <c r="K44" s="2856"/>
      <c r="L44" s="2856"/>
      <c r="M44" s="2856"/>
      <c r="N44" s="2856"/>
      <c r="O44" s="2856"/>
      <c r="P44" s="2856"/>
      <c r="Q44" s="2856"/>
      <c r="R44" s="2856"/>
      <c r="S44" s="2856"/>
      <c r="T44" s="2856"/>
    </row>
    <row r="45" spans="2:20" x14ac:dyDescent="0.25">
      <c r="B45" s="970"/>
      <c r="C45" s="2856"/>
      <c r="D45" s="2856"/>
      <c r="E45" s="2856"/>
      <c r="F45" s="2856"/>
      <c r="G45" s="2856"/>
      <c r="H45" s="2856"/>
      <c r="I45" s="2856"/>
      <c r="J45" s="2856"/>
      <c r="K45" s="2856"/>
      <c r="L45" s="2856"/>
      <c r="M45" s="2856"/>
      <c r="N45" s="2856"/>
      <c r="O45" s="2856"/>
      <c r="P45" s="2856"/>
      <c r="Q45" s="2856"/>
      <c r="R45" s="2856"/>
      <c r="S45" s="2856"/>
      <c r="T45" s="2856"/>
    </row>
    <row r="46" spans="2:20" x14ac:dyDescent="0.25">
      <c r="B46" s="970"/>
      <c r="C46" s="2856"/>
      <c r="D46" s="2856"/>
      <c r="E46" s="2856"/>
      <c r="F46" s="2856"/>
      <c r="G46" s="2856"/>
      <c r="H46" s="2856"/>
      <c r="I46" s="2856"/>
      <c r="J46" s="2856"/>
      <c r="K46" s="2856"/>
      <c r="L46" s="2856"/>
      <c r="M46" s="2856"/>
      <c r="N46" s="2856"/>
      <c r="O46" s="2856"/>
      <c r="P46" s="2856"/>
      <c r="Q46" s="2856"/>
      <c r="R46" s="2856"/>
      <c r="S46" s="2856"/>
      <c r="T46" s="2856"/>
    </row>
    <row r="47" spans="2:20" x14ac:dyDescent="0.25">
      <c r="B47" s="970"/>
      <c r="C47" s="2856"/>
      <c r="D47" s="2856"/>
      <c r="E47" s="2856"/>
      <c r="F47" s="2856"/>
      <c r="G47" s="2856"/>
      <c r="H47" s="2856"/>
      <c r="I47" s="2856"/>
      <c r="J47" s="2856"/>
      <c r="K47" s="2856"/>
      <c r="L47" s="2856"/>
      <c r="M47" s="2856"/>
      <c r="N47" s="2856"/>
      <c r="O47" s="2856"/>
      <c r="P47" s="2856"/>
      <c r="Q47" s="2856"/>
      <c r="R47" s="2856"/>
      <c r="S47" s="2856"/>
      <c r="T47" s="2856"/>
    </row>
    <row r="48" spans="2:20" x14ac:dyDescent="0.25">
      <c r="B48" s="970"/>
      <c r="C48" s="2856"/>
      <c r="D48" s="2856"/>
      <c r="E48" s="2856"/>
      <c r="F48" s="2856"/>
      <c r="G48" s="2856"/>
      <c r="H48" s="2856"/>
      <c r="I48" s="2856"/>
      <c r="J48" s="2856"/>
      <c r="K48" s="2856"/>
      <c r="L48" s="2856"/>
      <c r="M48" s="2856"/>
      <c r="N48" s="2856"/>
      <c r="O48" s="2856"/>
      <c r="P48" s="2856"/>
      <c r="Q48" s="2856"/>
      <c r="R48" s="2856"/>
      <c r="S48" s="2856"/>
      <c r="T48" s="2856"/>
    </row>
    <row r="49" spans="1:21" x14ac:dyDescent="0.25">
      <c r="B49" s="970"/>
      <c r="C49" s="971"/>
      <c r="D49" s="971"/>
      <c r="E49" s="971"/>
      <c r="F49" s="971"/>
      <c r="G49" s="972"/>
      <c r="H49" s="972"/>
      <c r="I49" s="972"/>
      <c r="J49" s="972"/>
      <c r="K49" s="972"/>
      <c r="L49" s="972"/>
      <c r="M49" s="973"/>
      <c r="N49" s="973"/>
      <c r="O49" s="973"/>
      <c r="P49" s="973"/>
      <c r="Q49" s="974"/>
      <c r="R49" s="974"/>
      <c r="S49" s="974"/>
      <c r="T49" s="974"/>
    </row>
    <row r="50" spans="1:21" s="4" customFormat="1" x14ac:dyDescent="0.25">
      <c r="B50" s="975"/>
      <c r="C50" s="971"/>
      <c r="D50" s="971"/>
      <c r="E50" s="971"/>
      <c r="F50" s="971"/>
      <c r="G50" s="976"/>
      <c r="H50" s="976"/>
      <c r="I50" s="976"/>
      <c r="J50" s="976"/>
      <c r="K50" s="976"/>
      <c r="L50" s="976"/>
      <c r="M50" s="977"/>
      <c r="N50" s="977"/>
      <c r="O50" s="977"/>
      <c r="P50" s="977"/>
      <c r="Q50" s="978"/>
      <c r="R50" s="978"/>
      <c r="S50" s="978"/>
      <c r="T50" s="978"/>
    </row>
    <row r="51" spans="1:21" x14ac:dyDescent="0.25">
      <c r="A51" s="4"/>
      <c r="B51" s="975"/>
      <c r="C51" s="971"/>
      <c r="D51" s="971"/>
      <c r="E51" s="971"/>
      <c r="F51" s="971"/>
      <c r="G51" s="976"/>
      <c r="H51" s="976"/>
      <c r="I51" s="976"/>
      <c r="J51" s="976"/>
      <c r="K51" s="976"/>
      <c r="L51" s="976"/>
      <c r="M51" s="977"/>
      <c r="N51" s="977"/>
      <c r="O51" s="977"/>
      <c r="P51" s="977"/>
      <c r="Q51" s="978"/>
      <c r="R51" s="978"/>
      <c r="S51" s="978"/>
      <c r="T51" s="978"/>
      <c r="U51" s="4"/>
    </row>
    <row r="52" spans="1:21" ht="15" customHeight="1" x14ac:dyDescent="0.25">
      <c r="B52" s="979" t="s">
        <v>178</v>
      </c>
      <c r="C52" s="2205" t="s">
        <v>469</v>
      </c>
      <c r="D52" s="2205"/>
      <c r="E52" s="2205"/>
      <c r="F52" s="2205"/>
      <c r="G52" s="2205"/>
      <c r="H52" s="2205"/>
      <c r="I52" s="2205"/>
      <c r="J52" s="2205"/>
      <c r="K52" s="2205"/>
      <c r="L52" s="2205"/>
      <c r="M52" s="2205"/>
      <c r="N52" s="2205"/>
      <c r="O52" s="2205"/>
      <c r="P52" s="2205"/>
      <c r="Q52" s="2205"/>
      <c r="R52" s="2205"/>
      <c r="S52" s="2205"/>
      <c r="T52" s="2205"/>
    </row>
    <row r="53" spans="1:21" x14ac:dyDescent="0.25">
      <c r="B53" s="970"/>
      <c r="C53" s="2205"/>
      <c r="D53" s="2205"/>
      <c r="E53" s="2205"/>
      <c r="F53" s="2205"/>
      <c r="G53" s="2205"/>
      <c r="H53" s="2205"/>
      <c r="I53" s="2205"/>
      <c r="J53" s="2205"/>
      <c r="K53" s="2205"/>
      <c r="L53" s="2205"/>
      <c r="M53" s="2205"/>
      <c r="N53" s="2205"/>
      <c r="O53" s="2205"/>
      <c r="P53" s="2205"/>
      <c r="Q53" s="2205"/>
      <c r="R53" s="2205"/>
      <c r="S53" s="2205"/>
      <c r="T53" s="2205"/>
    </row>
    <row r="54" spans="1:21" x14ac:dyDescent="0.25">
      <c r="A54" s="4"/>
      <c r="B54" s="975"/>
      <c r="C54" s="2205"/>
      <c r="D54" s="2205"/>
      <c r="E54" s="2205"/>
      <c r="F54" s="2205"/>
      <c r="G54" s="2205"/>
      <c r="H54" s="2205"/>
      <c r="I54" s="2205"/>
      <c r="J54" s="2205"/>
      <c r="K54" s="2205"/>
      <c r="L54" s="2205"/>
      <c r="M54" s="2205"/>
      <c r="N54" s="2205"/>
      <c r="O54" s="2205"/>
      <c r="P54" s="2205"/>
      <c r="Q54" s="2205"/>
      <c r="R54" s="2205"/>
      <c r="S54" s="2205"/>
      <c r="T54" s="2205"/>
      <c r="U54" s="4"/>
    </row>
    <row r="55" spans="1:21" s="4" customFormat="1" x14ac:dyDescent="0.25">
      <c r="B55" s="975"/>
      <c r="C55" s="2205"/>
      <c r="D55" s="2205"/>
      <c r="E55" s="2205"/>
      <c r="F55" s="2205"/>
      <c r="G55" s="2205"/>
      <c r="H55" s="2205"/>
      <c r="I55" s="2205"/>
      <c r="J55" s="2205"/>
      <c r="K55" s="2205"/>
      <c r="L55" s="2205"/>
      <c r="M55" s="2205"/>
      <c r="N55" s="2205"/>
      <c r="O55" s="2205"/>
      <c r="P55" s="2205"/>
      <c r="Q55" s="2205"/>
      <c r="R55" s="2205"/>
      <c r="S55" s="2205"/>
      <c r="T55" s="2205"/>
    </row>
    <row r="56" spans="1:21" s="4" customFormat="1" x14ac:dyDescent="0.25">
      <c r="B56" s="975"/>
      <c r="C56" s="2205"/>
      <c r="D56" s="2205"/>
      <c r="E56" s="2205"/>
      <c r="F56" s="2205"/>
      <c r="G56" s="2205"/>
      <c r="H56" s="2205"/>
      <c r="I56" s="2205"/>
      <c r="J56" s="2205"/>
      <c r="K56" s="2205"/>
      <c r="L56" s="2205"/>
      <c r="M56" s="2205"/>
      <c r="N56" s="2205"/>
      <c r="O56" s="2205"/>
      <c r="P56" s="2205"/>
      <c r="Q56" s="2205"/>
      <c r="R56" s="2205"/>
      <c r="S56" s="2205"/>
      <c r="T56" s="2205"/>
    </row>
    <row r="57" spans="1:21" s="4" customFormat="1" x14ac:dyDescent="0.25">
      <c r="B57" s="975"/>
      <c r="C57" s="2205" t="s">
        <v>470</v>
      </c>
      <c r="D57" s="2205"/>
      <c r="E57" s="2205"/>
      <c r="F57" s="2205"/>
      <c r="G57" s="2205"/>
      <c r="H57" s="2205"/>
      <c r="I57" s="2205"/>
      <c r="J57" s="2205"/>
      <c r="K57" s="2205"/>
      <c r="L57" s="2205"/>
      <c r="M57" s="2205"/>
      <c r="N57" s="2205"/>
      <c r="O57" s="2205"/>
      <c r="P57" s="2205"/>
      <c r="Q57" s="2205"/>
      <c r="R57" s="2205"/>
      <c r="S57" s="2205"/>
      <c r="T57" s="2205"/>
    </row>
    <row r="58" spans="1:21" s="4" customFormat="1" x14ac:dyDescent="0.25">
      <c r="B58" s="975"/>
      <c r="C58" s="2205"/>
      <c r="D58" s="2205"/>
      <c r="E58" s="2205"/>
      <c r="F58" s="2205"/>
      <c r="G58" s="2205"/>
      <c r="H58" s="2205"/>
      <c r="I58" s="2205"/>
      <c r="J58" s="2205"/>
      <c r="K58" s="2205"/>
      <c r="L58" s="2205"/>
      <c r="M58" s="2205"/>
      <c r="N58" s="2205"/>
      <c r="O58" s="2205"/>
      <c r="P58" s="2205"/>
      <c r="Q58" s="2205"/>
      <c r="R58" s="2205"/>
      <c r="S58" s="2205"/>
      <c r="T58" s="2205"/>
    </row>
    <row r="59" spans="1:21" s="4" customFormat="1" x14ac:dyDescent="0.25">
      <c r="B59" s="975"/>
      <c r="C59" s="2205"/>
      <c r="D59" s="2205"/>
      <c r="E59" s="2205"/>
      <c r="F59" s="2205"/>
      <c r="G59" s="2205"/>
      <c r="H59" s="2205"/>
      <c r="I59" s="2205"/>
      <c r="J59" s="2205"/>
      <c r="K59" s="2205"/>
      <c r="L59" s="2205"/>
      <c r="M59" s="2205"/>
      <c r="N59" s="2205"/>
      <c r="O59" s="2205"/>
      <c r="P59" s="2205"/>
      <c r="Q59" s="2205"/>
      <c r="R59" s="2205"/>
      <c r="S59" s="2205"/>
      <c r="T59" s="2205"/>
    </row>
    <row r="60" spans="1:21" s="4" customFormat="1" x14ac:dyDescent="0.25">
      <c r="B60" s="975"/>
      <c r="C60" s="2205"/>
      <c r="D60" s="2205"/>
      <c r="E60" s="2205"/>
      <c r="F60" s="2205"/>
      <c r="G60" s="2205"/>
      <c r="H60" s="2205"/>
      <c r="I60" s="2205"/>
      <c r="J60" s="2205"/>
      <c r="K60" s="2205"/>
      <c r="L60" s="2205"/>
      <c r="M60" s="2205"/>
      <c r="N60" s="2205"/>
      <c r="O60" s="2205"/>
      <c r="P60" s="2205"/>
      <c r="Q60" s="2205"/>
      <c r="R60" s="2205"/>
      <c r="S60" s="2205"/>
      <c r="T60" s="2205"/>
    </row>
    <row r="61" spans="1:21" s="4" customFormat="1" x14ac:dyDescent="0.25">
      <c r="B61" s="975"/>
      <c r="C61" s="980"/>
      <c r="D61" s="980"/>
      <c r="E61" s="980"/>
      <c r="F61" s="980"/>
      <c r="G61" s="980"/>
      <c r="H61" s="980"/>
      <c r="I61" s="980"/>
      <c r="J61" s="980"/>
      <c r="K61" s="980"/>
      <c r="L61" s="980"/>
      <c r="M61" s="980"/>
      <c r="N61" s="980"/>
      <c r="O61" s="980"/>
      <c r="P61" s="980"/>
      <c r="Q61" s="980"/>
      <c r="R61" s="980"/>
      <c r="S61" s="980"/>
      <c r="T61" s="980"/>
    </row>
    <row r="62" spans="1:21" s="4" customFormat="1" ht="15" customHeight="1" x14ac:dyDescent="0.25">
      <c r="B62" s="981" t="s">
        <v>236</v>
      </c>
      <c r="C62" s="2855" t="s">
        <v>471</v>
      </c>
      <c r="D62" s="2855"/>
      <c r="E62" s="2855"/>
      <c r="F62" s="2855"/>
      <c r="G62" s="2855"/>
      <c r="H62" s="2855"/>
      <c r="I62" s="2855"/>
      <c r="J62" s="2855"/>
      <c r="K62" s="2855"/>
      <c r="L62" s="2855"/>
      <c r="M62" s="2855"/>
      <c r="N62" s="2855"/>
      <c r="O62" s="2855"/>
      <c r="P62" s="2855"/>
      <c r="Q62" s="2855"/>
      <c r="R62" s="2855"/>
      <c r="S62" s="2855"/>
      <c r="T62" s="2855"/>
    </row>
    <row r="63" spans="1:21" s="4" customFormat="1" x14ac:dyDescent="0.25">
      <c r="B63" s="975"/>
      <c r="C63" s="2855"/>
      <c r="D63" s="2855"/>
      <c r="E63" s="2855"/>
      <c r="F63" s="2855"/>
      <c r="G63" s="2855"/>
      <c r="H63" s="2855"/>
      <c r="I63" s="2855"/>
      <c r="J63" s="2855"/>
      <c r="K63" s="2855"/>
      <c r="L63" s="2855"/>
      <c r="M63" s="2855"/>
      <c r="N63" s="2855"/>
      <c r="O63" s="2855"/>
      <c r="P63" s="2855"/>
      <c r="Q63" s="2855"/>
      <c r="R63" s="2855"/>
      <c r="S63" s="2855"/>
      <c r="T63" s="2855"/>
    </row>
    <row r="64" spans="1:21" s="4" customFormat="1" x14ac:dyDescent="0.25">
      <c r="B64" s="975"/>
      <c r="C64" s="2855"/>
      <c r="D64" s="2855"/>
      <c r="E64" s="2855"/>
      <c r="F64" s="2855"/>
      <c r="G64" s="2855"/>
      <c r="H64" s="2855"/>
      <c r="I64" s="2855"/>
      <c r="J64" s="2855"/>
      <c r="K64" s="2855"/>
      <c r="L64" s="2855"/>
      <c r="M64" s="2855"/>
      <c r="N64" s="2855"/>
      <c r="O64" s="2855"/>
      <c r="P64" s="2855"/>
      <c r="Q64" s="2855"/>
      <c r="R64" s="2855"/>
      <c r="S64" s="2855"/>
      <c r="T64" s="2855"/>
    </row>
    <row r="65" spans="2:20" s="4" customFormat="1" x14ac:dyDescent="0.25">
      <c r="B65" s="975"/>
      <c r="C65" s="2855"/>
      <c r="D65" s="2855"/>
      <c r="E65" s="2855"/>
      <c r="F65" s="2855"/>
      <c r="G65" s="2855"/>
      <c r="H65" s="2855"/>
      <c r="I65" s="2855"/>
      <c r="J65" s="2855"/>
      <c r="K65" s="2855"/>
      <c r="L65" s="2855"/>
      <c r="M65" s="2855"/>
      <c r="N65" s="2855"/>
      <c r="O65" s="2855"/>
      <c r="P65" s="2855"/>
      <c r="Q65" s="2855"/>
      <c r="R65" s="2855"/>
      <c r="S65" s="2855"/>
      <c r="T65" s="2855"/>
    </row>
    <row r="66" spans="2:20" s="4" customFormat="1" x14ac:dyDescent="0.25">
      <c r="B66" s="975"/>
      <c r="C66" s="2855"/>
      <c r="D66" s="2855"/>
      <c r="E66" s="2855"/>
      <c r="F66" s="2855"/>
      <c r="G66" s="2855"/>
      <c r="H66" s="2855"/>
      <c r="I66" s="2855"/>
      <c r="J66" s="2855"/>
      <c r="K66" s="2855"/>
      <c r="L66" s="2855"/>
      <c r="M66" s="2855"/>
      <c r="N66" s="2855"/>
      <c r="O66" s="2855"/>
      <c r="P66" s="2855"/>
      <c r="Q66" s="2855"/>
      <c r="R66" s="2855"/>
      <c r="S66" s="2855"/>
      <c r="T66" s="2855"/>
    </row>
    <row r="67" spans="2:20" s="4" customFormat="1" x14ac:dyDescent="0.25">
      <c r="B67" s="975"/>
      <c r="C67" s="2855"/>
      <c r="D67" s="2855"/>
      <c r="E67" s="2855"/>
      <c r="F67" s="2855"/>
      <c r="G67" s="2855"/>
      <c r="H67" s="2855"/>
      <c r="I67" s="2855"/>
      <c r="J67" s="2855"/>
      <c r="K67" s="2855"/>
      <c r="L67" s="2855"/>
      <c r="M67" s="2855"/>
      <c r="N67" s="2855"/>
      <c r="O67" s="2855"/>
      <c r="P67" s="2855"/>
      <c r="Q67" s="2855"/>
      <c r="R67" s="2855"/>
      <c r="S67" s="2855"/>
      <c r="T67" s="2855"/>
    </row>
    <row r="68" spans="2:20" s="4" customFormat="1" x14ac:dyDescent="0.25">
      <c r="B68" s="975"/>
      <c r="C68" s="980"/>
      <c r="D68" s="980"/>
      <c r="E68" s="980"/>
      <c r="F68" s="980"/>
      <c r="G68" s="980"/>
      <c r="H68" s="980"/>
      <c r="I68" s="980"/>
      <c r="J68" s="980"/>
      <c r="K68" s="980"/>
      <c r="L68" s="980"/>
      <c r="M68" s="980"/>
      <c r="N68" s="980"/>
      <c r="O68" s="980"/>
      <c r="P68" s="980"/>
      <c r="Q68" s="980"/>
      <c r="R68" s="980"/>
      <c r="S68" s="980"/>
      <c r="T68" s="980"/>
    </row>
    <row r="69" spans="2:20" s="4" customFormat="1" ht="15" customHeight="1" x14ac:dyDescent="0.25">
      <c r="B69" s="981" t="s">
        <v>247</v>
      </c>
      <c r="C69" s="2855" t="s">
        <v>472</v>
      </c>
      <c r="D69" s="2855"/>
      <c r="E69" s="2855"/>
      <c r="F69" s="2855"/>
      <c r="G69" s="2855"/>
      <c r="H69" s="2855"/>
      <c r="I69" s="2855"/>
      <c r="J69" s="2855"/>
      <c r="K69" s="2855"/>
      <c r="L69" s="2855"/>
      <c r="M69" s="2855"/>
      <c r="N69" s="2855"/>
      <c r="O69" s="2855"/>
      <c r="P69" s="2855"/>
      <c r="Q69" s="2855"/>
      <c r="R69" s="2855"/>
      <c r="S69" s="2855"/>
      <c r="T69" s="2855"/>
    </row>
    <row r="70" spans="2:20" s="4" customFormat="1" x14ac:dyDescent="0.25">
      <c r="B70" s="975"/>
      <c r="C70" s="2855"/>
      <c r="D70" s="2855"/>
      <c r="E70" s="2855"/>
      <c r="F70" s="2855"/>
      <c r="G70" s="2855"/>
      <c r="H70" s="2855"/>
      <c r="I70" s="2855"/>
      <c r="J70" s="2855"/>
      <c r="K70" s="2855"/>
      <c r="L70" s="2855"/>
      <c r="M70" s="2855"/>
      <c r="N70" s="2855"/>
      <c r="O70" s="2855"/>
      <c r="P70" s="2855"/>
      <c r="Q70" s="2855"/>
      <c r="R70" s="2855"/>
      <c r="S70" s="2855"/>
      <c r="T70" s="2855"/>
    </row>
    <row r="71" spans="2:20" s="4" customFormat="1" x14ac:dyDescent="0.25">
      <c r="B71" s="975"/>
      <c r="C71" s="2855"/>
      <c r="D71" s="2855"/>
      <c r="E71" s="2855"/>
      <c r="F71" s="2855"/>
      <c r="G71" s="2855"/>
      <c r="H71" s="2855"/>
      <c r="I71" s="2855"/>
      <c r="J71" s="2855"/>
      <c r="K71" s="2855"/>
      <c r="L71" s="2855"/>
      <c r="M71" s="2855"/>
      <c r="N71" s="2855"/>
      <c r="O71" s="2855"/>
      <c r="P71" s="2855"/>
      <c r="Q71" s="2855"/>
      <c r="R71" s="2855"/>
      <c r="S71" s="2855"/>
      <c r="T71" s="2855"/>
    </row>
    <row r="72" spans="2:20" s="4" customFormat="1" x14ac:dyDescent="0.25">
      <c r="B72" s="975"/>
      <c r="C72" s="2855"/>
      <c r="D72" s="2855"/>
      <c r="E72" s="2855"/>
      <c r="F72" s="2855"/>
      <c r="G72" s="2855"/>
      <c r="H72" s="2855"/>
      <c r="I72" s="2855"/>
      <c r="J72" s="2855"/>
      <c r="K72" s="2855"/>
      <c r="L72" s="2855"/>
      <c r="M72" s="2855"/>
      <c r="N72" s="2855"/>
      <c r="O72" s="2855"/>
      <c r="P72" s="2855"/>
      <c r="Q72" s="2855"/>
      <c r="R72" s="2855"/>
      <c r="S72" s="2855"/>
      <c r="T72" s="2855"/>
    </row>
    <row r="73" spans="2:20" s="4" customFormat="1" x14ac:dyDescent="0.25">
      <c r="B73" s="975"/>
      <c r="C73" s="2855"/>
      <c r="D73" s="2855"/>
      <c r="E73" s="2855"/>
      <c r="F73" s="2855"/>
      <c r="G73" s="2855"/>
      <c r="H73" s="2855"/>
      <c r="I73" s="2855"/>
      <c r="J73" s="2855"/>
      <c r="K73" s="2855"/>
      <c r="L73" s="2855"/>
      <c r="M73" s="2855"/>
      <c r="N73" s="2855"/>
      <c r="O73" s="2855"/>
      <c r="P73" s="2855"/>
      <c r="Q73" s="2855"/>
      <c r="R73" s="2855"/>
      <c r="S73" s="2855"/>
      <c r="T73" s="2855"/>
    </row>
    <row r="74" spans="2:20" s="4" customFormat="1" x14ac:dyDescent="0.25">
      <c r="B74" s="975"/>
      <c r="C74" s="2855"/>
      <c r="D74" s="2855"/>
      <c r="E74" s="2855"/>
      <c r="F74" s="2855"/>
      <c r="G74" s="2855"/>
      <c r="H74" s="2855"/>
      <c r="I74" s="2855"/>
      <c r="J74" s="2855"/>
      <c r="K74" s="2855"/>
      <c r="L74" s="2855"/>
      <c r="M74" s="2855"/>
      <c r="N74" s="2855"/>
      <c r="O74" s="2855"/>
      <c r="P74" s="2855"/>
      <c r="Q74" s="2855"/>
      <c r="R74" s="2855"/>
      <c r="S74" s="2855"/>
      <c r="T74" s="2855"/>
    </row>
    <row r="75" spans="2:20" s="4" customFormat="1" x14ac:dyDescent="0.25">
      <c r="B75" s="975"/>
      <c r="C75" s="2855"/>
      <c r="D75" s="2855"/>
      <c r="E75" s="2855"/>
      <c r="F75" s="2855"/>
      <c r="G75" s="2855"/>
      <c r="H75" s="2855"/>
      <c r="I75" s="2855"/>
      <c r="J75" s="2855"/>
      <c r="K75" s="2855"/>
      <c r="L75" s="2855"/>
      <c r="M75" s="2855"/>
      <c r="N75" s="2855"/>
      <c r="O75" s="2855"/>
      <c r="P75" s="2855"/>
      <c r="Q75" s="2855"/>
      <c r="R75" s="2855"/>
      <c r="S75" s="2855"/>
      <c r="T75" s="2855"/>
    </row>
    <row r="76" spans="2:20" s="4" customFormat="1" x14ac:dyDescent="0.25">
      <c r="B76" s="975"/>
      <c r="C76" s="2855"/>
      <c r="D76" s="2855"/>
      <c r="E76" s="2855"/>
      <c r="F76" s="2855"/>
      <c r="G76" s="2855"/>
      <c r="H76" s="2855"/>
      <c r="I76" s="2855"/>
      <c r="J76" s="2855"/>
      <c r="K76" s="2855"/>
      <c r="L76" s="2855"/>
      <c r="M76" s="2855"/>
      <c r="N76" s="2855"/>
      <c r="O76" s="2855"/>
      <c r="P76" s="2855"/>
      <c r="Q76" s="2855"/>
      <c r="R76" s="2855"/>
      <c r="S76" s="2855"/>
      <c r="T76" s="2855"/>
    </row>
    <row r="77" spans="2:20" s="4" customFormat="1" x14ac:dyDescent="0.25">
      <c r="B77" s="975"/>
      <c r="C77" s="2855"/>
      <c r="D77" s="2855"/>
      <c r="E77" s="2855"/>
      <c r="F77" s="2855"/>
      <c r="G77" s="2855"/>
      <c r="H77" s="2855"/>
      <c r="I77" s="2855"/>
      <c r="J77" s="2855"/>
      <c r="K77" s="2855"/>
      <c r="L77" s="2855"/>
      <c r="M77" s="2855"/>
      <c r="N77" s="2855"/>
      <c r="O77" s="2855"/>
      <c r="P77" s="2855"/>
      <c r="Q77" s="2855"/>
      <c r="R77" s="2855"/>
      <c r="S77" s="2855"/>
      <c r="T77" s="2855"/>
    </row>
    <row r="78" spans="2:20" s="4" customFormat="1" x14ac:dyDescent="0.25">
      <c r="B78" s="975"/>
      <c r="C78" s="2855"/>
      <c r="D78" s="2855"/>
      <c r="E78" s="2855"/>
      <c r="F78" s="2855"/>
      <c r="G78" s="2855"/>
      <c r="H78" s="2855"/>
      <c r="I78" s="2855"/>
      <c r="J78" s="2855"/>
      <c r="K78" s="2855"/>
      <c r="L78" s="2855"/>
      <c r="M78" s="2855"/>
      <c r="N78" s="2855"/>
      <c r="O78" s="2855"/>
      <c r="P78" s="2855"/>
      <c r="Q78" s="2855"/>
      <c r="R78" s="2855"/>
      <c r="S78" s="2855"/>
      <c r="T78" s="2855"/>
    </row>
    <row r="79" spans="2:20" s="4" customFormat="1" x14ac:dyDescent="0.25">
      <c r="B79" s="975"/>
      <c r="C79" s="980"/>
      <c r="D79" s="980"/>
      <c r="E79" s="980"/>
      <c r="F79" s="980"/>
      <c r="G79" s="980"/>
      <c r="H79" s="980"/>
      <c r="I79" s="980"/>
      <c r="J79" s="980"/>
      <c r="K79" s="980"/>
      <c r="L79" s="980"/>
      <c r="M79" s="980"/>
      <c r="N79" s="980"/>
      <c r="O79" s="980"/>
      <c r="P79" s="980"/>
      <c r="Q79" s="980"/>
      <c r="R79" s="980"/>
      <c r="S79" s="980"/>
      <c r="T79" s="980"/>
    </row>
    <row r="80" spans="2:20" s="4" customFormat="1" x14ac:dyDescent="0.25">
      <c r="B80" s="981" t="s">
        <v>380</v>
      </c>
      <c r="C80" s="2855" t="s">
        <v>473</v>
      </c>
      <c r="D80" s="2855"/>
      <c r="E80" s="2855"/>
      <c r="F80" s="2855"/>
      <c r="G80" s="2855"/>
      <c r="H80" s="2855"/>
      <c r="I80" s="2855"/>
      <c r="J80" s="2855"/>
      <c r="K80" s="2855"/>
      <c r="L80" s="2855"/>
      <c r="M80" s="2855"/>
      <c r="N80" s="2855"/>
      <c r="O80" s="2855"/>
      <c r="P80" s="2855"/>
      <c r="Q80" s="2855"/>
      <c r="R80" s="2855"/>
      <c r="S80" s="2855"/>
      <c r="T80" s="2855"/>
    </row>
    <row r="81" spans="2:20" s="4" customFormat="1" x14ac:dyDescent="0.25">
      <c r="B81" s="975"/>
      <c r="C81" s="2855"/>
      <c r="D81" s="2855"/>
      <c r="E81" s="2855"/>
      <c r="F81" s="2855"/>
      <c r="G81" s="2855"/>
      <c r="H81" s="2855"/>
      <c r="I81" s="2855"/>
      <c r="J81" s="2855"/>
      <c r="K81" s="2855"/>
      <c r="L81" s="2855"/>
      <c r="M81" s="2855"/>
      <c r="N81" s="2855"/>
      <c r="O81" s="2855"/>
      <c r="P81" s="2855"/>
      <c r="Q81" s="2855"/>
      <c r="R81" s="2855"/>
      <c r="S81" s="2855"/>
      <c r="T81" s="2855"/>
    </row>
    <row r="82" spans="2:20" s="4" customFormat="1" x14ac:dyDescent="0.25">
      <c r="B82" s="975"/>
      <c r="C82" s="2855"/>
      <c r="D82" s="2855"/>
      <c r="E82" s="2855"/>
      <c r="F82" s="2855"/>
      <c r="G82" s="2855"/>
      <c r="H82" s="2855"/>
      <c r="I82" s="2855"/>
      <c r="J82" s="2855"/>
      <c r="K82" s="2855"/>
      <c r="L82" s="2855"/>
      <c r="M82" s="2855"/>
      <c r="N82" s="2855"/>
      <c r="O82" s="2855"/>
      <c r="P82" s="2855"/>
      <c r="Q82" s="2855"/>
      <c r="R82" s="2855"/>
      <c r="S82" s="2855"/>
      <c r="T82" s="2855"/>
    </row>
    <row r="83" spans="2:20" s="4" customFormat="1" x14ac:dyDescent="0.25">
      <c r="B83" s="975"/>
      <c r="C83" s="2855"/>
      <c r="D83" s="2855"/>
      <c r="E83" s="2855"/>
      <c r="F83" s="2855"/>
      <c r="G83" s="2855"/>
      <c r="H83" s="2855"/>
      <c r="I83" s="2855"/>
      <c r="J83" s="2855"/>
      <c r="K83" s="2855"/>
      <c r="L83" s="2855"/>
      <c r="M83" s="2855"/>
      <c r="N83" s="2855"/>
      <c r="O83" s="2855"/>
      <c r="P83" s="2855"/>
      <c r="Q83" s="2855"/>
      <c r="R83" s="2855"/>
      <c r="S83" s="2855"/>
      <c r="T83" s="2855"/>
    </row>
    <row r="84" spans="2:20" s="4" customFormat="1" x14ac:dyDescent="0.25">
      <c r="B84" s="975"/>
      <c r="C84" s="2855"/>
      <c r="D84" s="2855"/>
      <c r="E84" s="2855"/>
      <c r="F84" s="2855"/>
      <c r="G84" s="2855"/>
      <c r="H84" s="2855"/>
      <c r="I84" s="2855"/>
      <c r="J84" s="2855"/>
      <c r="K84" s="2855"/>
      <c r="L84" s="2855"/>
      <c r="M84" s="2855"/>
      <c r="N84" s="2855"/>
      <c r="O84" s="2855"/>
      <c r="P84" s="2855"/>
      <c r="Q84" s="2855"/>
      <c r="R84" s="2855"/>
      <c r="S84" s="2855"/>
      <c r="T84" s="2855"/>
    </row>
    <row r="85" spans="2:20" s="4" customFormat="1" x14ac:dyDescent="0.25">
      <c r="B85" s="975"/>
      <c r="C85" s="2855"/>
      <c r="D85" s="2855"/>
      <c r="E85" s="2855"/>
      <c r="F85" s="2855"/>
      <c r="G85" s="2855"/>
      <c r="H85" s="2855"/>
      <c r="I85" s="2855"/>
      <c r="J85" s="2855"/>
      <c r="K85" s="2855"/>
      <c r="L85" s="2855"/>
      <c r="M85" s="2855"/>
      <c r="N85" s="2855"/>
      <c r="O85" s="2855"/>
      <c r="P85" s="2855"/>
      <c r="Q85" s="2855"/>
      <c r="R85" s="2855"/>
      <c r="S85" s="2855"/>
      <c r="T85" s="2855"/>
    </row>
    <row r="86" spans="2:20" s="4" customFormat="1" x14ac:dyDescent="0.25">
      <c r="B86" s="975"/>
      <c r="C86" s="2855"/>
      <c r="D86" s="2855"/>
      <c r="E86" s="2855"/>
      <c r="F86" s="2855"/>
      <c r="G86" s="2855"/>
      <c r="H86" s="2855"/>
      <c r="I86" s="2855"/>
      <c r="J86" s="2855"/>
      <c r="K86" s="2855"/>
      <c r="L86" s="2855"/>
      <c r="M86" s="2855"/>
      <c r="N86" s="2855"/>
      <c r="O86" s="2855"/>
      <c r="P86" s="2855"/>
      <c r="Q86" s="2855"/>
      <c r="R86" s="2855"/>
      <c r="S86" s="2855"/>
      <c r="T86" s="2855"/>
    </row>
    <row r="87" spans="2:20" s="4" customFormat="1" x14ac:dyDescent="0.25">
      <c r="B87" s="975"/>
      <c r="C87" s="2855"/>
      <c r="D87" s="2855"/>
      <c r="E87" s="2855"/>
      <c r="F87" s="2855"/>
      <c r="G87" s="2855"/>
      <c r="H87" s="2855"/>
      <c r="I87" s="2855"/>
      <c r="J87" s="2855"/>
      <c r="K87" s="2855"/>
      <c r="L87" s="2855"/>
      <c r="M87" s="2855"/>
      <c r="N87" s="2855"/>
      <c r="O87" s="2855"/>
      <c r="P87" s="2855"/>
      <c r="Q87" s="2855"/>
      <c r="R87" s="2855"/>
      <c r="S87" s="2855"/>
      <c r="T87" s="2855"/>
    </row>
    <row r="88" spans="2:20" s="4" customFormat="1" x14ac:dyDescent="0.25">
      <c r="B88" s="975"/>
      <c r="C88" s="980"/>
      <c r="D88" s="980"/>
      <c r="E88" s="980"/>
      <c r="F88" s="980"/>
      <c r="G88" s="980"/>
      <c r="H88" s="980"/>
      <c r="I88" s="980"/>
      <c r="J88" s="980"/>
      <c r="K88" s="980"/>
      <c r="L88" s="980"/>
      <c r="M88" s="980"/>
      <c r="N88" s="980"/>
      <c r="O88" s="980"/>
      <c r="P88" s="980"/>
      <c r="Q88" s="980"/>
      <c r="R88" s="980"/>
      <c r="S88" s="980"/>
      <c r="T88" s="980"/>
    </row>
    <row r="89" spans="2:20" s="4" customFormat="1" x14ac:dyDescent="0.25">
      <c r="B89" s="981" t="s">
        <v>474</v>
      </c>
      <c r="C89" s="2855" t="s">
        <v>475</v>
      </c>
      <c r="D89" s="2855"/>
      <c r="E89" s="2855"/>
      <c r="F89" s="2855"/>
      <c r="G89" s="2855"/>
      <c r="H89" s="2855"/>
      <c r="I89" s="2855"/>
      <c r="J89" s="2855"/>
      <c r="K89" s="2855"/>
      <c r="L89" s="2855"/>
      <c r="M89" s="2855"/>
      <c r="N89" s="2855"/>
      <c r="O89" s="2855"/>
      <c r="P89" s="2855"/>
      <c r="Q89" s="2855"/>
      <c r="R89" s="2855"/>
      <c r="S89" s="2855"/>
      <c r="T89" s="2855"/>
    </row>
    <row r="90" spans="2:20" s="4" customFormat="1" x14ac:dyDescent="0.25">
      <c r="B90" s="975"/>
      <c r="C90" s="2855"/>
      <c r="D90" s="2855"/>
      <c r="E90" s="2855"/>
      <c r="F90" s="2855"/>
      <c r="G90" s="2855"/>
      <c r="H90" s="2855"/>
      <c r="I90" s="2855"/>
      <c r="J90" s="2855"/>
      <c r="K90" s="2855"/>
      <c r="L90" s="2855"/>
      <c r="M90" s="2855"/>
      <c r="N90" s="2855"/>
      <c r="O90" s="2855"/>
      <c r="P90" s="2855"/>
      <c r="Q90" s="2855"/>
      <c r="R90" s="2855"/>
      <c r="S90" s="2855"/>
      <c r="T90" s="2855"/>
    </row>
    <row r="91" spans="2:20" s="4" customFormat="1" x14ac:dyDescent="0.25">
      <c r="B91" s="975"/>
      <c r="C91" s="2855"/>
      <c r="D91" s="2855"/>
      <c r="E91" s="2855"/>
      <c r="F91" s="2855"/>
      <c r="G91" s="2855"/>
      <c r="H91" s="2855"/>
      <c r="I91" s="2855"/>
      <c r="J91" s="2855"/>
      <c r="K91" s="2855"/>
      <c r="L91" s="2855"/>
      <c r="M91" s="2855"/>
      <c r="N91" s="2855"/>
      <c r="O91" s="2855"/>
      <c r="P91" s="2855"/>
      <c r="Q91" s="2855"/>
      <c r="R91" s="2855"/>
      <c r="S91" s="2855"/>
      <c r="T91" s="2855"/>
    </row>
    <row r="92" spans="2:20" s="4" customFormat="1" x14ac:dyDescent="0.25">
      <c r="B92" s="975"/>
      <c r="C92" s="2855"/>
      <c r="D92" s="2855"/>
      <c r="E92" s="2855"/>
      <c r="F92" s="2855"/>
      <c r="G92" s="2855"/>
      <c r="H92" s="2855"/>
      <c r="I92" s="2855"/>
      <c r="J92" s="2855"/>
      <c r="K92" s="2855"/>
      <c r="L92" s="2855"/>
      <c r="M92" s="2855"/>
      <c r="N92" s="2855"/>
      <c r="O92" s="2855"/>
      <c r="P92" s="2855"/>
      <c r="Q92" s="2855"/>
      <c r="R92" s="2855"/>
      <c r="S92" s="2855"/>
      <c r="T92" s="2855"/>
    </row>
    <row r="93" spans="2:20" s="4" customFormat="1" x14ac:dyDescent="0.25">
      <c r="B93" s="975"/>
      <c r="C93" s="2855"/>
      <c r="D93" s="2855"/>
      <c r="E93" s="2855"/>
      <c r="F93" s="2855"/>
      <c r="G93" s="2855"/>
      <c r="H93" s="2855"/>
      <c r="I93" s="2855"/>
      <c r="J93" s="2855"/>
      <c r="K93" s="2855"/>
      <c r="L93" s="2855"/>
      <c r="M93" s="2855"/>
      <c r="N93" s="2855"/>
      <c r="O93" s="2855"/>
      <c r="P93" s="2855"/>
      <c r="Q93" s="2855"/>
      <c r="R93" s="2855"/>
      <c r="S93" s="2855"/>
      <c r="T93" s="2855"/>
    </row>
    <row r="94" spans="2:20" s="4" customFormat="1" x14ac:dyDescent="0.25">
      <c r="B94" s="975"/>
      <c r="C94" s="2855"/>
      <c r="D94" s="2855"/>
      <c r="E94" s="2855"/>
      <c r="F94" s="2855"/>
      <c r="G94" s="2855"/>
      <c r="H94" s="2855"/>
      <c r="I94" s="2855"/>
      <c r="J94" s="2855"/>
      <c r="K94" s="2855"/>
      <c r="L94" s="2855"/>
      <c r="M94" s="2855"/>
      <c r="N94" s="2855"/>
      <c r="O94" s="2855"/>
      <c r="P94" s="2855"/>
      <c r="Q94" s="2855"/>
      <c r="R94" s="2855"/>
      <c r="S94" s="2855"/>
      <c r="T94" s="2855"/>
    </row>
    <row r="95" spans="2:20" s="4" customFormat="1" x14ac:dyDescent="0.25">
      <c r="B95" s="975"/>
      <c r="C95" s="982"/>
      <c r="D95" s="982"/>
      <c r="E95" s="982"/>
      <c r="F95" s="982"/>
      <c r="G95" s="982"/>
      <c r="H95" s="982"/>
      <c r="I95" s="982"/>
      <c r="J95" s="982"/>
      <c r="K95" s="982"/>
      <c r="L95" s="982"/>
      <c r="M95" s="982"/>
      <c r="N95" s="982"/>
      <c r="O95" s="982"/>
      <c r="P95" s="982"/>
      <c r="Q95" s="982"/>
      <c r="R95" s="982"/>
      <c r="S95" s="982"/>
      <c r="T95" s="982"/>
    </row>
    <row r="96" spans="2:20" s="4" customFormat="1" x14ac:dyDescent="0.25">
      <c r="B96" s="975"/>
      <c r="C96" s="982"/>
      <c r="D96" s="982"/>
      <c r="E96" s="982"/>
      <c r="F96" s="982"/>
      <c r="G96" s="982"/>
      <c r="H96" s="982"/>
      <c r="I96" s="982"/>
      <c r="J96" s="982"/>
      <c r="K96" s="982"/>
      <c r="L96" s="982"/>
      <c r="M96" s="982"/>
      <c r="N96" s="982"/>
      <c r="O96" s="982"/>
      <c r="P96" s="982"/>
      <c r="Q96" s="982"/>
      <c r="R96" s="982"/>
      <c r="S96" s="982"/>
      <c r="T96" s="982"/>
    </row>
    <row r="97" spans="1:21" s="4" customFormat="1" x14ac:dyDescent="0.25">
      <c r="B97" s="975"/>
      <c r="C97" s="982"/>
      <c r="D97" s="982"/>
      <c r="E97" s="982"/>
      <c r="F97" s="982"/>
      <c r="G97" s="982"/>
      <c r="H97" s="982"/>
      <c r="I97" s="982"/>
      <c r="J97" s="982"/>
      <c r="K97" s="982"/>
      <c r="L97" s="982"/>
      <c r="M97" s="982"/>
      <c r="N97" s="982"/>
      <c r="O97" s="982"/>
      <c r="P97" s="982"/>
      <c r="Q97" s="982"/>
      <c r="R97" s="982"/>
      <c r="S97" s="982"/>
      <c r="T97" s="982"/>
    </row>
    <row r="98" spans="1:21" s="4" customFormat="1" x14ac:dyDescent="0.25">
      <c r="B98" s="975"/>
      <c r="C98" s="982"/>
      <c r="D98" s="982"/>
      <c r="E98" s="982"/>
      <c r="F98" s="982"/>
      <c r="G98" s="982"/>
      <c r="H98" s="982"/>
      <c r="I98" s="982"/>
      <c r="J98" s="982"/>
      <c r="K98" s="982"/>
      <c r="L98" s="982"/>
      <c r="M98" s="982"/>
      <c r="N98" s="982"/>
      <c r="O98" s="982"/>
      <c r="P98" s="982"/>
      <c r="Q98" s="982"/>
      <c r="R98" s="982"/>
      <c r="S98" s="982"/>
      <c r="T98" s="982"/>
    </row>
    <row r="99" spans="1:21" s="4" customFormat="1" x14ac:dyDescent="0.25">
      <c r="B99" s="975"/>
      <c r="C99" s="982"/>
      <c r="D99" s="982"/>
      <c r="E99" s="982"/>
      <c r="F99" s="982"/>
      <c r="G99" s="982"/>
      <c r="H99" s="982"/>
      <c r="I99" s="982"/>
      <c r="J99" s="982"/>
      <c r="K99" s="982"/>
      <c r="L99" s="982"/>
      <c r="M99" s="982"/>
      <c r="N99" s="982"/>
      <c r="O99" s="982"/>
      <c r="P99" s="982"/>
      <c r="Q99" s="982"/>
      <c r="R99" s="982"/>
      <c r="S99" s="982"/>
      <c r="T99" s="982"/>
    </row>
    <row r="100" spans="1:21" s="4" customFormat="1" x14ac:dyDescent="0.25">
      <c r="B100" s="189"/>
      <c r="C100" s="324"/>
      <c r="D100" s="324"/>
      <c r="E100" s="324"/>
      <c r="F100" s="324"/>
      <c r="G100" s="324"/>
      <c r="H100" s="324"/>
      <c r="I100" s="324"/>
      <c r="J100" s="324"/>
      <c r="K100" s="324"/>
      <c r="L100" s="324"/>
      <c r="M100" s="324"/>
      <c r="N100" s="324"/>
      <c r="O100" s="324"/>
      <c r="P100" s="324"/>
      <c r="Q100" s="324"/>
      <c r="R100" s="324"/>
      <c r="S100" s="324"/>
      <c r="T100" s="324"/>
    </row>
    <row r="101" spans="1:21" x14ac:dyDescent="0.25">
      <c r="A101" s="3"/>
      <c r="B101" s="200"/>
      <c r="C101" s="11"/>
      <c r="D101" s="11"/>
      <c r="E101" s="11"/>
      <c r="F101" s="11"/>
      <c r="G101" s="24"/>
      <c r="H101" s="24"/>
      <c r="I101" s="24"/>
      <c r="J101" s="24"/>
      <c r="K101" s="24"/>
      <c r="L101" s="24"/>
      <c r="M101" s="3"/>
      <c r="N101" s="3"/>
      <c r="O101" s="3"/>
      <c r="P101" s="3"/>
      <c r="Q101" s="22"/>
      <c r="R101" s="22"/>
      <c r="S101" s="22"/>
      <c r="T101" s="22"/>
      <c r="U101" s="3"/>
    </row>
    <row r="102" spans="1:21" x14ac:dyDescent="0.25">
      <c r="A102" s="1844" t="s">
        <v>20</v>
      </c>
      <c r="B102" s="1845"/>
      <c r="C102" s="1845"/>
      <c r="D102" s="1845"/>
      <c r="E102" s="1845"/>
      <c r="F102" s="1845"/>
      <c r="G102" s="1845"/>
      <c r="H102" s="1845"/>
      <c r="I102" s="1845"/>
      <c r="J102" s="1845"/>
      <c r="K102" s="1845"/>
      <c r="L102" s="1845"/>
      <c r="M102" s="1845"/>
      <c r="N102" s="1845"/>
      <c r="O102" s="1845"/>
      <c r="P102" s="1845"/>
      <c r="Q102" s="1845"/>
      <c r="R102" s="1845"/>
      <c r="S102" s="1845"/>
      <c r="T102" s="1845"/>
      <c r="U102" s="1846"/>
    </row>
    <row r="103" spans="1:21" x14ac:dyDescent="0.25">
      <c r="A103" s="1847" t="s">
        <v>476</v>
      </c>
      <c r="B103" s="1848"/>
      <c r="C103" s="1848"/>
      <c r="D103" s="1848"/>
      <c r="E103" s="1848"/>
      <c r="F103" s="1848"/>
      <c r="G103" s="1848"/>
      <c r="H103" s="1848"/>
      <c r="I103" s="1848"/>
      <c r="J103" s="1848"/>
      <c r="K103" s="1848"/>
      <c r="L103" s="1848"/>
      <c r="M103" s="1848"/>
      <c r="N103" s="1848"/>
      <c r="O103" s="1848"/>
      <c r="P103" s="1848"/>
      <c r="Q103" s="1848"/>
      <c r="R103" s="1848"/>
      <c r="S103" s="1848"/>
      <c r="T103" s="1848"/>
      <c r="U103" s="1849"/>
    </row>
    <row r="105" spans="1:21" x14ac:dyDescent="0.25">
      <c r="B105" s="207">
        <v>1</v>
      </c>
      <c r="Q105" s="2103" t="s">
        <v>9</v>
      </c>
      <c r="R105" s="2103"/>
      <c r="S105" s="2103" t="s">
        <v>8</v>
      </c>
      <c r="T105" s="2103"/>
    </row>
    <row r="106" spans="1:21" x14ac:dyDescent="0.25">
      <c r="B106" s="208" t="s">
        <v>11</v>
      </c>
      <c r="C106" s="209" t="s">
        <v>67</v>
      </c>
      <c r="D106" s="210"/>
      <c r="E106" s="210"/>
      <c r="F106" s="31"/>
      <c r="G106" s="1"/>
      <c r="H106" s="201"/>
      <c r="I106" s="201"/>
      <c r="J106" s="201"/>
      <c r="K106" s="201"/>
      <c r="L106" s="201"/>
      <c r="M106" s="1"/>
      <c r="N106" s="1"/>
      <c r="O106" s="1"/>
      <c r="P106" s="1"/>
      <c r="Q106" s="1963">
        <v>200000</v>
      </c>
      <c r="R106" s="2851"/>
      <c r="S106" s="1963"/>
      <c r="T106" s="1964"/>
      <c r="U106" s="4"/>
    </row>
    <row r="107" spans="1:21" x14ac:dyDescent="0.25">
      <c r="B107" s="208" t="s">
        <v>17</v>
      </c>
      <c r="C107" s="211"/>
      <c r="D107" s="203"/>
      <c r="E107" s="212"/>
      <c r="F107" s="20" t="s">
        <v>1</v>
      </c>
      <c r="G107" s="213" t="s">
        <v>82</v>
      </c>
      <c r="H107" s="189"/>
      <c r="I107" s="189"/>
      <c r="J107" s="189"/>
      <c r="K107" s="189"/>
      <c r="L107" s="189"/>
      <c r="M107" s="4"/>
      <c r="N107" s="4"/>
      <c r="O107" s="4"/>
      <c r="P107" s="4"/>
      <c r="Q107" s="1953"/>
      <c r="R107" s="1962"/>
      <c r="S107" s="1953">
        <f>+Q106</f>
        <v>200000</v>
      </c>
      <c r="T107" s="1954"/>
      <c r="U107" s="4"/>
    </row>
    <row r="108" spans="1:21" x14ac:dyDescent="0.25">
      <c r="B108" s="207">
        <v>2</v>
      </c>
      <c r="C108" s="2110" t="s">
        <v>21</v>
      </c>
      <c r="D108" s="2090"/>
      <c r="E108" s="2090"/>
      <c r="F108" s="2090"/>
      <c r="G108" s="2090"/>
      <c r="H108" s="2681"/>
      <c r="I108" s="2681"/>
      <c r="J108" s="2681"/>
      <c r="K108" s="2681"/>
      <c r="L108" s="2090" t="s">
        <v>436</v>
      </c>
      <c r="M108" s="2090"/>
      <c r="N108" s="2090"/>
      <c r="O108" s="2090"/>
      <c r="P108" s="2092"/>
      <c r="Q108" s="1953"/>
      <c r="R108" s="1962"/>
      <c r="S108" s="1953"/>
      <c r="T108" s="1954"/>
      <c r="U108" s="4"/>
    </row>
    <row r="109" spans="1:21" x14ac:dyDescent="0.25">
      <c r="B109" s="208" t="s">
        <v>11</v>
      </c>
      <c r="C109" s="211" t="s">
        <v>67</v>
      </c>
      <c r="D109" s="203"/>
      <c r="E109" s="212"/>
      <c r="F109" s="203"/>
      <c r="G109" s="214"/>
      <c r="H109" s="189"/>
      <c r="I109" s="189"/>
      <c r="J109" s="189"/>
      <c r="K109" s="189"/>
      <c r="L109" s="189"/>
      <c r="M109" s="4"/>
      <c r="N109" s="4"/>
      <c r="O109" s="4"/>
      <c r="P109" s="4"/>
      <c r="Q109" s="1953">
        <f>+S112-Q110-Q111</f>
        <v>13895</v>
      </c>
      <c r="R109" s="1962"/>
      <c r="S109" s="1953"/>
      <c r="T109" s="1954"/>
      <c r="U109" s="4"/>
    </row>
    <row r="110" spans="1:21" x14ac:dyDescent="0.25">
      <c r="B110" s="208" t="s">
        <v>15</v>
      </c>
      <c r="C110" s="211" t="s">
        <v>477</v>
      </c>
      <c r="D110" s="203"/>
      <c r="E110" s="212"/>
      <c r="F110" s="20"/>
      <c r="G110" s="215"/>
      <c r="H110" s="189"/>
      <c r="I110" s="189"/>
      <c r="J110" s="189"/>
      <c r="K110" s="189"/>
      <c r="L110" s="189"/>
      <c r="M110" s="4"/>
      <c r="N110" s="4"/>
      <c r="O110" s="4"/>
      <c r="P110" s="4"/>
      <c r="Q110" s="1953">
        <v>500</v>
      </c>
      <c r="R110" s="1962"/>
      <c r="S110" s="1953"/>
      <c r="T110" s="1954"/>
      <c r="U110" s="4"/>
    </row>
    <row r="111" spans="1:21" x14ac:dyDescent="0.25">
      <c r="B111" s="208" t="s">
        <v>11</v>
      </c>
      <c r="C111" s="211" t="s">
        <v>13</v>
      </c>
      <c r="D111" s="203"/>
      <c r="E111" s="212"/>
      <c r="F111" s="20"/>
      <c r="G111" s="215"/>
      <c r="H111" s="189"/>
      <c r="I111" s="189"/>
      <c r="J111" s="189"/>
      <c r="K111" s="189"/>
      <c r="L111" s="189"/>
      <c r="M111" s="4"/>
      <c r="N111" s="4"/>
      <c r="O111" s="4"/>
      <c r="P111" s="4"/>
      <c r="Q111" s="1953">
        <f>+Q110*0.21</f>
        <v>105</v>
      </c>
      <c r="R111" s="1962"/>
      <c r="S111" s="325"/>
      <c r="T111" s="326"/>
      <c r="U111" s="4"/>
    </row>
    <row r="112" spans="1:21" x14ac:dyDescent="0.25">
      <c r="B112" s="208" t="s">
        <v>14</v>
      </c>
      <c r="C112" s="211"/>
      <c r="D112" s="203"/>
      <c r="E112" s="212"/>
      <c r="F112" s="20" t="s">
        <v>1</v>
      </c>
      <c r="G112" s="215" t="s">
        <v>478</v>
      </c>
      <c r="H112" s="189"/>
      <c r="I112" s="189"/>
      <c r="J112" s="189"/>
      <c r="K112" s="189"/>
      <c r="L112" s="189"/>
      <c r="M112" s="4"/>
      <c r="N112" s="4"/>
      <c r="O112" s="4"/>
      <c r="P112" s="4"/>
      <c r="Q112" s="1953"/>
      <c r="R112" s="1962"/>
      <c r="S112" s="1953">
        <f>1200+1000+2000+3000+5000+2300</f>
        <v>14500</v>
      </c>
      <c r="T112" s="1954"/>
      <c r="U112" s="4"/>
    </row>
    <row r="113" spans="2:21" x14ac:dyDescent="0.25">
      <c r="B113" s="207">
        <v>3</v>
      </c>
      <c r="C113" s="2110" t="s">
        <v>21</v>
      </c>
      <c r="D113" s="2090"/>
      <c r="E113" s="2090"/>
      <c r="F113" s="2090"/>
      <c r="G113" s="2090"/>
      <c r="H113" s="2681"/>
      <c r="I113" s="2681"/>
      <c r="J113" s="2681"/>
      <c r="K113" s="2681"/>
      <c r="L113" s="2090" t="s">
        <v>436</v>
      </c>
      <c r="M113" s="2090"/>
      <c r="N113" s="2090"/>
      <c r="O113" s="2090"/>
      <c r="P113" s="2092"/>
      <c r="Q113" s="1953"/>
      <c r="R113" s="1962"/>
      <c r="S113" s="1953"/>
      <c r="T113" s="1954"/>
      <c r="U113" s="4"/>
    </row>
    <row r="114" spans="2:21" x14ac:dyDescent="0.25">
      <c r="B114" s="208" t="s">
        <v>11</v>
      </c>
      <c r="C114" s="211" t="s">
        <v>478</v>
      </c>
      <c r="D114" s="203"/>
      <c r="E114" s="212"/>
      <c r="F114" s="203"/>
      <c r="G114" s="214"/>
      <c r="H114" s="189"/>
      <c r="I114" s="189"/>
      <c r="J114" s="189"/>
      <c r="K114" s="189"/>
      <c r="L114" s="189"/>
      <c r="M114" s="4"/>
      <c r="N114" s="4"/>
      <c r="O114" s="4"/>
      <c r="P114" s="4"/>
      <c r="Q114" s="1953">
        <f>+S115+S116</f>
        <v>25773</v>
      </c>
      <c r="R114" s="1962"/>
      <c r="S114" s="1953"/>
      <c r="T114" s="1954"/>
      <c r="U114" s="4"/>
    </row>
    <row r="115" spans="2:21" x14ac:dyDescent="0.25">
      <c r="B115" s="208" t="s">
        <v>16</v>
      </c>
      <c r="C115" s="211"/>
      <c r="D115" s="203"/>
      <c r="E115" s="212"/>
      <c r="F115" s="20" t="s">
        <v>1</v>
      </c>
      <c r="G115" s="215" t="s">
        <v>3</v>
      </c>
      <c r="H115" s="189"/>
      <c r="I115" s="189"/>
      <c r="J115" s="189"/>
      <c r="K115" s="189"/>
      <c r="L115" s="189"/>
      <c r="M115" s="4"/>
      <c r="N115" s="4"/>
      <c r="O115" s="4"/>
      <c r="P115" s="4"/>
      <c r="Q115" s="1953"/>
      <c r="R115" s="1962"/>
      <c r="S115" s="1953">
        <v>21300</v>
      </c>
      <c r="T115" s="1954"/>
      <c r="U115" s="4"/>
    </row>
    <row r="116" spans="2:21" x14ac:dyDescent="0.25">
      <c r="B116" s="208" t="s">
        <v>17</v>
      </c>
      <c r="C116" s="211"/>
      <c r="D116" s="203"/>
      <c r="E116" s="212"/>
      <c r="F116" s="20" t="s">
        <v>1</v>
      </c>
      <c r="G116" s="215" t="s">
        <v>12</v>
      </c>
      <c r="H116" s="189"/>
      <c r="I116" s="189"/>
      <c r="J116" s="189"/>
      <c r="K116" s="189"/>
      <c r="L116" s="189"/>
      <c r="M116" s="4"/>
      <c r="N116" s="4"/>
      <c r="O116" s="4"/>
      <c r="P116" s="4"/>
      <c r="Q116" s="1953"/>
      <c r="R116" s="1962"/>
      <c r="S116" s="1953">
        <f>+S115*0.21</f>
        <v>4473</v>
      </c>
      <c r="T116" s="1954"/>
      <c r="U116" s="4"/>
    </row>
    <row r="117" spans="2:21" s="175" customFormat="1" ht="7.5" customHeight="1" x14ac:dyDescent="0.25">
      <c r="B117" s="103"/>
      <c r="C117" s="2110" t="s">
        <v>21</v>
      </c>
      <c r="D117" s="2090"/>
      <c r="E117" s="2090"/>
      <c r="F117" s="2090"/>
      <c r="G117" s="2090"/>
      <c r="H117" s="2681"/>
      <c r="I117" s="2681"/>
      <c r="J117" s="2681"/>
      <c r="K117" s="2681"/>
      <c r="L117" s="2090" t="s">
        <v>436</v>
      </c>
      <c r="M117" s="2090"/>
      <c r="N117" s="2090"/>
      <c r="O117" s="2090"/>
      <c r="P117" s="2092"/>
      <c r="Q117" s="1953"/>
      <c r="R117" s="1962"/>
      <c r="S117" s="1953"/>
      <c r="T117" s="1954"/>
      <c r="U117" s="317"/>
    </row>
    <row r="118" spans="2:21" x14ac:dyDescent="0.25">
      <c r="B118" s="208" t="s">
        <v>15</v>
      </c>
      <c r="C118" s="211" t="s">
        <v>479</v>
      </c>
      <c r="D118" s="203"/>
      <c r="E118" s="212"/>
      <c r="F118" s="203"/>
      <c r="G118" s="214"/>
      <c r="H118" s="189"/>
      <c r="I118" s="189"/>
      <c r="J118" s="189"/>
      <c r="K118" s="189"/>
      <c r="L118" s="189"/>
      <c r="M118" s="4"/>
      <c r="N118" s="4"/>
      <c r="O118" s="4"/>
      <c r="P118" s="4"/>
      <c r="Q118" s="1953">
        <v>3400</v>
      </c>
      <c r="R118" s="1962"/>
      <c r="S118" s="1953"/>
      <c r="T118" s="1954"/>
      <c r="U118" s="4"/>
    </row>
    <row r="119" spans="2:21" x14ac:dyDescent="0.25">
      <c r="B119" s="208" t="s">
        <v>14</v>
      </c>
      <c r="C119" s="211"/>
      <c r="D119" s="203"/>
      <c r="E119" s="212"/>
      <c r="F119" s="20" t="s">
        <v>1</v>
      </c>
      <c r="G119" s="215" t="s">
        <v>291</v>
      </c>
      <c r="H119" s="189"/>
      <c r="I119" s="189"/>
      <c r="J119" s="189"/>
      <c r="K119" s="189"/>
      <c r="L119" s="189"/>
      <c r="M119" s="4"/>
      <c r="N119" s="4"/>
      <c r="O119" s="4"/>
      <c r="P119" s="4"/>
      <c r="Q119" s="1953"/>
      <c r="R119" s="1962"/>
      <c r="S119" s="1953">
        <v>3400</v>
      </c>
      <c r="T119" s="1954"/>
      <c r="U119" s="4"/>
    </row>
    <row r="120" spans="2:21" x14ac:dyDescent="0.25">
      <c r="B120" s="207">
        <v>4</v>
      </c>
      <c r="C120" s="2110" t="s">
        <v>21</v>
      </c>
      <c r="D120" s="2090"/>
      <c r="E120" s="2090"/>
      <c r="F120" s="2090"/>
      <c r="G120" s="2090"/>
      <c r="H120" s="2681"/>
      <c r="I120" s="2681"/>
      <c r="J120" s="2681"/>
      <c r="K120" s="2681"/>
      <c r="L120" s="2090" t="s">
        <v>436</v>
      </c>
      <c r="M120" s="2090"/>
      <c r="N120" s="2090"/>
      <c r="O120" s="2090"/>
      <c r="P120" s="2092"/>
      <c r="Q120" s="1953"/>
      <c r="R120" s="1962"/>
      <c r="S120" s="1953"/>
      <c r="T120" s="1954"/>
      <c r="U120" s="4"/>
    </row>
    <row r="121" spans="2:21" x14ac:dyDescent="0.25">
      <c r="B121" s="208" t="s">
        <v>207</v>
      </c>
      <c r="C121" s="211" t="s">
        <v>2</v>
      </c>
      <c r="D121" s="203"/>
      <c r="E121" s="212"/>
      <c r="F121" s="203"/>
      <c r="G121" s="214"/>
      <c r="H121" s="189"/>
      <c r="I121" s="189"/>
      <c r="J121" s="189"/>
      <c r="K121" s="189"/>
      <c r="L121" s="189"/>
      <c r="M121" s="4"/>
      <c r="N121" s="4"/>
      <c r="O121" s="4"/>
      <c r="P121" s="4"/>
      <c r="Q121" s="1953">
        <v>30000</v>
      </c>
      <c r="R121" s="1962"/>
      <c r="S121" s="1953"/>
      <c r="T121" s="1954"/>
      <c r="U121" s="4"/>
    </row>
    <row r="122" spans="2:21" x14ac:dyDescent="0.25">
      <c r="B122" s="208" t="s">
        <v>14</v>
      </c>
      <c r="C122" s="211"/>
      <c r="D122" s="203"/>
      <c r="E122" s="212"/>
      <c r="F122" s="20" t="s">
        <v>1</v>
      </c>
      <c r="G122" s="215" t="s">
        <v>478</v>
      </c>
      <c r="H122" s="189"/>
      <c r="I122" s="189"/>
      <c r="J122" s="189"/>
      <c r="K122" s="189"/>
      <c r="L122" s="189"/>
      <c r="M122" s="4"/>
      <c r="N122" s="4"/>
      <c r="O122" s="4"/>
      <c r="P122" s="4"/>
      <c r="Q122" s="1953"/>
      <c r="R122" s="1962"/>
      <c r="S122" s="1953">
        <f>+Q114</f>
        <v>25773</v>
      </c>
      <c r="T122" s="1954"/>
      <c r="U122" s="4"/>
    </row>
    <row r="123" spans="2:21" x14ac:dyDescent="0.25">
      <c r="B123" s="208" t="s">
        <v>14</v>
      </c>
      <c r="C123" s="211"/>
      <c r="D123" s="203"/>
      <c r="E123" s="212"/>
      <c r="F123" s="20" t="s">
        <v>1</v>
      </c>
      <c r="G123" s="215" t="s">
        <v>67</v>
      </c>
      <c r="H123" s="189"/>
      <c r="I123" s="189"/>
      <c r="J123" s="189"/>
      <c r="K123" s="189"/>
      <c r="L123" s="189"/>
      <c r="M123" s="4"/>
      <c r="N123" s="4"/>
      <c r="O123" s="4"/>
      <c r="P123" s="4"/>
      <c r="Q123" s="1953"/>
      <c r="R123" s="1962"/>
      <c r="S123" s="1953">
        <f>+Q121-S122</f>
        <v>4227</v>
      </c>
      <c r="T123" s="1954"/>
      <c r="U123" s="4"/>
    </row>
    <row r="124" spans="2:21" x14ac:dyDescent="0.25">
      <c r="B124" s="207">
        <v>5</v>
      </c>
      <c r="C124" s="2110" t="s">
        <v>21</v>
      </c>
      <c r="D124" s="2090"/>
      <c r="E124" s="2090"/>
      <c r="F124" s="2090"/>
      <c r="G124" s="2090"/>
      <c r="H124" s="2681"/>
      <c r="I124" s="2681"/>
      <c r="J124" s="2681"/>
      <c r="K124" s="2681"/>
      <c r="L124" s="2090" t="s">
        <v>436</v>
      </c>
      <c r="M124" s="2090"/>
      <c r="N124" s="2090"/>
      <c r="O124" s="2090"/>
      <c r="P124" s="2092"/>
      <c r="Q124" s="1953"/>
      <c r="R124" s="1962"/>
      <c r="S124" s="1953"/>
      <c r="T124" s="1954"/>
      <c r="U124" s="4"/>
    </row>
    <row r="125" spans="2:21" x14ac:dyDescent="0.25">
      <c r="B125" s="208" t="s">
        <v>207</v>
      </c>
      <c r="C125" s="211" t="s">
        <v>82</v>
      </c>
      <c r="D125" s="203"/>
      <c r="E125" s="212"/>
      <c r="F125" s="203"/>
      <c r="G125" s="214"/>
      <c r="H125" s="189"/>
      <c r="I125" s="189"/>
      <c r="J125" s="189"/>
      <c r="K125" s="189"/>
      <c r="L125" s="189"/>
      <c r="M125" s="4"/>
      <c r="N125" s="4"/>
      <c r="O125" s="4"/>
      <c r="P125" s="4"/>
      <c r="Q125" s="1953">
        <f>+Q106/10</f>
        <v>20000</v>
      </c>
      <c r="R125" s="1962"/>
      <c r="S125" s="1953"/>
      <c r="T125" s="1954"/>
      <c r="U125" s="4"/>
    </row>
    <row r="126" spans="2:21" x14ac:dyDescent="0.25">
      <c r="B126" s="208" t="s">
        <v>15</v>
      </c>
      <c r="C126" s="211" t="s">
        <v>299</v>
      </c>
      <c r="D126" s="203"/>
      <c r="E126" s="212"/>
      <c r="F126" s="203"/>
      <c r="G126" s="214"/>
      <c r="H126" s="189"/>
      <c r="I126" s="189"/>
      <c r="J126" s="189"/>
      <c r="K126" s="189"/>
      <c r="L126" s="189"/>
      <c r="M126" s="4"/>
      <c r="N126" s="4"/>
      <c r="O126" s="4"/>
      <c r="P126" s="4"/>
      <c r="Q126" s="1953">
        <f>+Q106*(0.384/12)</f>
        <v>6400</v>
      </c>
      <c r="R126" s="1962"/>
      <c r="S126" s="325"/>
      <c r="T126" s="326"/>
      <c r="U126" s="4"/>
    </row>
    <row r="127" spans="2:21" x14ac:dyDescent="0.25">
      <c r="B127" s="208" t="s">
        <v>11</v>
      </c>
      <c r="C127" s="211" t="s">
        <v>13</v>
      </c>
      <c r="D127" s="203"/>
      <c r="E127" s="212"/>
      <c r="F127" s="203"/>
      <c r="G127" s="214"/>
      <c r="H127" s="189"/>
      <c r="I127" s="189"/>
      <c r="J127" s="189"/>
      <c r="K127" s="189"/>
      <c r="L127" s="189"/>
      <c r="M127" s="4"/>
      <c r="N127" s="4"/>
      <c r="O127" s="4"/>
      <c r="P127" s="4"/>
      <c r="Q127" s="1953">
        <f>+Q126*0.21</f>
        <v>1344</v>
      </c>
      <c r="R127" s="1962"/>
      <c r="S127" s="325"/>
      <c r="T127" s="326"/>
      <c r="U127" s="4"/>
    </row>
    <row r="128" spans="2:21" x14ac:dyDescent="0.25">
      <c r="B128" s="208" t="s">
        <v>14</v>
      </c>
      <c r="C128" s="211"/>
      <c r="D128" s="203"/>
      <c r="E128" s="212"/>
      <c r="F128" s="20" t="s">
        <v>1</v>
      </c>
      <c r="G128" s="215" t="s">
        <v>67</v>
      </c>
      <c r="H128" s="189"/>
      <c r="I128" s="189"/>
      <c r="J128" s="189"/>
      <c r="K128" s="189"/>
      <c r="L128" s="189"/>
      <c r="M128" s="4"/>
      <c r="N128" s="4"/>
      <c r="O128" s="4"/>
      <c r="P128" s="4"/>
      <c r="Q128" s="1953"/>
      <c r="R128" s="1962"/>
      <c r="S128" s="1953">
        <f>+SUM(Q125:R127)</f>
        <v>27744</v>
      </c>
      <c r="T128" s="1954"/>
      <c r="U128" s="4"/>
    </row>
    <row r="129" spans="2:21" x14ac:dyDescent="0.25">
      <c r="B129" s="207">
        <v>6</v>
      </c>
      <c r="C129" s="2110" t="s">
        <v>21</v>
      </c>
      <c r="D129" s="2090"/>
      <c r="E129" s="2090"/>
      <c r="F129" s="2090"/>
      <c r="G129" s="2090"/>
      <c r="H129" s="2681"/>
      <c r="I129" s="2681"/>
      <c r="J129" s="2681"/>
      <c r="K129" s="2681"/>
      <c r="L129" s="2090" t="s">
        <v>436</v>
      </c>
      <c r="M129" s="2090"/>
      <c r="N129" s="2090"/>
      <c r="O129" s="2090"/>
      <c r="P129" s="2092"/>
      <c r="Q129" s="1953"/>
      <c r="R129" s="1962"/>
      <c r="S129" s="1953"/>
      <c r="T129" s="1954"/>
      <c r="U129" s="4"/>
    </row>
    <row r="130" spans="2:21" x14ac:dyDescent="0.25">
      <c r="B130" s="208" t="s">
        <v>11</v>
      </c>
      <c r="C130" s="211" t="s">
        <v>480</v>
      </c>
      <c r="D130" s="203"/>
      <c r="E130" s="212"/>
      <c r="F130" s="203"/>
      <c r="G130" s="214"/>
      <c r="H130" s="189"/>
      <c r="I130" s="189"/>
      <c r="J130" s="189"/>
      <c r="K130" s="189"/>
      <c r="L130" s="189"/>
      <c r="M130" s="4"/>
      <c r="N130" s="4"/>
      <c r="O130" s="4"/>
      <c r="P130" s="4"/>
      <c r="Q130" s="1953">
        <v>3000</v>
      </c>
      <c r="R130" s="1962"/>
      <c r="S130" s="1953"/>
      <c r="T130" s="1954"/>
      <c r="U130" s="4"/>
    </row>
    <row r="131" spans="2:21" x14ac:dyDescent="0.25">
      <c r="B131" s="208" t="s">
        <v>14</v>
      </c>
      <c r="C131" s="211"/>
      <c r="D131" s="203"/>
      <c r="E131" s="212"/>
      <c r="F131" s="20" t="s">
        <v>1</v>
      </c>
      <c r="G131" s="215" t="s">
        <v>67</v>
      </c>
      <c r="H131" s="189"/>
      <c r="I131" s="189"/>
      <c r="J131" s="189"/>
      <c r="K131" s="189"/>
      <c r="L131" s="189"/>
      <c r="M131" s="4"/>
      <c r="N131" s="4"/>
      <c r="O131" s="4"/>
      <c r="P131" s="4"/>
      <c r="Q131" s="1953"/>
      <c r="R131" s="1962"/>
      <c r="S131" s="1953">
        <f>+Q130</f>
        <v>3000</v>
      </c>
      <c r="T131" s="1954"/>
      <c r="U131" s="4"/>
    </row>
    <row r="132" spans="2:21" x14ac:dyDescent="0.25">
      <c r="B132" s="207">
        <v>7</v>
      </c>
      <c r="C132" s="2110" t="s">
        <v>21</v>
      </c>
      <c r="D132" s="2090"/>
      <c r="E132" s="2090"/>
      <c r="F132" s="2090"/>
      <c r="G132" s="2090"/>
      <c r="H132" s="2681"/>
      <c r="I132" s="2681"/>
      <c r="J132" s="2681"/>
      <c r="K132" s="2681"/>
      <c r="L132" s="2090" t="s">
        <v>436</v>
      </c>
      <c r="M132" s="2090"/>
      <c r="N132" s="2090"/>
      <c r="O132" s="2090"/>
      <c r="P132" s="2092"/>
      <c r="Q132" s="1953"/>
      <c r="R132" s="1962"/>
      <c r="S132" s="1953"/>
      <c r="T132" s="1954"/>
      <c r="U132" s="4"/>
    </row>
    <row r="133" spans="2:21" x14ac:dyDescent="0.25">
      <c r="B133" s="208"/>
      <c r="C133" s="2852" t="s">
        <v>481</v>
      </c>
      <c r="D133" s="2853"/>
      <c r="E133" s="2853"/>
      <c r="F133" s="2853"/>
      <c r="G133" s="2853"/>
      <c r="H133" s="2853"/>
      <c r="I133" s="2853"/>
      <c r="J133" s="2853"/>
      <c r="K133" s="2853"/>
      <c r="L133" s="2853"/>
      <c r="M133" s="2853"/>
      <c r="N133" s="2853"/>
      <c r="O133" s="2853"/>
      <c r="P133" s="2854"/>
      <c r="Q133" s="1953"/>
      <c r="R133" s="1962"/>
      <c r="S133" s="1953"/>
      <c r="T133" s="1954"/>
      <c r="U133" s="4"/>
    </row>
    <row r="134" spans="2:21" x14ac:dyDescent="0.25">
      <c r="B134" s="207">
        <v>8</v>
      </c>
      <c r="C134" s="2110" t="s">
        <v>21</v>
      </c>
      <c r="D134" s="2090"/>
      <c r="E134" s="2090"/>
      <c r="F134" s="2090"/>
      <c r="G134" s="2090"/>
      <c r="H134" s="2681"/>
      <c r="I134" s="2681"/>
      <c r="J134" s="2681"/>
      <c r="K134" s="2681"/>
      <c r="L134" s="2090" t="s">
        <v>436</v>
      </c>
      <c r="M134" s="2090"/>
      <c r="N134" s="2090"/>
      <c r="O134" s="2090"/>
      <c r="P134" s="2092"/>
      <c r="Q134" s="1953"/>
      <c r="R134" s="1962"/>
      <c r="S134" s="1953"/>
      <c r="T134" s="1954"/>
      <c r="U134" s="4"/>
    </row>
    <row r="135" spans="2:21" x14ac:dyDescent="0.25">
      <c r="B135" s="208" t="s">
        <v>207</v>
      </c>
      <c r="C135" s="211" t="s">
        <v>82</v>
      </c>
      <c r="D135" s="203"/>
      <c r="E135" s="212"/>
      <c r="F135" s="203"/>
      <c r="G135" s="214"/>
      <c r="H135" s="189"/>
      <c r="I135" s="189"/>
      <c r="J135" s="189"/>
      <c r="K135" s="189"/>
      <c r="L135" s="189"/>
      <c r="M135" s="4"/>
      <c r="N135" s="4"/>
      <c r="O135" s="4"/>
      <c r="P135" s="4"/>
      <c r="Q135" s="1953">
        <f>+Q125</f>
        <v>20000</v>
      </c>
      <c r="R135" s="1962"/>
      <c r="S135" s="1953"/>
      <c r="T135" s="1954"/>
      <c r="U135" s="4"/>
    </row>
    <row r="136" spans="2:21" x14ac:dyDescent="0.25">
      <c r="B136" s="208" t="s">
        <v>15</v>
      </c>
      <c r="C136" s="211" t="s">
        <v>299</v>
      </c>
      <c r="D136" s="203"/>
      <c r="E136" s="212"/>
      <c r="F136" s="203"/>
      <c r="G136" s="214"/>
      <c r="H136" s="189"/>
      <c r="I136" s="189"/>
      <c r="J136" s="189"/>
      <c r="K136" s="189"/>
      <c r="L136" s="189"/>
      <c r="M136" s="4"/>
      <c r="N136" s="4"/>
      <c r="O136" s="4"/>
      <c r="P136" s="4"/>
      <c r="Q136" s="1953">
        <f>+(Q106-Q125)*0.384/12</f>
        <v>5760</v>
      </c>
      <c r="R136" s="1962"/>
      <c r="S136" s="325"/>
      <c r="T136" s="326"/>
      <c r="U136" s="4"/>
    </row>
    <row r="137" spans="2:21" x14ac:dyDescent="0.25">
      <c r="B137" s="208" t="s">
        <v>11</v>
      </c>
      <c r="C137" s="211" t="s">
        <v>13</v>
      </c>
      <c r="D137" s="203"/>
      <c r="E137" s="212"/>
      <c r="F137" s="203"/>
      <c r="G137" s="214"/>
      <c r="H137" s="189"/>
      <c r="I137" s="189"/>
      <c r="J137" s="189"/>
      <c r="K137" s="189"/>
      <c r="L137" s="189"/>
      <c r="M137" s="4"/>
      <c r="N137" s="4"/>
      <c r="O137" s="4"/>
      <c r="P137" s="4"/>
      <c r="Q137" s="2768">
        <f>+Q136*0.21</f>
        <v>1209.5999999999999</v>
      </c>
      <c r="R137" s="2769"/>
      <c r="S137" s="325"/>
      <c r="T137" s="326"/>
      <c r="U137" s="4"/>
    </row>
    <row r="138" spans="2:21" x14ac:dyDescent="0.25">
      <c r="B138" s="208" t="s">
        <v>14</v>
      </c>
      <c r="C138" s="222"/>
      <c r="D138" s="205"/>
      <c r="E138" s="223"/>
      <c r="F138" s="35" t="s">
        <v>1</v>
      </c>
      <c r="G138" s="226" t="s">
        <v>67</v>
      </c>
      <c r="H138" s="200"/>
      <c r="I138" s="200"/>
      <c r="J138" s="200"/>
      <c r="K138" s="200"/>
      <c r="L138" s="200"/>
      <c r="M138" s="3"/>
      <c r="N138" s="3"/>
      <c r="O138" s="3"/>
      <c r="P138" s="3"/>
      <c r="Q138" s="1956"/>
      <c r="R138" s="2770"/>
      <c r="S138" s="2771">
        <f>+SUM(Q135:R137)</f>
        <v>26969.599999999999</v>
      </c>
      <c r="T138" s="2772"/>
      <c r="U138" s="4"/>
    </row>
    <row r="139" spans="2:21" s="175" customFormat="1" x14ac:dyDescent="0.25">
      <c r="B139" s="103"/>
      <c r="C139" s="327"/>
      <c r="D139" s="327"/>
      <c r="E139" s="327"/>
      <c r="F139" s="327"/>
      <c r="G139" s="328"/>
      <c r="H139" s="328"/>
      <c r="I139" s="328"/>
      <c r="J139" s="328"/>
      <c r="K139" s="328"/>
      <c r="L139" s="328"/>
      <c r="M139" s="328"/>
      <c r="N139" s="320"/>
      <c r="O139" s="320"/>
      <c r="P139" s="320"/>
      <c r="Q139" s="329"/>
      <c r="R139" s="329"/>
      <c r="S139" s="329"/>
      <c r="T139" s="329"/>
      <c r="U139" s="317"/>
    </row>
    <row r="140" spans="2:21" s="175" customFormat="1" x14ac:dyDescent="0.25">
      <c r="B140" s="103"/>
      <c r="C140" s="327"/>
      <c r="D140" s="327"/>
      <c r="E140" s="327"/>
      <c r="F140" s="327"/>
      <c r="G140" s="328"/>
      <c r="H140" s="328"/>
      <c r="I140" s="328"/>
      <c r="J140" s="328"/>
      <c r="K140" s="328"/>
      <c r="L140" s="328"/>
      <c r="M140" s="328"/>
      <c r="N140" s="320"/>
      <c r="O140" s="320"/>
      <c r="P140" s="320"/>
      <c r="Q140" s="329"/>
      <c r="R140" s="329"/>
      <c r="S140" s="329"/>
      <c r="T140" s="329"/>
      <c r="U140" s="317"/>
    </row>
    <row r="141" spans="2:21" s="175" customFormat="1" x14ac:dyDescent="0.25">
      <c r="B141" s="103"/>
      <c r="C141" s="327"/>
      <c r="D141" s="327"/>
      <c r="E141" s="327"/>
      <c r="F141" s="327"/>
      <c r="G141" s="328"/>
      <c r="H141" s="328"/>
      <c r="I141" s="328"/>
      <c r="J141" s="328"/>
      <c r="K141" s="328"/>
      <c r="L141" s="328"/>
      <c r="M141" s="328"/>
      <c r="N141" s="320"/>
      <c r="O141" s="320"/>
      <c r="P141" s="320"/>
      <c r="Q141" s="329"/>
      <c r="R141" s="329"/>
      <c r="S141" s="329"/>
      <c r="T141" s="329"/>
      <c r="U141" s="317"/>
    </row>
    <row r="142" spans="2:21" s="175" customFormat="1" x14ac:dyDescent="0.25">
      <c r="B142" s="103"/>
      <c r="C142" s="327"/>
      <c r="D142" s="327"/>
      <c r="E142" s="327"/>
      <c r="F142" s="327"/>
      <c r="G142" s="328"/>
      <c r="H142" s="328"/>
      <c r="I142" s="328"/>
      <c r="J142" s="328"/>
      <c r="K142" s="328"/>
      <c r="L142" s="328"/>
      <c r="M142" s="328"/>
      <c r="N142" s="320"/>
      <c r="O142" s="320"/>
      <c r="P142" s="320"/>
      <c r="Q142" s="329"/>
      <c r="R142" s="329"/>
      <c r="S142" s="329"/>
      <c r="T142" s="329"/>
      <c r="U142" s="317"/>
    </row>
    <row r="143" spans="2:21" s="175" customFormat="1" x14ac:dyDescent="0.25">
      <c r="B143" s="103"/>
      <c r="C143" s="327"/>
      <c r="D143" s="327"/>
      <c r="E143" s="327"/>
      <c r="F143" s="327"/>
      <c r="G143" s="328"/>
      <c r="H143" s="328"/>
      <c r="I143" s="328"/>
      <c r="J143" s="328"/>
      <c r="K143" s="328"/>
      <c r="L143" s="328"/>
      <c r="M143" s="328"/>
      <c r="N143" s="320"/>
      <c r="O143" s="320"/>
      <c r="P143" s="320"/>
      <c r="Q143" s="329"/>
      <c r="R143" s="329"/>
      <c r="S143" s="329"/>
      <c r="T143" s="329"/>
      <c r="U143" s="317"/>
    </row>
    <row r="144" spans="2:21" s="175" customFormat="1" x14ac:dyDescent="0.25">
      <c r="B144" s="103"/>
      <c r="C144" s="327"/>
      <c r="D144" s="327"/>
      <c r="E144" s="327"/>
      <c r="F144" s="327"/>
      <c r="G144" s="328"/>
      <c r="H144" s="328"/>
      <c r="I144" s="328"/>
      <c r="J144" s="328"/>
      <c r="K144" s="328"/>
      <c r="L144" s="328"/>
      <c r="M144" s="328"/>
      <c r="N144" s="320"/>
      <c r="O144" s="320"/>
      <c r="P144" s="320"/>
      <c r="Q144" s="329"/>
      <c r="R144" s="329"/>
      <c r="S144" s="329"/>
      <c r="T144" s="329"/>
      <c r="U144" s="317"/>
    </row>
    <row r="145" spans="1:21" s="175" customFormat="1" x14ac:dyDescent="0.25">
      <c r="B145" s="103"/>
      <c r="C145" s="327"/>
      <c r="D145" s="327"/>
      <c r="E145" s="327"/>
      <c r="F145" s="327"/>
      <c r="G145" s="328"/>
      <c r="H145" s="328"/>
      <c r="I145" s="328"/>
      <c r="J145" s="328"/>
      <c r="K145" s="328"/>
      <c r="L145" s="328"/>
      <c r="M145" s="328"/>
      <c r="N145" s="320"/>
      <c r="O145" s="320"/>
      <c r="P145" s="320"/>
      <c r="Q145" s="329"/>
      <c r="R145" s="329"/>
      <c r="S145" s="329"/>
      <c r="T145" s="329"/>
      <c r="U145" s="317"/>
    </row>
    <row r="146" spans="1:21" s="175" customFormat="1" x14ac:dyDescent="0.25">
      <c r="B146" s="103"/>
      <c r="C146" s="327"/>
      <c r="D146" s="327"/>
      <c r="E146" s="327"/>
      <c r="F146" s="327"/>
      <c r="G146" s="328"/>
      <c r="H146" s="328"/>
      <c r="I146" s="328"/>
      <c r="J146" s="328"/>
      <c r="K146" s="328"/>
      <c r="L146" s="328"/>
      <c r="M146" s="328"/>
      <c r="N146" s="320"/>
      <c r="O146" s="320"/>
      <c r="P146" s="320"/>
      <c r="Q146" s="329"/>
      <c r="R146" s="329"/>
      <c r="S146" s="329"/>
      <c r="T146" s="329"/>
      <c r="U146" s="317"/>
    </row>
    <row r="147" spans="1:21" s="175" customFormat="1" x14ac:dyDescent="0.25">
      <c r="B147" s="103"/>
      <c r="C147" s="327"/>
      <c r="D147" s="327"/>
      <c r="E147" s="327"/>
      <c r="F147" s="327"/>
      <c r="G147" s="328"/>
      <c r="H147" s="328"/>
      <c r="I147" s="328"/>
      <c r="J147" s="328"/>
      <c r="K147" s="328"/>
      <c r="L147" s="328"/>
      <c r="M147" s="328"/>
      <c r="N147" s="320"/>
      <c r="O147" s="320"/>
      <c r="P147" s="320"/>
      <c r="Q147" s="329"/>
      <c r="R147" s="329"/>
      <c r="S147" s="329"/>
      <c r="T147" s="329"/>
      <c r="U147" s="317"/>
    </row>
    <row r="148" spans="1:21" s="175" customFormat="1" x14ac:dyDescent="0.25">
      <c r="B148" s="103"/>
      <c r="C148" s="327"/>
      <c r="D148" s="327"/>
      <c r="E148" s="327"/>
      <c r="F148" s="327"/>
      <c r="G148" s="328"/>
      <c r="H148" s="328"/>
      <c r="I148" s="328"/>
      <c r="J148" s="328"/>
      <c r="K148" s="328"/>
      <c r="L148" s="328"/>
      <c r="M148" s="328"/>
      <c r="N148" s="320"/>
      <c r="O148" s="320"/>
      <c r="P148" s="320"/>
      <c r="Q148" s="329"/>
      <c r="R148" s="329"/>
      <c r="S148" s="329"/>
      <c r="T148" s="329"/>
      <c r="U148" s="317"/>
    </row>
    <row r="149" spans="1:21" s="175" customFormat="1" x14ac:dyDescent="0.25">
      <c r="B149" s="103"/>
      <c r="C149" s="327"/>
      <c r="D149" s="327"/>
      <c r="E149" s="327"/>
      <c r="F149" s="327"/>
      <c r="G149" s="328"/>
      <c r="H149" s="328"/>
      <c r="I149" s="328"/>
      <c r="J149" s="328"/>
      <c r="K149" s="328"/>
      <c r="L149" s="328"/>
      <c r="M149" s="328"/>
      <c r="N149" s="320"/>
      <c r="O149" s="320"/>
      <c r="P149" s="320"/>
      <c r="Q149" s="329"/>
      <c r="R149" s="329"/>
      <c r="S149" s="329"/>
      <c r="T149" s="329"/>
      <c r="U149" s="317"/>
    </row>
    <row r="150" spans="1:21" s="175" customFormat="1" x14ac:dyDescent="0.25">
      <c r="B150" s="103"/>
      <c r="C150" s="327"/>
      <c r="D150" s="327"/>
      <c r="E150" s="327"/>
      <c r="F150" s="327"/>
      <c r="G150" s="328"/>
      <c r="H150" s="328"/>
      <c r="I150" s="328"/>
      <c r="J150" s="328"/>
      <c r="K150" s="328"/>
      <c r="L150" s="328"/>
      <c r="M150" s="328"/>
      <c r="N150" s="320"/>
      <c r="O150" s="320"/>
      <c r="P150" s="320"/>
      <c r="Q150" s="329"/>
      <c r="R150" s="329"/>
      <c r="S150" s="329"/>
      <c r="T150" s="329"/>
      <c r="U150" s="317"/>
    </row>
    <row r="151" spans="1:21" s="4" customFormat="1" x14ac:dyDescent="0.25">
      <c r="B151" s="213"/>
      <c r="C151" s="213"/>
      <c r="D151" s="213"/>
      <c r="E151" s="213"/>
      <c r="H151" s="189"/>
      <c r="I151" s="189"/>
      <c r="J151" s="189"/>
      <c r="K151" s="189"/>
      <c r="L151" s="189"/>
      <c r="Q151" s="2725"/>
      <c r="R151" s="2725"/>
      <c r="S151" s="2725"/>
      <c r="T151" s="2725"/>
    </row>
    <row r="152" spans="1:21" x14ac:dyDescent="0.25">
      <c r="A152" s="4"/>
      <c r="B152" s="189"/>
      <c r="G152" s="51"/>
      <c r="H152" s="51"/>
      <c r="I152" s="51"/>
      <c r="J152" s="51"/>
      <c r="K152" s="51"/>
      <c r="L152" s="51"/>
      <c r="M152" s="4"/>
      <c r="N152" s="4"/>
      <c r="O152" s="4"/>
      <c r="P152" s="4"/>
      <c r="Q152" s="18"/>
      <c r="R152" s="18"/>
      <c r="S152" s="18"/>
      <c r="T152" s="18"/>
      <c r="U152" s="4"/>
    </row>
    <row r="153" spans="1:21" x14ac:dyDescent="0.25">
      <c r="A153" s="1844" t="s">
        <v>20</v>
      </c>
      <c r="B153" s="1845"/>
      <c r="C153" s="1845"/>
      <c r="D153" s="1845"/>
      <c r="E153" s="1845"/>
      <c r="F153" s="1845"/>
      <c r="G153" s="1845"/>
      <c r="H153" s="1845"/>
      <c r="I153" s="1845"/>
      <c r="J153" s="1845"/>
      <c r="K153" s="1845"/>
      <c r="L153" s="1845"/>
      <c r="M153" s="1845"/>
      <c r="N153" s="1845"/>
      <c r="O153" s="1845"/>
      <c r="P153" s="1845"/>
      <c r="Q153" s="1845"/>
      <c r="R153" s="1845"/>
      <c r="S153" s="1845"/>
      <c r="T153" s="1845"/>
      <c r="U153" s="1846"/>
    </row>
    <row r="154" spans="1:21" x14ac:dyDescent="0.25">
      <c r="A154" s="1847" t="s">
        <v>568</v>
      </c>
      <c r="B154" s="1848"/>
      <c r="C154" s="1848"/>
      <c r="D154" s="1848"/>
      <c r="E154" s="1848"/>
      <c r="F154" s="1848"/>
      <c r="G154" s="1848"/>
      <c r="H154" s="1848"/>
      <c r="I154" s="1848"/>
      <c r="J154" s="1848"/>
      <c r="K154" s="1848"/>
      <c r="L154" s="1848"/>
      <c r="M154" s="1848"/>
      <c r="N154" s="1848"/>
      <c r="O154" s="1848"/>
      <c r="P154" s="1848"/>
      <c r="Q154" s="1848"/>
      <c r="R154" s="1848"/>
      <c r="S154" s="1848"/>
      <c r="T154" s="1848"/>
      <c r="U154" s="1849"/>
    </row>
    <row r="155" spans="1:21" x14ac:dyDescent="0.25">
      <c r="A155" s="330"/>
      <c r="B155" s="330"/>
      <c r="C155" s="330"/>
      <c r="D155" s="330"/>
      <c r="E155" s="330"/>
      <c r="F155" s="330"/>
      <c r="G155" s="330"/>
      <c r="H155" s="330"/>
      <c r="I155" s="330"/>
      <c r="J155" s="330"/>
      <c r="K155" s="330"/>
      <c r="L155" s="330"/>
      <c r="M155" s="330"/>
      <c r="N155" s="330"/>
      <c r="O155" s="330"/>
      <c r="P155" s="330"/>
      <c r="Q155" s="330"/>
      <c r="R155" s="330"/>
      <c r="S155" s="330"/>
      <c r="T155" s="330"/>
      <c r="U155" s="330"/>
    </row>
    <row r="156" spans="1:21" x14ac:dyDescent="0.25">
      <c r="A156" s="330"/>
      <c r="B156" s="50" t="s">
        <v>307</v>
      </c>
      <c r="C156" s="258" t="s">
        <v>482</v>
      </c>
      <c r="D156" s="330"/>
      <c r="E156" s="330"/>
      <c r="F156" s="330"/>
      <c r="G156" s="330"/>
      <c r="H156" s="330"/>
      <c r="I156" s="330"/>
      <c r="J156" s="330"/>
      <c r="K156" s="330"/>
      <c r="L156" s="330"/>
      <c r="M156" s="330"/>
      <c r="N156" s="330"/>
      <c r="O156" s="330"/>
      <c r="P156" s="330"/>
      <c r="Q156" s="330"/>
      <c r="R156" s="330"/>
      <c r="S156" s="330"/>
      <c r="T156" s="330"/>
      <c r="U156" s="330"/>
    </row>
    <row r="158" spans="1:21" ht="7.5" customHeight="1" x14ac:dyDescent="0.25">
      <c r="B158" s="207">
        <v>1</v>
      </c>
    </row>
    <row r="159" spans="1:21" x14ac:dyDescent="0.25">
      <c r="B159" s="208" t="s">
        <v>11</v>
      </c>
      <c r="C159" s="209" t="s">
        <v>10</v>
      </c>
      <c r="D159" s="210"/>
      <c r="E159" s="210"/>
      <c r="F159" s="31"/>
      <c r="G159" s="1"/>
      <c r="H159" s="201"/>
      <c r="I159" s="201"/>
      <c r="J159" s="201"/>
      <c r="K159" s="201"/>
      <c r="L159" s="201"/>
      <c r="M159" s="1"/>
      <c r="N159" s="1"/>
      <c r="O159" s="1"/>
      <c r="P159" s="1"/>
      <c r="Q159" s="1963">
        <f>+S160+S161</f>
        <v>1250000</v>
      </c>
      <c r="R159" s="2851"/>
      <c r="S159" s="1963"/>
      <c r="T159" s="1964"/>
      <c r="U159" s="4"/>
    </row>
    <row r="160" spans="1:21" x14ac:dyDescent="0.25">
      <c r="B160" s="208" t="s">
        <v>458</v>
      </c>
      <c r="C160" s="211"/>
      <c r="D160" s="203"/>
      <c r="E160" s="212"/>
      <c r="F160" s="20" t="s">
        <v>1</v>
      </c>
      <c r="G160" s="213" t="s">
        <v>435</v>
      </c>
      <c r="H160" s="189"/>
      <c r="I160" s="189"/>
      <c r="J160" s="189"/>
      <c r="K160" s="189"/>
      <c r="L160" s="189"/>
      <c r="M160" s="4"/>
      <c r="N160" s="4"/>
      <c r="O160" s="4"/>
      <c r="P160" s="4"/>
      <c r="Q160" s="1953"/>
      <c r="R160" s="1962"/>
      <c r="S160" s="1953">
        <f>100000*10</f>
        <v>1000000</v>
      </c>
      <c r="T160" s="1954"/>
      <c r="U160" s="4"/>
    </row>
    <row r="161" spans="2:21" x14ac:dyDescent="0.25">
      <c r="B161" s="208" t="s">
        <v>458</v>
      </c>
      <c r="C161" s="211"/>
      <c r="D161" s="203"/>
      <c r="E161" s="212"/>
      <c r="F161" s="20" t="s">
        <v>1</v>
      </c>
      <c r="G161" s="213" t="s">
        <v>483</v>
      </c>
      <c r="H161" s="189"/>
      <c r="I161" s="189"/>
      <c r="J161" s="189"/>
      <c r="K161" s="189"/>
      <c r="L161" s="189"/>
      <c r="M161" s="4"/>
      <c r="N161" s="4"/>
      <c r="O161" s="4"/>
      <c r="P161" s="4"/>
      <c r="Q161" s="1953"/>
      <c r="R161" s="1962"/>
      <c r="S161" s="1953">
        <f>100000*(12.5-10)</f>
        <v>250000</v>
      </c>
      <c r="T161" s="1954"/>
      <c r="U161" s="4"/>
    </row>
    <row r="162" spans="2:21" ht="7.5" customHeight="1" x14ac:dyDescent="0.25">
      <c r="B162" s="207">
        <v>2</v>
      </c>
      <c r="C162" s="2110" t="s">
        <v>21</v>
      </c>
      <c r="D162" s="2090"/>
      <c r="E162" s="2090"/>
      <c r="F162" s="2090"/>
      <c r="G162" s="2090"/>
      <c r="H162" s="2090"/>
      <c r="I162" s="331"/>
      <c r="J162" s="331"/>
      <c r="K162" s="331"/>
      <c r="L162" s="2090" t="s">
        <v>484</v>
      </c>
      <c r="M162" s="2090"/>
      <c r="N162" s="2090"/>
      <c r="O162" s="2090"/>
      <c r="P162" s="2092"/>
      <c r="Q162" s="1953"/>
      <c r="R162" s="1962"/>
      <c r="S162" s="1953"/>
      <c r="T162" s="1954"/>
      <c r="U162" s="4"/>
    </row>
    <row r="163" spans="2:21" x14ac:dyDescent="0.25">
      <c r="B163" s="208" t="s">
        <v>485</v>
      </c>
      <c r="C163" s="211" t="s">
        <v>486</v>
      </c>
      <c r="D163" s="203"/>
      <c r="E163" s="212"/>
      <c r="F163" s="203"/>
      <c r="G163" s="214"/>
      <c r="H163" s="189"/>
      <c r="I163" s="189"/>
      <c r="J163" s="189"/>
      <c r="K163" s="189"/>
      <c r="L163" s="189"/>
      <c r="M163" s="4"/>
      <c r="N163" s="4"/>
      <c r="O163" s="4"/>
      <c r="P163" s="4"/>
      <c r="Q163" s="1953">
        <v>100000</v>
      </c>
      <c r="R163" s="1962"/>
      <c r="S163" s="1953"/>
      <c r="T163" s="1954"/>
      <c r="U163" s="4"/>
    </row>
    <row r="164" spans="2:21" x14ac:dyDescent="0.25">
      <c r="B164" s="208" t="s">
        <v>458</v>
      </c>
      <c r="C164" s="211"/>
      <c r="D164" s="203"/>
      <c r="E164" s="212"/>
      <c r="F164" s="20" t="s">
        <v>1</v>
      </c>
      <c r="G164" s="215" t="s">
        <v>487</v>
      </c>
      <c r="H164" s="189"/>
      <c r="I164" s="189"/>
      <c r="J164" s="189"/>
      <c r="K164" s="189"/>
      <c r="L164" s="189"/>
      <c r="M164" s="4"/>
      <c r="N164" s="4"/>
      <c r="O164" s="4"/>
      <c r="P164" s="4"/>
      <c r="Q164" s="1953"/>
      <c r="R164" s="1962"/>
      <c r="S164" s="1953">
        <f>+Q163*0.05</f>
        <v>5000</v>
      </c>
      <c r="T164" s="1954"/>
      <c r="U164" s="4"/>
    </row>
    <row r="165" spans="2:21" x14ac:dyDescent="0.25">
      <c r="B165" s="208" t="s">
        <v>458</v>
      </c>
      <c r="C165" s="211"/>
      <c r="D165" s="203"/>
      <c r="E165" s="212"/>
      <c r="F165" s="20" t="s">
        <v>1</v>
      </c>
      <c r="G165" s="215" t="s">
        <v>488</v>
      </c>
      <c r="H165" s="189"/>
      <c r="I165" s="189"/>
      <c r="J165" s="189"/>
      <c r="K165" s="189"/>
      <c r="L165" s="189"/>
      <c r="M165" s="4"/>
      <c r="N165" s="4"/>
      <c r="O165" s="4"/>
      <c r="P165" s="4"/>
      <c r="Q165" s="1953"/>
      <c r="R165" s="1962"/>
      <c r="S165" s="1953">
        <f>+Q163*0.2</f>
        <v>20000</v>
      </c>
      <c r="T165" s="1954"/>
      <c r="U165" s="4"/>
    </row>
    <row r="166" spans="2:21" x14ac:dyDescent="0.25">
      <c r="B166" s="208" t="s">
        <v>17</v>
      </c>
      <c r="C166" s="211"/>
      <c r="D166" s="203"/>
      <c r="E166" s="212"/>
      <c r="F166" s="20" t="s">
        <v>1</v>
      </c>
      <c r="G166" s="215" t="s">
        <v>489</v>
      </c>
      <c r="H166" s="189"/>
      <c r="I166" s="189"/>
      <c r="J166" s="189"/>
      <c r="K166" s="189"/>
      <c r="L166" s="189"/>
      <c r="M166" s="4"/>
      <c r="N166" s="4"/>
      <c r="O166" s="4"/>
      <c r="P166" s="4"/>
      <c r="Q166" s="1953"/>
      <c r="R166" s="1962"/>
      <c r="S166" s="1953">
        <f>+Q163*0.3</f>
        <v>30000</v>
      </c>
      <c r="T166" s="1954"/>
      <c r="U166" s="4"/>
    </row>
    <row r="167" spans="2:21" x14ac:dyDescent="0.25">
      <c r="B167" s="208" t="s">
        <v>458</v>
      </c>
      <c r="C167" s="211"/>
      <c r="D167" s="203"/>
      <c r="E167" s="212"/>
      <c r="F167" s="20" t="s">
        <v>1</v>
      </c>
      <c r="G167" s="215" t="s">
        <v>435</v>
      </c>
      <c r="H167" s="189"/>
      <c r="I167" s="189"/>
      <c r="J167" s="189"/>
      <c r="K167" s="189"/>
      <c r="L167" s="189"/>
      <c r="M167" s="4"/>
      <c r="N167" s="4"/>
      <c r="O167" s="4"/>
      <c r="P167" s="4"/>
      <c r="Q167" s="1953"/>
      <c r="R167" s="1962"/>
      <c r="S167" s="1953">
        <f>+Q163*0.45</f>
        <v>45000</v>
      </c>
      <c r="T167" s="1954"/>
      <c r="U167" s="4"/>
    </row>
    <row r="168" spans="2:21" ht="7.5" customHeight="1" x14ac:dyDescent="0.25">
      <c r="B168" s="207">
        <v>3</v>
      </c>
      <c r="C168" s="2110" t="s">
        <v>21</v>
      </c>
      <c r="D168" s="2090"/>
      <c r="E168" s="2090"/>
      <c r="F168" s="2090"/>
      <c r="G168" s="2090"/>
      <c r="H168" s="2090"/>
      <c r="I168" s="331"/>
      <c r="J168" s="331"/>
      <c r="K168" s="331"/>
      <c r="L168" s="2090" t="s">
        <v>484</v>
      </c>
      <c r="M168" s="2090"/>
      <c r="N168" s="2090"/>
      <c r="O168" s="2090"/>
      <c r="P168" s="2092"/>
      <c r="Q168" s="1953"/>
      <c r="R168" s="1962"/>
      <c r="S168" s="1953"/>
      <c r="T168" s="1954"/>
      <c r="U168" s="4"/>
    </row>
    <row r="169" spans="2:21" x14ac:dyDescent="0.25">
      <c r="B169" s="208" t="s">
        <v>15</v>
      </c>
      <c r="C169" s="211" t="s">
        <v>3</v>
      </c>
      <c r="D169" s="203"/>
      <c r="E169" s="212"/>
      <c r="F169" s="203"/>
      <c r="G169" s="214"/>
      <c r="H169" s="189"/>
      <c r="I169" s="189"/>
      <c r="J169" s="189"/>
      <c r="K169" s="189"/>
      <c r="L169" s="189"/>
      <c r="M169" s="4"/>
      <c r="N169" s="4"/>
      <c r="O169" s="4"/>
      <c r="P169" s="4"/>
      <c r="Q169" s="1953">
        <v>100000</v>
      </c>
      <c r="R169" s="1962"/>
      <c r="S169" s="1953"/>
      <c r="T169" s="1954"/>
      <c r="U169" s="4"/>
    </row>
    <row r="170" spans="2:21" x14ac:dyDescent="0.25">
      <c r="B170" s="208" t="s">
        <v>15</v>
      </c>
      <c r="C170" s="211" t="s">
        <v>490</v>
      </c>
      <c r="D170" s="203"/>
      <c r="E170" s="212"/>
      <c r="F170" s="20"/>
      <c r="G170" s="215"/>
      <c r="H170" s="189"/>
      <c r="I170" s="189"/>
      <c r="J170" s="189"/>
      <c r="K170" s="189"/>
      <c r="L170" s="189"/>
      <c r="M170" s="4"/>
      <c r="N170" s="4"/>
      <c r="O170" s="4"/>
      <c r="P170" s="4"/>
      <c r="Q170" s="1953">
        <v>5000</v>
      </c>
      <c r="R170" s="1962"/>
      <c r="S170" s="1953"/>
      <c r="T170" s="1954"/>
      <c r="U170" s="4"/>
    </row>
    <row r="171" spans="2:21" x14ac:dyDescent="0.25">
      <c r="B171" s="208" t="s">
        <v>16</v>
      </c>
      <c r="C171" s="211"/>
      <c r="D171" s="203"/>
      <c r="E171" s="212"/>
      <c r="F171" s="20" t="s">
        <v>1</v>
      </c>
      <c r="G171" s="215" t="s">
        <v>491</v>
      </c>
      <c r="H171" s="189"/>
      <c r="I171" s="189"/>
      <c r="J171" s="189"/>
      <c r="K171" s="189"/>
      <c r="L171" s="189"/>
      <c r="M171" s="4"/>
      <c r="N171" s="4"/>
      <c r="O171" s="4"/>
      <c r="P171" s="4"/>
      <c r="Q171" s="1953"/>
      <c r="R171" s="1962"/>
      <c r="S171" s="1953">
        <v>30000</v>
      </c>
      <c r="T171" s="1954"/>
      <c r="U171" s="4"/>
    </row>
    <row r="172" spans="2:21" x14ac:dyDescent="0.25">
      <c r="B172" s="208" t="s">
        <v>16</v>
      </c>
      <c r="C172" s="211"/>
      <c r="D172" s="203"/>
      <c r="E172" s="212"/>
      <c r="F172" s="20" t="s">
        <v>1</v>
      </c>
      <c r="G172" s="215" t="s">
        <v>297</v>
      </c>
      <c r="H172" s="189"/>
      <c r="I172" s="189"/>
      <c r="J172" s="189"/>
      <c r="K172" s="189"/>
      <c r="L172" s="189"/>
      <c r="M172" s="4"/>
      <c r="N172" s="4"/>
      <c r="O172" s="4"/>
      <c r="P172" s="4"/>
      <c r="Q172" s="1953"/>
      <c r="R172" s="1962"/>
      <c r="S172" s="1953">
        <v>20000</v>
      </c>
      <c r="T172" s="1954"/>
      <c r="U172" s="4"/>
    </row>
    <row r="173" spans="2:21" x14ac:dyDescent="0.25">
      <c r="B173" s="208" t="s">
        <v>16</v>
      </c>
      <c r="C173" s="211"/>
      <c r="D173" s="203"/>
      <c r="E173" s="212"/>
      <c r="F173" s="20" t="s">
        <v>1</v>
      </c>
      <c r="G173" s="215" t="s">
        <v>492</v>
      </c>
      <c r="H173" s="189"/>
      <c r="I173" s="189"/>
      <c r="J173" s="189"/>
      <c r="K173" s="189"/>
      <c r="L173" s="189"/>
      <c r="M173" s="4"/>
      <c r="N173" s="4"/>
      <c r="O173" s="4"/>
      <c r="P173" s="4"/>
      <c r="Q173" s="1953"/>
      <c r="R173" s="1962"/>
      <c r="S173" s="1953">
        <v>25000</v>
      </c>
      <c r="T173" s="1954"/>
      <c r="U173" s="4"/>
    </row>
    <row r="174" spans="2:21" x14ac:dyDescent="0.25">
      <c r="B174" s="208" t="s">
        <v>16</v>
      </c>
      <c r="C174" s="211"/>
      <c r="D174" s="203"/>
      <c r="E174" s="212"/>
      <c r="F174" s="20" t="s">
        <v>1</v>
      </c>
      <c r="G174" s="215" t="s">
        <v>493</v>
      </c>
      <c r="H174" s="189"/>
      <c r="I174" s="189"/>
      <c r="J174" s="189"/>
      <c r="K174" s="189"/>
      <c r="L174" s="189"/>
      <c r="M174" s="4"/>
      <c r="N174" s="4"/>
      <c r="O174" s="4"/>
      <c r="P174" s="4"/>
      <c r="Q174" s="1953"/>
      <c r="R174" s="1962"/>
      <c r="S174" s="1953">
        <v>10000</v>
      </c>
      <c r="T174" s="1954"/>
      <c r="U174" s="4"/>
    </row>
    <row r="175" spans="2:21" x14ac:dyDescent="0.25">
      <c r="B175" s="208" t="s">
        <v>458</v>
      </c>
      <c r="C175" s="222"/>
      <c r="D175" s="205"/>
      <c r="E175" s="223"/>
      <c r="F175" s="35" t="s">
        <v>1</v>
      </c>
      <c r="G175" s="226" t="s">
        <v>486</v>
      </c>
      <c r="H175" s="200"/>
      <c r="I175" s="200"/>
      <c r="J175" s="200"/>
      <c r="K175" s="200"/>
      <c r="L175" s="200"/>
      <c r="M175" s="3"/>
      <c r="N175" s="3"/>
      <c r="O175" s="3"/>
      <c r="P175" s="3"/>
      <c r="Q175" s="1956"/>
      <c r="R175" s="2770"/>
      <c r="S175" s="1956">
        <f>+Q169+Q170-S171-S172-S173-S174</f>
        <v>20000</v>
      </c>
      <c r="T175" s="1957"/>
      <c r="U175" s="4"/>
    </row>
    <row r="176" spans="2:21" x14ac:dyDescent="0.25">
      <c r="B176" s="208"/>
      <c r="C176" s="212"/>
      <c r="D176" s="203"/>
      <c r="E176" s="212"/>
      <c r="F176" s="20"/>
      <c r="G176" s="215"/>
      <c r="H176" s="189"/>
      <c r="I176" s="189"/>
      <c r="J176" s="189"/>
      <c r="K176" s="189"/>
      <c r="L176" s="189"/>
      <c r="M176" s="4"/>
      <c r="N176" s="4"/>
      <c r="O176" s="4"/>
      <c r="P176" s="4"/>
      <c r="Q176" s="220"/>
      <c r="R176" s="220"/>
      <c r="S176" s="220"/>
      <c r="T176" s="220"/>
      <c r="U176" s="4"/>
    </row>
    <row r="177" spans="1:21" x14ac:dyDescent="0.25">
      <c r="B177" s="208"/>
      <c r="C177" s="212"/>
      <c r="D177" s="203"/>
      <c r="E177" s="212"/>
      <c r="F177" s="20"/>
      <c r="G177" s="215"/>
      <c r="H177" s="189"/>
      <c r="I177" s="189"/>
      <c r="J177" s="189"/>
      <c r="K177" s="189"/>
      <c r="L177" s="189"/>
      <c r="M177" s="4"/>
      <c r="N177" s="4"/>
      <c r="O177" s="4"/>
      <c r="P177" s="4"/>
      <c r="Q177" s="220"/>
      <c r="R177" s="220"/>
      <c r="S177" s="220"/>
      <c r="T177" s="220"/>
      <c r="U177" s="4"/>
    </row>
    <row r="178" spans="1:21" x14ac:dyDescent="0.25">
      <c r="B178" s="332" t="s">
        <v>389</v>
      </c>
      <c r="C178" s="333" t="s">
        <v>494</v>
      </c>
      <c r="D178" s="203"/>
      <c r="E178" s="212"/>
      <c r="F178" s="20"/>
      <c r="G178" s="215"/>
      <c r="H178" s="189"/>
      <c r="I178" s="189"/>
      <c r="J178" s="189"/>
      <c r="K178" s="189"/>
      <c r="L178" s="189"/>
      <c r="M178" s="4"/>
      <c r="N178" s="4"/>
      <c r="O178" s="4"/>
      <c r="P178" s="4"/>
      <c r="Q178" s="220"/>
      <c r="R178" s="220"/>
      <c r="S178" s="220"/>
      <c r="T178" s="220"/>
      <c r="U178" s="4"/>
    </row>
    <row r="179" spans="1:21" x14ac:dyDescent="0.25">
      <c r="B179" s="332"/>
      <c r="C179" s="333"/>
      <c r="D179" s="203"/>
      <c r="E179" s="212"/>
      <c r="F179" s="20"/>
      <c r="G179" s="215"/>
      <c r="H179" s="189"/>
      <c r="I179" s="189"/>
      <c r="J179" s="189"/>
      <c r="K179" s="189"/>
      <c r="L179" s="189"/>
      <c r="M179" s="4"/>
      <c r="N179" s="4"/>
      <c r="O179" s="4"/>
      <c r="P179" s="4"/>
      <c r="Q179" s="220"/>
      <c r="R179" s="220"/>
      <c r="S179" s="220"/>
      <c r="T179" s="220"/>
      <c r="U179" s="4"/>
    </row>
    <row r="180" spans="1:21" x14ac:dyDescent="0.25">
      <c r="B180" s="2824" t="s">
        <v>568</v>
      </c>
      <c r="C180" s="2824"/>
      <c r="D180" s="2824"/>
      <c r="E180" s="2824"/>
      <c r="F180" s="2824"/>
      <c r="G180" s="2824"/>
      <c r="H180" s="2824"/>
      <c r="I180" s="2824"/>
      <c r="J180" s="2824"/>
      <c r="K180" s="2824"/>
      <c r="L180" s="2824"/>
      <c r="M180" s="2824"/>
      <c r="N180" s="2824"/>
      <c r="O180" s="2824"/>
      <c r="P180" s="2824"/>
      <c r="Q180" s="2824"/>
      <c r="R180" s="2824"/>
      <c r="S180" s="2824"/>
      <c r="T180" s="2824"/>
      <c r="U180" s="4"/>
    </row>
    <row r="181" spans="1:21" x14ac:dyDescent="0.25">
      <c r="B181" s="2825" t="s">
        <v>495</v>
      </c>
      <c r="C181" s="2825"/>
      <c r="D181" s="2825"/>
      <c r="E181" s="2825"/>
      <c r="F181" s="2825"/>
      <c r="G181" s="2825"/>
      <c r="H181" s="2825"/>
      <c r="I181" s="2825"/>
      <c r="J181" s="2825"/>
      <c r="K181" s="2825"/>
      <c r="L181" s="2825"/>
      <c r="M181" s="2825"/>
      <c r="N181" s="2825"/>
      <c r="O181" s="2825"/>
      <c r="P181" s="2825"/>
      <c r="Q181" s="2825"/>
      <c r="R181" s="2825"/>
      <c r="S181" s="2825"/>
      <c r="T181" s="2825"/>
      <c r="U181" s="4"/>
    </row>
    <row r="182" spans="1:21" x14ac:dyDescent="0.25">
      <c r="B182" s="2826" t="s">
        <v>496</v>
      </c>
      <c r="C182" s="2826"/>
      <c r="D182" s="2826"/>
      <c r="E182" s="2826"/>
      <c r="F182" s="2826"/>
      <c r="G182" s="2826"/>
      <c r="H182" s="2826"/>
      <c r="I182" s="2826"/>
      <c r="J182" s="2826"/>
      <c r="K182" s="2826"/>
      <c r="L182" s="2826"/>
      <c r="M182" s="2826"/>
      <c r="N182" s="2826"/>
      <c r="O182" s="2826"/>
      <c r="P182" s="2826"/>
      <c r="Q182" s="2826"/>
      <c r="R182" s="2826"/>
      <c r="S182" s="2826"/>
      <c r="T182" s="2826"/>
      <c r="U182" s="4"/>
    </row>
    <row r="183" spans="1:21" x14ac:dyDescent="0.25">
      <c r="B183" s="2067" t="s">
        <v>497</v>
      </c>
      <c r="C183" s="2067"/>
      <c r="D183" s="2067"/>
      <c r="E183" s="2067"/>
      <c r="F183" s="2067"/>
      <c r="G183" s="2067"/>
      <c r="H183" s="2067"/>
      <c r="I183" s="2067"/>
      <c r="J183" s="2067"/>
      <c r="K183" s="2067"/>
      <c r="L183" s="2067"/>
      <c r="M183" s="2067"/>
      <c r="N183" s="2067"/>
      <c r="O183" s="2067"/>
      <c r="P183" s="2067"/>
      <c r="Q183" s="2067"/>
      <c r="R183" s="2067"/>
      <c r="S183" s="2067"/>
      <c r="T183" s="2067"/>
      <c r="U183" s="4"/>
    </row>
    <row r="184" spans="1:21" ht="16.5" x14ac:dyDescent="0.25">
      <c r="B184" s="334"/>
      <c r="C184" s="334"/>
      <c r="D184" s="334"/>
      <c r="E184" s="334"/>
      <c r="F184" s="334"/>
      <c r="G184" s="334"/>
      <c r="H184" s="334"/>
      <c r="I184" s="334"/>
      <c r="J184" s="334"/>
      <c r="K184" s="334"/>
      <c r="L184" s="334"/>
      <c r="M184" s="334"/>
      <c r="N184" s="334"/>
      <c r="O184" s="4"/>
      <c r="P184" s="4"/>
      <c r="Q184" s="220"/>
      <c r="R184" s="220"/>
      <c r="S184" s="220"/>
      <c r="T184" s="220"/>
      <c r="U184" s="4"/>
    </row>
    <row r="185" spans="1:21" ht="16.5" customHeight="1" x14ac:dyDescent="0.25">
      <c r="A185" s="2831" t="s">
        <v>498</v>
      </c>
      <c r="B185" s="2832"/>
      <c r="C185" s="2832"/>
      <c r="D185" s="2833"/>
      <c r="E185" s="2840" t="s">
        <v>499</v>
      </c>
      <c r="F185" s="2840"/>
      <c r="G185" s="2840"/>
      <c r="H185" s="2840"/>
      <c r="I185" s="2840"/>
      <c r="J185" s="2840"/>
      <c r="K185" s="2840"/>
      <c r="L185" s="2840"/>
      <c r="M185" s="2840" t="s">
        <v>500</v>
      </c>
      <c r="N185" s="2840"/>
      <c r="O185" s="2840"/>
      <c r="P185" s="2840"/>
      <c r="Q185" s="2840"/>
      <c r="R185" s="2840"/>
      <c r="S185" s="2831" t="s">
        <v>501</v>
      </c>
      <c r="T185" s="2833"/>
      <c r="U185" s="4"/>
    </row>
    <row r="186" spans="1:21" ht="16.5" customHeight="1" x14ac:dyDescent="0.25">
      <c r="A186" s="2834"/>
      <c r="B186" s="2835"/>
      <c r="C186" s="2835"/>
      <c r="D186" s="2836"/>
      <c r="E186" s="2841" t="s">
        <v>502</v>
      </c>
      <c r="F186" s="2841"/>
      <c r="G186" s="2841"/>
      <c r="H186" s="2841"/>
      <c r="I186" s="2842" t="s">
        <v>503</v>
      </c>
      <c r="J186" s="2843"/>
      <c r="K186" s="2843"/>
      <c r="L186" s="2844"/>
      <c r="M186" s="2841" t="s">
        <v>504</v>
      </c>
      <c r="N186" s="2841"/>
      <c r="O186" s="2841"/>
      <c r="P186" s="2841"/>
      <c r="Q186" s="2845" t="s">
        <v>505</v>
      </c>
      <c r="R186" s="2846"/>
      <c r="S186" s="2834"/>
      <c r="T186" s="2836"/>
      <c r="U186" s="4"/>
    </row>
    <row r="187" spans="1:21" ht="16.5" customHeight="1" x14ac:dyDescent="0.25">
      <c r="A187" s="2834"/>
      <c r="B187" s="2835"/>
      <c r="C187" s="2835"/>
      <c r="D187" s="2836"/>
      <c r="E187" s="2827" t="s">
        <v>506</v>
      </c>
      <c r="F187" s="2828"/>
      <c r="G187" s="2827" t="s">
        <v>507</v>
      </c>
      <c r="H187" s="2828"/>
      <c r="I187" s="2827" t="s">
        <v>508</v>
      </c>
      <c r="J187" s="2828"/>
      <c r="K187" s="2827" t="s">
        <v>483</v>
      </c>
      <c r="L187" s="2828"/>
      <c r="M187" s="2827" t="s">
        <v>509</v>
      </c>
      <c r="N187" s="2828"/>
      <c r="O187" s="2827" t="s">
        <v>510</v>
      </c>
      <c r="P187" s="2828"/>
      <c r="Q187" s="2847"/>
      <c r="R187" s="2848"/>
      <c r="S187" s="2834"/>
      <c r="T187" s="2836"/>
      <c r="U187" s="4"/>
    </row>
    <row r="188" spans="1:21" ht="16.5" customHeight="1" x14ac:dyDescent="0.25">
      <c r="A188" s="2837"/>
      <c r="B188" s="2838"/>
      <c r="C188" s="2838"/>
      <c r="D188" s="2839"/>
      <c r="E188" s="2829"/>
      <c r="F188" s="2830"/>
      <c r="G188" s="2829"/>
      <c r="H188" s="2830"/>
      <c r="I188" s="2829"/>
      <c r="J188" s="2830"/>
      <c r="K188" s="2829"/>
      <c r="L188" s="2830"/>
      <c r="M188" s="2829"/>
      <c r="N188" s="2830"/>
      <c r="O188" s="2829"/>
      <c r="P188" s="2830"/>
      <c r="Q188" s="2849"/>
      <c r="R188" s="2850"/>
      <c r="S188" s="2837"/>
      <c r="T188" s="2839"/>
      <c r="U188" s="4"/>
    </row>
    <row r="189" spans="1:21" x14ac:dyDescent="0.25">
      <c r="A189" s="2814" t="s">
        <v>511</v>
      </c>
      <c r="B189" s="2815"/>
      <c r="C189" s="2815"/>
      <c r="D189" s="2816"/>
      <c r="E189" s="2817">
        <v>400000</v>
      </c>
      <c r="F189" s="2818"/>
      <c r="G189" s="2817">
        <v>450000</v>
      </c>
      <c r="H189" s="2818"/>
      <c r="I189" s="2817">
        <v>0</v>
      </c>
      <c r="J189" s="2818"/>
      <c r="K189" s="2817">
        <v>0</v>
      </c>
      <c r="L189" s="2818"/>
      <c r="M189" s="2817">
        <v>80000</v>
      </c>
      <c r="N189" s="2818"/>
      <c r="O189" s="2817">
        <v>25000</v>
      </c>
      <c r="P189" s="2818"/>
      <c r="Q189" s="2817">
        <v>300000</v>
      </c>
      <c r="R189" s="2818"/>
      <c r="S189" s="2817">
        <f>+SUM(E189:R189)</f>
        <v>1255000</v>
      </c>
      <c r="T189" s="2818"/>
      <c r="U189" s="4"/>
    </row>
    <row r="190" spans="1:21" ht="16.5" customHeight="1" x14ac:dyDescent="0.25">
      <c r="A190" s="2819" t="s">
        <v>512</v>
      </c>
      <c r="B190" s="2820"/>
      <c r="C190" s="2820"/>
      <c r="D190" s="2821"/>
      <c r="E190" s="2822">
        <f>+S160</f>
        <v>1000000</v>
      </c>
      <c r="F190" s="2823"/>
      <c r="G190" s="2817">
        <v>0</v>
      </c>
      <c r="H190" s="2818"/>
      <c r="I190" s="2817">
        <v>0</v>
      </c>
      <c r="J190" s="2818"/>
      <c r="K190" s="2817">
        <f>+S161</f>
        <v>250000</v>
      </c>
      <c r="L190" s="2818"/>
      <c r="M190" s="2817">
        <v>0</v>
      </c>
      <c r="N190" s="2818"/>
      <c r="O190" s="2817">
        <v>0</v>
      </c>
      <c r="P190" s="2818"/>
      <c r="Q190" s="2817">
        <v>0</v>
      </c>
      <c r="R190" s="2818"/>
      <c r="S190" s="2817">
        <f>+SUM(E190:R190)</f>
        <v>1250000</v>
      </c>
      <c r="T190" s="2818"/>
      <c r="U190" s="4"/>
    </row>
    <row r="191" spans="1:21" ht="16.5" customHeight="1" x14ac:dyDescent="0.25">
      <c r="A191" s="2806" t="s">
        <v>513</v>
      </c>
      <c r="B191" s="2807"/>
      <c r="C191" s="2807"/>
      <c r="D191" s="2808"/>
      <c r="E191" s="2812"/>
      <c r="F191" s="2813"/>
      <c r="G191" s="2812"/>
      <c r="H191" s="2813"/>
      <c r="I191" s="2812"/>
      <c r="J191" s="2813"/>
      <c r="K191" s="2812"/>
      <c r="L191" s="2813"/>
      <c r="M191" s="2812"/>
      <c r="N191" s="2813"/>
      <c r="O191" s="2812"/>
      <c r="P191" s="2813"/>
      <c r="Q191" s="2812"/>
      <c r="R191" s="2813"/>
      <c r="S191" s="2812"/>
      <c r="T191" s="2813"/>
      <c r="U191" s="4"/>
    </row>
    <row r="192" spans="1:21" x14ac:dyDescent="0.25">
      <c r="A192" s="2809"/>
      <c r="B192" s="2810"/>
      <c r="C192" s="2810"/>
      <c r="D192" s="2811"/>
      <c r="E192" s="2798"/>
      <c r="F192" s="2799"/>
      <c r="G192" s="2798"/>
      <c r="H192" s="2799"/>
      <c r="I192" s="2798"/>
      <c r="J192" s="2799"/>
      <c r="K192" s="2798"/>
      <c r="L192" s="2799"/>
      <c r="M192" s="2798"/>
      <c r="N192" s="2799"/>
      <c r="O192" s="2798"/>
      <c r="P192" s="2799"/>
      <c r="Q192" s="2798"/>
      <c r="R192" s="2799"/>
      <c r="S192" s="2798"/>
      <c r="T192" s="2799"/>
      <c r="U192" s="4"/>
    </row>
    <row r="193" spans="1:21" x14ac:dyDescent="0.25">
      <c r="A193" s="2809"/>
      <c r="B193" s="2810"/>
      <c r="C193" s="2810"/>
      <c r="D193" s="2811"/>
      <c r="E193" s="2798"/>
      <c r="F193" s="2799"/>
      <c r="G193" s="2798"/>
      <c r="H193" s="2799"/>
      <c r="I193" s="2798"/>
      <c r="J193" s="2799"/>
      <c r="K193" s="2798"/>
      <c r="L193" s="2799"/>
      <c r="M193" s="2798"/>
      <c r="N193" s="2799"/>
      <c r="O193" s="2798"/>
      <c r="P193" s="2799"/>
      <c r="Q193" s="2798"/>
      <c r="R193" s="2799"/>
      <c r="S193" s="2798"/>
      <c r="T193" s="2799"/>
      <c r="U193" s="4"/>
    </row>
    <row r="194" spans="1:21" x14ac:dyDescent="0.25">
      <c r="A194" s="2803" t="s">
        <v>487</v>
      </c>
      <c r="B194" s="2804"/>
      <c r="C194" s="2804"/>
      <c r="D194" s="2805"/>
      <c r="E194" s="2798">
        <v>0</v>
      </c>
      <c r="F194" s="2799"/>
      <c r="G194" s="2798">
        <v>0</v>
      </c>
      <c r="H194" s="2799"/>
      <c r="I194" s="2798">
        <v>0</v>
      </c>
      <c r="J194" s="2799"/>
      <c r="K194" s="2798">
        <v>0</v>
      </c>
      <c r="L194" s="2799"/>
      <c r="M194" s="2798">
        <f>+S164</f>
        <v>5000</v>
      </c>
      <c r="N194" s="2799"/>
      <c r="O194" s="2798">
        <v>0</v>
      </c>
      <c r="P194" s="2799"/>
      <c r="Q194" s="2798">
        <f>-M194</f>
        <v>-5000</v>
      </c>
      <c r="R194" s="2799"/>
      <c r="S194" s="2798">
        <f>+SUM(E194:R194)</f>
        <v>0</v>
      </c>
      <c r="T194" s="2799"/>
      <c r="U194" s="4"/>
    </row>
    <row r="195" spans="1:21" x14ac:dyDescent="0.25">
      <c r="A195" s="2803" t="s">
        <v>514</v>
      </c>
      <c r="B195" s="2804"/>
      <c r="C195" s="2804"/>
      <c r="D195" s="2805"/>
      <c r="E195" s="2798">
        <v>0</v>
      </c>
      <c r="F195" s="2799"/>
      <c r="G195" s="2798">
        <v>0</v>
      </c>
      <c r="H195" s="2799"/>
      <c r="I195" s="2798">
        <v>0</v>
      </c>
      <c r="J195" s="2799"/>
      <c r="K195" s="2798">
        <v>0</v>
      </c>
      <c r="L195" s="2799"/>
      <c r="M195" s="2798">
        <v>0</v>
      </c>
      <c r="N195" s="2799"/>
      <c r="O195" s="2798">
        <f>+S165</f>
        <v>20000</v>
      </c>
      <c r="P195" s="2799"/>
      <c r="Q195" s="2798">
        <f>-O195</f>
        <v>-20000</v>
      </c>
      <c r="R195" s="2799"/>
      <c r="S195" s="2798">
        <f t="shared" ref="S195:S198" si="0">+SUM(E195:R195)</f>
        <v>0</v>
      </c>
      <c r="T195" s="2799"/>
      <c r="U195" s="4"/>
    </row>
    <row r="196" spans="1:21" x14ac:dyDescent="0.25">
      <c r="A196" s="2803" t="s">
        <v>515</v>
      </c>
      <c r="B196" s="2804"/>
      <c r="C196" s="2804"/>
      <c r="D196" s="2805"/>
      <c r="E196" s="2798">
        <v>0</v>
      </c>
      <c r="F196" s="2799"/>
      <c r="G196" s="2798">
        <v>0</v>
      </c>
      <c r="H196" s="2799"/>
      <c r="I196" s="2798">
        <v>0</v>
      </c>
      <c r="J196" s="2799"/>
      <c r="K196" s="2798">
        <v>0</v>
      </c>
      <c r="L196" s="2799"/>
      <c r="M196" s="2798">
        <v>0</v>
      </c>
      <c r="N196" s="2799"/>
      <c r="O196" s="2798">
        <v>0</v>
      </c>
      <c r="P196" s="2799"/>
      <c r="Q196" s="2798">
        <f>-S166</f>
        <v>-30000</v>
      </c>
      <c r="R196" s="2799"/>
      <c r="S196" s="2798">
        <f t="shared" si="0"/>
        <v>-30000</v>
      </c>
      <c r="T196" s="2799"/>
      <c r="U196" s="4"/>
    </row>
    <row r="197" spans="1:21" x14ac:dyDescent="0.25">
      <c r="A197" s="2800" t="s">
        <v>516</v>
      </c>
      <c r="B197" s="2801"/>
      <c r="C197" s="2801"/>
      <c r="D197" s="2802"/>
      <c r="E197" s="2791">
        <f>+S167</f>
        <v>45000</v>
      </c>
      <c r="F197" s="2792"/>
      <c r="G197" s="2791">
        <v>0</v>
      </c>
      <c r="H197" s="2792"/>
      <c r="I197" s="2791">
        <v>0</v>
      </c>
      <c r="J197" s="2792"/>
      <c r="K197" s="2791">
        <v>0</v>
      </c>
      <c r="L197" s="2792"/>
      <c r="M197" s="2791">
        <v>0</v>
      </c>
      <c r="N197" s="2792"/>
      <c r="O197" s="2791">
        <v>0</v>
      </c>
      <c r="P197" s="2792"/>
      <c r="Q197" s="2791">
        <f>-E197</f>
        <v>-45000</v>
      </c>
      <c r="R197" s="2792"/>
      <c r="S197" s="2791">
        <f t="shared" si="0"/>
        <v>0</v>
      </c>
      <c r="T197" s="2792"/>
      <c r="U197" s="4"/>
    </row>
    <row r="198" spans="1:21" ht="15.75" thickBot="1" x14ac:dyDescent="0.3">
      <c r="A198" s="2793" t="s">
        <v>517</v>
      </c>
      <c r="B198" s="2794"/>
      <c r="C198" s="2794"/>
      <c r="D198" s="2795"/>
      <c r="E198" s="2796">
        <v>0</v>
      </c>
      <c r="F198" s="2797"/>
      <c r="G198" s="2796">
        <v>0</v>
      </c>
      <c r="H198" s="2797"/>
      <c r="I198" s="2796">
        <v>0</v>
      </c>
      <c r="J198" s="2797"/>
      <c r="K198" s="2796">
        <v>0</v>
      </c>
      <c r="L198" s="2797"/>
      <c r="M198" s="2796">
        <v>0</v>
      </c>
      <c r="N198" s="2797"/>
      <c r="O198" s="2796">
        <v>0</v>
      </c>
      <c r="P198" s="2797"/>
      <c r="Q198" s="2796">
        <v>20000</v>
      </c>
      <c r="R198" s="2797"/>
      <c r="S198" s="2796">
        <f t="shared" si="0"/>
        <v>20000</v>
      </c>
      <c r="T198" s="2797"/>
      <c r="U198" s="4"/>
    </row>
    <row r="199" spans="1:21" ht="15.75" customHeight="1" thickTop="1" x14ac:dyDescent="0.25">
      <c r="A199" s="2788" t="s">
        <v>518</v>
      </c>
      <c r="B199" s="2789"/>
      <c r="C199" s="2789"/>
      <c r="D199" s="2790"/>
      <c r="E199" s="2791">
        <f>+SUM(E189:F198)</f>
        <v>1445000</v>
      </c>
      <c r="F199" s="2792"/>
      <c r="G199" s="2791">
        <f>+SUM(G189:H198)</f>
        <v>450000</v>
      </c>
      <c r="H199" s="2792"/>
      <c r="I199" s="2791">
        <f>+SUM(I189:J198)</f>
        <v>0</v>
      </c>
      <c r="J199" s="2792"/>
      <c r="K199" s="2791">
        <f>+SUM(K189:L198)</f>
        <v>250000</v>
      </c>
      <c r="L199" s="2792"/>
      <c r="M199" s="2791">
        <f>+SUM(M189:N198)</f>
        <v>85000</v>
      </c>
      <c r="N199" s="2792"/>
      <c r="O199" s="2791">
        <f>+SUM(O189:P198)</f>
        <v>45000</v>
      </c>
      <c r="P199" s="2792"/>
      <c r="Q199" s="2791">
        <f>+SUM(Q189:R198)</f>
        <v>220000</v>
      </c>
      <c r="R199" s="2792"/>
      <c r="S199" s="2791">
        <f t="shared" ref="S199" si="1">+SUM(S189:T198)</f>
        <v>2495000</v>
      </c>
      <c r="T199" s="2792"/>
      <c r="U199" s="4"/>
    </row>
    <row r="200" spans="1:21" x14ac:dyDescent="0.25">
      <c r="B200" s="208"/>
      <c r="C200" s="212"/>
      <c r="D200" s="203"/>
      <c r="E200" s="212"/>
      <c r="F200" s="20"/>
      <c r="G200" s="215"/>
      <c r="H200" s="189"/>
      <c r="I200" s="189"/>
      <c r="J200" s="189"/>
      <c r="K200" s="189"/>
      <c r="L200" s="189"/>
      <c r="M200" s="4"/>
      <c r="N200" s="4"/>
      <c r="O200" s="4"/>
      <c r="P200" s="4"/>
      <c r="Q200" s="220"/>
      <c r="R200" s="220"/>
      <c r="S200" s="220"/>
      <c r="T200" s="220"/>
      <c r="U200" s="4"/>
    </row>
    <row r="201" spans="1:21" x14ac:dyDescent="0.25">
      <c r="B201" s="208"/>
      <c r="C201" s="212"/>
      <c r="D201" s="203"/>
      <c r="E201" s="212"/>
      <c r="F201" s="20"/>
      <c r="G201" s="215"/>
      <c r="H201" s="189"/>
      <c r="I201" s="189"/>
      <c r="J201" s="189"/>
      <c r="K201" s="189"/>
      <c r="L201" s="189"/>
      <c r="M201" s="4"/>
      <c r="N201" s="4"/>
      <c r="O201" s="4"/>
      <c r="P201" s="4"/>
      <c r="Q201" s="220"/>
      <c r="R201" s="220"/>
      <c r="S201" s="220"/>
      <c r="T201" s="220"/>
      <c r="U201" s="4"/>
    </row>
    <row r="202" spans="1:21" s="4" customFormat="1" x14ac:dyDescent="0.25">
      <c r="B202" s="208"/>
      <c r="C202" s="212"/>
      <c r="D202" s="203"/>
      <c r="E202" s="212"/>
      <c r="F202" s="20"/>
      <c r="G202" s="215"/>
      <c r="H202" s="189"/>
      <c r="I202" s="189"/>
      <c r="J202" s="189"/>
      <c r="K202" s="189"/>
      <c r="L202" s="189"/>
      <c r="Q202" s="220"/>
      <c r="R202" s="220"/>
      <c r="S202" s="220"/>
      <c r="T202" s="220"/>
    </row>
    <row r="203" spans="1:21" x14ac:dyDescent="0.25">
      <c r="A203" s="4"/>
      <c r="B203" s="208"/>
      <c r="C203" s="212"/>
      <c r="D203" s="203"/>
      <c r="E203" s="212"/>
      <c r="F203" s="20"/>
      <c r="G203" s="215"/>
      <c r="H203" s="189"/>
      <c r="I203" s="189"/>
      <c r="J203" s="189"/>
      <c r="K203" s="189"/>
      <c r="L203" s="189"/>
      <c r="M203" s="4"/>
      <c r="N203" s="4"/>
      <c r="O203" s="4"/>
      <c r="P203" s="4"/>
      <c r="Q203" s="220"/>
      <c r="R203" s="220"/>
      <c r="S203" s="220"/>
      <c r="T203" s="220"/>
      <c r="U203" s="4"/>
    </row>
    <row r="204" spans="1:21" x14ac:dyDescent="0.25">
      <c r="A204" s="1844" t="s">
        <v>20</v>
      </c>
      <c r="B204" s="1845"/>
      <c r="C204" s="1845"/>
      <c r="D204" s="1845"/>
      <c r="E204" s="1845"/>
      <c r="F204" s="1845"/>
      <c r="G204" s="1845"/>
      <c r="H204" s="1845"/>
      <c r="I204" s="1845"/>
      <c r="J204" s="1845"/>
      <c r="K204" s="1845"/>
      <c r="L204" s="1845"/>
      <c r="M204" s="1845"/>
      <c r="N204" s="1845"/>
      <c r="O204" s="1845"/>
      <c r="P204" s="1845"/>
      <c r="Q204" s="1845"/>
      <c r="R204" s="1845"/>
      <c r="S204" s="1845"/>
      <c r="T204" s="1845"/>
      <c r="U204" s="1846"/>
    </row>
    <row r="205" spans="1:21" x14ac:dyDescent="0.25">
      <c r="A205" s="1847" t="s">
        <v>519</v>
      </c>
      <c r="B205" s="1848"/>
      <c r="C205" s="1848"/>
      <c r="D205" s="1848"/>
      <c r="E205" s="1848"/>
      <c r="F205" s="1848"/>
      <c r="G205" s="1848"/>
      <c r="H205" s="1848"/>
      <c r="I205" s="1848"/>
      <c r="J205" s="1848"/>
      <c r="K205" s="1848"/>
      <c r="L205" s="1848"/>
      <c r="M205" s="1848"/>
      <c r="N205" s="1848"/>
      <c r="O205" s="1848"/>
      <c r="P205" s="1848"/>
      <c r="Q205" s="1848"/>
      <c r="R205" s="1848"/>
      <c r="S205" s="1848"/>
      <c r="T205" s="1848"/>
      <c r="U205" s="1849"/>
    </row>
    <row r="206" spans="1:21" x14ac:dyDescent="0.25">
      <c r="B206" s="208"/>
      <c r="C206" s="212"/>
      <c r="D206" s="203"/>
      <c r="E206" s="212"/>
      <c r="F206" s="20"/>
      <c r="G206" s="215"/>
      <c r="H206" s="189"/>
      <c r="I206" s="189"/>
      <c r="J206" s="189"/>
      <c r="K206" s="189"/>
      <c r="L206" s="189"/>
      <c r="M206" s="4"/>
      <c r="N206" s="4"/>
      <c r="O206" s="4"/>
      <c r="P206" s="4"/>
      <c r="Q206" s="220"/>
      <c r="R206" s="220"/>
      <c r="S206" s="220"/>
      <c r="T206" s="220"/>
      <c r="U206" s="4"/>
    </row>
    <row r="207" spans="1:21" x14ac:dyDescent="0.25">
      <c r="B207" s="336" t="s">
        <v>520</v>
      </c>
      <c r="C207" s="2"/>
      <c r="D207" s="337"/>
      <c r="E207" s="337"/>
      <c r="F207" s="20"/>
      <c r="G207" s="215"/>
      <c r="H207" s="189"/>
      <c r="I207" s="189"/>
      <c r="J207" s="189"/>
      <c r="K207" s="189"/>
      <c r="L207" s="189"/>
      <c r="M207" s="4"/>
      <c r="N207" s="4"/>
      <c r="O207" s="4"/>
      <c r="P207" s="4"/>
      <c r="Q207" s="220"/>
      <c r="R207" s="220"/>
      <c r="S207" s="220"/>
      <c r="T207" s="220"/>
      <c r="U207" s="4"/>
    </row>
    <row r="208" spans="1:21" x14ac:dyDescent="0.25">
      <c r="B208" s="338"/>
      <c r="C208" s="337" t="s">
        <v>521</v>
      </c>
      <c r="D208" s="2"/>
      <c r="E208" s="337"/>
      <c r="F208" s="20"/>
      <c r="G208" s="215"/>
      <c r="H208" s="189"/>
      <c r="I208" s="189"/>
      <c r="J208" s="2"/>
      <c r="K208" s="2783">
        <v>60000</v>
      </c>
      <c r="L208" s="2783"/>
      <c r="M208" s="2783"/>
      <c r="N208" s="2783"/>
      <c r="O208" s="4"/>
      <c r="Q208" s="2"/>
      <c r="R208" s="2"/>
      <c r="S208" s="2"/>
      <c r="T208" s="220"/>
      <c r="U208" s="4"/>
    </row>
    <row r="209" spans="2:21" x14ac:dyDescent="0.25">
      <c r="B209" s="338"/>
      <c r="C209" s="337" t="s">
        <v>522</v>
      </c>
      <c r="D209" s="2"/>
      <c r="E209" s="337"/>
      <c r="F209" s="20"/>
      <c r="G209" s="215"/>
      <c r="H209" s="189"/>
      <c r="I209" s="189"/>
      <c r="J209" s="2"/>
      <c r="K209" s="2786">
        <v>0.05</v>
      </c>
      <c r="L209" s="2786"/>
      <c r="M209" s="2786"/>
      <c r="N209" s="2786"/>
      <c r="O209" s="4"/>
      <c r="Q209" s="2"/>
      <c r="R209" s="2"/>
      <c r="S209" s="2"/>
      <c r="T209" s="220"/>
      <c r="U209" s="4"/>
    </row>
    <row r="210" spans="2:21" x14ac:dyDescent="0.25">
      <c r="B210" s="338"/>
      <c r="C210" s="339" t="s">
        <v>523</v>
      </c>
      <c r="D210" s="2"/>
      <c r="E210" s="337"/>
      <c r="F210" s="20"/>
      <c r="G210" s="215"/>
      <c r="H210" s="2"/>
      <c r="I210" s="189"/>
      <c r="J210" s="2"/>
      <c r="K210" s="2787">
        <f>+K208/K209</f>
        <v>1200000</v>
      </c>
      <c r="L210" s="2787"/>
      <c r="M210" s="2787"/>
      <c r="N210" s="2787"/>
      <c r="O210" s="4"/>
      <c r="P210" s="48" t="s">
        <v>524</v>
      </c>
      <c r="Q210" s="2"/>
      <c r="R210" s="2"/>
      <c r="S210" s="2"/>
      <c r="T210" s="220"/>
      <c r="U210" s="4"/>
    </row>
    <row r="211" spans="2:21" x14ac:dyDescent="0.25">
      <c r="B211" s="338"/>
      <c r="C211" s="337"/>
      <c r="D211" s="2"/>
      <c r="E211" s="337"/>
      <c r="F211" s="20"/>
      <c r="G211" s="215"/>
      <c r="H211" s="189"/>
      <c r="I211" s="189"/>
      <c r="J211" s="2783"/>
      <c r="K211" s="2783"/>
      <c r="L211" s="2783"/>
      <c r="M211" s="2783"/>
      <c r="N211" s="4"/>
      <c r="O211" s="4"/>
      <c r="P211" s="4"/>
      <c r="Q211" s="220"/>
      <c r="R211" s="220"/>
      <c r="S211" s="220"/>
      <c r="T211" s="220"/>
      <c r="U211" s="4"/>
    </row>
    <row r="212" spans="2:21" x14ac:dyDescent="0.25">
      <c r="B212" s="340" t="s">
        <v>525</v>
      </c>
      <c r="C212" s="337"/>
      <c r="D212" s="2"/>
      <c r="E212" s="337"/>
      <c r="F212" s="20"/>
      <c r="G212" s="215"/>
      <c r="H212" s="189"/>
      <c r="I212" s="189"/>
      <c r="J212" s="341"/>
      <c r="K212" s="341"/>
      <c r="L212" s="341"/>
      <c r="M212" s="341"/>
      <c r="N212" s="4"/>
      <c r="O212" s="4"/>
      <c r="P212" s="4"/>
      <c r="Q212" s="220"/>
      <c r="R212" s="220"/>
      <c r="S212" s="220"/>
      <c r="T212" s="220"/>
      <c r="U212" s="4"/>
    </row>
    <row r="213" spans="2:21" x14ac:dyDescent="0.25">
      <c r="B213" s="2"/>
      <c r="C213" s="337" t="s">
        <v>526</v>
      </c>
      <c r="D213" s="2"/>
      <c r="E213" s="337"/>
      <c r="F213" s="20"/>
      <c r="G213" s="215"/>
      <c r="H213" s="189"/>
      <c r="I213" s="189"/>
      <c r="J213" s="2"/>
      <c r="K213" s="2783">
        <v>3300000</v>
      </c>
      <c r="L213" s="2783"/>
      <c r="M213" s="2783"/>
      <c r="N213" s="2783"/>
      <c r="O213" s="4"/>
      <c r="Q213" s="2"/>
      <c r="R213" s="2"/>
      <c r="S213" s="2"/>
      <c r="T213" s="220"/>
      <c r="U213" s="4"/>
    </row>
    <row r="214" spans="2:21" x14ac:dyDescent="0.25">
      <c r="B214" s="338"/>
      <c r="C214" s="337" t="s">
        <v>527</v>
      </c>
      <c r="D214" s="2"/>
      <c r="E214" s="337"/>
      <c r="F214" s="20"/>
      <c r="G214" s="215"/>
      <c r="H214" s="189"/>
      <c r="I214" s="189"/>
      <c r="J214" s="2"/>
      <c r="K214" s="2784">
        <v>0.05</v>
      </c>
      <c r="L214" s="2784"/>
      <c r="M214" s="2784"/>
      <c r="N214" s="2784"/>
      <c r="O214" s="4"/>
      <c r="Q214" s="2"/>
      <c r="R214" s="2"/>
      <c r="S214" s="2"/>
      <c r="T214" s="220"/>
      <c r="U214" s="4"/>
    </row>
    <row r="215" spans="2:21" x14ac:dyDescent="0.25">
      <c r="B215" s="338"/>
      <c r="C215" s="339" t="s">
        <v>528</v>
      </c>
      <c r="D215" s="2"/>
      <c r="E215" s="337"/>
      <c r="F215" s="20"/>
      <c r="G215" s="2"/>
      <c r="H215" s="2"/>
      <c r="I215" s="189"/>
      <c r="J215" s="2"/>
      <c r="K215" s="2785">
        <f>+K213*K214</f>
        <v>165000</v>
      </c>
      <c r="L215" s="2785"/>
      <c r="M215" s="2785"/>
      <c r="N215" s="2785"/>
      <c r="O215" s="4"/>
      <c r="P215" s="48" t="s">
        <v>529</v>
      </c>
      <c r="Q215" s="2"/>
      <c r="R215" s="2"/>
      <c r="S215" s="2"/>
      <c r="T215" s="220"/>
      <c r="U215" s="4"/>
    </row>
    <row r="216" spans="2:21" x14ac:dyDescent="0.25">
      <c r="B216" s="338"/>
      <c r="C216" s="2"/>
      <c r="D216" s="2"/>
      <c r="E216" s="2"/>
      <c r="F216" s="2"/>
      <c r="G216" s="2"/>
      <c r="H216" s="2"/>
      <c r="I216" s="2"/>
      <c r="J216" s="2"/>
      <c r="K216" s="2"/>
      <c r="L216" s="2"/>
      <c r="N216" s="4"/>
      <c r="O216" s="4"/>
      <c r="P216" s="4"/>
      <c r="Q216" s="220"/>
      <c r="R216" s="220"/>
      <c r="S216" s="220"/>
      <c r="T216" s="220"/>
      <c r="U216" s="4"/>
    </row>
    <row r="217" spans="2:21" x14ac:dyDescent="0.25">
      <c r="B217" s="338"/>
      <c r="C217" s="337"/>
      <c r="D217" s="337"/>
      <c r="E217" s="337"/>
      <c r="F217" s="20"/>
      <c r="G217" s="215"/>
      <c r="H217" s="189"/>
      <c r="I217" s="189"/>
      <c r="J217" s="189"/>
      <c r="K217" s="189"/>
      <c r="L217" s="189"/>
      <c r="M217" s="4"/>
      <c r="N217" s="4"/>
      <c r="O217" s="4"/>
      <c r="P217" s="4"/>
      <c r="Q217" s="220"/>
      <c r="R217" s="220"/>
      <c r="S217" s="220"/>
      <c r="T217" s="220"/>
      <c r="U217" s="4"/>
    </row>
    <row r="218" spans="2:21" x14ac:dyDescent="0.25">
      <c r="B218" s="340" t="s">
        <v>530</v>
      </c>
      <c r="C218" s="337"/>
      <c r="D218" s="337"/>
      <c r="E218" s="337"/>
      <c r="G218" s="7"/>
      <c r="H218" s="7"/>
      <c r="I218" s="7"/>
      <c r="J218" s="7"/>
      <c r="K218" s="7"/>
      <c r="L218" s="7"/>
    </row>
    <row r="219" spans="2:21" x14ac:dyDescent="0.25">
      <c r="B219" s="342"/>
      <c r="C219" s="2680"/>
      <c r="D219" s="2680"/>
      <c r="E219" s="2680"/>
      <c r="F219" s="2680"/>
      <c r="G219" s="2681"/>
      <c r="H219" s="2681"/>
      <c r="I219" s="2681"/>
      <c r="J219" s="2681"/>
      <c r="K219" s="2681"/>
      <c r="L219" s="2681"/>
      <c r="M219" s="2681"/>
      <c r="N219" s="2090"/>
      <c r="O219" s="2090"/>
      <c r="P219" s="2090"/>
      <c r="Q219" s="2778" t="s">
        <v>9</v>
      </c>
      <c r="R219" s="2778"/>
      <c r="S219" s="2778" t="s">
        <v>8</v>
      </c>
      <c r="T219" s="2778"/>
    </row>
    <row r="220" spans="2:21" x14ac:dyDescent="0.25">
      <c r="B220" s="343" t="s">
        <v>531</v>
      </c>
      <c r="C220" s="344" t="s">
        <v>456</v>
      </c>
      <c r="D220" s="1"/>
      <c r="E220" s="1"/>
      <c r="F220" s="139"/>
      <c r="G220" s="201"/>
      <c r="H220" s="201"/>
      <c r="I220" s="201"/>
      <c r="J220" s="201"/>
      <c r="K220" s="201"/>
      <c r="L220" s="201"/>
      <c r="M220" s="1"/>
      <c r="N220" s="1"/>
      <c r="O220" s="1"/>
      <c r="P220" s="1"/>
      <c r="Q220" s="2779">
        <v>12600000</v>
      </c>
      <c r="R220" s="2780"/>
      <c r="S220" s="1963"/>
      <c r="T220" s="1964"/>
    </row>
    <row r="221" spans="2:21" x14ac:dyDescent="0.25">
      <c r="B221" s="343" t="s">
        <v>532</v>
      </c>
      <c r="C221" s="345"/>
      <c r="D221" s="4"/>
      <c r="E221" s="4"/>
      <c r="F221" s="20" t="s">
        <v>1</v>
      </c>
      <c r="G221" s="215" t="s">
        <v>435</v>
      </c>
      <c r="H221" s="189"/>
      <c r="I221" s="189"/>
      <c r="J221" s="189"/>
      <c r="K221" s="189"/>
      <c r="L221" s="189"/>
      <c r="M221" s="4"/>
      <c r="N221" s="4"/>
      <c r="O221" s="4"/>
      <c r="P221" s="4"/>
      <c r="Q221" s="1953"/>
      <c r="R221" s="1962"/>
      <c r="S221" s="2781">
        <v>12600000</v>
      </c>
      <c r="T221" s="2782"/>
      <c r="U221" s="346"/>
    </row>
    <row r="222" spans="2:21" x14ac:dyDescent="0.25">
      <c r="B222" s="343"/>
      <c r="C222" s="2110" t="s">
        <v>21</v>
      </c>
      <c r="D222" s="2090"/>
      <c r="E222" s="2090"/>
      <c r="F222" s="2090"/>
      <c r="G222" s="2090"/>
      <c r="H222" s="2090"/>
      <c r="I222" s="331"/>
      <c r="J222" s="331"/>
      <c r="K222" s="331"/>
      <c r="L222" s="2090" t="s">
        <v>484</v>
      </c>
      <c r="M222" s="2090"/>
      <c r="N222" s="2090"/>
      <c r="O222" s="2090"/>
      <c r="P222" s="2092"/>
      <c r="Q222" s="1953"/>
      <c r="R222" s="1962"/>
      <c r="S222" s="1953"/>
      <c r="T222" s="1954"/>
      <c r="U222" s="346"/>
    </row>
    <row r="223" spans="2:21" x14ac:dyDescent="0.25">
      <c r="B223" s="343" t="s">
        <v>533</v>
      </c>
      <c r="C223" s="347" t="s">
        <v>534</v>
      </c>
      <c r="D223" s="4"/>
      <c r="E223" s="4"/>
      <c r="G223" s="189"/>
      <c r="H223" s="189"/>
      <c r="I223" s="189"/>
      <c r="J223" s="189"/>
      <c r="K223" s="189"/>
      <c r="L223" s="189"/>
      <c r="M223" s="4"/>
      <c r="N223" s="4"/>
      <c r="O223" s="4"/>
      <c r="P223" s="4"/>
      <c r="Q223" s="1953">
        <v>1300000</v>
      </c>
      <c r="R223" s="1962"/>
      <c r="S223" s="1953"/>
      <c r="T223" s="1954"/>
      <c r="U223" s="346"/>
    </row>
    <row r="224" spans="2:21" x14ac:dyDescent="0.25">
      <c r="B224" s="343" t="s">
        <v>532</v>
      </c>
      <c r="C224" s="8"/>
      <c r="D224" s="4"/>
      <c r="E224" s="4"/>
      <c r="F224" s="20" t="s">
        <v>1</v>
      </c>
      <c r="G224" s="348" t="s">
        <v>487</v>
      </c>
      <c r="H224" s="189"/>
      <c r="I224" s="189"/>
      <c r="J224" s="189"/>
      <c r="K224" s="189"/>
      <c r="L224" s="189"/>
      <c r="M224" s="4"/>
      <c r="N224" s="4"/>
      <c r="O224" s="4"/>
      <c r="P224" s="4"/>
      <c r="Q224" s="1953"/>
      <c r="R224" s="1962"/>
      <c r="S224" s="1953">
        <v>60000</v>
      </c>
      <c r="T224" s="1954"/>
      <c r="U224" s="346"/>
    </row>
    <row r="225" spans="2:21" x14ac:dyDescent="0.25">
      <c r="B225" s="343" t="s">
        <v>535</v>
      </c>
      <c r="C225" s="8"/>
      <c r="D225" s="4"/>
      <c r="E225" s="4"/>
      <c r="F225" s="20" t="s">
        <v>1</v>
      </c>
      <c r="G225" s="348" t="s">
        <v>489</v>
      </c>
      <c r="H225" s="189"/>
      <c r="I225" s="189"/>
      <c r="J225" s="189"/>
      <c r="K225" s="189"/>
      <c r="L225" s="189"/>
      <c r="M225" s="4"/>
      <c r="N225" s="4"/>
      <c r="O225" s="4"/>
      <c r="P225" s="4"/>
      <c r="Q225" s="1953"/>
      <c r="R225" s="1962"/>
      <c r="S225" s="1953">
        <v>940000</v>
      </c>
      <c r="T225" s="1954"/>
      <c r="U225" s="346"/>
    </row>
    <row r="226" spans="2:21" x14ac:dyDescent="0.25">
      <c r="B226" s="343" t="s">
        <v>532</v>
      </c>
      <c r="C226" s="8"/>
      <c r="D226" s="4"/>
      <c r="E226" s="4"/>
      <c r="F226" s="20" t="s">
        <v>1</v>
      </c>
      <c r="G226" s="348" t="s">
        <v>536</v>
      </c>
      <c r="H226" s="189"/>
      <c r="I226" s="189"/>
      <c r="J226" s="189"/>
      <c r="K226" s="189"/>
      <c r="L226" s="189"/>
      <c r="M226" s="4"/>
      <c r="N226" s="4"/>
      <c r="O226" s="4"/>
      <c r="P226" s="4"/>
      <c r="Q226" s="1953"/>
      <c r="R226" s="1962"/>
      <c r="S226" s="1953">
        <v>300000</v>
      </c>
      <c r="T226" s="1954"/>
      <c r="U226" s="346"/>
    </row>
    <row r="227" spans="2:21" x14ac:dyDescent="0.25">
      <c r="B227" s="343"/>
      <c r="C227" s="2110" t="s">
        <v>21</v>
      </c>
      <c r="D227" s="2090"/>
      <c r="E227" s="2090"/>
      <c r="F227" s="2090"/>
      <c r="G227" s="2090"/>
      <c r="H227" s="2090"/>
      <c r="I227" s="331"/>
      <c r="J227" s="331"/>
      <c r="K227" s="331"/>
      <c r="L227" s="2090" t="s">
        <v>484</v>
      </c>
      <c r="M227" s="2090"/>
      <c r="N227" s="2090"/>
      <c r="O227" s="2090"/>
      <c r="P227" s="2092"/>
      <c r="Q227" s="1953"/>
      <c r="R227" s="1962"/>
      <c r="S227" s="1953"/>
      <c r="T227" s="1954"/>
      <c r="U227" s="346"/>
    </row>
    <row r="228" spans="2:21" x14ac:dyDescent="0.25">
      <c r="B228" s="343" t="s">
        <v>533</v>
      </c>
      <c r="C228" s="349" t="s">
        <v>536</v>
      </c>
      <c r="D228" s="4"/>
      <c r="E228" s="4"/>
      <c r="F228" s="4"/>
      <c r="G228" s="4"/>
      <c r="H228" s="189"/>
      <c r="I228" s="189"/>
      <c r="J228" s="189"/>
      <c r="K228" s="189"/>
      <c r="L228" s="189"/>
      <c r="M228" s="4"/>
      <c r="N228" s="4"/>
      <c r="O228" s="4"/>
      <c r="P228" s="4"/>
      <c r="Q228" s="1953">
        <v>300000</v>
      </c>
      <c r="R228" s="1962"/>
      <c r="S228" s="1953"/>
      <c r="T228" s="1954"/>
      <c r="U228" s="346"/>
    </row>
    <row r="229" spans="2:21" x14ac:dyDescent="0.25">
      <c r="B229" s="343" t="s">
        <v>532</v>
      </c>
      <c r="C229" s="158"/>
      <c r="D229" s="3"/>
      <c r="E229" s="3"/>
      <c r="F229" s="35" t="s">
        <v>1</v>
      </c>
      <c r="G229" s="350" t="s">
        <v>435</v>
      </c>
      <c r="H229" s="200"/>
      <c r="I229" s="200"/>
      <c r="J229" s="200"/>
      <c r="K229" s="200"/>
      <c r="L229" s="200"/>
      <c r="M229" s="3"/>
      <c r="N229" s="3"/>
      <c r="O229" s="3"/>
      <c r="P229" s="3"/>
      <c r="Q229" s="1956"/>
      <c r="R229" s="2770"/>
      <c r="S229" s="1956">
        <v>300000</v>
      </c>
      <c r="T229" s="1957"/>
      <c r="U229" s="346"/>
    </row>
    <row r="230" spans="2:21" x14ac:dyDescent="0.25">
      <c r="B230" s="342"/>
      <c r="C230" s="351"/>
      <c r="D230" s="4"/>
      <c r="E230" s="4"/>
      <c r="G230" s="189"/>
      <c r="H230" s="189"/>
      <c r="I230" s="189"/>
      <c r="J230" s="189"/>
      <c r="K230" s="189"/>
      <c r="L230" s="189"/>
      <c r="M230" s="4"/>
      <c r="N230" s="4"/>
      <c r="O230" s="4"/>
      <c r="P230" s="4"/>
      <c r="Q230" s="2777"/>
      <c r="R230" s="2777"/>
      <c r="S230" s="2777"/>
      <c r="T230" s="2777"/>
      <c r="U230" s="346"/>
    </row>
    <row r="231" spans="2:21" x14ac:dyDescent="0.25">
      <c r="G231" s="7"/>
      <c r="H231" s="7"/>
      <c r="I231" s="7"/>
      <c r="J231" s="7"/>
      <c r="K231" s="7"/>
      <c r="L231" s="7"/>
    </row>
    <row r="252" spans="1:21" s="4" customFormat="1" x14ac:dyDescent="0.25">
      <c r="B252" s="189"/>
      <c r="C252" s="12"/>
      <c r="D252" s="12"/>
      <c r="E252" s="12"/>
      <c r="F252" s="12"/>
      <c r="G252" s="51"/>
      <c r="H252" s="51"/>
      <c r="I252" s="51"/>
      <c r="J252" s="51"/>
      <c r="K252" s="51"/>
      <c r="L252" s="51"/>
      <c r="Q252" s="18"/>
      <c r="R252" s="18"/>
      <c r="S252" s="18"/>
      <c r="T252" s="18"/>
    </row>
    <row r="253" spans="1:21" x14ac:dyDescent="0.25">
      <c r="A253" s="3"/>
      <c r="B253" s="200"/>
      <c r="C253" s="11"/>
      <c r="D253" s="11"/>
      <c r="E253" s="11"/>
      <c r="F253" s="11"/>
      <c r="G253" s="24"/>
      <c r="H253" s="24"/>
      <c r="I253" s="24"/>
      <c r="J253" s="24"/>
      <c r="K253" s="24"/>
      <c r="L253" s="24"/>
      <c r="M253" s="3"/>
      <c r="N253" s="3"/>
      <c r="O253" s="3"/>
      <c r="P253" s="3"/>
      <c r="Q253" s="22"/>
      <c r="R253" s="22"/>
      <c r="S253" s="22"/>
      <c r="T253" s="22"/>
      <c r="U253" s="3"/>
    </row>
    <row r="254" spans="1:21" x14ac:dyDescent="0.25">
      <c r="A254" s="1844" t="s">
        <v>20</v>
      </c>
      <c r="B254" s="1845"/>
      <c r="C254" s="1845"/>
      <c r="D254" s="1845"/>
      <c r="E254" s="1845"/>
      <c r="F254" s="1845"/>
      <c r="G254" s="1845"/>
      <c r="H254" s="1845"/>
      <c r="I254" s="1845"/>
      <c r="J254" s="1845"/>
      <c r="K254" s="1845"/>
      <c r="L254" s="1845"/>
      <c r="M254" s="1845"/>
      <c r="N254" s="1845"/>
      <c r="O254" s="1845"/>
      <c r="P254" s="1845"/>
      <c r="Q254" s="1845"/>
      <c r="R254" s="1845"/>
      <c r="S254" s="1845"/>
      <c r="T254" s="1845"/>
      <c r="U254" s="1846"/>
    </row>
    <row r="255" spans="1:21" x14ac:dyDescent="0.25">
      <c r="A255" s="1847" t="s">
        <v>540</v>
      </c>
      <c r="B255" s="1848"/>
      <c r="C255" s="1848"/>
      <c r="D255" s="1848"/>
      <c r="E255" s="1848"/>
      <c r="F255" s="1848"/>
      <c r="G255" s="1848"/>
      <c r="H255" s="1848"/>
      <c r="I255" s="1848"/>
      <c r="J255" s="1848"/>
      <c r="K255" s="1848"/>
      <c r="L255" s="1848"/>
      <c r="M255" s="1848"/>
      <c r="N255" s="1848"/>
      <c r="O255" s="1848"/>
      <c r="P255" s="1848"/>
      <c r="Q255" s="1848"/>
      <c r="R255" s="1848"/>
      <c r="S255" s="1848"/>
      <c r="T255" s="1848"/>
      <c r="U255" s="1849"/>
    </row>
    <row r="257" spans="2:21" x14ac:dyDescent="0.25">
      <c r="B257" s="108">
        <v>1</v>
      </c>
      <c r="H257" s="51"/>
      <c r="I257" s="51"/>
      <c r="J257" s="51"/>
      <c r="K257" s="51"/>
      <c r="Q257" s="2103" t="s">
        <v>9</v>
      </c>
      <c r="R257" s="2103"/>
      <c r="S257" s="2103" t="s">
        <v>8</v>
      </c>
      <c r="T257" s="2103"/>
      <c r="U257" s="4"/>
    </row>
    <row r="258" spans="2:21" x14ac:dyDescent="0.25">
      <c r="B258" s="208" t="s">
        <v>11</v>
      </c>
      <c r="C258" s="209" t="s">
        <v>22</v>
      </c>
      <c r="D258" s="31"/>
      <c r="E258" s="210"/>
      <c r="F258" s="31"/>
      <c r="G258" s="355"/>
      <c r="H258" s="201"/>
      <c r="I258" s="201"/>
      <c r="J258" s="201"/>
      <c r="K258" s="201"/>
      <c r="L258" s="201"/>
      <c r="M258" s="1"/>
      <c r="N258" s="1"/>
      <c r="O258" s="1"/>
      <c r="P258" s="157"/>
      <c r="Q258" s="1953">
        <v>110000</v>
      </c>
      <c r="R258" s="1962"/>
      <c r="S258" s="1953"/>
      <c r="T258" s="1954"/>
      <c r="U258" s="4"/>
    </row>
    <row r="259" spans="2:21" x14ac:dyDescent="0.25">
      <c r="B259" s="208" t="s">
        <v>11</v>
      </c>
      <c r="C259" s="211" t="s">
        <v>541</v>
      </c>
      <c r="D259" s="203"/>
      <c r="E259" s="212"/>
      <c r="F259" s="20"/>
      <c r="G259" s="215"/>
      <c r="H259" s="189"/>
      <c r="I259" s="189"/>
      <c r="J259" s="189"/>
      <c r="K259" s="189"/>
      <c r="L259" s="189"/>
      <c r="M259" s="4"/>
      <c r="N259" s="4"/>
      <c r="O259" s="4"/>
      <c r="P259" s="4"/>
      <c r="Q259" s="1953">
        <v>40000</v>
      </c>
      <c r="R259" s="1962"/>
      <c r="S259" s="1953"/>
      <c r="T259" s="1954"/>
      <c r="U259" s="4"/>
    </row>
    <row r="260" spans="2:21" x14ac:dyDescent="0.25">
      <c r="B260" s="208" t="s">
        <v>458</v>
      </c>
      <c r="C260" s="211"/>
      <c r="D260" s="203"/>
      <c r="E260" s="212"/>
      <c r="F260" s="20" t="s">
        <v>1</v>
      </c>
      <c r="G260" s="215" t="s">
        <v>542</v>
      </c>
      <c r="H260" s="189"/>
      <c r="I260" s="189"/>
      <c r="J260" s="189"/>
      <c r="K260" s="189"/>
      <c r="L260" s="189"/>
      <c r="M260" s="4"/>
      <c r="N260" s="4"/>
      <c r="O260" s="4"/>
      <c r="P260" s="4"/>
      <c r="Q260" s="1953"/>
      <c r="R260" s="1962"/>
      <c r="S260" s="1953">
        <f>+Q258+Q259</f>
        <v>150000</v>
      </c>
      <c r="T260" s="1954"/>
      <c r="U260" s="4"/>
    </row>
    <row r="261" spans="2:21" x14ac:dyDescent="0.25">
      <c r="B261" s="108">
        <v>2</v>
      </c>
      <c r="C261" s="2110" t="s">
        <v>21</v>
      </c>
      <c r="D261" s="2090"/>
      <c r="E261" s="2090"/>
      <c r="F261" s="2090"/>
      <c r="G261" s="2090"/>
      <c r="H261" s="2681"/>
      <c r="I261" s="2681"/>
      <c r="J261" s="2681"/>
      <c r="K261" s="2681"/>
      <c r="L261" s="2090" t="s">
        <v>436</v>
      </c>
      <c r="M261" s="2090"/>
      <c r="N261" s="2090"/>
      <c r="O261" s="2090"/>
      <c r="P261" s="2092"/>
      <c r="Q261" s="325"/>
      <c r="R261" s="356"/>
      <c r="S261" s="325"/>
      <c r="T261" s="326"/>
    </row>
    <row r="262" spans="2:21" x14ac:dyDescent="0.25">
      <c r="B262" s="208" t="s">
        <v>11</v>
      </c>
      <c r="C262" s="211" t="s">
        <v>478</v>
      </c>
      <c r="D262" s="212"/>
      <c r="E262" s="212"/>
      <c r="F262" s="203"/>
      <c r="G262" s="4"/>
      <c r="H262" s="189"/>
      <c r="I262" s="189"/>
      <c r="J262" s="189"/>
      <c r="K262" s="189"/>
      <c r="L262" s="189"/>
      <c r="M262" s="4"/>
      <c r="N262" s="4"/>
      <c r="O262" s="4"/>
      <c r="P262" s="4"/>
      <c r="Q262" s="1953">
        <f>+Q337</f>
        <v>619641</v>
      </c>
      <c r="R262" s="1962"/>
      <c r="S262" s="1953"/>
      <c r="T262" s="1954"/>
      <c r="U262" s="4"/>
    </row>
    <row r="263" spans="2:21" x14ac:dyDescent="0.25">
      <c r="B263" s="208" t="s">
        <v>108</v>
      </c>
      <c r="C263" s="211"/>
      <c r="D263" s="212"/>
      <c r="E263" s="212"/>
      <c r="F263" s="20" t="s">
        <v>1</v>
      </c>
      <c r="G263" s="213" t="s">
        <v>543</v>
      </c>
      <c r="H263" s="189"/>
      <c r="I263" s="189"/>
      <c r="J263" s="189"/>
      <c r="K263" s="189"/>
      <c r="L263" s="189"/>
      <c r="M263" s="4"/>
      <c r="N263" s="4"/>
      <c r="O263" s="4"/>
      <c r="P263" s="4"/>
      <c r="Q263" s="325"/>
      <c r="R263" s="356"/>
      <c r="S263" s="1953">
        <f>+Q335</f>
        <v>12100</v>
      </c>
      <c r="T263" s="1954"/>
      <c r="U263" s="4"/>
    </row>
    <row r="264" spans="2:21" x14ac:dyDescent="0.25">
      <c r="B264" s="208" t="s">
        <v>16</v>
      </c>
      <c r="C264" s="211"/>
      <c r="D264" s="212"/>
      <c r="E264" s="212"/>
      <c r="F264" s="20" t="s">
        <v>1</v>
      </c>
      <c r="G264" s="213" t="s">
        <v>3</v>
      </c>
      <c r="H264" s="189"/>
      <c r="I264" s="189"/>
      <c r="J264" s="189"/>
      <c r="K264" s="189"/>
      <c r="L264" s="189"/>
      <c r="M264" s="4"/>
      <c r="N264" s="4"/>
      <c r="O264" s="4"/>
      <c r="P264" s="4"/>
      <c r="Q264" s="2673"/>
      <c r="R264" s="2675"/>
      <c r="S264" s="1953">
        <v>500000</v>
      </c>
      <c r="T264" s="1954"/>
      <c r="U264" s="4"/>
    </row>
    <row r="265" spans="2:21" x14ac:dyDescent="0.25">
      <c r="B265" s="208" t="s">
        <v>17</v>
      </c>
      <c r="C265" s="211"/>
      <c r="D265" s="203"/>
      <c r="E265" s="212"/>
      <c r="F265" s="20" t="s">
        <v>1</v>
      </c>
      <c r="G265" s="213" t="s">
        <v>12</v>
      </c>
      <c r="H265" s="189"/>
      <c r="I265" s="189"/>
      <c r="J265" s="189"/>
      <c r="K265" s="189"/>
      <c r="L265" s="189"/>
      <c r="M265" s="4"/>
      <c r="N265" s="4"/>
      <c r="O265" s="4"/>
      <c r="P265" s="4"/>
      <c r="Q265" s="1953"/>
      <c r="R265" s="1962"/>
      <c r="S265" s="1953">
        <f>+(S264*0.21)+Q336</f>
        <v>107541</v>
      </c>
      <c r="T265" s="1954"/>
      <c r="U265" s="4"/>
    </row>
    <row r="266" spans="2:21" x14ac:dyDescent="0.25">
      <c r="B266" s="208"/>
      <c r="C266" s="225" t="s">
        <v>196</v>
      </c>
      <c r="D266" s="203"/>
      <c r="E266" s="212"/>
      <c r="F266" s="20"/>
      <c r="G266" s="213"/>
      <c r="H266" s="189"/>
      <c r="I266" s="189"/>
      <c r="J266" s="189"/>
      <c r="K266" s="189"/>
      <c r="L266" s="189"/>
      <c r="M266" s="4"/>
      <c r="N266" s="4"/>
      <c r="O266" s="4"/>
      <c r="P266" s="4"/>
      <c r="Q266" s="325"/>
      <c r="R266" s="356"/>
      <c r="S266" s="325"/>
      <c r="T266" s="326"/>
      <c r="U266" s="4"/>
    </row>
    <row r="267" spans="2:21" x14ac:dyDescent="0.25">
      <c r="B267" s="208"/>
      <c r="C267" s="2110" t="s">
        <v>21</v>
      </c>
      <c r="D267" s="2090"/>
      <c r="E267" s="2090"/>
      <c r="F267" s="2090"/>
      <c r="G267" s="2090"/>
      <c r="H267" s="2681"/>
      <c r="I267" s="2681"/>
      <c r="J267" s="2681"/>
      <c r="K267" s="2681"/>
      <c r="L267" s="2090" t="s">
        <v>436</v>
      </c>
      <c r="M267" s="2090"/>
      <c r="N267" s="2090"/>
      <c r="O267" s="2090"/>
      <c r="P267" s="2092"/>
      <c r="Q267" s="325"/>
      <c r="R267" s="356"/>
      <c r="S267" s="325"/>
      <c r="T267" s="326"/>
      <c r="U267" s="4"/>
    </row>
    <row r="268" spans="2:21" x14ac:dyDescent="0.25">
      <c r="B268" s="208" t="s">
        <v>15</v>
      </c>
      <c r="C268" s="211" t="s">
        <v>120</v>
      </c>
      <c r="D268" s="212"/>
      <c r="E268" s="212"/>
      <c r="F268" s="203"/>
      <c r="G268" s="4"/>
      <c r="H268" s="189"/>
      <c r="I268" s="189"/>
      <c r="J268" s="189"/>
      <c r="K268" s="189"/>
      <c r="L268" s="189"/>
      <c r="M268" s="4"/>
      <c r="N268" s="4"/>
      <c r="O268" s="4"/>
      <c r="P268" s="4"/>
      <c r="Q268" s="1953">
        <f>+S264-280000</f>
        <v>220000</v>
      </c>
      <c r="R268" s="1962"/>
      <c r="S268" s="325"/>
      <c r="T268" s="326"/>
      <c r="U268" s="4"/>
    </row>
    <row r="269" spans="2:21" x14ac:dyDescent="0.25">
      <c r="B269" s="208" t="s">
        <v>14</v>
      </c>
      <c r="C269" s="211"/>
      <c r="D269" s="212"/>
      <c r="E269" s="212"/>
      <c r="F269" s="20" t="s">
        <v>1</v>
      </c>
      <c r="G269" s="213" t="s">
        <v>5</v>
      </c>
      <c r="H269" s="189"/>
      <c r="I269" s="189"/>
      <c r="J269" s="189"/>
      <c r="K269" s="189"/>
      <c r="L269" s="189"/>
      <c r="M269" s="4"/>
      <c r="N269" s="4"/>
      <c r="O269" s="4"/>
      <c r="P269" s="4"/>
      <c r="Q269" s="325"/>
      <c r="R269" s="356"/>
      <c r="S269" s="1953">
        <f>+Q268</f>
        <v>220000</v>
      </c>
      <c r="T269" s="1954"/>
      <c r="U269" s="4"/>
    </row>
    <row r="270" spans="2:21" x14ac:dyDescent="0.25">
      <c r="B270" s="108">
        <v>3</v>
      </c>
      <c r="C270" s="2110" t="s">
        <v>21</v>
      </c>
      <c r="D270" s="2090"/>
      <c r="E270" s="2090"/>
      <c r="F270" s="2090"/>
      <c r="G270" s="2090"/>
      <c r="H270" s="2681"/>
      <c r="I270" s="2681"/>
      <c r="J270" s="2681"/>
      <c r="K270" s="2681"/>
      <c r="L270" s="2090" t="s">
        <v>436</v>
      </c>
      <c r="M270" s="2090"/>
      <c r="N270" s="2090"/>
      <c r="O270" s="2090"/>
      <c r="P270" s="2092"/>
      <c r="Q270" s="1953"/>
      <c r="R270" s="1962"/>
      <c r="S270" s="1953"/>
      <c r="T270" s="1954"/>
      <c r="U270" s="4"/>
    </row>
    <row r="271" spans="2:21" x14ac:dyDescent="0.25">
      <c r="B271" s="208" t="s">
        <v>11</v>
      </c>
      <c r="C271" s="211" t="s">
        <v>22</v>
      </c>
      <c r="D271" s="203"/>
      <c r="E271" s="212"/>
      <c r="F271" s="203"/>
      <c r="G271" s="214"/>
      <c r="H271" s="189"/>
      <c r="I271" s="189"/>
      <c r="J271" s="189"/>
      <c r="K271" s="189"/>
      <c r="L271" s="189"/>
      <c r="M271" s="4"/>
      <c r="N271" s="4"/>
      <c r="O271" s="4"/>
      <c r="P271" s="4"/>
      <c r="Q271" s="1953">
        <f>+S274-Q272-Q273</f>
        <v>493950</v>
      </c>
      <c r="R271" s="1962"/>
      <c r="S271" s="1953"/>
      <c r="T271" s="1954"/>
      <c r="U271" s="4"/>
    </row>
    <row r="272" spans="2:21" x14ac:dyDescent="0.25">
      <c r="B272" s="208" t="s">
        <v>11</v>
      </c>
      <c r="C272" s="211" t="s">
        <v>544</v>
      </c>
      <c r="D272" s="357"/>
      <c r="E272" s="358"/>
      <c r="F272" s="359"/>
      <c r="G272" s="360"/>
      <c r="H272" s="361"/>
      <c r="I272" s="361"/>
      <c r="J272" s="361"/>
      <c r="K272" s="361"/>
      <c r="L272" s="361"/>
      <c r="M272" s="362"/>
      <c r="N272" s="362"/>
      <c r="O272" s="362"/>
      <c r="P272" s="362"/>
      <c r="Q272" s="2773">
        <v>5000</v>
      </c>
      <c r="R272" s="2774"/>
      <c r="S272" s="1953"/>
      <c r="T272" s="1954"/>
      <c r="U272" s="4"/>
    </row>
    <row r="273" spans="2:21" x14ac:dyDescent="0.25">
      <c r="B273" s="208" t="s">
        <v>11</v>
      </c>
      <c r="C273" s="211" t="s">
        <v>13</v>
      </c>
      <c r="D273" s="357"/>
      <c r="E273" s="358"/>
      <c r="F273" s="359"/>
      <c r="G273" s="360"/>
      <c r="H273" s="361"/>
      <c r="I273" s="361"/>
      <c r="J273" s="361"/>
      <c r="K273" s="361"/>
      <c r="L273" s="361"/>
      <c r="M273" s="362"/>
      <c r="N273" s="362"/>
      <c r="O273" s="362"/>
      <c r="P273" s="362"/>
      <c r="Q273" s="2773">
        <f>+Q272*0.21</f>
        <v>1050</v>
      </c>
      <c r="R273" s="2774"/>
      <c r="S273" s="325"/>
      <c r="T273" s="326"/>
      <c r="U273" s="4"/>
    </row>
    <row r="274" spans="2:21" x14ac:dyDescent="0.25">
      <c r="B274" s="208" t="s">
        <v>17</v>
      </c>
      <c r="C274" s="211"/>
      <c r="D274" s="203"/>
      <c r="E274" s="212"/>
      <c r="F274" s="20" t="s">
        <v>1</v>
      </c>
      <c r="G274" s="215" t="s">
        <v>545</v>
      </c>
      <c r="H274" s="189"/>
      <c r="I274" s="189"/>
      <c r="J274" s="189"/>
      <c r="K274" s="189"/>
      <c r="L274" s="189"/>
      <c r="M274" s="4"/>
      <c r="N274" s="4"/>
      <c r="O274" s="4"/>
      <c r="P274" s="4"/>
      <c r="Q274" s="1953"/>
      <c r="R274" s="1962"/>
      <c r="S274" s="1953">
        <v>500000</v>
      </c>
      <c r="T274" s="1954"/>
      <c r="U274" s="4"/>
    </row>
    <row r="275" spans="2:21" x14ac:dyDescent="0.25">
      <c r="B275" s="108">
        <v>4</v>
      </c>
      <c r="C275" s="2110" t="s">
        <v>21</v>
      </c>
      <c r="D275" s="2090"/>
      <c r="E275" s="2090"/>
      <c r="F275" s="2090"/>
      <c r="G275" s="2090"/>
      <c r="H275" s="2681"/>
      <c r="I275" s="2681"/>
      <c r="J275" s="2681"/>
      <c r="K275" s="2681"/>
      <c r="L275" s="2090" t="s">
        <v>436</v>
      </c>
      <c r="M275" s="2090"/>
      <c r="N275" s="2090"/>
      <c r="O275" s="2090"/>
      <c r="P275" s="2092"/>
      <c r="Q275" s="1953"/>
      <c r="R275" s="1962"/>
      <c r="S275" s="1953"/>
      <c r="T275" s="1954"/>
      <c r="U275" s="4"/>
    </row>
    <row r="276" spans="2:21" x14ac:dyDescent="0.25">
      <c r="B276" s="208" t="s">
        <v>11</v>
      </c>
      <c r="C276" s="211" t="s">
        <v>22</v>
      </c>
      <c r="D276" s="203"/>
      <c r="E276" s="212"/>
      <c r="F276" s="203"/>
      <c r="G276" s="214"/>
      <c r="H276" s="189"/>
      <c r="I276" s="189"/>
      <c r="J276" s="189"/>
      <c r="K276" s="189"/>
      <c r="L276" s="189"/>
      <c r="M276" s="4"/>
      <c r="N276" s="4"/>
      <c r="O276" s="4"/>
      <c r="P276" s="4"/>
      <c r="Q276" s="1953">
        <f>+Q259</f>
        <v>40000</v>
      </c>
      <c r="R276" s="1962"/>
      <c r="S276" s="1953"/>
      <c r="T276" s="1954"/>
      <c r="U276" s="4"/>
    </row>
    <row r="277" spans="2:21" x14ac:dyDescent="0.25">
      <c r="B277" s="208" t="s">
        <v>14</v>
      </c>
      <c r="C277" s="211"/>
      <c r="D277" s="203"/>
      <c r="E277" s="212"/>
      <c r="F277" s="20" t="s">
        <v>1</v>
      </c>
      <c r="G277" s="215" t="s">
        <v>541</v>
      </c>
      <c r="H277" s="189"/>
      <c r="I277" s="189"/>
      <c r="J277" s="189"/>
      <c r="K277" s="189"/>
      <c r="L277" s="189"/>
      <c r="M277" s="4"/>
      <c r="N277" s="4"/>
      <c r="O277" s="4"/>
      <c r="P277" s="4"/>
      <c r="Q277" s="1953"/>
      <c r="R277" s="1962"/>
      <c r="S277" s="1953">
        <f>+Q276</f>
        <v>40000</v>
      </c>
      <c r="T277" s="1954"/>
      <c r="U277" s="4"/>
    </row>
    <row r="278" spans="2:21" x14ac:dyDescent="0.25">
      <c r="B278" s="108">
        <v>5</v>
      </c>
      <c r="C278" s="2110" t="s">
        <v>21</v>
      </c>
      <c r="D278" s="2090"/>
      <c r="E278" s="2090"/>
      <c r="F278" s="2090"/>
      <c r="G278" s="2090"/>
      <c r="H278" s="2681"/>
      <c r="I278" s="2681"/>
      <c r="J278" s="2681"/>
      <c r="K278" s="2681"/>
      <c r="L278" s="2090" t="s">
        <v>436</v>
      </c>
      <c r="M278" s="2090"/>
      <c r="N278" s="2090"/>
      <c r="O278" s="2090"/>
      <c r="P278" s="2092"/>
      <c r="Q278" s="1953"/>
      <c r="R278" s="1962"/>
      <c r="S278" s="1953"/>
      <c r="T278" s="1954"/>
      <c r="U278" s="4"/>
    </row>
    <row r="279" spans="2:21" x14ac:dyDescent="0.25">
      <c r="B279" s="208" t="s">
        <v>105</v>
      </c>
      <c r="C279" s="211" t="s">
        <v>543</v>
      </c>
      <c r="D279" s="203"/>
      <c r="E279" s="212"/>
      <c r="F279" s="203"/>
      <c r="G279" s="214"/>
      <c r="H279" s="189"/>
      <c r="I279" s="189"/>
      <c r="J279" s="189"/>
      <c r="K279" s="189"/>
      <c r="L279" s="189"/>
      <c r="M279" s="4"/>
      <c r="N279" s="4"/>
      <c r="O279" s="4"/>
      <c r="P279" s="4"/>
      <c r="Q279" s="1953">
        <f>+Q335/45*27</f>
        <v>7260.0000000000009</v>
      </c>
      <c r="R279" s="1962"/>
      <c r="S279" s="1953"/>
      <c r="T279" s="1954"/>
      <c r="U279" s="4"/>
    </row>
    <row r="280" spans="2:21" x14ac:dyDescent="0.25">
      <c r="B280" s="208" t="s">
        <v>16</v>
      </c>
      <c r="C280" s="211"/>
      <c r="D280" s="203"/>
      <c r="E280" s="212"/>
      <c r="F280" s="20" t="s">
        <v>1</v>
      </c>
      <c r="G280" s="215" t="s">
        <v>546</v>
      </c>
      <c r="H280" s="189"/>
      <c r="I280" s="189"/>
      <c r="J280" s="189"/>
      <c r="K280" s="189"/>
      <c r="L280" s="189"/>
      <c r="M280" s="4"/>
      <c r="N280" s="4"/>
      <c r="O280" s="4"/>
      <c r="P280" s="4"/>
      <c r="Q280" s="1953"/>
      <c r="R280" s="1962"/>
      <c r="S280" s="1953">
        <f>+Q279</f>
        <v>7260.0000000000009</v>
      </c>
      <c r="T280" s="1954"/>
      <c r="U280" s="4"/>
    </row>
    <row r="281" spans="2:21" x14ac:dyDescent="0.25">
      <c r="B281" s="208"/>
      <c r="C281" s="225" t="s">
        <v>196</v>
      </c>
      <c r="D281" s="203"/>
      <c r="E281" s="212"/>
      <c r="F281" s="20"/>
      <c r="G281" s="213"/>
      <c r="H281" s="189"/>
      <c r="I281" s="189"/>
      <c r="J281" s="189"/>
      <c r="K281" s="189"/>
      <c r="L281" s="189"/>
      <c r="M281" s="4"/>
      <c r="N281" s="4"/>
      <c r="O281" s="4"/>
      <c r="P281" s="4"/>
      <c r="Q281" s="325"/>
      <c r="R281" s="356"/>
      <c r="S281" s="325"/>
      <c r="T281" s="326"/>
      <c r="U281" s="4"/>
    </row>
    <row r="282" spans="2:21" x14ac:dyDescent="0.25">
      <c r="B282" s="108">
        <v>6</v>
      </c>
      <c r="C282" s="2110" t="s">
        <v>21</v>
      </c>
      <c r="D282" s="2090"/>
      <c r="E282" s="2090"/>
      <c r="F282" s="2090"/>
      <c r="G282" s="2090"/>
      <c r="H282" s="2681"/>
      <c r="I282" s="2681"/>
      <c r="J282" s="2681"/>
      <c r="K282" s="2681"/>
      <c r="L282" s="2090" t="s">
        <v>436</v>
      </c>
      <c r="M282" s="2090"/>
      <c r="N282" s="2090"/>
      <c r="O282" s="2090"/>
      <c r="P282" s="2092"/>
      <c r="Q282" s="1953"/>
      <c r="R282" s="1962"/>
      <c r="S282" s="1953"/>
      <c r="T282" s="1954"/>
      <c r="U282" s="4"/>
    </row>
    <row r="283" spans="2:21" x14ac:dyDescent="0.25">
      <c r="B283" s="208" t="s">
        <v>207</v>
      </c>
      <c r="C283" s="211" t="s">
        <v>545</v>
      </c>
      <c r="D283" s="203"/>
      <c r="E283" s="212"/>
      <c r="F283" s="203"/>
      <c r="G283" s="214"/>
      <c r="H283" s="189"/>
      <c r="I283" s="189"/>
      <c r="J283" s="189"/>
      <c r="K283" s="189"/>
      <c r="L283" s="189"/>
      <c r="M283" s="4"/>
      <c r="N283" s="4"/>
      <c r="O283" s="4"/>
      <c r="P283" s="4"/>
      <c r="Q283" s="1953">
        <v>100000</v>
      </c>
      <c r="R283" s="1962"/>
      <c r="S283" s="1953"/>
      <c r="T283" s="1954"/>
      <c r="U283" s="4"/>
    </row>
    <row r="284" spans="2:21" x14ac:dyDescent="0.25">
      <c r="B284" s="208" t="s">
        <v>15</v>
      </c>
      <c r="C284" s="211" t="s">
        <v>299</v>
      </c>
      <c r="D284" s="203"/>
      <c r="E284" s="212"/>
      <c r="F284" s="203"/>
      <c r="G284" s="214"/>
      <c r="H284" s="189"/>
      <c r="I284" s="189"/>
      <c r="J284" s="189"/>
      <c r="K284" s="189"/>
      <c r="L284" s="189"/>
      <c r="M284" s="4"/>
      <c r="N284" s="4"/>
      <c r="O284" s="4"/>
      <c r="P284" s="4"/>
      <c r="Q284" s="1953">
        <f>+S274*0.36*(15/360)</f>
        <v>7500</v>
      </c>
      <c r="R284" s="1962"/>
      <c r="S284" s="325"/>
      <c r="T284" s="326"/>
      <c r="U284" s="4"/>
    </row>
    <row r="285" spans="2:21" x14ac:dyDescent="0.25">
      <c r="B285" s="208" t="s">
        <v>11</v>
      </c>
      <c r="C285" s="211" t="s">
        <v>13</v>
      </c>
      <c r="D285" s="203"/>
      <c r="E285" s="212"/>
      <c r="F285" s="203"/>
      <c r="G285" s="214"/>
      <c r="H285" s="189"/>
      <c r="I285" s="189"/>
      <c r="J285" s="189"/>
      <c r="K285" s="189"/>
      <c r="L285" s="189"/>
      <c r="M285" s="4"/>
      <c r="N285" s="4"/>
      <c r="O285" s="4"/>
      <c r="P285" s="4"/>
      <c r="Q285" s="1953">
        <f>2500*0.21</f>
        <v>525</v>
      </c>
      <c r="R285" s="1962"/>
      <c r="S285" s="325"/>
      <c r="T285" s="326"/>
      <c r="U285" s="4"/>
    </row>
    <row r="286" spans="2:21" x14ac:dyDescent="0.25">
      <c r="B286" s="208" t="s">
        <v>14</v>
      </c>
      <c r="C286" s="211"/>
      <c r="D286" s="203"/>
      <c r="E286" s="212"/>
      <c r="F286" s="20" t="s">
        <v>1</v>
      </c>
      <c r="G286" s="215" t="s">
        <v>544</v>
      </c>
      <c r="H286" s="189"/>
      <c r="I286" s="189"/>
      <c r="J286" s="189"/>
      <c r="K286" s="189"/>
      <c r="L286" s="189"/>
      <c r="M286" s="4"/>
      <c r="N286" s="4"/>
      <c r="O286" s="4"/>
      <c r="P286" s="4"/>
      <c r="Q286" s="325"/>
      <c r="R286" s="356"/>
      <c r="S286" s="1953">
        <v>5000</v>
      </c>
      <c r="T286" s="1954"/>
      <c r="U286" s="4"/>
    </row>
    <row r="287" spans="2:21" x14ac:dyDescent="0.25">
      <c r="B287" s="208" t="s">
        <v>14</v>
      </c>
      <c r="C287" s="211"/>
      <c r="D287" s="203"/>
      <c r="E287" s="212"/>
      <c r="F287" s="20" t="s">
        <v>1</v>
      </c>
      <c r="G287" s="215" t="s">
        <v>22</v>
      </c>
      <c r="H287" s="189"/>
      <c r="I287" s="189"/>
      <c r="J287" s="189"/>
      <c r="K287" s="189"/>
      <c r="L287" s="189"/>
      <c r="M287" s="4"/>
      <c r="N287" s="4"/>
      <c r="O287" s="4"/>
      <c r="P287" s="4"/>
      <c r="Q287" s="1953"/>
      <c r="R287" s="1962"/>
      <c r="S287" s="1953">
        <f>+Q283+Q284+Q285-S286</f>
        <v>103025</v>
      </c>
      <c r="T287" s="1954"/>
      <c r="U287" s="4"/>
    </row>
    <row r="288" spans="2:21" x14ac:dyDescent="0.25">
      <c r="B288" s="108">
        <v>7</v>
      </c>
      <c r="C288" s="2110" t="s">
        <v>21</v>
      </c>
      <c r="D288" s="2090"/>
      <c r="E288" s="2090"/>
      <c r="F288" s="2090"/>
      <c r="G288" s="2090"/>
      <c r="H288" s="2681"/>
      <c r="I288" s="2681"/>
      <c r="J288" s="2681"/>
      <c r="K288" s="2681"/>
      <c r="L288" s="2090" t="s">
        <v>436</v>
      </c>
      <c r="M288" s="2090"/>
      <c r="N288" s="2090"/>
      <c r="O288" s="2090"/>
      <c r="P288" s="2092"/>
      <c r="Q288" s="1953"/>
      <c r="R288" s="1962"/>
      <c r="S288" s="1953"/>
      <c r="T288" s="1954"/>
      <c r="U288" s="4"/>
    </row>
    <row r="289" spans="2:21" x14ac:dyDescent="0.25">
      <c r="B289" s="208" t="s">
        <v>11</v>
      </c>
      <c r="C289" s="211" t="s">
        <v>22</v>
      </c>
      <c r="D289" s="203"/>
      <c r="E289" s="212"/>
      <c r="F289" s="203"/>
      <c r="G289" s="214"/>
      <c r="H289" s="189"/>
      <c r="I289" s="189"/>
      <c r="J289" s="189"/>
      <c r="K289" s="189"/>
      <c r="L289" s="189"/>
      <c r="M289" s="4"/>
      <c r="N289" s="4"/>
      <c r="O289" s="4"/>
      <c r="P289" s="4"/>
      <c r="Q289" s="1953">
        <v>611171</v>
      </c>
      <c r="R289" s="1962"/>
      <c r="S289" s="1953"/>
      <c r="T289" s="1954"/>
      <c r="U289" s="4"/>
    </row>
    <row r="290" spans="2:21" x14ac:dyDescent="0.25">
      <c r="B290" s="208" t="s">
        <v>15</v>
      </c>
      <c r="C290" s="211" t="s">
        <v>547</v>
      </c>
      <c r="D290" s="203"/>
      <c r="E290" s="212"/>
      <c r="F290" s="203"/>
      <c r="G290" s="214"/>
      <c r="H290" s="189"/>
      <c r="I290" s="189"/>
      <c r="J290" s="189"/>
      <c r="K290" s="189"/>
      <c r="L290" s="189"/>
      <c r="M290" s="4"/>
      <c r="N290" s="4"/>
      <c r="O290" s="4"/>
      <c r="P290" s="4"/>
      <c r="Q290" s="2775">
        <f>+(S293-Q292-Q289)/1.21</f>
        <v>3000</v>
      </c>
      <c r="R290" s="2776"/>
      <c r="S290" s="1953"/>
      <c r="T290" s="1954"/>
      <c r="U290" s="4"/>
    </row>
    <row r="291" spans="2:21" x14ac:dyDescent="0.25">
      <c r="B291" s="208" t="s">
        <v>11</v>
      </c>
      <c r="C291" s="211" t="s">
        <v>13</v>
      </c>
      <c r="D291" s="203"/>
      <c r="E291" s="212"/>
      <c r="F291" s="203"/>
      <c r="G291" s="214"/>
      <c r="H291" s="189"/>
      <c r="I291" s="189"/>
      <c r="J291" s="189"/>
      <c r="K291" s="189"/>
      <c r="L291" s="189"/>
      <c r="M291" s="4"/>
      <c r="N291" s="4"/>
      <c r="O291" s="4"/>
      <c r="P291" s="4"/>
      <c r="Q291" s="2775">
        <f>+Q290*0.21</f>
        <v>630</v>
      </c>
      <c r="R291" s="2776"/>
      <c r="S291" s="1953"/>
      <c r="T291" s="1954"/>
      <c r="U291" s="4"/>
    </row>
    <row r="292" spans="2:21" x14ac:dyDescent="0.25">
      <c r="B292" s="208" t="s">
        <v>105</v>
      </c>
      <c r="C292" s="211" t="s">
        <v>543</v>
      </c>
      <c r="D292" s="203"/>
      <c r="E292" s="212"/>
      <c r="F292" s="203"/>
      <c r="G292" s="214"/>
      <c r="H292" s="189"/>
      <c r="I292" s="189"/>
      <c r="J292" s="189"/>
      <c r="K292" s="189"/>
      <c r="L292" s="189"/>
      <c r="M292" s="4"/>
      <c r="N292" s="4"/>
      <c r="O292" s="4"/>
      <c r="P292" s="4"/>
      <c r="Q292" s="1953">
        <f>+S263-Q279</f>
        <v>4839.9999999999991</v>
      </c>
      <c r="R292" s="1962"/>
      <c r="S292" s="1953"/>
      <c r="T292" s="1954"/>
      <c r="U292" s="4"/>
    </row>
    <row r="293" spans="2:21" x14ac:dyDescent="0.25">
      <c r="B293" s="208" t="s">
        <v>14</v>
      </c>
      <c r="C293" s="211"/>
      <c r="D293" s="203"/>
      <c r="E293" s="212"/>
      <c r="F293" s="20" t="s">
        <v>1</v>
      </c>
      <c r="G293" s="215" t="s">
        <v>478</v>
      </c>
      <c r="H293" s="189"/>
      <c r="I293" s="189"/>
      <c r="J293" s="189"/>
      <c r="K293" s="189"/>
      <c r="L293" s="189"/>
      <c r="M293" s="4"/>
      <c r="N293" s="4"/>
      <c r="O293" s="4"/>
      <c r="P293" s="4"/>
      <c r="Q293" s="1953"/>
      <c r="R293" s="1962"/>
      <c r="S293" s="1953">
        <f>+Q262</f>
        <v>619641</v>
      </c>
      <c r="T293" s="1954"/>
      <c r="U293" s="4"/>
    </row>
    <row r="294" spans="2:21" x14ac:dyDescent="0.25">
      <c r="B294" s="108">
        <v>8</v>
      </c>
      <c r="C294" s="2110" t="s">
        <v>21</v>
      </c>
      <c r="D294" s="2090"/>
      <c r="E294" s="2090"/>
      <c r="F294" s="2090"/>
      <c r="G294" s="2090"/>
      <c r="H294" s="2681"/>
      <c r="I294" s="2681"/>
      <c r="J294" s="2681"/>
      <c r="K294" s="2681"/>
      <c r="L294" s="2090" t="s">
        <v>436</v>
      </c>
      <c r="M294" s="2090"/>
      <c r="N294" s="2090"/>
      <c r="O294" s="2090"/>
      <c r="P294" s="2092"/>
      <c r="Q294" s="1953"/>
      <c r="R294" s="1962"/>
      <c r="S294" s="1953"/>
      <c r="T294" s="1954"/>
      <c r="U294" s="4"/>
    </row>
    <row r="295" spans="2:21" x14ac:dyDescent="0.25">
      <c r="B295" s="208" t="s">
        <v>485</v>
      </c>
      <c r="C295" s="211" t="s">
        <v>542</v>
      </c>
      <c r="D295" s="203"/>
      <c r="E295" s="212"/>
      <c r="F295" s="203"/>
      <c r="G295" s="214"/>
      <c r="H295" s="189"/>
      <c r="I295" s="189"/>
      <c r="J295" s="189"/>
      <c r="K295" s="189"/>
      <c r="L295" s="189"/>
      <c r="M295" s="4"/>
      <c r="N295" s="4"/>
      <c r="O295" s="4"/>
      <c r="P295" s="4"/>
      <c r="Q295" s="1953">
        <f>+S260</f>
        <v>150000</v>
      </c>
      <c r="R295" s="1962"/>
      <c r="S295" s="1953"/>
      <c r="T295" s="1954"/>
      <c r="U295" s="4"/>
    </row>
    <row r="296" spans="2:21" x14ac:dyDescent="0.25">
      <c r="B296" s="208" t="s">
        <v>458</v>
      </c>
      <c r="C296" s="211"/>
      <c r="D296" s="203"/>
      <c r="E296" s="212"/>
      <c r="F296" s="20" t="s">
        <v>1</v>
      </c>
      <c r="G296" s="215" t="s">
        <v>435</v>
      </c>
      <c r="H296" s="189"/>
      <c r="I296" s="189"/>
      <c r="J296" s="189"/>
      <c r="K296" s="189"/>
      <c r="L296" s="189"/>
      <c r="M296" s="4"/>
      <c r="N296" s="4"/>
      <c r="O296" s="4"/>
      <c r="P296" s="4"/>
      <c r="Q296" s="2673"/>
      <c r="R296" s="2674"/>
      <c r="S296" s="1953">
        <v>112500</v>
      </c>
      <c r="T296" s="1954"/>
      <c r="U296" s="4"/>
    </row>
    <row r="297" spans="2:21" x14ac:dyDescent="0.25">
      <c r="B297" s="208" t="s">
        <v>458</v>
      </c>
      <c r="C297" s="211"/>
      <c r="D297" s="203"/>
      <c r="E297" s="212"/>
      <c r="F297" s="20" t="s">
        <v>1</v>
      </c>
      <c r="G297" s="215" t="s">
        <v>548</v>
      </c>
      <c r="H297" s="189"/>
      <c r="I297" s="189"/>
      <c r="J297" s="189"/>
      <c r="K297" s="189"/>
      <c r="L297" s="189"/>
      <c r="M297" s="4"/>
      <c r="N297" s="4"/>
      <c r="O297" s="4"/>
      <c r="P297" s="4"/>
      <c r="Q297" s="2673"/>
      <c r="R297" s="2674"/>
      <c r="S297" s="1953">
        <f>+Q295-S296</f>
        <v>37500</v>
      </c>
      <c r="T297" s="1954"/>
      <c r="U297" s="4"/>
    </row>
    <row r="298" spans="2:21" x14ac:dyDescent="0.25">
      <c r="B298" s="208"/>
      <c r="C298" s="225" t="s">
        <v>211</v>
      </c>
      <c r="D298" s="203"/>
      <c r="E298" s="212"/>
      <c r="F298" s="20"/>
      <c r="G298" s="213"/>
      <c r="H298" s="189"/>
      <c r="I298" s="189"/>
      <c r="J298" s="189"/>
      <c r="K298" s="189"/>
      <c r="L298" s="189"/>
      <c r="M298" s="4"/>
      <c r="N298" s="4"/>
      <c r="O298" s="4"/>
      <c r="P298" s="4"/>
      <c r="Q298" s="325"/>
      <c r="R298" s="356"/>
      <c r="S298" s="325"/>
      <c r="T298" s="326"/>
      <c r="U298" s="4"/>
    </row>
    <row r="299" spans="2:21" x14ac:dyDescent="0.25">
      <c r="B299" s="108">
        <v>9</v>
      </c>
      <c r="C299" s="2110" t="s">
        <v>21</v>
      </c>
      <c r="D299" s="2090"/>
      <c r="E299" s="2090"/>
      <c r="F299" s="2090"/>
      <c r="G299" s="2090"/>
      <c r="H299" s="2681"/>
      <c r="I299" s="2681"/>
      <c r="J299" s="2681"/>
      <c r="K299" s="2681"/>
      <c r="L299" s="2090" t="s">
        <v>436</v>
      </c>
      <c r="M299" s="2090"/>
      <c r="N299" s="2090"/>
      <c r="O299" s="2090"/>
      <c r="P299" s="2092"/>
      <c r="Q299" s="1953"/>
      <c r="R299" s="1962"/>
      <c r="S299" s="1953"/>
      <c r="T299" s="1954"/>
      <c r="U299" s="4"/>
    </row>
    <row r="300" spans="2:21" x14ac:dyDescent="0.25">
      <c r="B300" s="208" t="s">
        <v>11</v>
      </c>
      <c r="C300" s="211" t="s">
        <v>480</v>
      </c>
      <c r="D300" s="203"/>
      <c r="E300" s="212"/>
      <c r="F300" s="203"/>
      <c r="G300" s="214"/>
      <c r="H300" s="189"/>
      <c r="I300" s="189"/>
      <c r="J300" s="189"/>
      <c r="K300" s="189"/>
      <c r="L300" s="189"/>
      <c r="M300" s="4"/>
      <c r="N300" s="4"/>
      <c r="O300" s="4"/>
      <c r="P300" s="4"/>
      <c r="Q300" s="1953">
        <f>+S293</f>
        <v>619641</v>
      </c>
      <c r="R300" s="1962"/>
      <c r="S300" s="1953"/>
      <c r="T300" s="1954"/>
      <c r="U300" s="4"/>
    </row>
    <row r="301" spans="2:21" x14ac:dyDescent="0.25">
      <c r="B301" s="208" t="s">
        <v>14</v>
      </c>
      <c r="C301" s="211"/>
      <c r="D301" s="203"/>
      <c r="E301" s="212"/>
      <c r="F301" s="20" t="s">
        <v>1</v>
      </c>
      <c r="G301" s="215" t="s">
        <v>22</v>
      </c>
      <c r="H301" s="189"/>
      <c r="I301" s="189"/>
      <c r="J301" s="189"/>
      <c r="K301" s="189"/>
      <c r="L301" s="189"/>
      <c r="M301" s="4"/>
      <c r="N301" s="4"/>
      <c r="O301" s="4"/>
      <c r="P301" s="4"/>
      <c r="Q301" s="2673"/>
      <c r="R301" s="2674"/>
      <c r="S301" s="1953">
        <f>+Q300</f>
        <v>619641</v>
      </c>
      <c r="T301" s="1954"/>
      <c r="U301" s="4"/>
    </row>
    <row r="302" spans="2:21" x14ac:dyDescent="0.25">
      <c r="B302" s="189"/>
      <c r="C302" s="2090" t="s">
        <v>21</v>
      </c>
      <c r="D302" s="2090"/>
      <c r="E302" s="2090"/>
      <c r="F302" s="2090"/>
      <c r="G302" s="2090"/>
      <c r="H302" s="2248" t="s">
        <v>222</v>
      </c>
      <c r="I302" s="2248"/>
      <c r="J302" s="2248"/>
      <c r="K302" s="2248"/>
      <c r="L302" s="2090" t="s">
        <v>436</v>
      </c>
      <c r="M302" s="2090"/>
      <c r="N302" s="2090"/>
      <c r="O302" s="2090"/>
      <c r="P302" s="2090"/>
      <c r="Q302" s="1962"/>
      <c r="R302" s="1962"/>
      <c r="S302" s="1962"/>
      <c r="T302" s="1962"/>
    </row>
    <row r="303" spans="2:21" s="4" customFormat="1" x14ac:dyDescent="0.25">
      <c r="B303" s="189"/>
      <c r="C303" s="12"/>
      <c r="D303" s="12"/>
      <c r="E303" s="12"/>
      <c r="F303" s="12"/>
      <c r="G303" s="51"/>
      <c r="H303" s="51"/>
      <c r="I303" s="51"/>
      <c r="J303" s="51"/>
      <c r="K303" s="51"/>
      <c r="L303" s="51"/>
      <c r="O303" s="369"/>
      <c r="P303" s="369"/>
      <c r="Q303" s="369"/>
      <c r="R303" s="369"/>
      <c r="S303" s="369"/>
      <c r="T303" s="18"/>
    </row>
    <row r="304" spans="2:21" x14ac:dyDescent="0.25">
      <c r="B304" s="108">
        <v>10</v>
      </c>
      <c r="C304" s="2110" t="s">
        <v>21</v>
      </c>
      <c r="D304" s="2090"/>
      <c r="E304" s="2090"/>
      <c r="F304" s="2090"/>
      <c r="G304" s="2090"/>
      <c r="H304" s="2681"/>
      <c r="I304" s="2681"/>
      <c r="J304" s="2681"/>
      <c r="K304" s="2681"/>
      <c r="L304" s="2090" t="s">
        <v>436</v>
      </c>
      <c r="M304" s="2090"/>
      <c r="N304" s="2090"/>
      <c r="O304" s="2090"/>
      <c r="P304" s="2092"/>
      <c r="Q304" s="1953"/>
      <c r="R304" s="1962"/>
      <c r="S304" s="1953"/>
      <c r="T304" s="1954"/>
      <c r="U304" s="4"/>
    </row>
    <row r="305" spans="1:21" x14ac:dyDescent="0.25">
      <c r="B305" s="208" t="s">
        <v>11</v>
      </c>
      <c r="C305" s="211" t="s">
        <v>549</v>
      </c>
      <c r="D305" s="203"/>
      <c r="E305" s="212"/>
      <c r="F305" s="203"/>
      <c r="G305" s="214"/>
      <c r="H305" s="189"/>
      <c r="I305" s="189"/>
      <c r="J305" s="189"/>
      <c r="K305" s="189"/>
      <c r="L305" s="189"/>
      <c r="M305" s="4"/>
      <c r="N305" s="4"/>
      <c r="O305" s="4"/>
      <c r="P305" s="4"/>
      <c r="Q305" s="1953">
        <f>+Q300</f>
        <v>619641</v>
      </c>
      <c r="R305" s="1962"/>
      <c r="S305" s="1953"/>
      <c r="T305" s="1954"/>
      <c r="U305" s="4"/>
    </row>
    <row r="306" spans="1:21" x14ac:dyDescent="0.25">
      <c r="B306" s="208" t="s">
        <v>14</v>
      </c>
      <c r="C306" s="211"/>
      <c r="D306" s="203"/>
      <c r="E306" s="212"/>
      <c r="F306" s="20" t="s">
        <v>1</v>
      </c>
      <c r="G306" s="215" t="s">
        <v>480</v>
      </c>
      <c r="H306" s="189"/>
      <c r="I306" s="189"/>
      <c r="J306" s="189"/>
      <c r="K306" s="189"/>
      <c r="L306" s="189"/>
      <c r="M306" s="4"/>
      <c r="N306" s="4"/>
      <c r="O306" s="4"/>
      <c r="P306" s="4"/>
      <c r="Q306" s="2673"/>
      <c r="R306" s="2674"/>
      <c r="S306" s="1953">
        <f>+Q305</f>
        <v>619641</v>
      </c>
      <c r="T306" s="1954"/>
      <c r="U306" s="4"/>
    </row>
    <row r="307" spans="1:21" x14ac:dyDescent="0.25">
      <c r="B307" s="108">
        <v>11</v>
      </c>
      <c r="C307" s="2110" t="s">
        <v>21</v>
      </c>
      <c r="D307" s="2090"/>
      <c r="E307" s="2090"/>
      <c r="F307" s="2090"/>
      <c r="G307" s="2090"/>
      <c r="H307" s="2681"/>
      <c r="I307" s="2681"/>
      <c r="J307" s="2681"/>
      <c r="K307" s="2681"/>
      <c r="L307" s="2090" t="s">
        <v>436</v>
      </c>
      <c r="M307" s="2090"/>
      <c r="N307" s="2090"/>
      <c r="O307" s="2090"/>
      <c r="P307" s="2092"/>
      <c r="Q307" s="1953"/>
      <c r="R307" s="1962"/>
      <c r="S307" s="1953"/>
      <c r="T307" s="1954"/>
      <c r="U307" s="4"/>
    </row>
    <row r="308" spans="1:21" x14ac:dyDescent="0.25">
      <c r="B308" s="208" t="s">
        <v>207</v>
      </c>
      <c r="C308" s="211" t="s">
        <v>545</v>
      </c>
      <c r="D308" s="203"/>
      <c r="E308" s="212"/>
      <c r="F308" s="203"/>
      <c r="G308" s="214"/>
      <c r="H308" s="189"/>
      <c r="I308" s="189"/>
      <c r="J308" s="189"/>
      <c r="K308" s="189"/>
      <c r="L308" s="189"/>
      <c r="M308" s="4"/>
      <c r="N308" s="4"/>
      <c r="O308" s="4"/>
      <c r="P308" s="4"/>
      <c r="Q308" s="1953">
        <v>150000</v>
      </c>
      <c r="R308" s="1962"/>
      <c r="S308" s="1953"/>
      <c r="T308" s="1954"/>
      <c r="U308" s="4"/>
    </row>
    <row r="309" spans="1:21" x14ac:dyDescent="0.25">
      <c r="B309" s="208" t="s">
        <v>15</v>
      </c>
      <c r="C309" s="211" t="s">
        <v>299</v>
      </c>
      <c r="D309" s="203"/>
      <c r="E309" s="212"/>
      <c r="F309" s="203"/>
      <c r="G309" s="214"/>
      <c r="H309" s="189"/>
      <c r="I309" s="189"/>
      <c r="J309" s="189"/>
      <c r="K309" s="189"/>
      <c r="L309" s="189"/>
      <c r="M309" s="4"/>
      <c r="N309" s="4"/>
      <c r="O309" s="4"/>
      <c r="P309" s="4"/>
      <c r="Q309" s="1953">
        <f>+(S274-Q283)*0.36*(31/360)</f>
        <v>12400</v>
      </c>
      <c r="R309" s="1962"/>
      <c r="S309" s="325"/>
      <c r="T309" s="326"/>
      <c r="U309" s="4"/>
    </row>
    <row r="310" spans="1:21" x14ac:dyDescent="0.25">
      <c r="B310" s="208" t="s">
        <v>11</v>
      </c>
      <c r="C310" s="211" t="s">
        <v>13</v>
      </c>
      <c r="D310" s="203"/>
      <c r="E310" s="212"/>
      <c r="F310" s="203"/>
      <c r="G310" s="214"/>
      <c r="H310" s="189"/>
      <c r="I310" s="189"/>
      <c r="J310" s="189"/>
      <c r="K310" s="189"/>
      <c r="L310" s="189"/>
      <c r="M310" s="4"/>
      <c r="N310" s="4"/>
      <c r="O310" s="4"/>
      <c r="P310" s="4"/>
      <c r="Q310" s="1953">
        <f>+Q309*0.21</f>
        <v>2604</v>
      </c>
      <c r="R310" s="1962"/>
      <c r="S310" s="325"/>
      <c r="T310" s="326"/>
      <c r="U310" s="4"/>
    </row>
    <row r="311" spans="1:21" x14ac:dyDescent="0.25">
      <c r="B311" s="208" t="s">
        <v>14</v>
      </c>
      <c r="C311" s="211"/>
      <c r="D311" s="203"/>
      <c r="E311" s="212"/>
      <c r="F311" s="20" t="s">
        <v>1</v>
      </c>
      <c r="G311" s="215" t="s">
        <v>22</v>
      </c>
      <c r="H311" s="189"/>
      <c r="I311" s="189"/>
      <c r="J311" s="189"/>
      <c r="K311" s="189"/>
      <c r="L311" s="189"/>
      <c r="M311" s="4"/>
      <c r="N311" s="4"/>
      <c r="O311" s="4"/>
      <c r="P311" s="4"/>
      <c r="Q311" s="1953"/>
      <c r="R311" s="1962"/>
      <c r="S311" s="1953">
        <f>+SUM(Q308:R310)</f>
        <v>165004</v>
      </c>
      <c r="T311" s="1954"/>
      <c r="U311" s="4"/>
    </row>
    <row r="312" spans="1:21" x14ac:dyDescent="0.25">
      <c r="B312" s="108">
        <v>12</v>
      </c>
      <c r="C312" s="2110" t="s">
        <v>21</v>
      </c>
      <c r="D312" s="2090"/>
      <c r="E312" s="2090"/>
      <c r="F312" s="2090"/>
      <c r="G312" s="2090"/>
      <c r="H312" s="2090"/>
      <c r="I312" s="331"/>
      <c r="J312" s="331"/>
      <c r="K312" s="331"/>
      <c r="L312" s="2090" t="s">
        <v>484</v>
      </c>
      <c r="M312" s="2090"/>
      <c r="N312" s="2090"/>
      <c r="O312" s="2090"/>
      <c r="P312" s="2092"/>
      <c r="Q312" s="1953"/>
      <c r="R312" s="1962"/>
      <c r="S312" s="1953"/>
      <c r="T312" s="1954"/>
      <c r="U312" s="4"/>
    </row>
    <row r="313" spans="1:21" x14ac:dyDescent="0.25">
      <c r="B313" s="208" t="s">
        <v>485</v>
      </c>
      <c r="C313" s="363" t="s">
        <v>486</v>
      </c>
      <c r="D313" s="357"/>
      <c r="E313" s="358"/>
      <c r="F313" s="357"/>
      <c r="G313" s="364"/>
      <c r="H313" s="361"/>
      <c r="I313" s="361"/>
      <c r="J313" s="361"/>
      <c r="K313" s="189"/>
      <c r="L313" s="189"/>
      <c r="M313" s="4"/>
      <c r="N313" s="4"/>
      <c r="O313" s="4"/>
      <c r="P313" s="4"/>
      <c r="Q313" s="1953">
        <v>130000</v>
      </c>
      <c r="R313" s="1962"/>
      <c r="S313" s="1953"/>
      <c r="T313" s="1954"/>
      <c r="U313" s="4"/>
    </row>
    <row r="314" spans="1:21" x14ac:dyDescent="0.25">
      <c r="B314" s="208" t="s">
        <v>458</v>
      </c>
      <c r="C314" s="211"/>
      <c r="D314" s="203"/>
      <c r="E314" s="212"/>
      <c r="F314" s="20" t="s">
        <v>1</v>
      </c>
      <c r="G314" s="215" t="s">
        <v>487</v>
      </c>
      <c r="H314" s="189"/>
      <c r="I314" s="189"/>
      <c r="J314" s="189"/>
      <c r="K314" s="189"/>
      <c r="L314" s="189"/>
      <c r="M314" s="4"/>
      <c r="N314" s="4"/>
      <c r="O314" s="4"/>
      <c r="P314" s="4"/>
      <c r="Q314" s="1953"/>
      <c r="R314" s="1962"/>
      <c r="S314" s="1953">
        <f>+Q313*0.05</f>
        <v>6500</v>
      </c>
      <c r="T314" s="1954"/>
      <c r="U314" s="4"/>
    </row>
    <row r="315" spans="1:21" x14ac:dyDescent="0.25">
      <c r="B315" s="208" t="s">
        <v>458</v>
      </c>
      <c r="C315" s="211"/>
      <c r="D315" s="203"/>
      <c r="E315" s="212"/>
      <c r="F315" s="20" t="s">
        <v>1</v>
      </c>
      <c r="G315" s="215" t="s">
        <v>550</v>
      </c>
      <c r="H315" s="189"/>
      <c r="I315" s="189"/>
      <c r="J315" s="189"/>
      <c r="K315" s="189"/>
      <c r="L315" s="189"/>
      <c r="M315" s="4"/>
      <c r="N315" s="4"/>
      <c r="O315" s="4"/>
      <c r="P315" s="4"/>
      <c r="Q315" s="1953"/>
      <c r="R315" s="1962"/>
      <c r="S315" s="1953">
        <f>+Q313*0.1</f>
        <v>13000</v>
      </c>
      <c r="T315" s="1954"/>
      <c r="U315" s="4"/>
    </row>
    <row r="316" spans="1:21" x14ac:dyDescent="0.25">
      <c r="B316" s="208" t="s">
        <v>17</v>
      </c>
      <c r="C316" s="211"/>
      <c r="D316" s="203"/>
      <c r="E316" s="212"/>
      <c r="F316" s="20" t="s">
        <v>1</v>
      </c>
      <c r="G316" s="215" t="s">
        <v>489</v>
      </c>
      <c r="H316" s="189"/>
      <c r="I316" s="189"/>
      <c r="J316" s="189"/>
      <c r="K316" s="189"/>
      <c r="L316" s="189"/>
      <c r="M316" s="4"/>
      <c r="N316" s="4"/>
      <c r="O316" s="4"/>
      <c r="P316" s="4"/>
      <c r="Q316" s="1953"/>
      <c r="R316" s="1962"/>
      <c r="S316" s="1953">
        <f>+Q313*0.1</f>
        <v>13000</v>
      </c>
      <c r="T316" s="1954"/>
      <c r="U316" s="4"/>
    </row>
    <row r="317" spans="1:21" x14ac:dyDescent="0.25">
      <c r="B317" s="208" t="s">
        <v>458</v>
      </c>
      <c r="C317" s="211"/>
      <c r="D317" s="203"/>
      <c r="E317" s="212"/>
      <c r="F317" s="20" t="s">
        <v>1</v>
      </c>
      <c r="G317" s="215" t="s">
        <v>435</v>
      </c>
      <c r="H317" s="189"/>
      <c r="I317" s="189"/>
      <c r="J317" s="189"/>
      <c r="K317" s="189"/>
      <c r="L317" s="189"/>
      <c r="M317" s="4"/>
      <c r="N317" s="4"/>
      <c r="O317" s="4"/>
      <c r="P317" s="4"/>
      <c r="Q317" s="325"/>
      <c r="R317" s="356"/>
      <c r="S317" s="1953">
        <f>+Q313*0.15</f>
        <v>19500</v>
      </c>
      <c r="T317" s="1954"/>
      <c r="U317" s="4"/>
    </row>
    <row r="318" spans="1:21" x14ac:dyDescent="0.25">
      <c r="B318" s="208" t="s">
        <v>17</v>
      </c>
      <c r="C318" s="211"/>
      <c r="D318" s="203"/>
      <c r="E318" s="212"/>
      <c r="F318" s="20" t="s">
        <v>1</v>
      </c>
      <c r="G318" s="215" t="s">
        <v>551</v>
      </c>
      <c r="H318" s="189"/>
      <c r="I318" s="189"/>
      <c r="J318" s="189"/>
      <c r="K318" s="189"/>
      <c r="L318" s="189"/>
      <c r="M318" s="4"/>
      <c r="N318" s="4"/>
      <c r="O318" s="4"/>
      <c r="P318" s="4"/>
      <c r="Q318" s="1953"/>
      <c r="R318" s="1962"/>
      <c r="S318" s="1953">
        <f>+Q313*0.2</f>
        <v>26000</v>
      </c>
      <c r="T318" s="1954"/>
      <c r="U318" s="4"/>
    </row>
    <row r="319" spans="1:21" x14ac:dyDescent="0.25">
      <c r="A319" s="4"/>
      <c r="B319" s="208" t="s">
        <v>458</v>
      </c>
      <c r="C319" s="211"/>
      <c r="D319" s="203"/>
      <c r="E319" s="212"/>
      <c r="F319" s="365" t="s">
        <v>1</v>
      </c>
      <c r="G319" s="366" t="s">
        <v>552</v>
      </c>
      <c r="H319" s="361"/>
      <c r="I319" s="361"/>
      <c r="J319" s="361"/>
      <c r="K319" s="189"/>
      <c r="L319" s="189"/>
      <c r="M319" s="4"/>
      <c r="N319" s="4"/>
      <c r="O319" s="4"/>
      <c r="P319" s="4"/>
      <c r="Q319" s="1953"/>
      <c r="R319" s="1962"/>
      <c r="S319" s="1953">
        <f>+Q313-SUM(S314:T318)</f>
        <v>52000</v>
      </c>
      <c r="T319" s="1954"/>
      <c r="U319" s="4"/>
    </row>
    <row r="320" spans="1:21" x14ac:dyDescent="0.25">
      <c r="A320" s="4"/>
      <c r="B320" s="208"/>
      <c r="C320" s="367" t="s">
        <v>553</v>
      </c>
      <c r="D320" s="203"/>
      <c r="E320" s="212"/>
      <c r="F320" s="365"/>
      <c r="G320" s="368"/>
      <c r="H320" s="361"/>
      <c r="I320" s="361"/>
      <c r="J320" s="361"/>
      <c r="K320" s="189"/>
      <c r="L320" s="189"/>
      <c r="M320" s="4"/>
      <c r="N320" s="4"/>
      <c r="O320" s="4"/>
      <c r="P320" s="4"/>
      <c r="Q320" s="325"/>
      <c r="R320" s="356"/>
      <c r="S320" s="325"/>
      <c r="T320" s="326"/>
      <c r="U320" s="4"/>
    </row>
    <row r="321" spans="1:21" x14ac:dyDescent="0.25">
      <c r="B321" s="108">
        <v>13</v>
      </c>
      <c r="C321" s="2110" t="s">
        <v>21</v>
      </c>
      <c r="D321" s="2090"/>
      <c r="E321" s="2090"/>
      <c r="F321" s="2090"/>
      <c r="G321" s="2090"/>
      <c r="H321" s="2090"/>
      <c r="I321" s="331"/>
      <c r="J321" s="331"/>
      <c r="K321" s="331"/>
      <c r="L321" s="2090" t="s">
        <v>484</v>
      </c>
      <c r="M321" s="2090"/>
      <c r="N321" s="2090"/>
      <c r="O321" s="2090"/>
      <c r="P321" s="2092"/>
      <c r="Q321" s="1953"/>
      <c r="R321" s="1962"/>
      <c r="S321" s="1953"/>
      <c r="T321" s="1954"/>
      <c r="U321" s="4"/>
    </row>
    <row r="322" spans="1:21" x14ac:dyDescent="0.25">
      <c r="B322" s="208" t="s">
        <v>207</v>
      </c>
      <c r="C322" s="211" t="s">
        <v>489</v>
      </c>
      <c r="D322" s="203"/>
      <c r="E322" s="212"/>
      <c r="F322" s="203"/>
      <c r="G322" s="214"/>
      <c r="H322" s="189"/>
      <c r="I322" s="189"/>
      <c r="J322" s="189"/>
      <c r="K322" s="189"/>
      <c r="L322" s="189"/>
      <c r="M322" s="4"/>
      <c r="N322" s="4"/>
      <c r="O322" s="4"/>
      <c r="P322" s="4"/>
      <c r="Q322" s="2773">
        <f>+S316</f>
        <v>13000</v>
      </c>
      <c r="R322" s="2774"/>
      <c r="S322" s="1953"/>
      <c r="T322" s="1954"/>
      <c r="U322" s="4"/>
    </row>
    <row r="323" spans="1:21" x14ac:dyDescent="0.25">
      <c r="B323" s="208" t="s">
        <v>14</v>
      </c>
      <c r="C323" s="211"/>
      <c r="D323" s="203"/>
      <c r="E323" s="212"/>
      <c r="F323" s="20" t="s">
        <v>1</v>
      </c>
      <c r="G323" s="215" t="s">
        <v>22</v>
      </c>
      <c r="H323" s="189"/>
      <c r="I323" s="189"/>
      <c r="J323" s="189"/>
      <c r="K323" s="189"/>
      <c r="L323" s="189"/>
      <c r="M323" s="4"/>
      <c r="N323" s="4"/>
      <c r="O323" s="4"/>
      <c r="P323" s="4"/>
      <c r="Q323" s="1953"/>
      <c r="R323" s="1962"/>
      <c r="S323" s="1953">
        <f>+Q322</f>
        <v>13000</v>
      </c>
      <c r="T323" s="1954"/>
      <c r="U323" s="4"/>
    </row>
    <row r="324" spans="1:21" x14ac:dyDescent="0.25">
      <c r="B324" s="108">
        <v>14</v>
      </c>
      <c r="C324" s="2110" t="s">
        <v>21</v>
      </c>
      <c r="D324" s="2090"/>
      <c r="E324" s="2090"/>
      <c r="F324" s="2090"/>
      <c r="G324" s="2090"/>
      <c r="H324" s="2681"/>
      <c r="I324" s="2681"/>
      <c r="J324" s="2681"/>
      <c r="K324" s="2681"/>
      <c r="L324" s="2090" t="s">
        <v>436</v>
      </c>
      <c r="M324" s="2090"/>
      <c r="N324" s="2090"/>
      <c r="O324" s="2090"/>
      <c r="P324" s="2092"/>
      <c r="Q324" s="1953"/>
      <c r="R324" s="1962"/>
      <c r="S324" s="1953"/>
      <c r="T324" s="1954"/>
      <c r="U324" s="4"/>
    </row>
    <row r="325" spans="1:21" x14ac:dyDescent="0.25">
      <c r="B325" s="208" t="s">
        <v>207</v>
      </c>
      <c r="C325" s="211" t="s">
        <v>545</v>
      </c>
      <c r="D325" s="203"/>
      <c r="E325" s="212"/>
      <c r="F325" s="203"/>
      <c r="G325" s="214"/>
      <c r="H325" s="189"/>
      <c r="I325" s="189"/>
      <c r="J325" s="189"/>
      <c r="K325" s="189"/>
      <c r="L325" s="189"/>
      <c r="M325" s="4"/>
      <c r="N325" s="4"/>
      <c r="O325" s="4"/>
      <c r="P325" s="4"/>
      <c r="Q325" s="1953">
        <v>250000</v>
      </c>
      <c r="R325" s="1962"/>
      <c r="S325" s="1953"/>
      <c r="T325" s="1954"/>
      <c r="U325" s="4"/>
    </row>
    <row r="326" spans="1:21" x14ac:dyDescent="0.25">
      <c r="B326" s="208" t="s">
        <v>15</v>
      </c>
      <c r="C326" s="211" t="s">
        <v>299</v>
      </c>
      <c r="D326" s="203"/>
      <c r="E326" s="212"/>
      <c r="F326" s="203"/>
      <c r="G326" s="214"/>
      <c r="H326" s="189"/>
      <c r="I326" s="189"/>
      <c r="J326" s="189"/>
      <c r="K326" s="189"/>
      <c r="L326" s="189"/>
      <c r="M326" s="4"/>
      <c r="N326" s="4"/>
      <c r="O326" s="4"/>
      <c r="P326" s="4"/>
      <c r="Q326" s="1953">
        <f>+(S274-Q283-Q308)*0.36*(31/360)</f>
        <v>7750</v>
      </c>
      <c r="R326" s="1962"/>
      <c r="S326" s="325"/>
      <c r="T326" s="326"/>
      <c r="U326" s="4"/>
    </row>
    <row r="327" spans="1:21" x14ac:dyDescent="0.25">
      <c r="B327" s="208" t="s">
        <v>11</v>
      </c>
      <c r="C327" s="211" t="s">
        <v>13</v>
      </c>
      <c r="D327" s="203"/>
      <c r="E327" s="212"/>
      <c r="F327" s="203"/>
      <c r="G327" s="214"/>
      <c r="H327" s="189"/>
      <c r="I327" s="189"/>
      <c r="J327" s="189"/>
      <c r="K327" s="189"/>
      <c r="L327" s="189"/>
      <c r="M327" s="4"/>
      <c r="N327" s="4"/>
      <c r="O327" s="4"/>
      <c r="P327" s="4"/>
      <c r="Q327" s="2768">
        <f>+Q326*0.21</f>
        <v>1627.5</v>
      </c>
      <c r="R327" s="2769"/>
      <c r="S327" s="325"/>
      <c r="T327" s="326"/>
      <c r="U327" s="4"/>
    </row>
    <row r="328" spans="1:21" x14ac:dyDescent="0.25">
      <c r="B328" s="208" t="s">
        <v>14</v>
      </c>
      <c r="C328" s="222"/>
      <c r="D328" s="205"/>
      <c r="E328" s="223"/>
      <c r="F328" s="35" t="s">
        <v>1</v>
      </c>
      <c r="G328" s="226" t="s">
        <v>22</v>
      </c>
      <c r="H328" s="200"/>
      <c r="I328" s="200"/>
      <c r="J328" s="200"/>
      <c r="K328" s="200"/>
      <c r="L328" s="200"/>
      <c r="M328" s="3"/>
      <c r="N328" s="3"/>
      <c r="O328" s="3"/>
      <c r="P328" s="3"/>
      <c r="Q328" s="1956"/>
      <c r="R328" s="2770"/>
      <c r="S328" s="2771">
        <f>+SUM(Q325:R327)</f>
        <v>259377.5</v>
      </c>
      <c r="T328" s="2772"/>
      <c r="U328" s="4"/>
    </row>
    <row r="329" spans="1:21" x14ac:dyDescent="0.25">
      <c r="A329" s="4"/>
      <c r="B329" s="189"/>
      <c r="G329" s="51"/>
      <c r="H329" s="51"/>
      <c r="I329" s="51"/>
      <c r="J329" s="51"/>
      <c r="K329" s="51"/>
      <c r="L329" s="51"/>
      <c r="M329" s="4"/>
      <c r="N329" s="4"/>
      <c r="O329" s="369"/>
      <c r="P329" s="369"/>
      <c r="Q329" s="369"/>
      <c r="R329" s="369"/>
      <c r="S329" s="369"/>
      <c r="T329" s="18"/>
      <c r="U329" s="4"/>
    </row>
    <row r="330" spans="1:21" x14ac:dyDescent="0.25">
      <c r="A330" s="4"/>
      <c r="B330" s="370" t="s">
        <v>146</v>
      </c>
      <c r="G330" s="51"/>
      <c r="H330" s="51"/>
      <c r="I330" s="51"/>
      <c r="J330" s="51"/>
      <c r="K330" s="51"/>
      <c r="L330" s="51"/>
      <c r="M330" s="4"/>
      <c r="N330" s="4"/>
      <c r="O330" s="369"/>
      <c r="P330" s="369"/>
      <c r="Q330" s="369"/>
      <c r="R330" s="369"/>
      <c r="S330" s="369"/>
      <c r="T330" s="18"/>
      <c r="U330" s="4"/>
    </row>
    <row r="331" spans="1:21" x14ac:dyDescent="0.25">
      <c r="A331" s="4"/>
      <c r="B331" s="370"/>
      <c r="G331" s="51"/>
      <c r="H331" s="51"/>
      <c r="I331" s="51"/>
      <c r="J331" s="51"/>
      <c r="K331" s="51"/>
      <c r="L331" s="51"/>
      <c r="M331" s="4"/>
      <c r="N331" s="4"/>
      <c r="O331" s="369"/>
      <c r="P331" s="369"/>
      <c r="Q331" s="369"/>
      <c r="R331" s="369"/>
      <c r="S331" s="369"/>
      <c r="T331" s="18"/>
      <c r="U331" s="4"/>
    </row>
    <row r="332" spans="1:21" x14ac:dyDescent="0.25">
      <c r="B332" s="6" t="s">
        <v>148</v>
      </c>
      <c r="C332" s="136" t="s">
        <v>554</v>
      </c>
      <c r="I332" s="2"/>
      <c r="J332" s="2"/>
      <c r="K332" s="2"/>
      <c r="L332" s="2"/>
      <c r="M332" s="10"/>
      <c r="N332" s="10"/>
      <c r="O332" s="1920"/>
      <c r="P332" s="1920"/>
      <c r="Q332" s="1920"/>
      <c r="R332" s="1920"/>
      <c r="S332" s="1920"/>
    </row>
    <row r="333" spans="1:21" x14ac:dyDescent="0.25">
      <c r="B333" s="6"/>
      <c r="C333" s="136"/>
      <c r="I333" s="2"/>
      <c r="J333" s="2"/>
      <c r="K333" s="2"/>
      <c r="L333" s="2"/>
      <c r="M333" s="10"/>
      <c r="N333" s="10"/>
      <c r="O333" s="188"/>
      <c r="P333" s="188"/>
      <c r="Q333" s="188"/>
      <c r="R333" s="188"/>
      <c r="S333" s="188"/>
    </row>
    <row r="334" spans="1:21" x14ac:dyDescent="0.25">
      <c r="C334" s="4" t="s">
        <v>326</v>
      </c>
      <c r="F334" s="28" t="s">
        <v>327</v>
      </c>
      <c r="G334" s="12"/>
      <c r="L334" s="106" t="s">
        <v>555</v>
      </c>
      <c r="Q334" s="2230">
        <f>+S264*1.21</f>
        <v>605000</v>
      </c>
      <c r="R334" s="2230"/>
    </row>
    <row r="335" spans="1:21" x14ac:dyDescent="0.25">
      <c r="C335" s="4"/>
      <c r="F335" s="28" t="s">
        <v>556</v>
      </c>
      <c r="G335" s="12"/>
      <c r="L335" s="75" t="s">
        <v>557</v>
      </c>
      <c r="Q335" s="2230">
        <f>+Q334*0.16*(0.125)</f>
        <v>12100</v>
      </c>
      <c r="R335" s="2230"/>
    </row>
    <row r="336" spans="1:21" x14ac:dyDescent="0.25">
      <c r="C336" s="4"/>
      <c r="F336" s="28" t="s">
        <v>333</v>
      </c>
      <c r="G336" s="12"/>
      <c r="L336" s="75" t="s">
        <v>558</v>
      </c>
      <c r="Q336" s="2230">
        <f>+Q335*0.21</f>
        <v>2541</v>
      </c>
      <c r="R336" s="2230"/>
    </row>
    <row r="337" spans="2:21" x14ac:dyDescent="0.25">
      <c r="C337" s="4"/>
      <c r="F337" s="28" t="s">
        <v>335</v>
      </c>
      <c r="G337" s="12"/>
      <c r="L337" s="75" t="s">
        <v>336</v>
      </c>
      <c r="Q337" s="2045">
        <f>+Q334+Q335+Q336</f>
        <v>619641</v>
      </c>
      <c r="R337" s="2045"/>
    </row>
    <row r="338" spans="2:21" ht="15" customHeight="1" x14ac:dyDescent="0.25">
      <c r="C338" s="4" t="s">
        <v>559</v>
      </c>
      <c r="D338" s="4"/>
      <c r="E338" s="4"/>
      <c r="F338" s="199"/>
      <c r="L338" s="75" t="s">
        <v>560</v>
      </c>
      <c r="Q338" s="2466">
        <f>+Q335/45*27</f>
        <v>7260.0000000000009</v>
      </c>
      <c r="R338" s="2467"/>
    </row>
    <row r="339" spans="2:21" x14ac:dyDescent="0.25">
      <c r="C339" s="4" t="s">
        <v>561</v>
      </c>
      <c r="D339" s="371"/>
      <c r="E339" s="371"/>
      <c r="L339" s="75" t="s">
        <v>562</v>
      </c>
      <c r="Q339" s="2466">
        <f>+Q335-Q338</f>
        <v>4839.9999999999991</v>
      </c>
      <c r="R339" s="2467"/>
    </row>
    <row r="341" spans="2:21" x14ac:dyDescent="0.25">
      <c r="B341" s="6" t="s">
        <v>160</v>
      </c>
      <c r="C341" s="112" t="s">
        <v>563</v>
      </c>
    </row>
    <row r="342" spans="2:21" x14ac:dyDescent="0.25">
      <c r="I342" s="2766" t="s">
        <v>564</v>
      </c>
      <c r="J342" s="2766"/>
      <c r="K342" s="2766"/>
      <c r="L342" s="2766"/>
      <c r="M342" s="2767" t="s">
        <v>565</v>
      </c>
      <c r="N342" s="2767"/>
      <c r="O342" s="2766" t="s">
        <v>566</v>
      </c>
      <c r="P342" s="2766"/>
      <c r="Q342" s="2766"/>
      <c r="R342" s="2766"/>
    </row>
    <row r="343" spans="2:21" x14ac:dyDescent="0.25">
      <c r="C343" s="1931" t="s">
        <v>435</v>
      </c>
      <c r="D343" s="1931"/>
      <c r="E343" s="1931"/>
      <c r="F343" s="1931"/>
      <c r="G343" s="1931"/>
      <c r="I343" s="2763">
        <v>300000</v>
      </c>
      <c r="J343" s="2763"/>
      <c r="K343" s="2763"/>
      <c r="L343" s="2763"/>
      <c r="M343" s="2764">
        <f>+I343/I346</f>
        <v>0.75</v>
      </c>
      <c r="N343" s="2764"/>
      <c r="O343" s="2231">
        <f>+O346*M343</f>
        <v>412500</v>
      </c>
      <c r="P343" s="2231"/>
      <c r="Q343" s="2231"/>
      <c r="R343" s="2231"/>
    </row>
    <row r="344" spans="2:21" x14ac:dyDescent="0.25">
      <c r="C344" s="1931" t="s">
        <v>548</v>
      </c>
      <c r="D344" s="1931"/>
      <c r="E344" s="1931"/>
      <c r="F344" s="1931"/>
      <c r="G344" s="1931"/>
      <c r="I344" s="2762" t="s">
        <v>370</v>
      </c>
      <c r="J344" s="2762"/>
      <c r="K344" s="2762"/>
      <c r="L344" s="2762"/>
      <c r="M344" s="372">
        <v>0</v>
      </c>
      <c r="N344" s="372"/>
      <c r="O344" s="2231">
        <f>+O346-O343-O345</f>
        <v>37500</v>
      </c>
      <c r="P344" s="2231"/>
      <c r="Q344" s="2231"/>
      <c r="R344" s="2231"/>
    </row>
    <row r="345" spans="2:21" x14ac:dyDescent="0.25">
      <c r="C345" s="1931" t="s">
        <v>7</v>
      </c>
      <c r="D345" s="1931"/>
      <c r="E345" s="1931"/>
      <c r="F345" s="1931"/>
      <c r="G345" s="1931"/>
      <c r="I345" s="2763">
        <v>100000</v>
      </c>
      <c r="J345" s="2763"/>
      <c r="K345" s="2763"/>
      <c r="L345" s="2763"/>
      <c r="M345" s="2764">
        <f>+I345/I346</f>
        <v>0.25</v>
      </c>
      <c r="N345" s="2764"/>
      <c r="O345" s="2765">
        <f>+I345</f>
        <v>100000</v>
      </c>
      <c r="P345" s="2765"/>
      <c r="Q345" s="2765"/>
      <c r="R345" s="2765"/>
    </row>
    <row r="346" spans="2:21" ht="15.75" thickBot="1" x14ac:dyDescent="0.3">
      <c r="C346" s="1931" t="s">
        <v>396</v>
      </c>
      <c r="D346" s="1931"/>
      <c r="E346" s="1931"/>
      <c r="F346" s="1931"/>
      <c r="G346" s="1931"/>
      <c r="I346" s="2757">
        <f>+I343+I345</f>
        <v>400000</v>
      </c>
      <c r="J346" s="2757"/>
      <c r="K346" s="2757"/>
      <c r="L346" s="2757"/>
      <c r="M346" s="373"/>
      <c r="N346" s="373"/>
      <c r="O346" s="2757">
        <f>+I346+150000</f>
        <v>550000</v>
      </c>
      <c r="P346" s="2757"/>
      <c r="Q346" s="2757"/>
      <c r="R346" s="2757"/>
    </row>
    <row r="347" spans="2:21" ht="15.75" thickTop="1" x14ac:dyDescent="0.25">
      <c r="I347" s="374"/>
      <c r="J347" s="374"/>
      <c r="K347" s="374"/>
      <c r="L347" s="375"/>
      <c r="M347" s="259"/>
      <c r="N347" s="259"/>
    </row>
    <row r="348" spans="2:21" x14ac:dyDescent="0.25">
      <c r="I348" s="374"/>
      <c r="J348" s="2231"/>
      <c r="K348" s="2231"/>
      <c r="L348" s="2231"/>
      <c r="M348" s="2231"/>
      <c r="Q348" s="1920"/>
      <c r="R348" s="1920"/>
      <c r="S348" s="1920"/>
    </row>
    <row r="350" spans="2:21" x14ac:dyDescent="0.25">
      <c r="C350" s="2758" t="s">
        <v>567</v>
      </c>
      <c r="D350" s="2759"/>
      <c r="E350" s="2759"/>
      <c r="F350" s="2759"/>
      <c r="G350" s="2759"/>
      <c r="H350" s="2759"/>
      <c r="I350" s="2759"/>
      <c r="J350" s="2759"/>
      <c r="K350" s="2759"/>
      <c r="L350" s="2759"/>
      <c r="M350" s="2759"/>
      <c r="N350" s="2759"/>
      <c r="O350" s="2759"/>
      <c r="P350" s="2759"/>
      <c r="Q350" s="2759"/>
      <c r="R350" s="2759"/>
      <c r="S350" s="2759"/>
      <c r="T350" s="2760"/>
    </row>
    <row r="351" spans="2:21" x14ac:dyDescent="0.25">
      <c r="C351" s="2761"/>
      <c r="D351" s="1987"/>
      <c r="E351" s="1987"/>
      <c r="F351" s="1987"/>
      <c r="G351" s="1987"/>
      <c r="H351" s="1987"/>
      <c r="I351" s="1987"/>
      <c r="J351" s="1987"/>
      <c r="K351" s="1987"/>
      <c r="L351" s="1987"/>
      <c r="M351" s="1987"/>
      <c r="N351" s="1987"/>
      <c r="O351" s="1987"/>
      <c r="P351" s="1987"/>
      <c r="Q351" s="1987"/>
      <c r="R351" s="1987"/>
      <c r="S351" s="1987"/>
      <c r="T351" s="1988"/>
    </row>
    <row r="352" spans="2:21" x14ac:dyDescent="0.25">
      <c r="B352" s="189"/>
      <c r="C352" s="194"/>
      <c r="D352" s="194"/>
      <c r="E352" s="194"/>
      <c r="F352" s="194"/>
      <c r="G352" s="194"/>
      <c r="H352" s="194"/>
      <c r="I352" s="194"/>
      <c r="J352" s="194"/>
      <c r="K352" s="194"/>
      <c r="L352" s="194"/>
      <c r="M352" s="194"/>
      <c r="N352" s="194"/>
      <c r="O352" s="194"/>
      <c r="P352" s="194"/>
      <c r="Q352" s="194"/>
      <c r="R352" s="194"/>
      <c r="S352" s="194"/>
      <c r="T352" s="194"/>
      <c r="U352" s="4"/>
    </row>
  </sheetData>
  <sheetProtection algorithmName="SHA-512" hashValue="UdaO/IYwLH7dci/z6a9MlhdMwuK8sSygxwivHY1GCpbZnPJde8KSyefVWZGv7pmRAuKFK61KSPS7nNImADHUTw==" saltValue="p/Tq7B+N/b9nXFFebgH1nQ==" spinCount="100000" sheet="1" objects="1" scenarios="1"/>
  <mergeCells count="498">
    <mergeCell ref="J12:K12"/>
    <mergeCell ref="L13:M13"/>
    <mergeCell ref="C16:T19"/>
    <mergeCell ref="C21:T26"/>
    <mergeCell ref="C28:T31"/>
    <mergeCell ref="C33:T36"/>
    <mergeCell ref="A2:U2"/>
    <mergeCell ref="A3:U3"/>
    <mergeCell ref="J6:K6"/>
    <mergeCell ref="B7:C7"/>
    <mergeCell ref="L7:M7"/>
    <mergeCell ref="C8:T10"/>
    <mergeCell ref="C69:T78"/>
    <mergeCell ref="C80:T87"/>
    <mergeCell ref="C89:T94"/>
    <mergeCell ref="A102:U102"/>
    <mergeCell ref="A103:U103"/>
    <mergeCell ref="Q105:R105"/>
    <mergeCell ref="S105:T105"/>
    <mergeCell ref="C37:T39"/>
    <mergeCell ref="C41:T43"/>
    <mergeCell ref="C44:T48"/>
    <mergeCell ref="C52:T56"/>
    <mergeCell ref="C57:T60"/>
    <mergeCell ref="C62:T67"/>
    <mergeCell ref="Q106:R106"/>
    <mergeCell ref="S106:T106"/>
    <mergeCell ref="Q107:R107"/>
    <mergeCell ref="S107:T107"/>
    <mergeCell ref="C108:G108"/>
    <mergeCell ref="H108:K108"/>
    <mergeCell ref="L108:P108"/>
    <mergeCell ref="Q108:R108"/>
    <mergeCell ref="S108:T108"/>
    <mergeCell ref="C113:G113"/>
    <mergeCell ref="H113:K113"/>
    <mergeCell ref="L113:P113"/>
    <mergeCell ref="Q113:R113"/>
    <mergeCell ref="S113:T113"/>
    <mergeCell ref="Q114:R114"/>
    <mergeCell ref="S114:T114"/>
    <mergeCell ref="Q109:R109"/>
    <mergeCell ref="S109:T109"/>
    <mergeCell ref="Q110:R110"/>
    <mergeCell ref="S110:T110"/>
    <mergeCell ref="Q111:R111"/>
    <mergeCell ref="Q112:R112"/>
    <mergeCell ref="S112:T112"/>
    <mergeCell ref="Q115:R115"/>
    <mergeCell ref="S115:T115"/>
    <mergeCell ref="Q116:R116"/>
    <mergeCell ref="S116:T116"/>
    <mergeCell ref="C117:G117"/>
    <mergeCell ref="H117:K117"/>
    <mergeCell ref="L117:P117"/>
    <mergeCell ref="Q117:R117"/>
    <mergeCell ref="S117:T117"/>
    <mergeCell ref="Q118:R118"/>
    <mergeCell ref="S118:T118"/>
    <mergeCell ref="Q119:R119"/>
    <mergeCell ref="S119:T119"/>
    <mergeCell ref="C120:G120"/>
    <mergeCell ref="H120:K120"/>
    <mergeCell ref="L120:P120"/>
    <mergeCell ref="Q120:R120"/>
    <mergeCell ref="S120:T120"/>
    <mergeCell ref="C124:G124"/>
    <mergeCell ref="H124:K124"/>
    <mergeCell ref="L124:P124"/>
    <mergeCell ref="Q124:R124"/>
    <mergeCell ref="S124:T124"/>
    <mergeCell ref="Q125:R125"/>
    <mergeCell ref="S125:T125"/>
    <mergeCell ref="Q121:R121"/>
    <mergeCell ref="S121:T121"/>
    <mergeCell ref="Q122:R122"/>
    <mergeCell ref="S122:T122"/>
    <mergeCell ref="Q123:R123"/>
    <mergeCell ref="S123:T123"/>
    <mergeCell ref="Q126:R126"/>
    <mergeCell ref="Q127:R127"/>
    <mergeCell ref="Q128:R128"/>
    <mergeCell ref="S128:T128"/>
    <mergeCell ref="C129:G129"/>
    <mergeCell ref="H129:K129"/>
    <mergeCell ref="L129:P129"/>
    <mergeCell ref="Q129:R129"/>
    <mergeCell ref="S129:T129"/>
    <mergeCell ref="Q130:R130"/>
    <mergeCell ref="S130:T130"/>
    <mergeCell ref="Q131:R131"/>
    <mergeCell ref="S131:T131"/>
    <mergeCell ref="C132:G132"/>
    <mergeCell ref="H132:K132"/>
    <mergeCell ref="L132:P132"/>
    <mergeCell ref="Q132:R132"/>
    <mergeCell ref="S132:T132"/>
    <mergeCell ref="Q135:R135"/>
    <mergeCell ref="S135:T135"/>
    <mergeCell ref="Q136:R136"/>
    <mergeCell ref="Q137:R137"/>
    <mergeCell ref="Q138:R138"/>
    <mergeCell ref="S138:T138"/>
    <mergeCell ref="C133:P133"/>
    <mergeCell ref="Q133:R133"/>
    <mergeCell ref="S133:T133"/>
    <mergeCell ref="C134:G134"/>
    <mergeCell ref="H134:K134"/>
    <mergeCell ref="L134:P134"/>
    <mergeCell ref="Q134:R134"/>
    <mergeCell ref="S134:T134"/>
    <mergeCell ref="Q160:R160"/>
    <mergeCell ref="S160:T160"/>
    <mergeCell ref="Q161:R161"/>
    <mergeCell ref="S161:T161"/>
    <mergeCell ref="C162:H162"/>
    <mergeCell ref="L162:P162"/>
    <mergeCell ref="Q162:R162"/>
    <mergeCell ref="S162:T162"/>
    <mergeCell ref="Q151:R151"/>
    <mergeCell ref="S151:T151"/>
    <mergeCell ref="A153:U153"/>
    <mergeCell ref="A154:U154"/>
    <mergeCell ref="Q159:R159"/>
    <mergeCell ref="S159:T159"/>
    <mergeCell ref="Q166:R166"/>
    <mergeCell ref="S166:T166"/>
    <mergeCell ref="Q167:R167"/>
    <mergeCell ref="S167:T167"/>
    <mergeCell ref="C168:H168"/>
    <mergeCell ref="L168:P168"/>
    <mergeCell ref="Q168:R168"/>
    <mergeCell ref="S168:T168"/>
    <mergeCell ref="Q163:R163"/>
    <mergeCell ref="S163:T163"/>
    <mergeCell ref="Q164:R164"/>
    <mergeCell ref="S164:T164"/>
    <mergeCell ref="Q165:R165"/>
    <mergeCell ref="S165:T165"/>
    <mergeCell ref="Q172:R172"/>
    <mergeCell ref="S172:T172"/>
    <mergeCell ref="Q173:R173"/>
    <mergeCell ref="S173:T173"/>
    <mergeCell ref="Q174:R174"/>
    <mergeCell ref="S174:T174"/>
    <mergeCell ref="Q169:R169"/>
    <mergeCell ref="S169:T169"/>
    <mergeCell ref="Q170:R170"/>
    <mergeCell ref="S170:T170"/>
    <mergeCell ref="Q171:R171"/>
    <mergeCell ref="S171:T171"/>
    <mergeCell ref="Q175:R175"/>
    <mergeCell ref="S175:T175"/>
    <mergeCell ref="B180:T180"/>
    <mergeCell ref="B181:T181"/>
    <mergeCell ref="B182:T182"/>
    <mergeCell ref="B183:T183"/>
    <mergeCell ref="I187:J188"/>
    <mergeCell ref="K187:L188"/>
    <mergeCell ref="M187:N188"/>
    <mergeCell ref="O187:P188"/>
    <mergeCell ref="A185:D188"/>
    <mergeCell ref="E185:L185"/>
    <mergeCell ref="M185:R185"/>
    <mergeCell ref="S185:T188"/>
    <mergeCell ref="E186:H186"/>
    <mergeCell ref="I186:L186"/>
    <mergeCell ref="M186:P186"/>
    <mergeCell ref="Q186:R188"/>
    <mergeCell ref="E187:F188"/>
    <mergeCell ref="G187:H188"/>
    <mergeCell ref="S189:T189"/>
    <mergeCell ref="S192:T192"/>
    <mergeCell ref="S190:T190"/>
    <mergeCell ref="Q191:R191"/>
    <mergeCell ref="S191:T191"/>
    <mergeCell ref="E192:F192"/>
    <mergeCell ref="G192:H192"/>
    <mergeCell ref="I192:J192"/>
    <mergeCell ref="K192:L192"/>
    <mergeCell ref="O189:P189"/>
    <mergeCell ref="Q189:R189"/>
    <mergeCell ref="A189:D189"/>
    <mergeCell ref="E189:F189"/>
    <mergeCell ref="G189:H189"/>
    <mergeCell ref="I189:J189"/>
    <mergeCell ref="K189:L189"/>
    <mergeCell ref="M189:N189"/>
    <mergeCell ref="M192:N192"/>
    <mergeCell ref="O192:P192"/>
    <mergeCell ref="Q192:R192"/>
    <mergeCell ref="A190:D190"/>
    <mergeCell ref="E190:F190"/>
    <mergeCell ref="G190:H190"/>
    <mergeCell ref="I190:J190"/>
    <mergeCell ref="K190:L190"/>
    <mergeCell ref="M190:N190"/>
    <mergeCell ref="O190:P190"/>
    <mergeCell ref="Q190:R190"/>
    <mergeCell ref="E193:F193"/>
    <mergeCell ref="G193:H193"/>
    <mergeCell ref="I193:J193"/>
    <mergeCell ref="K193:L193"/>
    <mergeCell ref="M193:N193"/>
    <mergeCell ref="O193:P193"/>
    <mergeCell ref="Q193:R193"/>
    <mergeCell ref="S193:T193"/>
    <mergeCell ref="A191:D193"/>
    <mergeCell ref="E191:F191"/>
    <mergeCell ref="G191:H191"/>
    <mergeCell ref="I191:J191"/>
    <mergeCell ref="K191:L191"/>
    <mergeCell ref="M191:N191"/>
    <mergeCell ref="O191:P191"/>
    <mergeCell ref="S194:T194"/>
    <mergeCell ref="A195:D195"/>
    <mergeCell ref="E195:F195"/>
    <mergeCell ref="G195:H195"/>
    <mergeCell ref="I195:J195"/>
    <mergeCell ref="K195:L195"/>
    <mergeCell ref="M195:N195"/>
    <mergeCell ref="O195:P195"/>
    <mergeCell ref="Q195:R195"/>
    <mergeCell ref="S195:T195"/>
    <mergeCell ref="A194:D194"/>
    <mergeCell ref="E194:F194"/>
    <mergeCell ref="G194:H194"/>
    <mergeCell ref="I194:J194"/>
    <mergeCell ref="K194:L194"/>
    <mergeCell ref="M194:N194"/>
    <mergeCell ref="O194:P194"/>
    <mergeCell ref="Q194:R194"/>
    <mergeCell ref="O196:P196"/>
    <mergeCell ref="Q196:R196"/>
    <mergeCell ref="S196:T196"/>
    <mergeCell ref="A197:D197"/>
    <mergeCell ref="E197:F197"/>
    <mergeCell ref="G197:H197"/>
    <mergeCell ref="I197:J197"/>
    <mergeCell ref="K197:L197"/>
    <mergeCell ref="M197:N197"/>
    <mergeCell ref="O197:P197"/>
    <mergeCell ref="A196:D196"/>
    <mergeCell ref="E196:F196"/>
    <mergeCell ref="G196:H196"/>
    <mergeCell ref="I196:J196"/>
    <mergeCell ref="K196:L196"/>
    <mergeCell ref="M196:N196"/>
    <mergeCell ref="Q197:R197"/>
    <mergeCell ref="S197:T197"/>
    <mergeCell ref="A198:D198"/>
    <mergeCell ref="E198:F198"/>
    <mergeCell ref="G198:H198"/>
    <mergeCell ref="I198:J198"/>
    <mergeCell ref="K198:L198"/>
    <mergeCell ref="M198:N198"/>
    <mergeCell ref="O198:P198"/>
    <mergeCell ref="Q198:R198"/>
    <mergeCell ref="S198:T198"/>
    <mergeCell ref="A199:D199"/>
    <mergeCell ref="E199:F199"/>
    <mergeCell ref="G199:H199"/>
    <mergeCell ref="I199:J199"/>
    <mergeCell ref="K199:L199"/>
    <mergeCell ref="M199:N199"/>
    <mergeCell ref="O199:P199"/>
    <mergeCell ref="Q199:R199"/>
    <mergeCell ref="S199:T199"/>
    <mergeCell ref="K213:N213"/>
    <mergeCell ref="K214:N214"/>
    <mergeCell ref="K215:N215"/>
    <mergeCell ref="C219:F219"/>
    <mergeCell ref="G219:M219"/>
    <mergeCell ref="N219:P219"/>
    <mergeCell ref="A204:U204"/>
    <mergeCell ref="A205:U205"/>
    <mergeCell ref="K208:N208"/>
    <mergeCell ref="K209:N209"/>
    <mergeCell ref="K210:N210"/>
    <mergeCell ref="J211:M211"/>
    <mergeCell ref="C222:H222"/>
    <mergeCell ref="L222:P222"/>
    <mergeCell ref="Q222:R222"/>
    <mergeCell ref="S222:T222"/>
    <mergeCell ref="Q223:R223"/>
    <mergeCell ref="S223:T223"/>
    <mergeCell ref="Q219:R219"/>
    <mergeCell ref="S219:T219"/>
    <mergeCell ref="Q220:R220"/>
    <mergeCell ref="S220:T220"/>
    <mergeCell ref="Q221:R221"/>
    <mergeCell ref="S221:T221"/>
    <mergeCell ref="C227:H227"/>
    <mergeCell ref="L227:P227"/>
    <mergeCell ref="Q227:R227"/>
    <mergeCell ref="S227:T227"/>
    <mergeCell ref="Q228:R228"/>
    <mergeCell ref="S228:T228"/>
    <mergeCell ref="Q224:R224"/>
    <mergeCell ref="S224:T224"/>
    <mergeCell ref="Q225:R225"/>
    <mergeCell ref="S225:T225"/>
    <mergeCell ref="Q226:R226"/>
    <mergeCell ref="S226:T226"/>
    <mergeCell ref="Q229:R229"/>
    <mergeCell ref="S229:T229"/>
    <mergeCell ref="Q230:R230"/>
    <mergeCell ref="S230:T230"/>
    <mergeCell ref="C261:G261"/>
    <mergeCell ref="H261:K261"/>
    <mergeCell ref="L261:P261"/>
    <mergeCell ref="A254:U254"/>
    <mergeCell ref="A255:U255"/>
    <mergeCell ref="Q257:R257"/>
    <mergeCell ref="S257:T257"/>
    <mergeCell ref="Q258:R258"/>
    <mergeCell ref="S258:T258"/>
    <mergeCell ref="Q262:R262"/>
    <mergeCell ref="S262:T262"/>
    <mergeCell ref="S263:T263"/>
    <mergeCell ref="Q264:R264"/>
    <mergeCell ref="S264:T264"/>
    <mergeCell ref="Q265:R265"/>
    <mergeCell ref="S265:T265"/>
    <mergeCell ref="Q259:R259"/>
    <mergeCell ref="S259:T259"/>
    <mergeCell ref="Q260:R260"/>
    <mergeCell ref="S260:T260"/>
    <mergeCell ref="Q271:R271"/>
    <mergeCell ref="S271:T271"/>
    <mergeCell ref="Q272:R272"/>
    <mergeCell ref="S272:T272"/>
    <mergeCell ref="Q273:R273"/>
    <mergeCell ref="Q274:R274"/>
    <mergeCell ref="S274:T274"/>
    <mergeCell ref="C267:G267"/>
    <mergeCell ref="H267:K267"/>
    <mergeCell ref="L267:P267"/>
    <mergeCell ref="Q268:R268"/>
    <mergeCell ref="S269:T269"/>
    <mergeCell ref="C270:G270"/>
    <mergeCell ref="H270:K270"/>
    <mergeCell ref="L270:P270"/>
    <mergeCell ref="Q270:R270"/>
    <mergeCell ref="S270:T270"/>
    <mergeCell ref="Q277:R277"/>
    <mergeCell ref="S277:T277"/>
    <mergeCell ref="C278:G278"/>
    <mergeCell ref="H278:K278"/>
    <mergeCell ref="L278:P278"/>
    <mergeCell ref="Q278:R278"/>
    <mergeCell ref="S278:T278"/>
    <mergeCell ref="C275:G275"/>
    <mergeCell ref="H275:K275"/>
    <mergeCell ref="L275:P275"/>
    <mergeCell ref="Q275:R275"/>
    <mergeCell ref="S275:T275"/>
    <mergeCell ref="Q276:R276"/>
    <mergeCell ref="S276:T276"/>
    <mergeCell ref="Q279:R279"/>
    <mergeCell ref="S279:T279"/>
    <mergeCell ref="Q280:R280"/>
    <mergeCell ref="S280:T280"/>
    <mergeCell ref="C282:G282"/>
    <mergeCell ref="H282:K282"/>
    <mergeCell ref="L282:P282"/>
    <mergeCell ref="Q282:R282"/>
    <mergeCell ref="S282:T282"/>
    <mergeCell ref="C288:G288"/>
    <mergeCell ref="H288:K288"/>
    <mergeCell ref="L288:P288"/>
    <mergeCell ref="Q288:R288"/>
    <mergeCell ref="S288:T288"/>
    <mergeCell ref="Q289:R289"/>
    <mergeCell ref="S289:T289"/>
    <mergeCell ref="Q283:R283"/>
    <mergeCell ref="S283:T283"/>
    <mergeCell ref="Q284:R284"/>
    <mergeCell ref="Q285:R285"/>
    <mergeCell ref="S286:T286"/>
    <mergeCell ref="Q287:R287"/>
    <mergeCell ref="S287:T287"/>
    <mergeCell ref="Q293:R293"/>
    <mergeCell ref="S293:T293"/>
    <mergeCell ref="C294:G294"/>
    <mergeCell ref="H294:K294"/>
    <mergeCell ref="L294:P294"/>
    <mergeCell ref="Q294:R294"/>
    <mergeCell ref="S294:T294"/>
    <mergeCell ref="Q290:R290"/>
    <mergeCell ref="S290:T290"/>
    <mergeCell ref="Q291:R291"/>
    <mergeCell ref="S291:T291"/>
    <mergeCell ref="Q292:R292"/>
    <mergeCell ref="S292:T292"/>
    <mergeCell ref="C299:G299"/>
    <mergeCell ref="H299:K299"/>
    <mergeCell ref="L299:P299"/>
    <mergeCell ref="Q299:R299"/>
    <mergeCell ref="S299:T299"/>
    <mergeCell ref="Q300:R300"/>
    <mergeCell ref="S300:T300"/>
    <mergeCell ref="Q295:R295"/>
    <mergeCell ref="S295:T295"/>
    <mergeCell ref="Q296:R296"/>
    <mergeCell ref="S296:T296"/>
    <mergeCell ref="Q297:R297"/>
    <mergeCell ref="S297:T297"/>
    <mergeCell ref="C304:G304"/>
    <mergeCell ref="H304:K304"/>
    <mergeCell ref="L304:P304"/>
    <mergeCell ref="Q304:R304"/>
    <mergeCell ref="S304:T304"/>
    <mergeCell ref="Q305:R305"/>
    <mergeCell ref="S305:T305"/>
    <mergeCell ref="Q301:R301"/>
    <mergeCell ref="S301:T301"/>
    <mergeCell ref="C302:G302"/>
    <mergeCell ref="H302:K302"/>
    <mergeCell ref="L302:P302"/>
    <mergeCell ref="Q302:R302"/>
    <mergeCell ref="S302:T302"/>
    <mergeCell ref="Q308:R308"/>
    <mergeCell ref="S308:T308"/>
    <mergeCell ref="Q309:R309"/>
    <mergeCell ref="Q310:R310"/>
    <mergeCell ref="Q311:R311"/>
    <mergeCell ref="S311:T311"/>
    <mergeCell ref="Q306:R306"/>
    <mergeCell ref="S306:T306"/>
    <mergeCell ref="C307:G307"/>
    <mergeCell ref="H307:K307"/>
    <mergeCell ref="L307:P307"/>
    <mergeCell ref="Q307:R307"/>
    <mergeCell ref="S307:T307"/>
    <mergeCell ref="Q314:R314"/>
    <mergeCell ref="S314:T314"/>
    <mergeCell ref="Q315:R315"/>
    <mergeCell ref="S315:T315"/>
    <mergeCell ref="Q316:R316"/>
    <mergeCell ref="S316:T316"/>
    <mergeCell ref="C312:H312"/>
    <mergeCell ref="L312:P312"/>
    <mergeCell ref="Q312:R312"/>
    <mergeCell ref="S312:T312"/>
    <mergeCell ref="Q313:R313"/>
    <mergeCell ref="S313:T313"/>
    <mergeCell ref="C324:G324"/>
    <mergeCell ref="H324:K324"/>
    <mergeCell ref="L324:P324"/>
    <mergeCell ref="Q324:R324"/>
    <mergeCell ref="S324:T324"/>
    <mergeCell ref="S317:T317"/>
    <mergeCell ref="Q318:R318"/>
    <mergeCell ref="S318:T318"/>
    <mergeCell ref="Q319:R319"/>
    <mergeCell ref="S319:T319"/>
    <mergeCell ref="C321:H321"/>
    <mergeCell ref="L321:P321"/>
    <mergeCell ref="Q321:R321"/>
    <mergeCell ref="S321:T321"/>
    <mergeCell ref="Q325:R325"/>
    <mergeCell ref="S325:T325"/>
    <mergeCell ref="Q326:R326"/>
    <mergeCell ref="Q327:R327"/>
    <mergeCell ref="Q328:R328"/>
    <mergeCell ref="S328:T328"/>
    <mergeCell ref="Q322:R322"/>
    <mergeCell ref="S322:T322"/>
    <mergeCell ref="Q323:R323"/>
    <mergeCell ref="S323:T323"/>
    <mergeCell ref="Q339:R339"/>
    <mergeCell ref="I342:L342"/>
    <mergeCell ref="M342:N342"/>
    <mergeCell ref="O342:R342"/>
    <mergeCell ref="C343:G343"/>
    <mergeCell ref="I343:L343"/>
    <mergeCell ref="M343:N343"/>
    <mergeCell ref="O343:R343"/>
    <mergeCell ref="O332:S332"/>
    <mergeCell ref="Q334:R334"/>
    <mergeCell ref="Q335:R335"/>
    <mergeCell ref="Q336:R336"/>
    <mergeCell ref="Q337:R337"/>
    <mergeCell ref="Q338:R338"/>
    <mergeCell ref="C346:G346"/>
    <mergeCell ref="I346:L346"/>
    <mergeCell ref="O346:R346"/>
    <mergeCell ref="J348:M348"/>
    <mergeCell ref="Q348:S348"/>
    <mergeCell ref="C350:T351"/>
    <mergeCell ref="C344:G344"/>
    <mergeCell ref="I344:L344"/>
    <mergeCell ref="O344:R344"/>
    <mergeCell ref="C345:G345"/>
    <mergeCell ref="I345:L345"/>
    <mergeCell ref="M345:N345"/>
    <mergeCell ref="O345:R345"/>
  </mergeCells>
  <printOptions horizontalCentered="1"/>
  <pageMargins left="0.70866141732283472" right="1.1023622047244095" top="0.78740157480314965" bottom="0.78740157480314965"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 9: Financiación del negocio - Pasivo y P.N.</oddHeader>
    <oddFooter xml:space="preserve">&amp;C&amp;"Garamond,Normal"
</oddFooter>
  </headerFooter>
  <rowBreaks count="2" manualBreakCount="2">
    <brk id="100" max="20" man="1"/>
    <brk id="151"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89"/>
  <sheetViews>
    <sheetView view="pageBreakPreview" zoomScale="70" zoomScaleNormal="80" zoomScaleSheetLayoutView="70" workbookViewId="0">
      <selection activeCell="B2" sqref="B2:J19"/>
    </sheetView>
  </sheetViews>
  <sheetFormatPr baseColWidth="10" defaultColWidth="9.140625" defaultRowHeight="16.5" x14ac:dyDescent="0.25"/>
  <cols>
    <col min="1" max="1" width="1.7109375" style="376" customWidth="1"/>
    <col min="2" max="2" width="25.7109375" style="376" customWidth="1"/>
    <col min="3" max="4" width="12.42578125" style="377" bestFit="1" customWidth="1"/>
    <col min="5" max="9" width="11.7109375" style="377" customWidth="1"/>
    <col min="10" max="10" width="12.42578125" style="376" bestFit="1" customWidth="1"/>
    <col min="11" max="12" width="1.28515625" style="376" customWidth="1"/>
    <col min="13" max="13" width="5.42578125" style="376" bestFit="1" customWidth="1"/>
    <col min="14" max="14" width="17.42578125" style="376" customWidth="1"/>
    <col min="15" max="15" width="19.28515625" style="376" customWidth="1"/>
    <col min="16" max="17" width="9.42578125" style="376" bestFit="1" customWidth="1"/>
    <col min="18" max="18" width="0.7109375" style="376" customWidth="1"/>
    <col min="19" max="19" width="5.42578125" style="376" bestFit="1" customWidth="1"/>
    <col min="20" max="20" width="15.7109375" style="376" customWidth="1"/>
    <col min="21" max="21" width="30.42578125" style="376" bestFit="1" customWidth="1"/>
    <col min="22" max="23" width="9.42578125" style="376" bestFit="1" customWidth="1"/>
    <col min="24" max="24" width="3.42578125" style="376" customWidth="1"/>
    <col min="25" max="16384" width="9.140625" style="376"/>
  </cols>
  <sheetData>
    <row r="1" spans="1:12" x14ac:dyDescent="0.25">
      <c r="C1" s="376"/>
      <c r="D1" s="376"/>
    </row>
    <row r="2" spans="1:12" x14ac:dyDescent="0.25">
      <c r="A2" s="378"/>
      <c r="B2" s="2868" t="s">
        <v>2425</v>
      </c>
      <c r="C2" s="2868"/>
      <c r="D2" s="2868"/>
      <c r="E2" s="2868"/>
      <c r="F2" s="2868"/>
      <c r="G2" s="2868"/>
      <c r="H2" s="2868"/>
      <c r="I2" s="2868"/>
      <c r="J2" s="2868"/>
      <c r="K2" s="378"/>
      <c r="L2" s="378"/>
    </row>
    <row r="3" spans="1:12" x14ac:dyDescent="0.25">
      <c r="A3" s="378"/>
      <c r="B3" s="2868" t="s">
        <v>495</v>
      </c>
      <c r="C3" s="2868"/>
      <c r="D3" s="2868"/>
      <c r="E3" s="2868"/>
      <c r="F3" s="2868"/>
      <c r="G3" s="2868"/>
      <c r="H3" s="2868"/>
      <c r="I3" s="2868"/>
      <c r="J3" s="2868"/>
      <c r="K3" s="378"/>
      <c r="L3" s="378"/>
    </row>
    <row r="4" spans="1:12" x14ac:dyDescent="0.25">
      <c r="A4" s="378"/>
      <c r="B4" s="2869" t="s">
        <v>569</v>
      </c>
      <c r="C4" s="2869"/>
      <c r="D4" s="2869"/>
      <c r="E4" s="2869"/>
      <c r="F4" s="2869"/>
      <c r="G4" s="2869"/>
      <c r="H4" s="2869"/>
      <c r="I4" s="2869"/>
      <c r="J4" s="2869"/>
      <c r="K4" s="378"/>
      <c r="L4" s="378"/>
    </row>
    <row r="5" spans="1:12" x14ac:dyDescent="0.25">
      <c r="A5" s="378"/>
      <c r="B5" s="2870" t="s">
        <v>497</v>
      </c>
      <c r="C5" s="2870"/>
      <c r="D5" s="2870"/>
      <c r="E5" s="2870"/>
      <c r="F5" s="2870"/>
      <c r="G5" s="2870"/>
      <c r="H5" s="2870"/>
      <c r="I5" s="2870"/>
      <c r="J5" s="2870"/>
      <c r="K5" s="378"/>
      <c r="L5" s="378"/>
    </row>
    <row r="6" spans="1:12" x14ac:dyDescent="0.25">
      <c r="A6" s="378"/>
      <c r="B6" s="2871" t="s">
        <v>498</v>
      </c>
      <c r="C6" s="2871" t="s">
        <v>499</v>
      </c>
      <c r="D6" s="2871"/>
      <c r="E6" s="2871"/>
      <c r="F6" s="2871"/>
      <c r="G6" s="2871" t="s">
        <v>500</v>
      </c>
      <c r="H6" s="2871"/>
      <c r="I6" s="2871"/>
      <c r="J6" s="2871" t="s">
        <v>570</v>
      </c>
      <c r="K6" s="378"/>
      <c r="L6" s="378"/>
    </row>
    <row r="7" spans="1:12" ht="32.25" customHeight="1" x14ac:dyDescent="0.25">
      <c r="A7" s="378"/>
      <c r="B7" s="2871"/>
      <c r="C7" s="2872" t="s">
        <v>502</v>
      </c>
      <c r="D7" s="2873"/>
      <c r="E7" s="2874" t="s">
        <v>571</v>
      </c>
      <c r="F7" s="2874"/>
      <c r="G7" s="2874" t="s">
        <v>504</v>
      </c>
      <c r="H7" s="2874"/>
      <c r="I7" s="2874" t="s">
        <v>534</v>
      </c>
      <c r="J7" s="2871"/>
      <c r="K7" s="378"/>
      <c r="L7" s="378"/>
    </row>
    <row r="8" spans="1:12" ht="31.5" x14ac:dyDescent="0.25">
      <c r="A8" s="378"/>
      <c r="B8" s="2871"/>
      <c r="C8" s="379" t="s">
        <v>435</v>
      </c>
      <c r="D8" s="379" t="s">
        <v>572</v>
      </c>
      <c r="E8" s="379" t="s">
        <v>573</v>
      </c>
      <c r="F8" s="379" t="s">
        <v>483</v>
      </c>
      <c r="G8" s="379" t="s">
        <v>509</v>
      </c>
      <c r="H8" s="379" t="s">
        <v>574</v>
      </c>
      <c r="I8" s="2874"/>
      <c r="J8" s="2871"/>
      <c r="K8" s="378"/>
      <c r="L8" s="378"/>
    </row>
    <row r="9" spans="1:12" x14ac:dyDescent="0.25">
      <c r="A9" s="378"/>
      <c r="B9" s="380" t="s">
        <v>511</v>
      </c>
      <c r="C9" s="381">
        <v>400000</v>
      </c>
      <c r="D9" s="381">
        <v>450000</v>
      </c>
      <c r="E9" s="381">
        <v>0</v>
      </c>
      <c r="F9" s="381">
        <v>0</v>
      </c>
      <c r="G9" s="381">
        <v>80000</v>
      </c>
      <c r="H9" s="381">
        <v>25000</v>
      </c>
      <c r="I9" s="381">
        <v>300000</v>
      </c>
      <c r="J9" s="381">
        <v>1255000</v>
      </c>
      <c r="K9" s="378"/>
      <c r="L9" s="378"/>
    </row>
    <row r="10" spans="1:12" x14ac:dyDescent="0.25">
      <c r="A10" s="378"/>
      <c r="B10" s="382"/>
      <c r="C10" s="383"/>
      <c r="D10" s="383"/>
      <c r="E10" s="383"/>
      <c r="F10" s="383"/>
      <c r="G10" s="383"/>
      <c r="H10" s="383"/>
      <c r="I10" s="383"/>
      <c r="J10" s="384"/>
      <c r="K10" s="378"/>
      <c r="L10" s="378"/>
    </row>
    <row r="11" spans="1:12" x14ac:dyDescent="0.25">
      <c r="A11" s="378"/>
      <c r="B11" s="2867"/>
      <c r="C11" s="383"/>
      <c r="D11" s="383"/>
      <c r="E11" s="383"/>
      <c r="F11" s="383"/>
      <c r="G11" s="383"/>
      <c r="H11" s="383"/>
      <c r="I11" s="385"/>
      <c r="J11" s="384"/>
      <c r="K11" s="378"/>
      <c r="L11" s="378"/>
    </row>
    <row r="12" spans="1:12" x14ac:dyDescent="0.25">
      <c r="A12" s="378"/>
      <c r="B12" s="2867"/>
      <c r="C12" s="383"/>
      <c r="D12" s="383"/>
      <c r="E12" s="383"/>
      <c r="F12" s="383"/>
      <c r="G12" s="383"/>
      <c r="H12" s="383"/>
      <c r="I12" s="385"/>
      <c r="J12" s="384"/>
      <c r="K12" s="378"/>
      <c r="L12" s="378"/>
    </row>
    <row r="13" spans="1:12" x14ac:dyDescent="0.25">
      <c r="A13" s="378"/>
      <c r="B13" s="2867"/>
      <c r="C13" s="383"/>
      <c r="D13" s="383"/>
      <c r="E13" s="383"/>
      <c r="F13" s="383"/>
      <c r="G13" s="383"/>
      <c r="H13" s="383"/>
      <c r="I13" s="385"/>
      <c r="J13" s="384"/>
      <c r="K13" s="378"/>
      <c r="L13" s="378"/>
    </row>
    <row r="14" spans="1:12" x14ac:dyDescent="0.25">
      <c r="A14" s="378"/>
      <c r="B14" s="386"/>
      <c r="C14" s="383"/>
      <c r="D14" s="383"/>
      <c r="E14" s="383"/>
      <c r="F14" s="383"/>
      <c r="G14" s="383"/>
      <c r="H14" s="383"/>
      <c r="I14" s="385"/>
      <c r="J14" s="384"/>
      <c r="K14" s="378"/>
      <c r="L14" s="378"/>
    </row>
    <row r="15" spans="1:12" x14ac:dyDescent="0.25">
      <c r="A15" s="378"/>
      <c r="B15" s="387"/>
      <c r="C15" s="383"/>
      <c r="D15" s="383"/>
      <c r="E15" s="383"/>
      <c r="F15" s="383"/>
      <c r="G15" s="383"/>
      <c r="H15" s="383"/>
      <c r="I15" s="385"/>
      <c r="J15" s="384"/>
      <c r="K15" s="378"/>
      <c r="L15" s="378"/>
    </row>
    <row r="16" spans="1:12" x14ac:dyDescent="0.25">
      <c r="A16" s="378"/>
      <c r="B16" s="388"/>
      <c r="C16" s="383"/>
      <c r="D16" s="383"/>
      <c r="E16" s="383"/>
      <c r="F16" s="383"/>
      <c r="G16" s="383"/>
      <c r="H16" s="383"/>
      <c r="I16" s="385"/>
      <c r="J16" s="384"/>
      <c r="K16" s="378"/>
      <c r="L16" s="378"/>
    </row>
    <row r="17" spans="1:12" ht="17.25" thickBot="1" x14ac:dyDescent="0.3">
      <c r="A17" s="378"/>
      <c r="B17" s="389"/>
      <c r="C17" s="390"/>
      <c r="D17" s="390"/>
      <c r="E17" s="390"/>
      <c r="F17" s="390"/>
      <c r="G17" s="390"/>
      <c r="H17" s="390"/>
      <c r="I17" s="391"/>
      <c r="J17" s="392"/>
      <c r="K17" s="378"/>
      <c r="L17" s="378"/>
    </row>
    <row r="18" spans="1:12" ht="17.25" thickTop="1" x14ac:dyDescent="0.25">
      <c r="A18" s="378"/>
      <c r="B18" s="393" t="s">
        <v>518</v>
      </c>
      <c r="C18" s="394"/>
      <c r="D18" s="394"/>
      <c r="E18" s="394"/>
      <c r="F18" s="394"/>
      <c r="G18" s="394"/>
      <c r="H18" s="394"/>
      <c r="I18" s="394"/>
      <c r="J18" s="395"/>
      <c r="K18" s="378"/>
      <c r="L18" s="378"/>
    </row>
    <row r="19" spans="1:12" x14ac:dyDescent="0.25">
      <c r="A19" s="378"/>
      <c r="B19" s="378"/>
      <c r="C19" s="396"/>
      <c r="D19" s="396"/>
      <c r="E19" s="396"/>
      <c r="F19" s="396"/>
      <c r="G19" s="396"/>
      <c r="H19" s="396"/>
      <c r="I19" s="396"/>
      <c r="J19" s="378"/>
      <c r="K19" s="378"/>
      <c r="L19" s="378"/>
    </row>
    <row r="20" spans="1:12" x14ac:dyDescent="0.25">
      <c r="A20" s="378"/>
      <c r="B20" s="378"/>
      <c r="C20" s="396"/>
      <c r="D20" s="396"/>
      <c r="E20" s="396"/>
      <c r="F20" s="396"/>
      <c r="G20" s="396"/>
      <c r="H20" s="396"/>
      <c r="I20" s="396"/>
      <c r="J20" s="378"/>
      <c r="K20" s="378"/>
      <c r="L20" s="378"/>
    </row>
    <row r="21" spans="1:12" x14ac:dyDescent="0.25">
      <c r="B21" s="2868" t="s">
        <v>519</v>
      </c>
      <c r="C21" s="2868"/>
      <c r="D21" s="2868"/>
      <c r="E21" s="2868"/>
      <c r="F21" s="2868"/>
      <c r="G21" s="2868"/>
      <c r="H21" s="2868"/>
      <c r="I21" s="2868"/>
      <c r="J21" s="2868"/>
    </row>
    <row r="22" spans="1:12" x14ac:dyDescent="0.25">
      <c r="B22" s="2868" t="s">
        <v>495</v>
      </c>
      <c r="C22" s="2868"/>
      <c r="D22" s="2868"/>
      <c r="E22" s="2868"/>
      <c r="F22" s="2868"/>
      <c r="G22" s="2868"/>
      <c r="H22" s="2868"/>
      <c r="I22" s="2868"/>
      <c r="J22" s="2868"/>
    </row>
    <row r="23" spans="1:12" x14ac:dyDescent="0.25">
      <c r="B23" s="2869" t="s">
        <v>575</v>
      </c>
      <c r="C23" s="2869"/>
      <c r="D23" s="2869"/>
      <c r="E23" s="2869"/>
      <c r="F23" s="2869"/>
      <c r="G23" s="2869"/>
      <c r="H23" s="2869"/>
      <c r="I23" s="2869"/>
      <c r="J23" s="2869"/>
    </row>
    <row r="24" spans="1:12" x14ac:dyDescent="0.25">
      <c r="B24" s="2870" t="s">
        <v>497</v>
      </c>
      <c r="C24" s="2870"/>
      <c r="D24" s="2870"/>
      <c r="E24" s="2870"/>
      <c r="F24" s="2870"/>
      <c r="G24" s="2870"/>
      <c r="H24" s="2870"/>
      <c r="I24" s="2870"/>
      <c r="J24" s="2870"/>
    </row>
    <row r="25" spans="1:12" x14ac:dyDescent="0.25">
      <c r="B25" s="2871" t="s">
        <v>498</v>
      </c>
      <c r="C25" s="2871" t="s">
        <v>499</v>
      </c>
      <c r="D25" s="2871"/>
      <c r="E25" s="2871"/>
      <c r="F25" s="2871"/>
      <c r="G25" s="2871" t="s">
        <v>500</v>
      </c>
      <c r="H25" s="2871"/>
      <c r="I25" s="2871"/>
      <c r="J25" s="2871" t="s">
        <v>570</v>
      </c>
    </row>
    <row r="26" spans="1:12" ht="32.25" customHeight="1" x14ac:dyDescent="0.25">
      <c r="B26" s="2871"/>
      <c r="C26" s="2872" t="s">
        <v>502</v>
      </c>
      <c r="D26" s="2873"/>
      <c r="E26" s="2874" t="s">
        <v>571</v>
      </c>
      <c r="F26" s="2874"/>
      <c r="G26" s="2874" t="s">
        <v>504</v>
      </c>
      <c r="H26" s="2874"/>
      <c r="I26" s="2874" t="s">
        <v>534</v>
      </c>
      <c r="J26" s="2871"/>
    </row>
    <row r="27" spans="1:12" ht="31.5" x14ac:dyDescent="0.25">
      <c r="B27" s="2871"/>
      <c r="C27" s="379" t="s">
        <v>435</v>
      </c>
      <c r="D27" s="379" t="s">
        <v>572</v>
      </c>
      <c r="E27" s="379" t="s">
        <v>573</v>
      </c>
      <c r="F27" s="379" t="s">
        <v>483</v>
      </c>
      <c r="G27" s="379" t="s">
        <v>509</v>
      </c>
      <c r="H27" s="379" t="s">
        <v>574</v>
      </c>
      <c r="I27" s="2874"/>
      <c r="J27" s="2871"/>
    </row>
    <row r="28" spans="1:12" x14ac:dyDescent="0.25">
      <c r="B28" s="380" t="s">
        <v>511</v>
      </c>
      <c r="C28" s="397">
        <v>1000000</v>
      </c>
      <c r="D28" s="397">
        <v>10000000</v>
      </c>
      <c r="E28" s="397">
        <v>0</v>
      </c>
      <c r="F28" s="397">
        <v>0</v>
      </c>
      <c r="G28" s="397">
        <v>50000</v>
      </c>
      <c r="H28" s="397">
        <v>0</v>
      </c>
      <c r="I28" s="397">
        <v>1500000</v>
      </c>
      <c r="J28" s="397">
        <v>12550000</v>
      </c>
    </row>
    <row r="29" spans="1:12" ht="7.5" customHeight="1" x14ac:dyDescent="0.25">
      <c r="B29" s="382"/>
      <c r="C29" s="398"/>
      <c r="D29" s="398"/>
      <c r="E29" s="398"/>
      <c r="F29" s="398"/>
      <c r="G29" s="398"/>
      <c r="H29" s="398"/>
      <c r="I29" s="398"/>
      <c r="J29" s="399"/>
    </row>
    <row r="30" spans="1:12" x14ac:dyDescent="0.25">
      <c r="B30" s="2875" t="s">
        <v>576</v>
      </c>
      <c r="C30" s="398"/>
      <c r="D30" s="398"/>
      <c r="E30" s="398"/>
      <c r="F30" s="398"/>
      <c r="G30" s="398"/>
      <c r="H30" s="398"/>
      <c r="I30" s="400"/>
      <c r="J30" s="399"/>
    </row>
    <row r="31" spans="1:12" x14ac:dyDescent="0.25">
      <c r="B31" s="2875"/>
      <c r="C31" s="398"/>
      <c r="D31" s="398"/>
      <c r="E31" s="398"/>
      <c r="F31" s="398"/>
      <c r="G31" s="398"/>
      <c r="H31" s="398"/>
      <c r="I31" s="400"/>
      <c r="J31" s="399"/>
    </row>
    <row r="32" spans="1:12" x14ac:dyDescent="0.25">
      <c r="B32" s="2875"/>
      <c r="C32" s="398"/>
      <c r="D32" s="398"/>
      <c r="E32" s="398"/>
      <c r="F32" s="398"/>
      <c r="G32" s="398"/>
      <c r="H32" s="398"/>
      <c r="I32" s="400"/>
      <c r="J32" s="399"/>
    </row>
    <row r="33" spans="2:10" x14ac:dyDescent="0.25">
      <c r="B33" s="386" t="s">
        <v>577</v>
      </c>
      <c r="C33" s="398">
        <v>0</v>
      </c>
      <c r="D33" s="398">
        <v>0</v>
      </c>
      <c r="E33" s="398">
        <v>0</v>
      </c>
      <c r="F33" s="398">
        <v>0</v>
      </c>
      <c r="G33" s="398">
        <v>60000</v>
      </c>
      <c r="H33" s="398">
        <v>0</v>
      </c>
      <c r="I33" s="400">
        <v>-60000</v>
      </c>
      <c r="J33" s="399">
        <v>0</v>
      </c>
    </row>
    <row r="34" spans="2:10" x14ac:dyDescent="0.25">
      <c r="B34" s="387" t="s">
        <v>578</v>
      </c>
      <c r="C34" s="398">
        <v>0</v>
      </c>
      <c r="D34" s="398">
        <v>0</v>
      </c>
      <c r="E34" s="398">
        <v>0</v>
      </c>
      <c r="F34" s="398">
        <v>0</v>
      </c>
      <c r="G34" s="398">
        <v>0</v>
      </c>
      <c r="H34" s="398">
        <v>0</v>
      </c>
      <c r="I34" s="400">
        <v>-940000</v>
      </c>
      <c r="J34" s="399">
        <v>-940000</v>
      </c>
    </row>
    <row r="35" spans="2:10" x14ac:dyDescent="0.25">
      <c r="B35" s="387" t="s">
        <v>579</v>
      </c>
      <c r="C35" s="398">
        <v>300000</v>
      </c>
      <c r="D35" s="398">
        <v>0</v>
      </c>
      <c r="E35" s="398">
        <v>0</v>
      </c>
      <c r="F35" s="398">
        <v>0</v>
      </c>
      <c r="G35" s="398">
        <v>0</v>
      </c>
      <c r="H35" s="398">
        <v>0</v>
      </c>
      <c r="I35" s="400">
        <v>-300000</v>
      </c>
      <c r="J35" s="399">
        <v>0</v>
      </c>
    </row>
    <row r="36" spans="2:10" ht="7.5" customHeight="1" x14ac:dyDescent="0.25">
      <c r="B36" s="387"/>
      <c r="C36" s="398"/>
      <c r="D36" s="398"/>
      <c r="E36" s="398"/>
      <c r="F36" s="398"/>
      <c r="G36" s="398"/>
      <c r="H36" s="398"/>
      <c r="I36" s="400"/>
      <c r="J36" s="399"/>
    </row>
    <row r="37" spans="2:10" x14ac:dyDescent="0.25">
      <c r="B37" s="387" t="s">
        <v>580</v>
      </c>
      <c r="C37" s="398">
        <v>12600000</v>
      </c>
      <c r="D37" s="398"/>
      <c r="E37" s="398"/>
      <c r="F37" s="398"/>
      <c r="G37" s="398"/>
      <c r="H37" s="398"/>
      <c r="I37" s="400"/>
      <c r="J37" s="399">
        <v>12600000</v>
      </c>
    </row>
    <row r="38" spans="2:10" ht="7.5" customHeight="1" x14ac:dyDescent="0.25">
      <c r="B38" s="387"/>
      <c r="C38" s="398"/>
      <c r="D38" s="398"/>
      <c r="E38" s="398"/>
      <c r="F38" s="398"/>
      <c r="G38" s="398"/>
      <c r="H38" s="398"/>
      <c r="I38" s="400"/>
      <c r="J38" s="399"/>
    </row>
    <row r="39" spans="2:10" ht="17.25" thickBot="1" x14ac:dyDescent="0.3">
      <c r="B39" s="401" t="s">
        <v>581</v>
      </c>
      <c r="C39" s="402">
        <v>0</v>
      </c>
      <c r="D39" s="402">
        <v>0</v>
      </c>
      <c r="E39" s="402">
        <v>0</v>
      </c>
      <c r="F39" s="402">
        <v>0</v>
      </c>
      <c r="G39" s="402">
        <v>0</v>
      </c>
      <c r="H39" s="402">
        <v>0</v>
      </c>
      <c r="I39" s="403">
        <v>3300000</v>
      </c>
      <c r="J39" s="404">
        <v>3300000</v>
      </c>
    </row>
    <row r="40" spans="2:10" ht="17.25" thickTop="1" x14ac:dyDescent="0.25">
      <c r="B40" s="393" t="s">
        <v>518</v>
      </c>
      <c r="C40" s="405">
        <f>+SUM(C28:C39)</f>
        <v>13900000</v>
      </c>
      <c r="D40" s="405">
        <f t="shared" ref="D40:J40" si="0">+SUM(D28:D39)</f>
        <v>10000000</v>
      </c>
      <c r="E40" s="405">
        <f t="shared" si="0"/>
        <v>0</v>
      </c>
      <c r="F40" s="405">
        <f t="shared" si="0"/>
        <v>0</v>
      </c>
      <c r="G40" s="405">
        <f t="shared" si="0"/>
        <v>110000</v>
      </c>
      <c r="H40" s="405">
        <f t="shared" si="0"/>
        <v>0</v>
      </c>
      <c r="I40" s="405">
        <f t="shared" si="0"/>
        <v>3500000</v>
      </c>
      <c r="J40" s="405">
        <f t="shared" si="0"/>
        <v>27510000</v>
      </c>
    </row>
    <row r="41" spans="2:10" ht="12" customHeight="1" x14ac:dyDescent="0.25"/>
    <row r="42" spans="2:10" ht="12" customHeight="1" x14ac:dyDescent="0.25"/>
    <row r="43" spans="2:10" x14ac:dyDescent="0.25">
      <c r="B43" s="2868" t="s">
        <v>537</v>
      </c>
      <c r="C43" s="2868"/>
      <c r="D43" s="2868"/>
      <c r="E43" s="2868"/>
      <c r="F43" s="2868"/>
      <c r="G43" s="2868"/>
      <c r="H43" s="2868"/>
      <c r="I43" s="2868"/>
      <c r="J43" s="2868"/>
    </row>
    <row r="44" spans="2:10" x14ac:dyDescent="0.25">
      <c r="B44" s="2868" t="s">
        <v>495</v>
      </c>
      <c r="C44" s="2868"/>
      <c r="D44" s="2868"/>
      <c r="E44" s="2868"/>
      <c r="F44" s="2868"/>
      <c r="G44" s="2868"/>
      <c r="H44" s="2868"/>
      <c r="I44" s="2868"/>
      <c r="J44" s="2868"/>
    </row>
    <row r="45" spans="2:10" x14ac:dyDescent="0.25">
      <c r="B45" s="2869" t="s">
        <v>582</v>
      </c>
      <c r="C45" s="2869"/>
      <c r="D45" s="2869"/>
      <c r="E45" s="2869"/>
      <c r="F45" s="2869"/>
      <c r="G45" s="2869"/>
      <c r="H45" s="2869"/>
      <c r="I45" s="2869"/>
      <c r="J45" s="2869"/>
    </row>
    <row r="46" spans="2:10" x14ac:dyDescent="0.25">
      <c r="B46" s="2870" t="s">
        <v>497</v>
      </c>
      <c r="C46" s="2870"/>
      <c r="D46" s="2870"/>
      <c r="E46" s="2870"/>
      <c r="F46" s="2870"/>
      <c r="G46" s="2870"/>
      <c r="H46" s="2870"/>
      <c r="I46" s="2870"/>
      <c r="J46" s="2870"/>
    </row>
    <row r="47" spans="2:10" x14ac:dyDescent="0.25">
      <c r="B47" s="2871" t="s">
        <v>498</v>
      </c>
      <c r="C47" s="2871" t="s">
        <v>499</v>
      </c>
      <c r="D47" s="2871"/>
      <c r="E47" s="2871"/>
      <c r="F47" s="2871"/>
      <c r="G47" s="2871" t="s">
        <v>500</v>
      </c>
      <c r="H47" s="2871"/>
      <c r="I47" s="2871"/>
      <c r="J47" s="2871" t="s">
        <v>570</v>
      </c>
    </row>
    <row r="48" spans="2:10" ht="33" customHeight="1" x14ac:dyDescent="0.25">
      <c r="B48" s="2871"/>
      <c r="C48" s="2872" t="s">
        <v>502</v>
      </c>
      <c r="D48" s="2873"/>
      <c r="E48" s="2874" t="s">
        <v>571</v>
      </c>
      <c r="F48" s="2874"/>
      <c r="G48" s="2874" t="s">
        <v>504</v>
      </c>
      <c r="H48" s="2874"/>
      <c r="I48" s="2874" t="s">
        <v>534</v>
      </c>
      <c r="J48" s="2871"/>
    </row>
    <row r="49" spans="2:17" ht="31.5" x14ac:dyDescent="0.25">
      <c r="B49" s="2871"/>
      <c r="C49" s="379" t="s">
        <v>435</v>
      </c>
      <c r="D49" s="379" t="s">
        <v>572</v>
      </c>
      <c r="E49" s="379" t="s">
        <v>573</v>
      </c>
      <c r="F49" s="379" t="s">
        <v>483</v>
      </c>
      <c r="G49" s="379" t="s">
        <v>583</v>
      </c>
      <c r="H49" s="379" t="s">
        <v>487</v>
      </c>
      <c r="I49" s="2874"/>
      <c r="J49" s="2871"/>
    </row>
    <row r="50" spans="2:17" x14ac:dyDescent="0.25">
      <c r="B50" s="380" t="s">
        <v>511</v>
      </c>
      <c r="C50" s="397">
        <v>600000</v>
      </c>
      <c r="D50" s="397">
        <v>250000</v>
      </c>
      <c r="E50" s="397">
        <v>100000</v>
      </c>
      <c r="F50" s="397">
        <v>120000</v>
      </c>
      <c r="G50" s="397">
        <v>50000</v>
      </c>
      <c r="H50" s="397">
        <v>60000</v>
      </c>
      <c r="I50" s="397">
        <v>300000</v>
      </c>
      <c r="J50" s="397">
        <v>1480000</v>
      </c>
    </row>
    <row r="51" spans="2:17" ht="7.5" customHeight="1" x14ac:dyDescent="0.25">
      <c r="B51" s="382"/>
      <c r="C51" s="398"/>
      <c r="D51" s="398"/>
      <c r="E51" s="398"/>
      <c r="F51" s="398"/>
      <c r="G51" s="398"/>
      <c r="H51" s="398"/>
      <c r="I51" s="398"/>
      <c r="J51" s="399"/>
    </row>
    <row r="52" spans="2:17" x14ac:dyDescent="0.25">
      <c r="B52" s="388" t="s">
        <v>584</v>
      </c>
      <c r="C52" s="398">
        <v>300000</v>
      </c>
      <c r="D52" s="398">
        <v>0</v>
      </c>
      <c r="E52" s="398">
        <v>0</v>
      </c>
      <c r="F52" s="398">
        <v>120000</v>
      </c>
      <c r="G52" s="398">
        <v>0</v>
      </c>
      <c r="H52" s="398">
        <v>0</v>
      </c>
      <c r="I52" s="398">
        <v>0</v>
      </c>
      <c r="J52" s="398">
        <v>420000</v>
      </c>
    </row>
    <row r="53" spans="2:17" ht="7.5" customHeight="1" x14ac:dyDescent="0.25">
      <c r="B53" s="388"/>
      <c r="C53" s="398"/>
      <c r="D53" s="398"/>
      <c r="E53" s="398"/>
      <c r="F53" s="398"/>
      <c r="G53" s="398"/>
      <c r="H53" s="398"/>
      <c r="I53" s="400"/>
      <c r="J53" s="398"/>
    </row>
    <row r="54" spans="2:17" x14ac:dyDescent="0.25">
      <c r="B54" s="2875" t="s">
        <v>585</v>
      </c>
      <c r="C54" s="398"/>
      <c r="D54" s="398"/>
      <c r="E54" s="398"/>
      <c r="F54" s="398"/>
      <c r="G54" s="398"/>
      <c r="H54" s="398"/>
      <c r="I54" s="400"/>
      <c r="J54" s="399"/>
      <c r="M54" s="406" t="s">
        <v>485</v>
      </c>
      <c r="N54" s="2876" t="s">
        <v>486</v>
      </c>
      <c r="O54" s="2877"/>
      <c r="P54" s="407">
        <v>120000</v>
      </c>
      <c r="Q54" s="408"/>
    </row>
    <row r="55" spans="2:17" x14ac:dyDescent="0.25">
      <c r="B55" s="2875"/>
      <c r="C55" s="398"/>
      <c r="D55" s="398"/>
      <c r="E55" s="398"/>
      <c r="F55" s="398"/>
      <c r="G55" s="398"/>
      <c r="H55" s="398"/>
      <c r="I55" s="400"/>
      <c r="J55" s="399"/>
      <c r="M55" s="406" t="s">
        <v>458</v>
      </c>
      <c r="N55" s="409" t="s">
        <v>1</v>
      </c>
      <c r="O55" s="410" t="s">
        <v>487</v>
      </c>
      <c r="P55" s="411"/>
      <c r="Q55" s="412">
        <v>6000</v>
      </c>
    </row>
    <row r="56" spans="2:17" x14ac:dyDescent="0.25">
      <c r="B56" s="386" t="s">
        <v>577</v>
      </c>
      <c r="C56" s="398">
        <v>0</v>
      </c>
      <c r="D56" s="398">
        <v>0</v>
      </c>
      <c r="E56" s="398">
        <v>0</v>
      </c>
      <c r="F56" s="398">
        <v>0</v>
      </c>
      <c r="G56" s="398">
        <v>0</v>
      </c>
      <c r="H56" s="398">
        <v>6000</v>
      </c>
      <c r="I56" s="398">
        <v>-6000</v>
      </c>
      <c r="J56" s="398">
        <v>0</v>
      </c>
      <c r="M56" s="406" t="s">
        <v>458</v>
      </c>
      <c r="N56" s="409" t="s">
        <v>1</v>
      </c>
      <c r="O56" s="410" t="s">
        <v>583</v>
      </c>
      <c r="P56" s="411"/>
      <c r="Q56" s="412">
        <v>6000</v>
      </c>
    </row>
    <row r="57" spans="2:17" ht="31.5" x14ac:dyDescent="0.25">
      <c r="B57" s="387" t="s">
        <v>586</v>
      </c>
      <c r="C57" s="398">
        <v>0</v>
      </c>
      <c r="D57" s="398">
        <v>0</v>
      </c>
      <c r="E57" s="398">
        <v>0</v>
      </c>
      <c r="F57" s="398">
        <v>0</v>
      </c>
      <c r="G57" s="398">
        <v>6000</v>
      </c>
      <c r="H57" s="398">
        <v>0</v>
      </c>
      <c r="I57" s="398">
        <v>-6000</v>
      </c>
      <c r="J57" s="398">
        <v>0</v>
      </c>
      <c r="M57" s="406" t="s">
        <v>458</v>
      </c>
      <c r="N57" s="409" t="s">
        <v>1</v>
      </c>
      <c r="O57" s="410" t="s">
        <v>538</v>
      </c>
      <c r="P57" s="411"/>
      <c r="Q57" s="412">
        <v>24000</v>
      </c>
    </row>
    <row r="58" spans="2:17" ht="31.5" x14ac:dyDescent="0.25">
      <c r="B58" s="387" t="s">
        <v>578</v>
      </c>
      <c r="C58" s="398">
        <v>0</v>
      </c>
      <c r="D58" s="398">
        <v>0</v>
      </c>
      <c r="E58" s="398">
        <v>0</v>
      </c>
      <c r="F58" s="398">
        <v>0</v>
      </c>
      <c r="G58" s="398">
        <v>0</v>
      </c>
      <c r="H58" s="398">
        <v>0</v>
      </c>
      <c r="I58" s="398">
        <v>-24000</v>
      </c>
      <c r="J58" s="398">
        <v>-24000</v>
      </c>
      <c r="M58" s="406" t="s">
        <v>458</v>
      </c>
      <c r="N58" s="413" t="s">
        <v>1</v>
      </c>
      <c r="O58" s="414" t="s">
        <v>534</v>
      </c>
      <c r="P58" s="415"/>
      <c r="Q58" s="416">
        <v>84000</v>
      </c>
    </row>
    <row r="59" spans="2:17" x14ac:dyDescent="0.25">
      <c r="B59" s="387" t="s">
        <v>587</v>
      </c>
      <c r="C59" s="398">
        <v>0</v>
      </c>
      <c r="D59" s="398">
        <v>0</v>
      </c>
      <c r="E59" s="398">
        <v>0</v>
      </c>
      <c r="F59" s="398">
        <v>0</v>
      </c>
      <c r="G59" s="398">
        <v>0</v>
      </c>
      <c r="H59" s="398">
        <v>0</v>
      </c>
      <c r="I59" s="398">
        <v>-18000</v>
      </c>
      <c r="J59" s="398">
        <v>-18000</v>
      </c>
      <c r="M59" s="406"/>
      <c r="N59" s="417"/>
      <c r="O59" s="417"/>
      <c r="P59" s="418"/>
      <c r="Q59" s="418"/>
    </row>
    <row r="60" spans="2:17" ht="6.75" customHeight="1" x14ac:dyDescent="0.25">
      <c r="B60" s="387"/>
      <c r="C60" s="398"/>
      <c r="D60" s="398"/>
      <c r="E60" s="398"/>
      <c r="F60" s="398"/>
      <c r="G60" s="398"/>
      <c r="H60" s="398"/>
      <c r="I60" s="398"/>
      <c r="J60" s="399"/>
      <c r="M60" s="406"/>
      <c r="N60" s="417"/>
      <c r="O60" s="417"/>
      <c r="P60" s="418"/>
      <c r="Q60" s="418"/>
    </row>
    <row r="61" spans="2:17" ht="17.25" thickBot="1" x14ac:dyDescent="0.3">
      <c r="B61" s="401" t="s">
        <v>581</v>
      </c>
      <c r="C61" s="402">
        <v>0</v>
      </c>
      <c r="D61" s="402">
        <v>0</v>
      </c>
      <c r="E61" s="402">
        <v>0</v>
      </c>
      <c r="F61" s="402">
        <v>0</v>
      </c>
      <c r="G61" s="402">
        <v>0</v>
      </c>
      <c r="H61" s="402">
        <v>0</v>
      </c>
      <c r="I61" s="402">
        <v>214000</v>
      </c>
      <c r="J61" s="398">
        <v>214000</v>
      </c>
      <c r="M61" s="406" t="s">
        <v>11</v>
      </c>
      <c r="N61" s="2864" t="s">
        <v>456</v>
      </c>
      <c r="O61" s="2865"/>
      <c r="P61" s="407">
        <v>420000</v>
      </c>
      <c r="Q61" s="408"/>
    </row>
    <row r="62" spans="2:17" ht="17.25" thickTop="1" x14ac:dyDescent="0.25">
      <c r="B62" s="393" t="s">
        <v>518</v>
      </c>
      <c r="C62" s="405">
        <v>900000</v>
      </c>
      <c r="D62" s="405">
        <v>250000</v>
      </c>
      <c r="E62" s="405">
        <v>100000</v>
      </c>
      <c r="F62" s="405">
        <v>240000</v>
      </c>
      <c r="G62" s="405">
        <v>56000</v>
      </c>
      <c r="H62" s="405">
        <v>66000</v>
      </c>
      <c r="I62" s="405">
        <v>460000</v>
      </c>
      <c r="J62" s="405">
        <v>2072000</v>
      </c>
      <c r="M62" s="406" t="s">
        <v>458</v>
      </c>
      <c r="N62" s="413" t="s">
        <v>1</v>
      </c>
      <c r="O62" s="414" t="s">
        <v>435</v>
      </c>
      <c r="P62" s="415"/>
      <c r="Q62" s="416">
        <v>420000</v>
      </c>
    </row>
    <row r="65" spans="2:23" x14ac:dyDescent="0.25">
      <c r="B65" s="2868" t="s">
        <v>539</v>
      </c>
      <c r="C65" s="2868"/>
      <c r="D65" s="2868"/>
      <c r="E65" s="2868"/>
      <c r="F65" s="2868"/>
      <c r="G65" s="2868"/>
      <c r="H65" s="2868"/>
      <c r="I65" s="2868"/>
      <c r="J65" s="2868"/>
    </row>
    <row r="66" spans="2:23" x14ac:dyDescent="0.25">
      <c r="B66" s="2868" t="s">
        <v>495</v>
      </c>
      <c r="C66" s="2868"/>
      <c r="D66" s="2868"/>
      <c r="E66" s="2868"/>
      <c r="F66" s="2868"/>
      <c r="G66" s="2868"/>
      <c r="H66" s="2868"/>
      <c r="I66" s="2868"/>
      <c r="J66" s="2868"/>
    </row>
    <row r="67" spans="2:23" x14ac:dyDescent="0.25">
      <c r="B67" s="2869" t="s">
        <v>588</v>
      </c>
      <c r="C67" s="2869"/>
      <c r="D67" s="2869"/>
      <c r="E67" s="2869"/>
      <c r="F67" s="2869"/>
      <c r="G67" s="2869"/>
      <c r="H67" s="2869"/>
      <c r="I67" s="2869"/>
      <c r="J67" s="2869"/>
    </row>
    <row r="68" spans="2:23" x14ac:dyDescent="0.25">
      <c r="B68" s="2870" t="s">
        <v>497</v>
      </c>
      <c r="C68" s="2870"/>
      <c r="D68" s="2870"/>
      <c r="E68" s="2870"/>
      <c r="F68" s="2870"/>
      <c r="G68" s="2870"/>
      <c r="H68" s="2870"/>
      <c r="I68" s="2870"/>
      <c r="J68" s="2870"/>
    </row>
    <row r="69" spans="2:23" x14ac:dyDescent="0.25">
      <c r="B69" s="2871" t="s">
        <v>498</v>
      </c>
      <c r="C69" s="2871" t="s">
        <v>499</v>
      </c>
      <c r="D69" s="2871"/>
      <c r="E69" s="2871"/>
      <c r="F69" s="2871"/>
      <c r="G69" s="2871" t="s">
        <v>500</v>
      </c>
      <c r="H69" s="2871"/>
      <c r="I69" s="2871"/>
      <c r="J69" s="2871" t="s">
        <v>570</v>
      </c>
    </row>
    <row r="70" spans="2:23" ht="33" customHeight="1" x14ac:dyDescent="0.25">
      <c r="B70" s="2871"/>
      <c r="C70" s="2872" t="s">
        <v>502</v>
      </c>
      <c r="D70" s="2873"/>
      <c r="E70" s="2874" t="s">
        <v>571</v>
      </c>
      <c r="F70" s="2874"/>
      <c r="G70" s="2874" t="s">
        <v>504</v>
      </c>
      <c r="H70" s="2874"/>
      <c r="I70" s="2874" t="s">
        <v>534</v>
      </c>
      <c r="J70" s="2871"/>
      <c r="M70" s="378"/>
      <c r="N70" s="378"/>
      <c r="O70" s="378"/>
      <c r="P70" s="378"/>
      <c r="Q70" s="378"/>
      <c r="R70" s="378"/>
    </row>
    <row r="71" spans="2:23" ht="31.5" x14ac:dyDescent="0.25">
      <c r="B71" s="2871"/>
      <c r="C71" s="379" t="s">
        <v>435</v>
      </c>
      <c r="D71" s="379" t="s">
        <v>572</v>
      </c>
      <c r="E71" s="379" t="s">
        <v>573</v>
      </c>
      <c r="F71" s="379" t="s">
        <v>483</v>
      </c>
      <c r="G71" s="379" t="s">
        <v>509</v>
      </c>
      <c r="H71" s="379" t="s">
        <v>574</v>
      </c>
      <c r="I71" s="2874"/>
      <c r="J71" s="2871"/>
      <c r="M71" s="419" t="s">
        <v>589</v>
      </c>
      <c r="N71" s="420" t="s">
        <v>590</v>
      </c>
      <c r="O71" s="378"/>
      <c r="P71" s="378"/>
      <c r="Q71" s="378"/>
      <c r="R71" s="378"/>
      <c r="S71" s="419" t="s">
        <v>591</v>
      </c>
      <c r="T71" s="420" t="s">
        <v>592</v>
      </c>
      <c r="U71" s="378"/>
      <c r="V71" s="421"/>
      <c r="W71" s="421"/>
    </row>
    <row r="72" spans="2:23" x14ac:dyDescent="0.25">
      <c r="B72" s="380" t="s">
        <v>511</v>
      </c>
      <c r="C72" s="381">
        <v>700000</v>
      </c>
      <c r="D72" s="381"/>
      <c r="E72" s="381"/>
      <c r="F72" s="381">
        <v>70000</v>
      </c>
      <c r="G72" s="381">
        <v>10000</v>
      </c>
      <c r="H72" s="381">
        <v>18000</v>
      </c>
      <c r="I72" s="381">
        <v>460000</v>
      </c>
      <c r="J72" s="381">
        <f>+SUM(C72:I72)</f>
        <v>1258000</v>
      </c>
      <c r="M72" s="396" t="s">
        <v>207</v>
      </c>
      <c r="N72" s="2864" t="s">
        <v>593</v>
      </c>
      <c r="O72" s="2865"/>
      <c r="P72" s="407">
        <v>20000</v>
      </c>
      <c r="Q72" s="408"/>
      <c r="R72" s="378"/>
      <c r="S72" s="396" t="s">
        <v>485</v>
      </c>
      <c r="T72" s="2864" t="s">
        <v>486</v>
      </c>
      <c r="U72" s="2866"/>
      <c r="V72" s="407">
        <v>380000</v>
      </c>
      <c r="W72" s="407"/>
    </row>
    <row r="73" spans="2:23" x14ac:dyDescent="0.25">
      <c r="B73" s="382"/>
      <c r="C73" s="383"/>
      <c r="D73" s="383"/>
      <c r="E73" s="383"/>
      <c r="F73" s="383"/>
      <c r="G73" s="383"/>
      <c r="H73" s="383"/>
      <c r="I73" s="383"/>
      <c r="J73" s="384"/>
      <c r="M73" s="396" t="s">
        <v>14</v>
      </c>
      <c r="N73" s="413" t="s">
        <v>1</v>
      </c>
      <c r="O73" s="414" t="s">
        <v>433</v>
      </c>
      <c r="P73" s="415"/>
      <c r="Q73" s="416">
        <f>+P72</f>
        <v>20000</v>
      </c>
      <c r="R73" s="378"/>
      <c r="S73" s="396" t="s">
        <v>17</v>
      </c>
      <c r="T73" s="409" t="s">
        <v>1</v>
      </c>
      <c r="U73" s="422" t="s">
        <v>489</v>
      </c>
      <c r="V73" s="423"/>
      <c r="W73" s="423">
        <v>57000</v>
      </c>
    </row>
    <row r="74" spans="2:23" x14ac:dyDescent="0.25">
      <c r="B74" s="2867"/>
      <c r="C74" s="383"/>
      <c r="D74" s="383"/>
      <c r="E74" s="383"/>
      <c r="F74" s="383"/>
      <c r="G74" s="383"/>
      <c r="H74" s="383"/>
      <c r="I74" s="385"/>
      <c r="J74" s="384"/>
      <c r="M74" s="419" t="s">
        <v>594</v>
      </c>
      <c r="N74" s="424" t="s">
        <v>595</v>
      </c>
      <c r="O74" s="378"/>
      <c r="P74" s="421"/>
      <c r="Q74" s="421"/>
      <c r="R74" s="378"/>
      <c r="S74" s="396" t="s">
        <v>458</v>
      </c>
      <c r="T74" s="409" t="s">
        <v>1</v>
      </c>
      <c r="U74" s="422" t="s">
        <v>487</v>
      </c>
      <c r="V74" s="423"/>
      <c r="W74" s="423">
        <v>19000</v>
      </c>
    </row>
    <row r="75" spans="2:23" x14ac:dyDescent="0.25">
      <c r="B75" s="2867"/>
      <c r="C75" s="383"/>
      <c r="D75" s="383"/>
      <c r="E75" s="383"/>
      <c r="F75" s="383"/>
      <c r="G75" s="383"/>
      <c r="H75" s="383"/>
      <c r="I75" s="385"/>
      <c r="J75" s="384"/>
      <c r="M75" s="396" t="s">
        <v>11</v>
      </c>
      <c r="N75" s="2864" t="s">
        <v>227</v>
      </c>
      <c r="O75" s="2866"/>
      <c r="P75" s="408">
        <v>90000</v>
      </c>
      <c r="Q75" s="407"/>
      <c r="R75" s="378"/>
      <c r="S75" s="425" t="s">
        <v>458</v>
      </c>
      <c r="T75" s="409" t="s">
        <v>1</v>
      </c>
      <c r="U75" s="426" t="s">
        <v>596</v>
      </c>
      <c r="V75" s="423"/>
      <c r="W75" s="423">
        <v>76000</v>
      </c>
    </row>
    <row r="76" spans="2:23" x14ac:dyDescent="0.25">
      <c r="B76" s="2867"/>
      <c r="C76" s="383"/>
      <c r="D76" s="383"/>
      <c r="E76" s="383"/>
      <c r="F76" s="383"/>
      <c r="G76" s="383"/>
      <c r="H76" s="383"/>
      <c r="I76" s="385"/>
      <c r="J76" s="384"/>
      <c r="M76" s="396" t="s">
        <v>458</v>
      </c>
      <c r="N76" s="409" t="s">
        <v>1</v>
      </c>
      <c r="O76" s="422" t="s">
        <v>483</v>
      </c>
      <c r="P76" s="427"/>
      <c r="Q76" s="423">
        <v>30000</v>
      </c>
      <c r="R76" s="378"/>
      <c r="S76" s="396" t="s">
        <v>458</v>
      </c>
      <c r="T76" s="413" t="s">
        <v>1</v>
      </c>
      <c r="U76" s="428" t="s">
        <v>534</v>
      </c>
      <c r="V76" s="415"/>
      <c r="W76" s="415">
        <v>228000</v>
      </c>
    </row>
    <row r="77" spans="2:23" x14ac:dyDescent="0.25">
      <c r="B77" s="386"/>
      <c r="C77" s="383"/>
      <c r="D77" s="383"/>
      <c r="E77" s="383"/>
      <c r="F77" s="383"/>
      <c r="G77" s="383"/>
      <c r="H77" s="383"/>
      <c r="I77" s="385"/>
      <c r="J77" s="384"/>
      <c r="M77" s="396" t="s">
        <v>458</v>
      </c>
      <c r="N77" s="413" t="s">
        <v>1</v>
      </c>
      <c r="O77" s="428" t="s">
        <v>435</v>
      </c>
      <c r="P77" s="416"/>
      <c r="Q77" s="415">
        <v>60000</v>
      </c>
      <c r="R77" s="378"/>
      <c r="S77" s="419" t="s">
        <v>597</v>
      </c>
      <c r="T77" s="420" t="s">
        <v>598</v>
      </c>
      <c r="U77" s="378"/>
      <c r="V77" s="421"/>
      <c r="W77" s="421"/>
    </row>
    <row r="78" spans="2:23" x14ac:dyDescent="0.25">
      <c r="B78" s="387"/>
      <c r="C78" s="383"/>
      <c r="D78" s="383"/>
      <c r="E78" s="383"/>
      <c r="F78" s="383"/>
      <c r="G78" s="383"/>
      <c r="H78" s="383"/>
      <c r="I78" s="385"/>
      <c r="J78" s="384"/>
      <c r="R78" s="378"/>
      <c r="S78" s="396" t="s">
        <v>11</v>
      </c>
      <c r="T78" s="429" t="s">
        <v>10</v>
      </c>
      <c r="U78" s="430"/>
      <c r="V78" s="407">
        <v>40000</v>
      </c>
      <c r="W78" s="408"/>
    </row>
    <row r="79" spans="2:23" x14ac:dyDescent="0.25">
      <c r="B79" s="388"/>
      <c r="C79" s="383"/>
      <c r="D79" s="383"/>
      <c r="E79" s="383"/>
      <c r="F79" s="383"/>
      <c r="G79" s="383"/>
      <c r="H79" s="383"/>
      <c r="I79" s="385"/>
      <c r="J79" s="384"/>
      <c r="R79" s="378"/>
      <c r="S79" s="396" t="s">
        <v>458</v>
      </c>
      <c r="T79" s="413" t="s">
        <v>1</v>
      </c>
      <c r="U79" s="414" t="s">
        <v>599</v>
      </c>
      <c r="V79" s="415"/>
      <c r="W79" s="416">
        <v>40000</v>
      </c>
    </row>
    <row r="80" spans="2:23" x14ac:dyDescent="0.25">
      <c r="B80" s="388"/>
      <c r="C80" s="383"/>
      <c r="D80" s="383"/>
      <c r="E80" s="383"/>
      <c r="F80" s="383"/>
      <c r="G80" s="383"/>
      <c r="H80" s="383"/>
      <c r="I80" s="385"/>
      <c r="J80" s="384"/>
      <c r="R80" s="378"/>
      <c r="S80" s="396"/>
      <c r="T80" s="431"/>
      <c r="U80" s="410"/>
      <c r="V80" s="432"/>
      <c r="W80" s="432"/>
    </row>
    <row r="81" spans="2:23" x14ac:dyDescent="0.25">
      <c r="B81" s="388"/>
      <c r="C81" s="383"/>
      <c r="D81" s="383"/>
      <c r="E81" s="383"/>
      <c r="F81" s="383"/>
      <c r="G81" s="383"/>
      <c r="H81" s="383"/>
      <c r="I81" s="385"/>
      <c r="J81" s="384"/>
      <c r="R81" s="378"/>
      <c r="S81" s="396"/>
      <c r="T81" s="431"/>
      <c r="U81" s="410"/>
      <c r="V81" s="432"/>
      <c r="W81" s="432"/>
    </row>
    <row r="82" spans="2:23" ht="17.25" thickBot="1" x14ac:dyDescent="0.3">
      <c r="B82" s="389"/>
      <c r="C82" s="390"/>
      <c r="D82" s="390"/>
      <c r="E82" s="390"/>
      <c r="F82" s="390"/>
      <c r="G82" s="390"/>
      <c r="H82" s="390"/>
      <c r="I82" s="391"/>
      <c r="J82" s="392"/>
      <c r="N82" s="433">
        <f>50000*0.05</f>
        <v>2500</v>
      </c>
      <c r="R82" s="378"/>
    </row>
    <row r="83" spans="2:23" ht="17.25" thickTop="1" x14ac:dyDescent="0.25">
      <c r="B83" s="393" t="s">
        <v>518</v>
      </c>
      <c r="C83" s="394"/>
      <c r="D83" s="394"/>
      <c r="E83" s="394"/>
      <c r="F83" s="394"/>
      <c r="G83" s="394"/>
      <c r="H83" s="394"/>
      <c r="I83" s="394"/>
      <c r="J83" s="395"/>
      <c r="R83" s="378"/>
    </row>
    <row r="84" spans="2:23" x14ac:dyDescent="0.25">
      <c r="R84" s="378"/>
    </row>
    <row r="85" spans="2:23" x14ac:dyDescent="0.25">
      <c r="R85" s="378"/>
    </row>
    <row r="86" spans="2:23" ht="18" x14ac:dyDescent="0.25">
      <c r="R86" s="434"/>
    </row>
    <row r="87" spans="2:23" ht="18" x14ac:dyDescent="0.25">
      <c r="R87" s="434"/>
    </row>
    <row r="88" spans="2:23" ht="18" x14ac:dyDescent="0.25">
      <c r="R88" s="434"/>
    </row>
    <row r="89" spans="2:23" ht="18" x14ac:dyDescent="0.25">
      <c r="R89" s="434"/>
    </row>
  </sheetData>
  <mergeCells count="57">
    <mergeCell ref="B22:J22"/>
    <mergeCell ref="B2:J2"/>
    <mergeCell ref="B3:J3"/>
    <mergeCell ref="B4:J4"/>
    <mergeCell ref="B5:J5"/>
    <mergeCell ref="B6:B8"/>
    <mergeCell ref="C6:F6"/>
    <mergeCell ref="G6:I6"/>
    <mergeCell ref="J6:J8"/>
    <mergeCell ref="C7:D7"/>
    <mergeCell ref="E7:F7"/>
    <mergeCell ref="G7:H7"/>
    <mergeCell ref="I7:I8"/>
    <mergeCell ref="B11:B13"/>
    <mergeCell ref="B21:J21"/>
    <mergeCell ref="B23:J23"/>
    <mergeCell ref="B24:J24"/>
    <mergeCell ref="B25:B27"/>
    <mergeCell ref="C25:F25"/>
    <mergeCell ref="G25:I25"/>
    <mergeCell ref="J25:J27"/>
    <mergeCell ref="C26:D26"/>
    <mergeCell ref="E26:F26"/>
    <mergeCell ref="G26:H26"/>
    <mergeCell ref="I26:I27"/>
    <mergeCell ref="N61:O61"/>
    <mergeCell ref="B30:B32"/>
    <mergeCell ref="B43:J43"/>
    <mergeCell ref="B44:J44"/>
    <mergeCell ref="B45:J45"/>
    <mergeCell ref="B46:J46"/>
    <mergeCell ref="B47:B49"/>
    <mergeCell ref="C47:F47"/>
    <mergeCell ref="G47:I47"/>
    <mergeCell ref="J47:J49"/>
    <mergeCell ref="C48:D48"/>
    <mergeCell ref="E48:F48"/>
    <mergeCell ref="G48:H48"/>
    <mergeCell ref="I48:I49"/>
    <mergeCell ref="B54:B55"/>
    <mergeCell ref="N54:O54"/>
    <mergeCell ref="N72:O72"/>
    <mergeCell ref="T72:U72"/>
    <mergeCell ref="B74:B76"/>
    <mergeCell ref="N75:O75"/>
    <mergeCell ref="B65:J65"/>
    <mergeCell ref="B66:J66"/>
    <mergeCell ref="B67:J67"/>
    <mergeCell ref="B68:J68"/>
    <mergeCell ref="B69:B71"/>
    <mergeCell ref="C69:F69"/>
    <mergeCell ref="G69:I69"/>
    <mergeCell ref="J69:J71"/>
    <mergeCell ref="C70:D70"/>
    <mergeCell ref="E70:F70"/>
    <mergeCell ref="G70:H70"/>
    <mergeCell ref="I70:I71"/>
  </mergeCells>
  <pageMargins left="0.7" right="0.7" top="0.75" bottom="0.75" header="0.3" footer="0.3"/>
  <pageSetup scale="66" orientation="portrait" r:id="rId1"/>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249977111117893"/>
  </sheetPr>
  <dimension ref="A1:Q406"/>
  <sheetViews>
    <sheetView showGridLines="0" view="pageLayout" zoomScaleNormal="100" zoomScaleSheetLayoutView="50" workbookViewId="0"/>
  </sheetViews>
  <sheetFormatPr baseColWidth="10" defaultColWidth="9.140625" defaultRowHeight="15" x14ac:dyDescent="0.25"/>
  <cols>
    <col min="1" max="1" width="0.7109375" style="2" customWidth="1"/>
    <col min="2" max="2" width="5.28515625" style="7" bestFit="1" customWidth="1"/>
    <col min="3" max="6" width="5.42578125" style="12" customWidth="1"/>
    <col min="7" max="8" width="5.42578125" style="27" customWidth="1"/>
    <col min="9" max="12" width="5.42578125" style="2" customWidth="1"/>
    <col min="13" max="14" width="5.42578125" style="10" customWidth="1"/>
    <col min="15" max="16" width="5.28515625" style="10" customWidth="1"/>
    <col min="17" max="17" width="0.42578125" style="2" customWidth="1"/>
    <col min="18" max="18" width="12" style="2" bestFit="1" customWidth="1"/>
    <col min="19" max="19" width="9.140625" style="2"/>
    <col min="20" max="20" width="12" style="2" bestFit="1" customWidth="1"/>
    <col min="21" max="16384" width="9.140625" style="2"/>
  </cols>
  <sheetData>
    <row r="1" spans="1:17" s="4" customFormat="1" x14ac:dyDescent="0.25">
      <c r="B1" s="189"/>
      <c r="C1" s="12"/>
      <c r="D1" s="12"/>
      <c r="E1" s="12"/>
      <c r="F1" s="12"/>
      <c r="G1" s="51"/>
      <c r="H1" s="51"/>
      <c r="M1" s="18"/>
      <c r="N1" s="18"/>
      <c r="O1" s="18"/>
      <c r="P1" s="18"/>
    </row>
    <row r="2" spans="1:17" x14ac:dyDescent="0.25">
      <c r="A2" s="1844" t="s">
        <v>20</v>
      </c>
      <c r="B2" s="1845"/>
      <c r="C2" s="1845"/>
      <c r="D2" s="1845"/>
      <c r="E2" s="1845"/>
      <c r="F2" s="1845"/>
      <c r="G2" s="1845"/>
      <c r="H2" s="1845"/>
      <c r="I2" s="1845"/>
      <c r="J2" s="1845"/>
      <c r="K2" s="1845"/>
      <c r="L2" s="1845"/>
      <c r="M2" s="1845"/>
      <c r="N2" s="1845"/>
      <c r="O2" s="1845"/>
      <c r="P2" s="1845"/>
      <c r="Q2" s="1846"/>
    </row>
    <row r="3" spans="1:17" x14ac:dyDescent="0.25">
      <c r="A3" s="1847" t="s">
        <v>600</v>
      </c>
      <c r="B3" s="1848"/>
      <c r="C3" s="1848"/>
      <c r="D3" s="1848"/>
      <c r="E3" s="1848"/>
      <c r="F3" s="1848"/>
      <c r="G3" s="1848"/>
      <c r="H3" s="1848"/>
      <c r="I3" s="1848"/>
      <c r="J3" s="1848"/>
      <c r="K3" s="1848"/>
      <c r="L3" s="1848"/>
      <c r="M3" s="1848"/>
      <c r="N3" s="1848"/>
      <c r="O3" s="1848"/>
      <c r="P3" s="1848"/>
      <c r="Q3" s="1849"/>
    </row>
    <row r="5" spans="1:17" x14ac:dyDescent="0.25">
      <c r="B5" s="6" t="s">
        <v>307</v>
      </c>
      <c r="C5" s="21" t="s">
        <v>482</v>
      </c>
    </row>
    <row r="6" spans="1:17" ht="7.5" customHeight="1" x14ac:dyDescent="0.25"/>
    <row r="7" spans="1:17" x14ac:dyDescent="0.25">
      <c r="B7" s="108">
        <v>1</v>
      </c>
      <c r="C7" s="17"/>
      <c r="D7" s="53"/>
      <c r="E7" s="53"/>
      <c r="F7" s="53"/>
      <c r="G7" s="2094"/>
      <c r="H7" s="2094"/>
      <c r="I7" s="29"/>
      <c r="J7" s="29"/>
      <c r="K7" s="29"/>
      <c r="L7" s="53"/>
      <c r="M7" s="2103" t="s">
        <v>9</v>
      </c>
      <c r="N7" s="2103"/>
      <c r="O7" s="2103" t="s">
        <v>8</v>
      </c>
      <c r="P7" s="2103"/>
    </row>
    <row r="8" spans="1:17" x14ac:dyDescent="0.25">
      <c r="B8" s="38"/>
      <c r="C8" s="2237" t="s">
        <v>601</v>
      </c>
      <c r="D8" s="2238"/>
      <c r="E8" s="2238"/>
      <c r="F8" s="2238"/>
      <c r="G8" s="2238"/>
      <c r="H8" s="2238"/>
      <c r="I8" s="2238"/>
      <c r="J8" s="2238"/>
      <c r="K8" s="2238"/>
      <c r="L8" s="2239"/>
      <c r="M8" s="2106"/>
      <c r="N8" s="2107"/>
      <c r="O8" s="2108"/>
      <c r="P8" s="2107"/>
    </row>
    <row r="9" spans="1:17" x14ac:dyDescent="0.25">
      <c r="B9" s="102"/>
      <c r="C9" s="2237"/>
      <c r="D9" s="2238"/>
      <c r="E9" s="2238"/>
      <c r="F9" s="2238"/>
      <c r="G9" s="2238"/>
      <c r="H9" s="2238"/>
      <c r="I9" s="2238"/>
      <c r="J9" s="2238"/>
      <c r="K9" s="2238"/>
      <c r="L9" s="2239"/>
      <c r="M9" s="2008"/>
      <c r="N9" s="2012"/>
      <c r="O9" s="2008"/>
      <c r="P9" s="2009"/>
    </row>
    <row r="10" spans="1:17" x14ac:dyDescent="0.25">
      <c r="B10" s="108">
        <v>2</v>
      </c>
      <c r="C10" s="2110" t="s">
        <v>21</v>
      </c>
      <c r="D10" s="2090"/>
      <c r="E10" s="2090"/>
      <c r="F10" s="2090"/>
      <c r="G10" s="2096"/>
      <c r="H10" s="2096"/>
      <c r="I10" s="2090" t="s">
        <v>21</v>
      </c>
      <c r="J10" s="2090"/>
      <c r="K10" s="2090"/>
      <c r="L10" s="2090"/>
      <c r="M10" s="2008"/>
      <c r="N10" s="2012"/>
      <c r="O10" s="2008"/>
      <c r="P10" s="2012"/>
      <c r="Q10" s="8"/>
    </row>
    <row r="11" spans="1:17" x14ac:dyDescent="0.25">
      <c r="B11" s="7" t="s">
        <v>11</v>
      </c>
      <c r="C11" s="202" t="s">
        <v>602</v>
      </c>
      <c r="D11" s="203"/>
      <c r="E11" s="203"/>
      <c r="F11" s="203"/>
      <c r="G11" s="51"/>
      <c r="H11" s="51"/>
      <c r="I11" s="4"/>
      <c r="J11" s="4"/>
      <c r="K11" s="4"/>
      <c r="L11" s="183"/>
      <c r="M11" s="2008">
        <v>800000</v>
      </c>
      <c r="N11" s="2012"/>
      <c r="O11" s="2008"/>
      <c r="P11" s="2012"/>
      <c r="Q11" s="8"/>
    </row>
    <row r="12" spans="1:17" x14ac:dyDescent="0.25">
      <c r="B12" s="7" t="s">
        <v>14</v>
      </c>
      <c r="C12" s="202"/>
      <c r="D12" s="203"/>
      <c r="E12" s="203"/>
      <c r="F12" s="20" t="s">
        <v>1</v>
      </c>
      <c r="G12" s="199" t="s">
        <v>67</v>
      </c>
      <c r="H12" s="51"/>
      <c r="I12" s="4"/>
      <c r="J12" s="4"/>
      <c r="K12" s="4"/>
      <c r="L12" s="183"/>
      <c r="M12" s="185"/>
      <c r="N12" s="186"/>
      <c r="O12" s="2008">
        <f>+M11</f>
        <v>800000</v>
      </c>
      <c r="P12" s="2009"/>
      <c r="Q12" s="4"/>
    </row>
    <row r="13" spans="1:17" x14ac:dyDescent="0.25">
      <c r="B13" s="108">
        <v>3</v>
      </c>
      <c r="C13" s="2110" t="s">
        <v>21</v>
      </c>
      <c r="D13" s="2090"/>
      <c r="E13" s="2090"/>
      <c r="F13" s="2090"/>
      <c r="G13" s="2096"/>
      <c r="H13" s="2096"/>
      <c r="I13" s="2090" t="s">
        <v>21</v>
      </c>
      <c r="J13" s="2090"/>
      <c r="K13" s="2090"/>
      <c r="L13" s="2090"/>
      <c r="M13" s="2008"/>
      <c r="N13" s="2012"/>
      <c r="O13" s="2008"/>
      <c r="P13" s="2012"/>
      <c r="Q13" s="8"/>
    </row>
    <row r="14" spans="1:17" x14ac:dyDescent="0.25">
      <c r="B14" s="7" t="s">
        <v>11</v>
      </c>
      <c r="C14" s="202" t="s">
        <v>603</v>
      </c>
      <c r="D14" s="203"/>
      <c r="E14" s="203"/>
      <c r="F14" s="203"/>
      <c r="G14" s="51"/>
      <c r="H14" s="51"/>
      <c r="I14" s="4"/>
      <c r="J14" s="4"/>
      <c r="K14" s="4"/>
      <c r="L14" s="183"/>
      <c r="M14" s="2008">
        <v>10000</v>
      </c>
      <c r="N14" s="2012"/>
      <c r="O14" s="2008"/>
      <c r="P14" s="2012"/>
      <c r="Q14" s="8"/>
    </row>
    <row r="15" spans="1:17" x14ac:dyDescent="0.25">
      <c r="B15" s="7" t="s">
        <v>11</v>
      </c>
      <c r="C15" s="202" t="s">
        <v>604</v>
      </c>
      <c r="D15" s="203"/>
      <c r="E15" s="203"/>
      <c r="F15" s="203"/>
      <c r="G15" s="51"/>
      <c r="H15" s="51"/>
      <c r="I15" s="4"/>
      <c r="J15" s="4"/>
      <c r="K15" s="4"/>
      <c r="L15" s="183"/>
      <c r="M15" s="2008">
        <f>+O16-M14</f>
        <v>6000</v>
      </c>
      <c r="N15" s="2012"/>
      <c r="O15" s="2008"/>
      <c r="P15" s="2009"/>
      <c r="Q15" s="4"/>
    </row>
    <row r="16" spans="1:17" x14ac:dyDescent="0.25">
      <c r="B16" s="7" t="s">
        <v>14</v>
      </c>
      <c r="C16" s="202"/>
      <c r="D16" s="203"/>
      <c r="E16" s="203"/>
      <c r="F16" s="20" t="s">
        <v>1</v>
      </c>
      <c r="G16" s="199" t="s">
        <v>10</v>
      </c>
      <c r="H16" s="51"/>
      <c r="I16" s="4"/>
      <c r="J16" s="4"/>
      <c r="K16" s="4"/>
      <c r="L16" s="183"/>
      <c r="M16" s="185"/>
      <c r="N16" s="186"/>
      <c r="O16" s="2008">
        <v>16000</v>
      </c>
      <c r="P16" s="2009"/>
      <c r="Q16" s="4"/>
    </row>
    <row r="17" spans="2:17" x14ac:dyDescent="0.25">
      <c r="B17" s="108">
        <v>4</v>
      </c>
      <c r="C17" s="2110" t="s">
        <v>21</v>
      </c>
      <c r="D17" s="2090"/>
      <c r="E17" s="2090"/>
      <c r="F17" s="2090"/>
      <c r="G17" s="2096"/>
      <c r="H17" s="2096"/>
      <c r="I17" s="2090" t="s">
        <v>21</v>
      </c>
      <c r="J17" s="2090"/>
      <c r="K17" s="2090"/>
      <c r="L17" s="2090"/>
      <c r="M17" s="2008"/>
      <c r="N17" s="2012"/>
      <c r="O17" s="2008"/>
      <c r="P17" s="2012"/>
      <c r="Q17" s="8"/>
    </row>
    <row r="18" spans="2:17" x14ac:dyDescent="0.25">
      <c r="B18" s="7" t="s">
        <v>15</v>
      </c>
      <c r="C18" s="202" t="s">
        <v>605</v>
      </c>
      <c r="D18" s="203"/>
      <c r="E18" s="203"/>
      <c r="F18" s="203"/>
      <c r="G18" s="51"/>
      <c r="H18" s="51"/>
      <c r="I18" s="4"/>
      <c r="J18" s="4"/>
      <c r="K18" s="4"/>
      <c r="L18" s="183"/>
      <c r="M18" s="2008">
        <v>500000</v>
      </c>
      <c r="N18" s="2012"/>
      <c r="O18" s="2008"/>
      <c r="P18" s="2012"/>
      <c r="Q18" s="8"/>
    </row>
    <row r="19" spans="2:17" x14ac:dyDescent="0.25">
      <c r="B19" s="7" t="s">
        <v>142</v>
      </c>
      <c r="C19" s="202" t="s">
        <v>606</v>
      </c>
      <c r="D19" s="203"/>
      <c r="E19" s="203"/>
      <c r="F19" s="203"/>
      <c r="G19" s="51"/>
      <c r="H19" s="51"/>
      <c r="I19" s="4"/>
      <c r="J19" s="4"/>
      <c r="K19" s="4"/>
      <c r="L19" s="183"/>
      <c r="M19" s="2008">
        <f>+M18*0.24/12*2</f>
        <v>20000</v>
      </c>
      <c r="N19" s="2012"/>
      <c r="O19" s="2008"/>
      <c r="P19" s="2009"/>
      <c r="Q19" s="4"/>
    </row>
    <row r="20" spans="2:17" x14ac:dyDescent="0.25">
      <c r="B20" s="7" t="s">
        <v>17</v>
      </c>
      <c r="C20" s="202"/>
      <c r="D20" s="203"/>
      <c r="E20" s="203"/>
      <c r="F20" s="20" t="s">
        <v>1</v>
      </c>
      <c r="G20" s="199" t="s">
        <v>607</v>
      </c>
      <c r="H20" s="51"/>
      <c r="I20" s="4"/>
      <c r="J20" s="4"/>
      <c r="K20" s="4"/>
      <c r="L20" s="183"/>
      <c r="M20" s="185"/>
      <c r="N20" s="186"/>
      <c r="O20" s="2008">
        <f>+M18+M19</f>
        <v>520000</v>
      </c>
      <c r="P20" s="2009"/>
      <c r="Q20" s="4"/>
    </row>
    <row r="21" spans="2:17" x14ac:dyDescent="0.25">
      <c r="B21" s="108">
        <v>5</v>
      </c>
      <c r="C21" s="2110" t="s">
        <v>21</v>
      </c>
      <c r="D21" s="2090"/>
      <c r="E21" s="2090"/>
      <c r="F21" s="2090"/>
      <c r="G21" s="2096"/>
      <c r="H21" s="2096"/>
      <c r="I21" s="2090" t="s">
        <v>21</v>
      </c>
      <c r="J21" s="2090"/>
      <c r="K21" s="2090"/>
      <c r="L21" s="2090"/>
      <c r="M21" s="2008"/>
      <c r="N21" s="2012"/>
      <c r="O21" s="2008"/>
      <c r="P21" s="2012"/>
      <c r="Q21" s="8"/>
    </row>
    <row r="22" spans="2:17" x14ac:dyDescent="0.25">
      <c r="B22" s="7" t="s">
        <v>11</v>
      </c>
      <c r="C22" s="202" t="s">
        <v>608</v>
      </c>
      <c r="D22" s="203"/>
      <c r="E22" s="203"/>
      <c r="F22" s="203"/>
      <c r="G22" s="51"/>
      <c r="H22" s="51"/>
      <c r="I22" s="4"/>
      <c r="J22" s="4"/>
      <c r="K22" s="4"/>
      <c r="L22" s="183"/>
      <c r="M22" s="2008">
        <v>450000</v>
      </c>
      <c r="N22" s="2012"/>
      <c r="O22" s="2008"/>
      <c r="P22" s="2012"/>
      <c r="Q22" s="8"/>
    </row>
    <row r="23" spans="2:17" x14ac:dyDescent="0.25">
      <c r="B23" s="7" t="s">
        <v>14</v>
      </c>
      <c r="C23" s="202"/>
      <c r="D23" s="203"/>
      <c r="E23" s="203"/>
      <c r="F23" s="20" t="s">
        <v>1</v>
      </c>
      <c r="G23" s="199" t="s">
        <v>10</v>
      </c>
      <c r="H23" s="51"/>
      <c r="I23" s="4"/>
      <c r="J23" s="4"/>
      <c r="K23" s="4"/>
      <c r="L23" s="183"/>
      <c r="M23" s="2008"/>
      <c r="N23" s="2012"/>
      <c r="O23" s="2008">
        <v>50000</v>
      </c>
      <c r="P23" s="2009"/>
      <c r="Q23" s="4"/>
    </row>
    <row r="24" spans="2:17" x14ac:dyDescent="0.25">
      <c r="B24" s="7" t="s">
        <v>17</v>
      </c>
      <c r="C24" s="202"/>
      <c r="D24" s="203"/>
      <c r="E24" s="203"/>
      <c r="F24" s="20" t="s">
        <v>1</v>
      </c>
      <c r="G24" s="199" t="s">
        <v>235</v>
      </c>
      <c r="H24" s="51"/>
      <c r="I24" s="4"/>
      <c r="J24" s="4"/>
      <c r="K24" s="4"/>
      <c r="L24" s="183"/>
      <c r="M24" s="185"/>
      <c r="N24" s="186"/>
      <c r="O24" s="2008">
        <f>+M22-O23</f>
        <v>400000</v>
      </c>
      <c r="P24" s="2009"/>
      <c r="Q24" s="4"/>
    </row>
    <row r="25" spans="2:17" x14ac:dyDescent="0.25">
      <c r="B25" s="108">
        <v>6</v>
      </c>
      <c r="C25" s="2110" t="s">
        <v>21</v>
      </c>
      <c r="D25" s="2090"/>
      <c r="E25" s="2090"/>
      <c r="F25" s="2090"/>
      <c r="G25" s="2096"/>
      <c r="H25" s="2096"/>
      <c r="I25" s="2090" t="s">
        <v>21</v>
      </c>
      <c r="J25" s="2090"/>
      <c r="K25" s="2090"/>
      <c r="L25" s="2090"/>
      <c r="M25" s="2008"/>
      <c r="N25" s="2012"/>
      <c r="O25" s="2008"/>
      <c r="P25" s="2012"/>
      <c r="Q25" s="8"/>
    </row>
    <row r="26" spans="2:17" x14ac:dyDescent="0.25">
      <c r="B26" s="7" t="s">
        <v>15</v>
      </c>
      <c r="C26" s="202" t="s">
        <v>609</v>
      </c>
      <c r="D26" s="203"/>
      <c r="E26" s="203"/>
      <c r="F26" s="203"/>
      <c r="G26" s="51"/>
      <c r="H26" s="51"/>
      <c r="I26" s="4"/>
      <c r="J26" s="4"/>
      <c r="K26" s="4"/>
      <c r="L26" s="183"/>
      <c r="M26" s="2008">
        <v>280000</v>
      </c>
      <c r="N26" s="2012"/>
      <c r="O26" s="2008"/>
      <c r="P26" s="2012"/>
      <c r="Q26" s="8"/>
    </row>
    <row r="27" spans="2:17" x14ac:dyDescent="0.25">
      <c r="B27" s="7" t="s">
        <v>17</v>
      </c>
      <c r="C27" s="202"/>
      <c r="D27" s="203"/>
      <c r="E27" s="203"/>
      <c r="F27" s="20" t="s">
        <v>1</v>
      </c>
      <c r="G27" s="199" t="s">
        <v>235</v>
      </c>
      <c r="H27" s="51"/>
      <c r="I27" s="4"/>
      <c r="J27" s="4"/>
      <c r="K27" s="4"/>
      <c r="L27" s="183"/>
      <c r="M27" s="185"/>
      <c r="N27" s="186"/>
      <c r="O27" s="2008">
        <f>+M26</f>
        <v>280000</v>
      </c>
      <c r="P27" s="2009"/>
      <c r="Q27" s="4"/>
    </row>
    <row r="28" spans="2:17" x14ac:dyDescent="0.25">
      <c r="B28" s="108">
        <v>7</v>
      </c>
      <c r="C28" s="2110" t="s">
        <v>21</v>
      </c>
      <c r="D28" s="2090"/>
      <c r="E28" s="2090"/>
      <c r="F28" s="2090"/>
      <c r="G28" s="2096"/>
      <c r="H28" s="2096"/>
      <c r="I28" s="2090" t="s">
        <v>21</v>
      </c>
      <c r="J28" s="2090"/>
      <c r="K28" s="2090"/>
      <c r="L28" s="2090"/>
      <c r="M28" s="2008"/>
      <c r="N28" s="2012"/>
      <c r="O28" s="2008"/>
      <c r="P28" s="2012"/>
      <c r="Q28" s="8"/>
    </row>
    <row r="29" spans="2:17" x14ac:dyDescent="0.25">
      <c r="B29" s="7" t="s">
        <v>15</v>
      </c>
      <c r="C29" s="202" t="s">
        <v>610</v>
      </c>
      <c r="D29" s="203"/>
      <c r="E29" s="203"/>
      <c r="F29" s="203"/>
      <c r="G29" s="51"/>
      <c r="H29" s="51"/>
      <c r="I29" s="4"/>
      <c r="J29" s="4"/>
      <c r="K29" s="4"/>
      <c r="L29" s="183"/>
      <c r="M29" s="2008">
        <v>132000</v>
      </c>
      <c r="N29" s="2012"/>
      <c r="O29" s="2008"/>
      <c r="P29" s="2012"/>
      <c r="Q29" s="8"/>
    </row>
    <row r="30" spans="2:17" x14ac:dyDescent="0.25">
      <c r="B30" s="7" t="s">
        <v>14</v>
      </c>
      <c r="C30" s="202"/>
      <c r="D30" s="203"/>
      <c r="E30" s="203"/>
      <c r="F30" s="20" t="s">
        <v>1</v>
      </c>
      <c r="G30" s="199" t="s">
        <v>67</v>
      </c>
      <c r="H30" s="51"/>
      <c r="I30" s="4"/>
      <c r="J30" s="4"/>
      <c r="K30" s="4"/>
      <c r="L30" s="183"/>
      <c r="M30" s="185"/>
      <c r="N30" s="186"/>
      <c r="O30" s="2008">
        <v>72000</v>
      </c>
      <c r="P30" s="2009"/>
      <c r="Q30" s="4"/>
    </row>
    <row r="31" spans="2:17" x14ac:dyDescent="0.25">
      <c r="B31" s="7" t="s">
        <v>17</v>
      </c>
      <c r="C31" s="202"/>
      <c r="D31" s="203"/>
      <c r="E31" s="203"/>
      <c r="F31" s="20" t="s">
        <v>1</v>
      </c>
      <c r="G31" s="199" t="s">
        <v>235</v>
      </c>
      <c r="H31" s="51"/>
      <c r="I31" s="4"/>
      <c r="J31" s="4"/>
      <c r="K31" s="4"/>
      <c r="L31" s="183"/>
      <c r="M31" s="185"/>
      <c r="N31" s="186"/>
      <c r="O31" s="2008">
        <f>+M29-O30</f>
        <v>60000</v>
      </c>
      <c r="P31" s="2009"/>
      <c r="Q31" s="4"/>
    </row>
    <row r="32" spans="2:17" x14ac:dyDescent="0.25">
      <c r="B32" s="108">
        <v>8</v>
      </c>
      <c r="C32" s="2110" t="s">
        <v>21</v>
      </c>
      <c r="D32" s="2090"/>
      <c r="E32" s="2090"/>
      <c r="F32" s="2090"/>
      <c r="G32" s="2096"/>
      <c r="H32" s="2096"/>
      <c r="I32" s="2090" t="s">
        <v>21</v>
      </c>
      <c r="J32" s="2090"/>
      <c r="K32" s="2090"/>
      <c r="L32" s="2090"/>
      <c r="M32" s="2008"/>
      <c r="N32" s="2012"/>
      <c r="O32" s="2008"/>
      <c r="P32" s="2012"/>
      <c r="Q32" s="8"/>
    </row>
    <row r="33" spans="2:17" x14ac:dyDescent="0.25">
      <c r="B33" s="7" t="s">
        <v>11</v>
      </c>
      <c r="C33" s="202" t="s">
        <v>104</v>
      </c>
      <c r="D33" s="203"/>
      <c r="E33" s="203"/>
      <c r="F33" s="203"/>
      <c r="G33" s="51"/>
      <c r="H33" s="51"/>
      <c r="I33" s="4"/>
      <c r="J33" s="4"/>
      <c r="K33" s="4"/>
      <c r="L33" s="183"/>
      <c r="M33" s="2008">
        <v>220000</v>
      </c>
      <c r="N33" s="2012"/>
      <c r="O33" s="2008"/>
      <c r="P33" s="2012"/>
      <c r="Q33" s="8"/>
    </row>
    <row r="34" spans="2:17" x14ac:dyDescent="0.25">
      <c r="B34" s="7" t="s">
        <v>15</v>
      </c>
      <c r="C34" s="202" t="s">
        <v>611</v>
      </c>
      <c r="D34" s="203"/>
      <c r="E34" s="203"/>
      <c r="F34" s="203"/>
      <c r="G34" s="51"/>
      <c r="H34" s="51"/>
      <c r="I34" s="4"/>
      <c r="J34" s="4"/>
      <c r="K34" s="4"/>
      <c r="L34" s="183"/>
      <c r="M34" s="2008">
        <f>+O36-M35-M33</f>
        <v>25000</v>
      </c>
      <c r="N34" s="2012"/>
      <c r="O34" s="2008"/>
      <c r="P34" s="2009"/>
      <c r="Q34" s="4"/>
    </row>
    <row r="35" spans="2:17" x14ac:dyDescent="0.25">
      <c r="B35" s="7" t="s">
        <v>105</v>
      </c>
      <c r="C35" s="202" t="s">
        <v>612</v>
      </c>
      <c r="D35" s="203"/>
      <c r="E35" s="203"/>
      <c r="F35" s="203"/>
      <c r="G35" s="51"/>
      <c r="H35" s="51"/>
      <c r="I35" s="4"/>
      <c r="J35" s="4"/>
      <c r="K35" s="4"/>
      <c r="L35" s="183"/>
      <c r="M35" s="2008">
        <f>+(O36/(5*12))*11</f>
        <v>55000</v>
      </c>
      <c r="N35" s="2012"/>
      <c r="O35" s="2008"/>
      <c r="P35" s="2009"/>
      <c r="Q35" s="4"/>
    </row>
    <row r="36" spans="2:17" x14ac:dyDescent="0.25">
      <c r="B36" s="7" t="s">
        <v>14</v>
      </c>
      <c r="C36" s="202"/>
      <c r="D36" s="203"/>
      <c r="E36" s="203"/>
      <c r="F36" s="20" t="s">
        <v>1</v>
      </c>
      <c r="G36" s="199" t="s">
        <v>613</v>
      </c>
      <c r="H36" s="51"/>
      <c r="I36" s="4"/>
      <c r="J36" s="4"/>
      <c r="K36" s="4"/>
      <c r="L36" s="183"/>
      <c r="M36" s="185"/>
      <c r="N36" s="186"/>
      <c r="O36" s="2008">
        <v>300000</v>
      </c>
      <c r="P36" s="2009"/>
      <c r="Q36" s="4"/>
    </row>
    <row r="37" spans="2:17" x14ac:dyDescent="0.25">
      <c r="B37" s="108">
        <v>9</v>
      </c>
      <c r="C37" s="2110" t="s">
        <v>21</v>
      </c>
      <c r="D37" s="2090"/>
      <c r="E37" s="2090"/>
      <c r="F37" s="2090"/>
      <c r="G37" s="2096"/>
      <c r="H37" s="2096"/>
      <c r="I37" s="2090" t="s">
        <v>21</v>
      </c>
      <c r="J37" s="2090"/>
      <c r="K37" s="2090"/>
      <c r="L37" s="2090"/>
      <c r="M37" s="2008"/>
      <c r="N37" s="2012"/>
      <c r="O37" s="2008"/>
      <c r="P37" s="2012"/>
      <c r="Q37" s="8"/>
    </row>
    <row r="38" spans="2:17" x14ac:dyDescent="0.25">
      <c r="B38" s="7" t="s">
        <v>11</v>
      </c>
      <c r="C38" s="202" t="s">
        <v>614</v>
      </c>
      <c r="D38" s="203"/>
      <c r="E38" s="203"/>
      <c r="F38" s="203"/>
      <c r="G38" s="51"/>
      <c r="H38" s="51"/>
      <c r="I38" s="4"/>
      <c r="J38" s="4"/>
      <c r="K38" s="4"/>
      <c r="L38" s="183"/>
      <c r="M38" s="2008">
        <v>54000</v>
      </c>
      <c r="N38" s="2012"/>
      <c r="O38" s="2008"/>
      <c r="P38" s="2012"/>
      <c r="Q38" s="8"/>
    </row>
    <row r="39" spans="2:17" x14ac:dyDescent="0.25">
      <c r="B39" s="7" t="s">
        <v>11</v>
      </c>
      <c r="C39" s="202" t="s">
        <v>13</v>
      </c>
      <c r="D39" s="203"/>
      <c r="E39" s="203"/>
      <c r="F39" s="203"/>
      <c r="G39" s="51"/>
      <c r="H39" s="51"/>
      <c r="I39" s="4"/>
      <c r="J39" s="4"/>
      <c r="K39" s="4"/>
      <c r="L39" s="183"/>
      <c r="M39" s="2008">
        <f>4000*0.21</f>
        <v>840</v>
      </c>
      <c r="N39" s="2012"/>
      <c r="O39" s="2008"/>
      <c r="P39" s="2009"/>
      <c r="Q39" s="4"/>
    </row>
    <row r="40" spans="2:17" x14ac:dyDescent="0.25">
      <c r="B40" s="7" t="s">
        <v>14</v>
      </c>
      <c r="C40" s="202"/>
      <c r="D40" s="203"/>
      <c r="E40" s="203"/>
      <c r="F40" s="20" t="s">
        <v>1</v>
      </c>
      <c r="G40" s="199" t="s">
        <v>10</v>
      </c>
      <c r="H40" s="51"/>
      <c r="I40" s="4"/>
      <c r="J40" s="4"/>
      <c r="K40" s="4"/>
      <c r="L40" s="183"/>
      <c r="M40" s="185"/>
      <c r="N40" s="186"/>
      <c r="O40" s="2008">
        <f>+M38+M39</f>
        <v>54840</v>
      </c>
      <c r="P40" s="2009"/>
      <c r="Q40" s="4"/>
    </row>
    <row r="41" spans="2:17" x14ac:dyDescent="0.25">
      <c r="B41" s="108">
        <v>10</v>
      </c>
      <c r="C41" s="2110" t="s">
        <v>21</v>
      </c>
      <c r="D41" s="2090"/>
      <c r="E41" s="2090"/>
      <c r="F41" s="2090"/>
      <c r="G41" s="2096"/>
      <c r="H41" s="2096"/>
      <c r="I41" s="2090" t="s">
        <v>21</v>
      </c>
      <c r="J41" s="2090"/>
      <c r="K41" s="2090"/>
      <c r="L41" s="2090"/>
      <c r="M41" s="2008"/>
      <c r="N41" s="2012"/>
      <c r="O41" s="2008"/>
      <c r="P41" s="2012"/>
      <c r="Q41" s="8"/>
    </row>
    <row r="42" spans="2:17" x14ac:dyDescent="0.25">
      <c r="C42" s="2237" t="s">
        <v>601</v>
      </c>
      <c r="D42" s="2238"/>
      <c r="E42" s="2238"/>
      <c r="F42" s="2238"/>
      <c r="G42" s="2238"/>
      <c r="H42" s="2238"/>
      <c r="I42" s="2238"/>
      <c r="J42" s="2238"/>
      <c r="K42" s="2238"/>
      <c r="L42" s="2239"/>
      <c r="M42" s="2008"/>
      <c r="N42" s="2012"/>
      <c r="O42" s="2008"/>
      <c r="P42" s="2012"/>
      <c r="Q42" s="8"/>
    </row>
    <row r="43" spans="2:17" s="437" customFormat="1" ht="11.25" x14ac:dyDescent="0.25">
      <c r="B43" s="435"/>
      <c r="C43" s="2237"/>
      <c r="D43" s="2238"/>
      <c r="E43" s="2238"/>
      <c r="F43" s="2238"/>
      <c r="G43" s="2238"/>
      <c r="H43" s="2238"/>
      <c r="I43" s="2238"/>
      <c r="J43" s="2238"/>
      <c r="K43" s="2238"/>
      <c r="L43" s="2239"/>
      <c r="M43" s="436"/>
      <c r="N43" s="436"/>
      <c r="O43" s="2227"/>
      <c r="P43" s="2228"/>
    </row>
    <row r="44" spans="2:17" x14ac:dyDescent="0.25">
      <c r="B44" s="108">
        <v>11</v>
      </c>
      <c r="C44" s="2110" t="s">
        <v>21</v>
      </c>
      <c r="D44" s="2090"/>
      <c r="E44" s="2090"/>
      <c r="F44" s="2090"/>
      <c r="G44" s="2096"/>
      <c r="H44" s="2096"/>
      <c r="I44" s="2090" t="s">
        <v>21</v>
      </c>
      <c r="J44" s="2090"/>
      <c r="K44" s="2090"/>
      <c r="L44" s="2090"/>
      <c r="M44" s="2008"/>
      <c r="N44" s="2012"/>
      <c r="O44" s="2008"/>
      <c r="P44" s="2012"/>
      <c r="Q44" s="8"/>
    </row>
    <row r="45" spans="2:17" ht="11.25" customHeight="1" x14ac:dyDescent="0.25">
      <c r="C45" s="2237" t="s">
        <v>601</v>
      </c>
      <c r="D45" s="2238"/>
      <c r="E45" s="2238"/>
      <c r="F45" s="2238"/>
      <c r="G45" s="2238"/>
      <c r="H45" s="2238"/>
      <c r="I45" s="2238"/>
      <c r="J45" s="2238"/>
      <c r="K45" s="2238"/>
      <c r="L45" s="2239"/>
      <c r="M45" s="2008"/>
      <c r="N45" s="2012"/>
      <c r="O45" s="2008"/>
      <c r="P45" s="2012"/>
      <c r="Q45" s="8"/>
    </row>
    <row r="46" spans="2:17" x14ac:dyDescent="0.25">
      <c r="C46" s="2237"/>
      <c r="D46" s="2238"/>
      <c r="E46" s="2238"/>
      <c r="F46" s="2238"/>
      <c r="G46" s="2238"/>
      <c r="H46" s="2238"/>
      <c r="I46" s="2238"/>
      <c r="J46" s="2238"/>
      <c r="K46" s="2238"/>
      <c r="L46" s="2239"/>
      <c r="O46" s="2008"/>
      <c r="P46" s="2009"/>
    </row>
    <row r="47" spans="2:17" x14ac:dyDescent="0.25">
      <c r="B47" s="108">
        <v>12</v>
      </c>
      <c r="C47" s="2110" t="s">
        <v>21</v>
      </c>
      <c r="D47" s="2090"/>
      <c r="E47" s="2090"/>
      <c r="F47" s="2090"/>
      <c r="G47" s="2096"/>
      <c r="H47" s="2096"/>
      <c r="I47" s="2090" t="s">
        <v>21</v>
      </c>
      <c r="J47" s="2090"/>
      <c r="K47" s="2090"/>
      <c r="L47" s="2090"/>
      <c r="M47" s="2008"/>
      <c r="N47" s="2012"/>
      <c r="O47" s="2008"/>
      <c r="P47" s="2012"/>
      <c r="Q47" s="8"/>
    </row>
    <row r="48" spans="2:17" x14ac:dyDescent="0.25">
      <c r="B48" s="7" t="s">
        <v>15</v>
      </c>
      <c r="C48" s="202" t="s">
        <v>615</v>
      </c>
      <c r="D48" s="203"/>
      <c r="E48" s="203"/>
      <c r="F48" s="203"/>
      <c r="G48" s="51"/>
      <c r="H48" s="51"/>
      <c r="I48" s="4"/>
      <c r="J48" s="4"/>
      <c r="K48" s="4"/>
      <c r="L48" s="183"/>
      <c r="M48" s="2008">
        <f>60000*0.05</f>
        <v>3000</v>
      </c>
      <c r="N48" s="2012"/>
      <c r="O48" s="2008"/>
      <c r="P48" s="2012"/>
      <c r="Q48" s="8"/>
    </row>
    <row r="49" spans="1:17" x14ac:dyDescent="0.25">
      <c r="B49" s="7" t="s">
        <v>17</v>
      </c>
      <c r="C49" s="202"/>
      <c r="D49" s="203"/>
      <c r="E49" s="203"/>
      <c r="F49" s="20" t="s">
        <v>1</v>
      </c>
      <c r="G49" s="199" t="s">
        <v>235</v>
      </c>
      <c r="H49" s="51"/>
      <c r="I49" s="4"/>
      <c r="J49" s="4"/>
      <c r="K49" s="4"/>
      <c r="L49" s="183"/>
      <c r="M49" s="185"/>
      <c r="N49" s="186"/>
      <c r="O49" s="2008">
        <f>+M48</f>
        <v>3000</v>
      </c>
      <c r="P49" s="2009"/>
      <c r="Q49" s="4"/>
    </row>
    <row r="50" spans="1:17" x14ac:dyDescent="0.25">
      <c r="C50" s="2110" t="s">
        <v>21</v>
      </c>
      <c r="D50" s="2090"/>
      <c r="E50" s="2090"/>
      <c r="F50" s="2090"/>
      <c r="G50" s="2248" t="s">
        <v>222</v>
      </c>
      <c r="H50" s="2248"/>
      <c r="I50" s="2090" t="s">
        <v>21</v>
      </c>
      <c r="J50" s="2090"/>
      <c r="K50" s="2090"/>
      <c r="L50" s="2090"/>
      <c r="M50" s="185"/>
      <c r="N50" s="186"/>
      <c r="O50" s="2008"/>
      <c r="P50" s="2009"/>
    </row>
    <row r="51" spans="1:17" s="4" customFormat="1" x14ac:dyDescent="0.25">
      <c r="B51" s="189"/>
      <c r="C51" s="12"/>
      <c r="D51" s="12"/>
      <c r="E51" s="12"/>
      <c r="F51" s="12"/>
      <c r="G51" s="51"/>
      <c r="H51" s="51"/>
      <c r="M51" s="18"/>
      <c r="N51" s="18"/>
      <c r="O51" s="18"/>
      <c r="P51" s="18"/>
    </row>
    <row r="52" spans="1:17" x14ac:dyDescent="0.25">
      <c r="A52" s="4"/>
      <c r="B52" s="189"/>
      <c r="G52" s="51"/>
      <c r="H52" s="51"/>
      <c r="I52" s="4"/>
      <c r="J52" s="4"/>
      <c r="K52" s="4"/>
      <c r="L52" s="4"/>
      <c r="M52" s="18"/>
      <c r="N52" s="18"/>
      <c r="O52" s="18"/>
      <c r="P52" s="18"/>
      <c r="Q52" s="4"/>
    </row>
    <row r="53" spans="1:17" x14ac:dyDescent="0.25">
      <c r="B53" s="108">
        <v>13</v>
      </c>
      <c r="C53" s="2110" t="s">
        <v>21</v>
      </c>
      <c r="D53" s="2090"/>
      <c r="E53" s="2090"/>
      <c r="F53" s="2090"/>
      <c r="G53" s="2096"/>
      <c r="H53" s="2096"/>
      <c r="I53" s="2090" t="s">
        <v>21</v>
      </c>
      <c r="J53" s="2090"/>
      <c r="K53" s="2090"/>
      <c r="L53" s="2090"/>
      <c r="M53" s="2008"/>
      <c r="N53" s="2012"/>
      <c r="O53" s="2008"/>
      <c r="P53" s="2012"/>
      <c r="Q53" s="8"/>
    </row>
    <row r="54" spans="1:17" x14ac:dyDescent="0.25">
      <c r="B54" s="7" t="s">
        <v>15</v>
      </c>
      <c r="C54" s="202" t="s">
        <v>616</v>
      </c>
      <c r="D54" s="203"/>
      <c r="E54" s="203"/>
      <c r="F54" s="203"/>
      <c r="G54" s="51"/>
      <c r="H54" s="51"/>
      <c r="I54" s="4"/>
      <c r="J54" s="4"/>
      <c r="K54" s="4"/>
      <c r="L54" s="183"/>
      <c r="M54" s="2008">
        <f>+N66</f>
        <v>1000</v>
      </c>
      <c r="N54" s="2012"/>
      <c r="O54" s="2008"/>
      <c r="P54" s="2012"/>
      <c r="Q54" s="8"/>
    </row>
    <row r="55" spans="1:17" x14ac:dyDescent="0.25">
      <c r="B55" s="7" t="s">
        <v>15</v>
      </c>
      <c r="C55" s="202" t="s">
        <v>617</v>
      </c>
      <c r="D55" s="203"/>
      <c r="E55" s="203"/>
      <c r="F55" s="203"/>
      <c r="G55" s="51"/>
      <c r="H55" s="51"/>
      <c r="I55" s="4"/>
      <c r="J55" s="4"/>
      <c r="K55" s="4"/>
      <c r="L55" s="183"/>
      <c r="M55" s="2008">
        <f>+N67</f>
        <v>60000</v>
      </c>
      <c r="N55" s="2012"/>
      <c r="O55" s="2008"/>
      <c r="P55" s="2009"/>
      <c r="Q55" s="4"/>
    </row>
    <row r="56" spans="1:17" x14ac:dyDescent="0.25">
      <c r="B56" s="7" t="s">
        <v>15</v>
      </c>
      <c r="C56" s="202" t="s">
        <v>618</v>
      </c>
      <c r="D56" s="203"/>
      <c r="E56" s="203"/>
      <c r="F56" s="203"/>
      <c r="G56" s="51"/>
      <c r="H56" s="51"/>
      <c r="I56" s="4"/>
      <c r="J56" s="4"/>
      <c r="K56" s="4"/>
      <c r="L56" s="183"/>
      <c r="M56" s="2008">
        <f>+N68</f>
        <v>1200</v>
      </c>
      <c r="N56" s="2012"/>
      <c r="O56" s="2008"/>
      <c r="P56" s="2009"/>
      <c r="Q56" s="4"/>
    </row>
    <row r="57" spans="1:17" x14ac:dyDescent="0.25">
      <c r="B57" s="7" t="s">
        <v>108</v>
      </c>
      <c r="C57" s="202"/>
      <c r="D57" s="203"/>
      <c r="E57" s="203"/>
      <c r="F57" s="20" t="s">
        <v>1</v>
      </c>
      <c r="G57" s="199" t="s">
        <v>619</v>
      </c>
      <c r="H57" s="51"/>
      <c r="I57" s="4"/>
      <c r="J57" s="4"/>
      <c r="K57" s="4"/>
      <c r="L57" s="183"/>
      <c r="M57" s="185"/>
      <c r="N57" s="186"/>
      <c r="O57" s="2008">
        <f>+M54</f>
        <v>1000</v>
      </c>
      <c r="P57" s="2009"/>
      <c r="Q57" s="4"/>
    </row>
    <row r="58" spans="1:17" x14ac:dyDescent="0.25">
      <c r="B58" s="7" t="s">
        <v>108</v>
      </c>
      <c r="C58" s="202"/>
      <c r="D58" s="203"/>
      <c r="E58" s="203"/>
      <c r="F58" s="20" t="s">
        <v>1</v>
      </c>
      <c r="G58" s="199" t="s">
        <v>620</v>
      </c>
      <c r="H58" s="51"/>
      <c r="I58" s="4"/>
      <c r="J58" s="4"/>
      <c r="K58" s="4"/>
      <c r="L58" s="183"/>
      <c r="M58" s="185"/>
      <c r="N58" s="186"/>
      <c r="O58" s="2008">
        <f>+M55</f>
        <v>60000</v>
      </c>
      <c r="P58" s="2009"/>
      <c r="Q58" s="4"/>
    </row>
    <row r="59" spans="1:17" x14ac:dyDescent="0.25">
      <c r="B59" s="7" t="s">
        <v>108</v>
      </c>
      <c r="C59" s="202"/>
      <c r="D59" s="203"/>
      <c r="E59" s="203"/>
      <c r="F59" s="20" t="s">
        <v>1</v>
      </c>
      <c r="G59" s="199" t="s">
        <v>621</v>
      </c>
      <c r="H59" s="51"/>
      <c r="I59" s="4"/>
      <c r="J59" s="4"/>
      <c r="K59" s="4"/>
      <c r="L59" s="183"/>
      <c r="M59" s="185"/>
      <c r="N59" s="186"/>
      <c r="O59" s="2008">
        <f>+M56</f>
        <v>1200</v>
      </c>
      <c r="P59" s="2009"/>
      <c r="Q59" s="4"/>
    </row>
    <row r="60" spans="1:17" x14ac:dyDescent="0.25">
      <c r="C60" s="105" t="s">
        <v>132</v>
      </c>
      <c r="D60" s="205"/>
      <c r="E60" s="205"/>
      <c r="F60" s="35"/>
      <c r="G60" s="197"/>
      <c r="H60" s="24"/>
      <c r="I60" s="3"/>
      <c r="J60" s="3"/>
      <c r="K60" s="3"/>
      <c r="L60" s="53"/>
      <c r="M60" s="187"/>
      <c r="N60" s="192"/>
      <c r="O60" s="2006"/>
      <c r="P60" s="2007"/>
      <c r="Q60" s="4"/>
    </row>
    <row r="62" spans="1:17" x14ac:dyDescent="0.25">
      <c r="B62" s="107" t="s">
        <v>129</v>
      </c>
    </row>
    <row r="64" spans="1:17" s="438" customFormat="1" ht="31.5" customHeight="1" x14ac:dyDescent="0.25">
      <c r="B64" s="2983" t="s">
        <v>622</v>
      </c>
      <c r="C64" s="2983"/>
      <c r="D64" s="2983"/>
      <c r="E64" s="2983"/>
      <c r="F64" s="2983" t="s">
        <v>32</v>
      </c>
      <c r="G64" s="2983"/>
      <c r="H64" s="2983" t="s">
        <v>623</v>
      </c>
      <c r="I64" s="2983"/>
      <c r="J64" s="2983" t="s">
        <v>624</v>
      </c>
      <c r="K64" s="2983"/>
      <c r="L64" s="2983" t="s">
        <v>625</v>
      </c>
      <c r="M64" s="2983"/>
      <c r="N64" s="2983" t="s">
        <v>626</v>
      </c>
      <c r="O64" s="2983"/>
      <c r="P64" s="128"/>
    </row>
    <row r="65" spans="2:15" x14ac:dyDescent="0.25">
      <c r="B65" s="2980" t="s">
        <v>627</v>
      </c>
      <c r="C65" s="2980"/>
      <c r="D65" s="2980"/>
      <c r="E65" s="2980"/>
      <c r="F65" s="2981">
        <f>+M11</f>
        <v>800000</v>
      </c>
      <c r="G65" s="2981"/>
      <c r="H65" s="2206" t="s">
        <v>628</v>
      </c>
      <c r="I65" s="2206"/>
      <c r="J65" s="2206" t="s">
        <v>629</v>
      </c>
      <c r="K65" s="2206"/>
      <c r="L65" s="2206">
        <v>11</v>
      </c>
      <c r="M65" s="2206"/>
      <c r="N65" s="2982">
        <v>0</v>
      </c>
      <c r="O65" s="2982"/>
    </row>
    <row r="66" spans="2:15" x14ac:dyDescent="0.25">
      <c r="B66" s="2980" t="s">
        <v>630</v>
      </c>
      <c r="C66" s="2980"/>
      <c r="D66" s="2980"/>
      <c r="E66" s="2980"/>
      <c r="F66" s="2981">
        <f>+M15</f>
        <v>6000</v>
      </c>
      <c r="G66" s="2981"/>
      <c r="H66" s="2206">
        <f>5*12</f>
        <v>60</v>
      </c>
      <c r="I66" s="2206"/>
      <c r="J66" s="2206" t="s">
        <v>631</v>
      </c>
      <c r="K66" s="2206"/>
      <c r="L66" s="2206">
        <v>10</v>
      </c>
      <c r="M66" s="2206"/>
      <c r="N66" s="2982">
        <f>+F66/H66*L66</f>
        <v>1000</v>
      </c>
      <c r="O66" s="2982"/>
    </row>
    <row r="67" spans="2:15" x14ac:dyDescent="0.25">
      <c r="B67" s="2980" t="s">
        <v>608</v>
      </c>
      <c r="C67" s="2980"/>
      <c r="D67" s="2980"/>
      <c r="E67" s="2980"/>
      <c r="F67" s="2981">
        <f>+M22</f>
        <v>450000</v>
      </c>
      <c r="G67" s="2981"/>
      <c r="H67" s="2206">
        <f>5*12</f>
        <v>60</v>
      </c>
      <c r="I67" s="2206"/>
      <c r="J67" s="2206" t="s">
        <v>632</v>
      </c>
      <c r="K67" s="2206"/>
      <c r="L67" s="2206">
        <v>8</v>
      </c>
      <c r="M67" s="2206"/>
      <c r="N67" s="2982">
        <f>+F67/H67*L67</f>
        <v>60000</v>
      </c>
      <c r="O67" s="2982"/>
    </row>
    <row r="68" spans="2:15" x14ac:dyDescent="0.25">
      <c r="B68" s="2980" t="s">
        <v>614</v>
      </c>
      <c r="C68" s="2980"/>
      <c r="D68" s="2980"/>
      <c r="E68" s="2980"/>
      <c r="F68" s="2981">
        <f>+M38</f>
        <v>54000</v>
      </c>
      <c r="G68" s="2981"/>
      <c r="H68" s="2206">
        <f>15*12</f>
        <v>180</v>
      </c>
      <c r="I68" s="2206"/>
      <c r="J68" s="2206" t="s">
        <v>633</v>
      </c>
      <c r="K68" s="2206"/>
      <c r="L68" s="2206">
        <v>4</v>
      </c>
      <c r="M68" s="2206"/>
      <c r="N68" s="2982">
        <f>+F68/H68*L68</f>
        <v>1200</v>
      </c>
      <c r="O68" s="2982"/>
    </row>
    <row r="71" spans="2:15" x14ac:dyDescent="0.25">
      <c r="B71" s="6" t="s">
        <v>389</v>
      </c>
      <c r="C71" s="439" t="s">
        <v>634</v>
      </c>
    </row>
    <row r="100" spans="1:17" s="4" customFormat="1" x14ac:dyDescent="0.25">
      <c r="B100" s="189"/>
      <c r="C100" s="12"/>
      <c r="D100" s="12"/>
      <c r="E100" s="12"/>
      <c r="F100" s="12"/>
      <c r="G100" s="51"/>
      <c r="H100" s="51"/>
      <c r="M100" s="18"/>
      <c r="N100" s="18"/>
      <c r="O100" s="18"/>
      <c r="P100" s="18"/>
    </row>
    <row r="101" spans="1:17" x14ac:dyDescent="0.25">
      <c r="A101" s="3"/>
      <c r="B101" s="200"/>
      <c r="C101" s="11"/>
      <c r="D101" s="11"/>
      <c r="E101" s="11"/>
      <c r="F101" s="11"/>
      <c r="G101" s="24"/>
      <c r="H101" s="24"/>
      <c r="I101" s="3"/>
      <c r="J101" s="3"/>
      <c r="K101" s="3"/>
      <c r="L101" s="3"/>
      <c r="M101" s="22"/>
      <c r="N101" s="22"/>
      <c r="O101" s="22"/>
      <c r="P101" s="22"/>
      <c r="Q101" s="3"/>
    </row>
    <row r="102" spans="1:17" x14ac:dyDescent="0.25">
      <c r="A102" s="1844" t="s">
        <v>20</v>
      </c>
      <c r="B102" s="1845"/>
      <c r="C102" s="1845"/>
      <c r="D102" s="1845"/>
      <c r="E102" s="1845"/>
      <c r="F102" s="1845"/>
      <c r="G102" s="1845"/>
      <c r="H102" s="1845"/>
      <c r="I102" s="1845"/>
      <c r="J102" s="1845"/>
      <c r="K102" s="1845"/>
      <c r="L102" s="1845"/>
      <c r="M102" s="1845"/>
      <c r="N102" s="1845"/>
      <c r="O102" s="1845"/>
      <c r="P102" s="1845"/>
      <c r="Q102" s="1846"/>
    </row>
    <row r="103" spans="1:17" x14ac:dyDescent="0.25">
      <c r="A103" s="1847" t="s">
        <v>635</v>
      </c>
      <c r="B103" s="1848"/>
      <c r="C103" s="1848"/>
      <c r="D103" s="1848"/>
      <c r="E103" s="1848"/>
      <c r="F103" s="1848"/>
      <c r="G103" s="1848"/>
      <c r="H103" s="1848"/>
      <c r="I103" s="1848"/>
      <c r="J103" s="1848"/>
      <c r="K103" s="1848"/>
      <c r="L103" s="1848"/>
      <c r="M103" s="1848"/>
      <c r="N103" s="1848"/>
      <c r="O103" s="1848"/>
      <c r="P103" s="1848"/>
      <c r="Q103" s="1849"/>
    </row>
    <row r="105" spans="1:17" x14ac:dyDescent="0.25">
      <c r="B105" s="440" t="s">
        <v>636</v>
      </c>
    </row>
    <row r="106" spans="1:17" x14ac:dyDescent="0.25">
      <c r="B106" s="440"/>
      <c r="M106" s="2153" t="s">
        <v>9</v>
      </c>
      <c r="N106" s="2153"/>
      <c r="O106" s="2153" t="s">
        <v>8</v>
      </c>
      <c r="P106" s="2153"/>
    </row>
    <row r="107" spans="1:17" ht="7.5" customHeight="1" x14ac:dyDescent="0.25">
      <c r="B107" s="39">
        <v>1</v>
      </c>
      <c r="M107" s="2154"/>
      <c r="N107" s="2154"/>
      <c r="O107" s="2154"/>
      <c r="P107" s="2154"/>
    </row>
    <row r="108" spans="1:17" x14ac:dyDescent="0.25">
      <c r="B108" s="441" t="s">
        <v>11</v>
      </c>
      <c r="C108" s="442" t="s">
        <v>637</v>
      </c>
      <c r="D108" s="139"/>
      <c r="E108" s="139"/>
      <c r="F108" s="139"/>
      <c r="G108" s="23"/>
      <c r="H108" s="23"/>
      <c r="I108" s="1"/>
      <c r="J108" s="1"/>
      <c r="K108" s="1"/>
      <c r="L108" s="1"/>
      <c r="M108" s="2973">
        <v>1000000</v>
      </c>
      <c r="N108" s="2974"/>
      <c r="O108" s="2975"/>
      <c r="P108" s="2974"/>
    </row>
    <row r="109" spans="1:17" x14ac:dyDescent="0.25">
      <c r="B109" s="441" t="s">
        <v>14</v>
      </c>
      <c r="C109" s="443"/>
      <c r="F109" s="20" t="s">
        <v>1</v>
      </c>
      <c r="G109" s="199" t="s">
        <v>10</v>
      </c>
      <c r="H109" s="51"/>
      <c r="I109" s="4"/>
      <c r="J109" s="4"/>
      <c r="K109" s="4"/>
      <c r="L109" s="4"/>
      <c r="M109" s="2970"/>
      <c r="N109" s="2969"/>
      <c r="O109" s="2968">
        <f>+M108</f>
        <v>1000000</v>
      </c>
      <c r="P109" s="2969"/>
    </row>
    <row r="110" spans="1:17" ht="7.5" customHeight="1" x14ac:dyDescent="0.25">
      <c r="B110" s="39">
        <v>2</v>
      </c>
      <c r="C110" s="2110" t="s">
        <v>21</v>
      </c>
      <c r="D110" s="2090"/>
      <c r="E110" s="2090"/>
      <c r="F110" s="2090"/>
      <c r="G110" s="2096"/>
      <c r="H110" s="2096"/>
      <c r="I110" s="2090" t="s">
        <v>21</v>
      </c>
      <c r="J110" s="2090"/>
      <c r="K110" s="2090"/>
      <c r="L110" s="2090"/>
      <c r="M110" s="444"/>
      <c r="N110" s="445"/>
      <c r="O110" s="446"/>
      <c r="P110" s="445"/>
    </row>
    <row r="111" spans="1:17" ht="28.5" customHeight="1" x14ac:dyDescent="0.25">
      <c r="B111" s="441"/>
      <c r="C111" s="2977" t="s">
        <v>638</v>
      </c>
      <c r="D111" s="2978"/>
      <c r="E111" s="2978"/>
      <c r="F111" s="2978"/>
      <c r="G111" s="2978"/>
      <c r="H111" s="2978"/>
      <c r="I111" s="2978"/>
      <c r="J111" s="2978"/>
      <c r="K111" s="2978"/>
      <c r="L111" s="2979"/>
      <c r="M111" s="444"/>
      <c r="N111" s="445"/>
      <c r="O111" s="446"/>
      <c r="P111" s="445"/>
    </row>
    <row r="112" spans="1:17" ht="7.5" customHeight="1" x14ac:dyDescent="0.25">
      <c r="B112" s="39">
        <v>3</v>
      </c>
      <c r="C112" s="2110" t="s">
        <v>21</v>
      </c>
      <c r="D112" s="2090"/>
      <c r="E112" s="2090"/>
      <c r="F112" s="2090"/>
      <c r="G112" s="2096"/>
      <c r="H112" s="2096"/>
      <c r="I112" s="2090" t="s">
        <v>21</v>
      </c>
      <c r="J112" s="2090"/>
      <c r="K112" s="2090"/>
      <c r="L112" s="2090"/>
      <c r="M112" s="2970"/>
      <c r="N112" s="2969"/>
      <c r="O112" s="2968"/>
      <c r="P112" s="2969"/>
    </row>
    <row r="113" spans="2:16" x14ac:dyDescent="0.25">
      <c r="B113" s="441" t="s">
        <v>11</v>
      </c>
      <c r="C113" s="447" t="s">
        <v>639</v>
      </c>
      <c r="F113" s="20"/>
      <c r="G113" s="199"/>
      <c r="H113" s="51"/>
      <c r="I113" s="4"/>
      <c r="J113" s="4"/>
      <c r="K113" s="4"/>
      <c r="L113" s="4"/>
      <c r="M113" s="2970">
        <f>320000*0.25*0.1</f>
        <v>8000</v>
      </c>
      <c r="N113" s="2969"/>
      <c r="O113" s="2968"/>
      <c r="P113" s="2969"/>
    </row>
    <row r="114" spans="2:16" x14ac:dyDescent="0.25">
      <c r="B114" s="441" t="s">
        <v>16</v>
      </c>
      <c r="C114" s="443"/>
      <c r="D114" s="4"/>
      <c r="E114" s="4"/>
      <c r="F114" s="20" t="s">
        <v>1</v>
      </c>
      <c r="G114" s="199" t="s">
        <v>640</v>
      </c>
      <c r="H114" s="51"/>
      <c r="I114" s="4"/>
      <c r="J114" s="4"/>
      <c r="K114" s="4"/>
      <c r="L114" s="4"/>
      <c r="M114" s="2970"/>
      <c r="N114" s="2969"/>
      <c r="O114" s="2968">
        <f>+M113</f>
        <v>8000</v>
      </c>
      <c r="P114" s="2969"/>
    </row>
    <row r="115" spans="2:16" ht="7.5" customHeight="1" x14ac:dyDescent="0.25">
      <c r="B115" s="39">
        <v>4</v>
      </c>
      <c r="C115" s="2110" t="s">
        <v>21</v>
      </c>
      <c r="D115" s="2090"/>
      <c r="E115" s="2090"/>
      <c r="F115" s="2090"/>
      <c r="G115" s="2096"/>
      <c r="H115" s="2096"/>
      <c r="I115" s="2090" t="s">
        <v>21</v>
      </c>
      <c r="J115" s="2090"/>
      <c r="K115" s="2090"/>
      <c r="L115" s="2090"/>
      <c r="M115" s="2970"/>
      <c r="N115" s="2969"/>
      <c r="O115" s="2968"/>
      <c r="P115" s="2969"/>
    </row>
    <row r="116" spans="2:16" x14ac:dyDescent="0.25">
      <c r="B116" s="441" t="s">
        <v>11</v>
      </c>
      <c r="C116" s="447" t="s">
        <v>10</v>
      </c>
      <c r="F116" s="20"/>
      <c r="G116" s="199"/>
      <c r="H116" s="51"/>
      <c r="I116" s="4"/>
      <c r="J116" s="4"/>
      <c r="K116" s="4"/>
      <c r="L116" s="4"/>
      <c r="M116" s="2970">
        <v>8000</v>
      </c>
      <c r="N116" s="2969"/>
      <c r="O116" s="2968"/>
      <c r="P116" s="2969"/>
    </row>
    <row r="117" spans="2:16" x14ac:dyDescent="0.25">
      <c r="B117" s="441" t="s">
        <v>14</v>
      </c>
      <c r="C117" s="443"/>
      <c r="F117" s="20" t="s">
        <v>1</v>
      </c>
      <c r="G117" s="199" t="s">
        <v>639</v>
      </c>
      <c r="H117" s="51"/>
      <c r="I117" s="4"/>
      <c r="J117" s="4"/>
      <c r="K117" s="4"/>
      <c r="L117" s="4"/>
      <c r="M117" s="2970"/>
      <c r="N117" s="2969"/>
      <c r="O117" s="2968">
        <f>+M116</f>
        <v>8000</v>
      </c>
      <c r="P117" s="2969"/>
    </row>
    <row r="118" spans="2:16" ht="7.5" customHeight="1" x14ac:dyDescent="0.25">
      <c r="B118" s="39">
        <v>5</v>
      </c>
      <c r="C118" s="2110" t="s">
        <v>21</v>
      </c>
      <c r="D118" s="2090"/>
      <c r="E118" s="2090"/>
      <c r="F118" s="2090"/>
      <c r="G118" s="2096"/>
      <c r="H118" s="2096"/>
      <c r="I118" s="2090" t="s">
        <v>21</v>
      </c>
      <c r="J118" s="2090"/>
      <c r="K118" s="2090"/>
      <c r="L118" s="2090"/>
      <c r="M118" s="2970"/>
      <c r="N118" s="2969"/>
      <c r="O118" s="2968"/>
      <c r="P118" s="2969"/>
    </row>
    <row r="119" spans="2:16" x14ac:dyDescent="0.25">
      <c r="B119" s="441" t="s">
        <v>15</v>
      </c>
      <c r="C119" s="447" t="s">
        <v>641</v>
      </c>
      <c r="F119" s="20"/>
      <c r="G119" s="199"/>
      <c r="H119" s="51"/>
      <c r="I119" s="4"/>
      <c r="J119" s="4"/>
      <c r="K119" s="4"/>
      <c r="L119" s="4"/>
      <c r="M119" s="2970">
        <v>100000</v>
      </c>
      <c r="N119" s="2969"/>
      <c r="O119" s="2968"/>
      <c r="P119" s="2969"/>
    </row>
    <row r="120" spans="2:16" x14ac:dyDescent="0.25">
      <c r="B120" s="441" t="s">
        <v>14</v>
      </c>
      <c r="C120" s="443"/>
      <c r="F120" s="20" t="s">
        <v>1</v>
      </c>
      <c r="G120" s="199" t="s">
        <v>637</v>
      </c>
      <c r="H120" s="51"/>
      <c r="I120" s="4"/>
      <c r="J120" s="4"/>
      <c r="K120" s="4"/>
      <c r="L120" s="4"/>
      <c r="M120" s="2970"/>
      <c r="N120" s="2969"/>
      <c r="O120" s="2968">
        <f>+M119</f>
        <v>100000</v>
      </c>
      <c r="P120" s="2969"/>
    </row>
    <row r="121" spans="2:16" ht="7.5" customHeight="1" x14ac:dyDescent="0.25">
      <c r="B121" s="39">
        <v>6</v>
      </c>
      <c r="C121" s="2110" t="s">
        <v>21</v>
      </c>
      <c r="D121" s="2090"/>
      <c r="E121" s="2090"/>
      <c r="F121" s="2090"/>
      <c r="G121" s="2096"/>
      <c r="H121" s="2096"/>
      <c r="I121" s="2090" t="s">
        <v>21</v>
      </c>
      <c r="J121" s="2090"/>
      <c r="K121" s="2090"/>
      <c r="L121" s="2090"/>
      <c r="M121" s="2970"/>
      <c r="N121" s="2969"/>
      <c r="O121" s="2968"/>
      <c r="P121" s="2969"/>
    </row>
    <row r="122" spans="2:16" x14ac:dyDescent="0.25">
      <c r="B122" s="441" t="s">
        <v>11</v>
      </c>
      <c r="C122" s="447" t="s">
        <v>10</v>
      </c>
      <c r="F122" s="20"/>
      <c r="G122" s="199"/>
      <c r="H122" s="51"/>
      <c r="I122" s="4"/>
      <c r="J122" s="4"/>
      <c r="K122" s="4"/>
      <c r="L122" s="4"/>
      <c r="M122" s="2970">
        <f>9.5*100000-16000</f>
        <v>934000</v>
      </c>
      <c r="N122" s="2969"/>
      <c r="O122" s="2968"/>
      <c r="P122" s="2969"/>
    </row>
    <row r="123" spans="2:16" x14ac:dyDescent="0.25">
      <c r="B123" s="441" t="s">
        <v>14</v>
      </c>
      <c r="C123" s="443"/>
      <c r="F123" s="20" t="s">
        <v>1</v>
      </c>
      <c r="G123" s="199" t="s">
        <v>637</v>
      </c>
      <c r="H123" s="51"/>
      <c r="I123" s="4"/>
      <c r="J123" s="4"/>
      <c r="K123" s="4"/>
      <c r="L123" s="4"/>
      <c r="M123" s="2970"/>
      <c r="N123" s="2969"/>
      <c r="O123" s="2968">
        <v>900000</v>
      </c>
      <c r="P123" s="2969"/>
    </row>
    <row r="124" spans="2:16" x14ac:dyDescent="0.25">
      <c r="B124" s="441" t="s">
        <v>16</v>
      </c>
      <c r="C124" s="448"/>
      <c r="D124" s="11"/>
      <c r="E124" s="11"/>
      <c r="F124" s="35" t="s">
        <v>1</v>
      </c>
      <c r="G124" s="197" t="s">
        <v>642</v>
      </c>
      <c r="H124" s="24"/>
      <c r="I124" s="3"/>
      <c r="J124" s="3"/>
      <c r="K124" s="3"/>
      <c r="L124" s="3"/>
      <c r="M124" s="2971"/>
      <c r="N124" s="2972"/>
      <c r="O124" s="2976">
        <v>34000</v>
      </c>
      <c r="P124" s="2972"/>
    </row>
    <row r="127" spans="2:16" x14ac:dyDescent="0.25">
      <c r="B127" s="440" t="s">
        <v>643</v>
      </c>
    </row>
    <row r="128" spans="2:16" x14ac:dyDescent="0.25">
      <c r="M128" s="2153" t="s">
        <v>9</v>
      </c>
      <c r="N128" s="2153"/>
      <c r="O128" s="2153" t="s">
        <v>8</v>
      </c>
      <c r="P128" s="2153"/>
    </row>
    <row r="129" spans="1:16" ht="7.5" customHeight="1" x14ac:dyDescent="0.25">
      <c r="B129" s="39">
        <v>7</v>
      </c>
      <c r="M129" s="2154"/>
      <c r="N129" s="2154"/>
      <c r="O129" s="2154"/>
      <c r="P129" s="2154"/>
    </row>
    <row r="130" spans="1:16" x14ac:dyDescent="0.25">
      <c r="B130" s="441" t="s">
        <v>11</v>
      </c>
      <c r="C130" s="442" t="s">
        <v>644</v>
      </c>
      <c r="D130" s="139"/>
      <c r="E130" s="139"/>
      <c r="F130" s="139"/>
      <c r="G130" s="23"/>
      <c r="H130" s="23"/>
      <c r="I130" s="1"/>
      <c r="J130" s="1"/>
      <c r="K130" s="1"/>
      <c r="L130" s="1"/>
      <c r="M130" s="2973">
        <f>120000000*0.6</f>
        <v>72000000</v>
      </c>
      <c r="N130" s="2974"/>
      <c r="O130" s="2975"/>
      <c r="P130" s="2974"/>
    </row>
    <row r="131" spans="1:16" x14ac:dyDescent="0.25">
      <c r="B131" s="441" t="s">
        <v>11</v>
      </c>
      <c r="C131" s="447" t="s">
        <v>604</v>
      </c>
      <c r="G131" s="51"/>
      <c r="H131" s="51"/>
      <c r="I131" s="4"/>
      <c r="J131" s="4"/>
      <c r="K131" s="4"/>
      <c r="L131" s="4"/>
      <c r="M131" s="2970">
        <f>+O133+O132-M130</f>
        <v>8000000</v>
      </c>
      <c r="N131" s="2969"/>
      <c r="O131" s="446"/>
      <c r="P131" s="445"/>
    </row>
    <row r="132" spans="1:16" x14ac:dyDescent="0.25">
      <c r="B132" s="441" t="s">
        <v>14</v>
      </c>
      <c r="C132" s="447"/>
      <c r="F132" s="20" t="s">
        <v>1</v>
      </c>
      <c r="G132" s="199" t="s">
        <v>645</v>
      </c>
      <c r="H132" s="51"/>
      <c r="I132" s="4"/>
      <c r="J132" s="4"/>
      <c r="K132" s="4"/>
      <c r="L132" s="4"/>
      <c r="M132" s="444"/>
      <c r="N132" s="445"/>
      <c r="O132" s="2968">
        <v>40000000</v>
      </c>
      <c r="P132" s="2969"/>
    </row>
    <row r="133" spans="1:16" x14ac:dyDescent="0.25">
      <c r="B133" s="441" t="s">
        <v>17</v>
      </c>
      <c r="C133" s="443"/>
      <c r="F133" s="20" t="s">
        <v>1</v>
      </c>
      <c r="G133" s="199" t="s">
        <v>646</v>
      </c>
      <c r="H133" s="51"/>
      <c r="I133" s="4"/>
      <c r="J133" s="4"/>
      <c r="K133" s="4"/>
      <c r="L133" s="4"/>
      <c r="M133" s="2970"/>
      <c r="N133" s="2969"/>
      <c r="O133" s="2968">
        <f>+O132</f>
        <v>40000000</v>
      </c>
      <c r="P133" s="2969"/>
    </row>
    <row r="134" spans="1:16" ht="7.5" customHeight="1" x14ac:dyDescent="0.25">
      <c r="B134" s="39">
        <v>8</v>
      </c>
      <c r="C134" s="2110" t="s">
        <v>21</v>
      </c>
      <c r="D134" s="2090"/>
      <c r="E134" s="2090"/>
      <c r="F134" s="2090"/>
      <c r="G134" s="2096"/>
      <c r="H134" s="2096"/>
      <c r="I134" s="2090" t="s">
        <v>21</v>
      </c>
      <c r="J134" s="2090"/>
      <c r="K134" s="2090"/>
      <c r="L134" s="2090"/>
      <c r="M134" s="2970"/>
      <c r="N134" s="2969"/>
      <c r="O134" s="2968"/>
      <c r="P134" s="2969"/>
    </row>
    <row r="135" spans="1:16" x14ac:dyDescent="0.25">
      <c r="B135" s="441" t="s">
        <v>11</v>
      </c>
      <c r="C135" s="447" t="str">
        <f>+C130</f>
        <v>Inversión Permanente - Omega</v>
      </c>
      <c r="F135" s="20"/>
      <c r="G135" s="199"/>
      <c r="H135" s="51"/>
      <c r="I135" s="4"/>
      <c r="J135" s="4"/>
      <c r="K135" s="4"/>
      <c r="L135" s="4"/>
      <c r="M135" s="2970">
        <f>10000000*0.6</f>
        <v>6000000</v>
      </c>
      <c r="N135" s="2969"/>
      <c r="O135" s="2968"/>
      <c r="P135" s="2969"/>
    </row>
    <row r="136" spans="1:16" x14ac:dyDescent="0.25">
      <c r="B136" s="441" t="s">
        <v>16</v>
      </c>
      <c r="C136" s="443"/>
      <c r="F136" s="20" t="s">
        <v>1</v>
      </c>
      <c r="G136" s="199" t="s">
        <v>647</v>
      </c>
      <c r="H136" s="51"/>
      <c r="I136" s="4"/>
      <c r="J136" s="4"/>
      <c r="K136" s="4"/>
      <c r="L136" s="4"/>
      <c r="M136" s="2970"/>
      <c r="N136" s="2969"/>
      <c r="O136" s="2968">
        <f>+M135</f>
        <v>6000000</v>
      </c>
      <c r="P136" s="2969"/>
    </row>
    <row r="137" spans="1:16" ht="7.5" customHeight="1" x14ac:dyDescent="0.25">
      <c r="B137" s="39">
        <v>9</v>
      </c>
      <c r="C137" s="2110" t="s">
        <v>21</v>
      </c>
      <c r="D137" s="2090"/>
      <c r="E137" s="2090"/>
      <c r="F137" s="2090"/>
      <c r="G137" s="2096"/>
      <c r="H137" s="2096"/>
      <c r="I137" s="2090" t="s">
        <v>21</v>
      </c>
      <c r="J137" s="2090"/>
      <c r="K137" s="2090"/>
      <c r="L137" s="2090"/>
      <c r="M137" s="2970"/>
      <c r="N137" s="2969"/>
      <c r="O137" s="2968"/>
      <c r="P137" s="2969"/>
    </row>
    <row r="138" spans="1:16" x14ac:dyDescent="0.25">
      <c r="A138" s="4"/>
      <c r="B138" s="441" t="s">
        <v>11</v>
      </c>
      <c r="C138" s="447" t="s">
        <v>639</v>
      </c>
      <c r="F138" s="20"/>
      <c r="G138" s="199"/>
      <c r="H138" s="51"/>
      <c r="I138" s="4"/>
      <c r="J138" s="4"/>
      <c r="K138" s="4"/>
      <c r="L138" s="4"/>
      <c r="M138" s="2970">
        <f>2000000*0.6</f>
        <v>1200000</v>
      </c>
      <c r="N138" s="2969"/>
      <c r="O138" s="2968"/>
      <c r="P138" s="2969"/>
    </row>
    <row r="139" spans="1:16" x14ac:dyDescent="0.25">
      <c r="B139" s="441" t="s">
        <v>14</v>
      </c>
      <c r="C139" s="449"/>
      <c r="D139" s="11"/>
      <c r="E139" s="11"/>
      <c r="F139" s="35" t="s">
        <v>1</v>
      </c>
      <c r="G139" s="197" t="s">
        <v>644</v>
      </c>
      <c r="H139" s="24"/>
      <c r="I139" s="3"/>
      <c r="J139" s="3"/>
      <c r="K139" s="3"/>
      <c r="L139" s="3"/>
      <c r="M139" s="2971"/>
      <c r="N139" s="2972"/>
      <c r="O139" s="2976">
        <f>+M138</f>
        <v>1200000</v>
      </c>
      <c r="P139" s="2972"/>
    </row>
    <row r="140" spans="1:16" x14ac:dyDescent="0.25">
      <c r="B140" s="441"/>
      <c r="C140" s="450"/>
      <c r="F140" s="20"/>
      <c r="G140" s="199"/>
      <c r="H140" s="51"/>
      <c r="I140" s="4"/>
      <c r="J140" s="4"/>
      <c r="K140" s="4"/>
      <c r="L140" s="4"/>
      <c r="M140" s="446"/>
      <c r="N140" s="446"/>
      <c r="O140" s="446"/>
      <c r="P140" s="446"/>
    </row>
    <row r="141" spans="1:16" x14ac:dyDescent="0.25">
      <c r="B141" s="441"/>
      <c r="C141" s="450"/>
      <c r="F141" s="20"/>
      <c r="G141" s="199"/>
      <c r="H141" s="51"/>
      <c r="I141" s="4"/>
      <c r="J141" s="4"/>
      <c r="K141" s="4"/>
      <c r="L141" s="4"/>
      <c r="M141" s="446"/>
      <c r="N141" s="446"/>
      <c r="O141" s="446"/>
      <c r="P141" s="446"/>
    </row>
    <row r="142" spans="1:16" x14ac:dyDescent="0.25">
      <c r="B142" s="440" t="s">
        <v>648</v>
      </c>
    </row>
    <row r="143" spans="1:16" ht="7.5" customHeight="1" x14ac:dyDescent="0.25">
      <c r="M143" s="2153" t="s">
        <v>9</v>
      </c>
      <c r="N143" s="2153"/>
      <c r="O143" s="2153" t="s">
        <v>8</v>
      </c>
      <c r="P143" s="2153"/>
    </row>
    <row r="144" spans="1:16" ht="7.5" customHeight="1" x14ac:dyDescent="0.25">
      <c r="B144" s="39">
        <v>10</v>
      </c>
      <c r="M144" s="2154"/>
      <c r="N144" s="2154"/>
      <c r="O144" s="2154"/>
      <c r="P144" s="2154"/>
    </row>
    <row r="145" spans="1:17" x14ac:dyDescent="0.25">
      <c r="B145" s="441" t="s">
        <v>11</v>
      </c>
      <c r="C145" s="442" t="s">
        <v>649</v>
      </c>
      <c r="D145" s="139"/>
      <c r="E145" s="139"/>
      <c r="F145" s="139"/>
      <c r="G145" s="23"/>
      <c r="H145" s="23"/>
      <c r="I145" s="1"/>
      <c r="J145" s="1"/>
      <c r="K145" s="1"/>
      <c r="L145" s="1"/>
      <c r="M145" s="2973">
        <f>200000*0.68</f>
        <v>136000</v>
      </c>
      <c r="N145" s="2974"/>
      <c r="O145" s="2975"/>
      <c r="P145" s="2974"/>
    </row>
    <row r="146" spans="1:17" x14ac:dyDescent="0.25">
      <c r="B146" s="441" t="s">
        <v>14</v>
      </c>
      <c r="C146" s="447"/>
      <c r="F146" s="20" t="s">
        <v>1</v>
      </c>
      <c r="G146" s="199" t="s">
        <v>10</v>
      </c>
      <c r="H146" s="51"/>
      <c r="I146" s="4"/>
      <c r="J146" s="4"/>
      <c r="K146" s="4"/>
      <c r="L146" s="4"/>
      <c r="M146" s="444"/>
      <c r="N146" s="445"/>
      <c r="O146" s="2968">
        <f>+M145</f>
        <v>136000</v>
      </c>
      <c r="P146" s="2969"/>
    </row>
    <row r="147" spans="1:17" ht="7.5" customHeight="1" x14ac:dyDescent="0.25">
      <c r="B147" s="39">
        <v>11</v>
      </c>
      <c r="C147" s="2110" t="s">
        <v>21</v>
      </c>
      <c r="D147" s="2090"/>
      <c r="E147" s="2090"/>
      <c r="F147" s="2090"/>
      <c r="G147" s="2096"/>
      <c r="H147" s="2096"/>
      <c r="I147" s="2090" t="s">
        <v>21</v>
      </c>
      <c r="J147" s="2090"/>
      <c r="K147" s="2090"/>
      <c r="L147" s="2090"/>
      <c r="M147" s="2970"/>
      <c r="N147" s="2969"/>
      <c r="O147" s="2968"/>
      <c r="P147" s="2969"/>
    </row>
    <row r="148" spans="1:17" x14ac:dyDescent="0.25">
      <c r="B148" s="441" t="s">
        <v>11</v>
      </c>
      <c r="C148" s="447" t="str">
        <f>+C145</f>
        <v>Acciones - Telecom</v>
      </c>
      <c r="F148" s="20"/>
      <c r="G148" s="199"/>
      <c r="H148" s="51"/>
      <c r="I148" s="4"/>
      <c r="J148" s="4"/>
      <c r="K148" s="4"/>
      <c r="L148" s="4"/>
      <c r="M148" s="2970">
        <f>+((1.65*0.99)-0.68)*200000</f>
        <v>190699.99999999997</v>
      </c>
      <c r="N148" s="2969"/>
      <c r="O148" s="2968"/>
      <c r="P148" s="2969"/>
    </row>
    <row r="149" spans="1:17" x14ac:dyDescent="0.25">
      <c r="B149" s="441" t="s">
        <v>16</v>
      </c>
      <c r="C149" s="443"/>
      <c r="F149" s="20" t="s">
        <v>1</v>
      </c>
      <c r="G149" s="199" t="s">
        <v>650</v>
      </c>
      <c r="H149" s="51"/>
      <c r="I149" s="4"/>
      <c r="J149" s="4"/>
      <c r="K149" s="4"/>
      <c r="L149" s="4"/>
      <c r="M149" s="2970"/>
      <c r="N149" s="2969"/>
      <c r="O149" s="2968">
        <f>+M148</f>
        <v>190699.99999999997</v>
      </c>
      <c r="P149" s="2969"/>
    </row>
    <row r="150" spans="1:17" ht="7.5" customHeight="1" x14ac:dyDescent="0.25">
      <c r="B150" s="39">
        <v>12</v>
      </c>
      <c r="C150" s="2110" t="s">
        <v>21</v>
      </c>
      <c r="D150" s="2090"/>
      <c r="E150" s="2090"/>
      <c r="F150" s="2090"/>
      <c r="G150" s="2096"/>
      <c r="H150" s="2096"/>
      <c r="I150" s="2090" t="s">
        <v>21</v>
      </c>
      <c r="J150" s="2090"/>
      <c r="K150" s="2090"/>
      <c r="L150" s="2090"/>
      <c r="M150" s="2970"/>
      <c r="N150" s="2969"/>
      <c r="O150" s="2968"/>
      <c r="P150" s="2969"/>
    </row>
    <row r="151" spans="1:17" x14ac:dyDescent="0.25">
      <c r="B151" s="441" t="s">
        <v>11</v>
      </c>
      <c r="C151" s="447" t="s">
        <v>67</v>
      </c>
      <c r="F151" s="20"/>
      <c r="G151" s="199"/>
      <c r="H151" s="51"/>
      <c r="I151" s="4"/>
      <c r="J151" s="4"/>
      <c r="K151" s="4"/>
      <c r="L151" s="4"/>
      <c r="M151" s="1953">
        <f>3.18*200000*0.99</f>
        <v>629640</v>
      </c>
      <c r="N151" s="1954"/>
      <c r="O151" s="2968"/>
      <c r="P151" s="2969"/>
    </row>
    <row r="152" spans="1:17" x14ac:dyDescent="0.25">
      <c r="B152" s="441" t="s">
        <v>14</v>
      </c>
      <c r="C152" s="443"/>
      <c r="F152" s="20" t="s">
        <v>1</v>
      </c>
      <c r="G152" s="199" t="s">
        <v>649</v>
      </c>
      <c r="H152" s="51"/>
      <c r="I152" s="4"/>
      <c r="J152" s="4"/>
      <c r="K152" s="4"/>
      <c r="L152" s="4"/>
      <c r="M152" s="2970"/>
      <c r="N152" s="2969"/>
      <c r="O152" s="2970">
        <f>+M145+M148</f>
        <v>326700</v>
      </c>
      <c r="P152" s="2969"/>
    </row>
    <row r="153" spans="1:17" x14ac:dyDescent="0.25">
      <c r="B153" s="441" t="s">
        <v>16</v>
      </c>
      <c r="C153" s="449"/>
      <c r="D153" s="11"/>
      <c r="E153" s="11"/>
      <c r="F153" s="35" t="s">
        <v>1</v>
      </c>
      <c r="G153" s="197" t="s">
        <v>642</v>
      </c>
      <c r="H153" s="24"/>
      <c r="I153" s="3"/>
      <c r="J153" s="3"/>
      <c r="K153" s="3"/>
      <c r="L153" s="3"/>
      <c r="M153" s="2971"/>
      <c r="N153" s="2972"/>
      <c r="O153" s="2971">
        <f>+M151-O152</f>
        <v>302940</v>
      </c>
      <c r="P153" s="2972"/>
    </row>
    <row r="156" spans="1:17" s="4" customFormat="1" x14ac:dyDescent="0.25">
      <c r="B156" s="189"/>
      <c r="C156" s="12"/>
      <c r="D156" s="12"/>
      <c r="E156" s="12"/>
      <c r="F156" s="12"/>
      <c r="G156" s="51"/>
      <c r="H156" s="51"/>
      <c r="M156" s="18"/>
      <c r="N156" s="18"/>
      <c r="O156" s="18"/>
      <c r="P156" s="18"/>
    </row>
    <row r="157" spans="1:17" x14ac:dyDescent="0.25">
      <c r="A157" s="3"/>
      <c r="B157" s="200"/>
      <c r="C157" s="11"/>
      <c r="D157" s="11"/>
      <c r="E157" s="11"/>
      <c r="F157" s="11"/>
      <c r="G157" s="24"/>
      <c r="H157" s="24"/>
      <c r="I157" s="3"/>
      <c r="J157" s="3"/>
      <c r="K157" s="3"/>
      <c r="L157" s="3"/>
      <c r="M157" s="22"/>
      <c r="N157" s="22"/>
      <c r="O157" s="22"/>
      <c r="P157" s="22"/>
      <c r="Q157" s="3"/>
    </row>
    <row r="158" spans="1:17" x14ac:dyDescent="0.25">
      <c r="A158" s="1844" t="s">
        <v>20</v>
      </c>
      <c r="B158" s="1845"/>
      <c r="C158" s="1845"/>
      <c r="D158" s="1845"/>
      <c r="E158" s="1845"/>
      <c r="F158" s="1845"/>
      <c r="G158" s="1845"/>
      <c r="H158" s="1845"/>
      <c r="I158" s="1845"/>
      <c r="J158" s="1845"/>
      <c r="K158" s="1845"/>
      <c r="L158" s="1845"/>
      <c r="M158" s="1845"/>
      <c r="N158" s="1845"/>
      <c r="O158" s="1845"/>
      <c r="P158" s="1845"/>
      <c r="Q158" s="1846"/>
    </row>
    <row r="159" spans="1:17" x14ac:dyDescent="0.25">
      <c r="A159" s="1847" t="s">
        <v>651</v>
      </c>
      <c r="B159" s="1848"/>
      <c r="C159" s="1848"/>
      <c r="D159" s="1848"/>
      <c r="E159" s="1848"/>
      <c r="F159" s="1848"/>
      <c r="G159" s="1848"/>
      <c r="H159" s="1848"/>
      <c r="I159" s="1848"/>
      <c r="J159" s="1848"/>
      <c r="K159" s="1848"/>
      <c r="L159" s="1848"/>
      <c r="M159" s="1848"/>
      <c r="N159" s="1848"/>
      <c r="O159" s="1848"/>
      <c r="P159" s="1848"/>
      <c r="Q159" s="1849"/>
    </row>
    <row r="161" spans="1:15" x14ac:dyDescent="0.25">
      <c r="A161" s="4"/>
      <c r="B161" s="451" t="s">
        <v>307</v>
      </c>
      <c r="C161" s="452" t="s">
        <v>652</v>
      </c>
      <c r="D161" s="453"/>
      <c r="E161" s="453"/>
      <c r="F161" s="453"/>
    </row>
    <row r="162" spans="1:15" x14ac:dyDescent="0.25">
      <c r="B162" s="453"/>
      <c r="C162" s="453"/>
      <c r="D162" s="453"/>
      <c r="E162" s="453"/>
      <c r="F162" s="453"/>
    </row>
    <row r="163" spans="1:15" x14ac:dyDescent="0.25">
      <c r="B163" s="453"/>
      <c r="C163" s="454" t="s">
        <v>653</v>
      </c>
      <c r="D163" s="455"/>
      <c r="E163" s="455"/>
      <c r="F163" s="455"/>
      <c r="G163" s="456"/>
      <c r="H163" s="456"/>
      <c r="I163" s="457"/>
      <c r="J163" s="457"/>
      <c r="K163" s="457"/>
      <c r="L163" s="457"/>
      <c r="M163" s="458"/>
      <c r="N163" s="458"/>
      <c r="O163" s="459"/>
    </row>
    <row r="164" spans="1:15" x14ac:dyDescent="0.25">
      <c r="C164" s="460"/>
      <c r="D164" s="461" t="s">
        <v>654</v>
      </c>
      <c r="E164" s="462"/>
      <c r="F164" s="462"/>
      <c r="G164" s="51"/>
      <c r="H164" s="51"/>
      <c r="I164" s="4"/>
      <c r="J164" s="4"/>
      <c r="K164" s="4"/>
      <c r="L164" s="4"/>
      <c r="M164" s="18"/>
      <c r="N164" s="18"/>
      <c r="O164" s="463"/>
    </row>
    <row r="165" spans="1:15" x14ac:dyDescent="0.25">
      <c r="C165" s="460"/>
      <c r="D165" s="464" t="s">
        <v>655</v>
      </c>
      <c r="E165" s="462"/>
      <c r="F165" s="462"/>
      <c r="G165" s="51"/>
      <c r="H165" s="51"/>
      <c r="I165" s="4"/>
      <c r="J165" s="4"/>
      <c r="K165" s="4"/>
      <c r="L165" s="4"/>
      <c r="M165" s="18"/>
      <c r="N165" s="18"/>
      <c r="O165" s="463"/>
    </row>
    <row r="166" spans="1:15" x14ac:dyDescent="0.25">
      <c r="C166" s="460"/>
      <c r="D166" s="464" t="s">
        <v>656</v>
      </c>
      <c r="E166" s="462"/>
      <c r="F166" s="462"/>
      <c r="G166" s="51"/>
      <c r="H166" s="51"/>
      <c r="I166" s="4"/>
      <c r="J166" s="4"/>
      <c r="K166" s="4"/>
      <c r="L166" s="4"/>
      <c r="M166" s="18"/>
      <c r="N166" s="18"/>
      <c r="O166" s="463"/>
    </row>
    <row r="167" spans="1:15" x14ac:dyDescent="0.25">
      <c r="C167" s="460"/>
      <c r="D167" s="464" t="s">
        <v>657</v>
      </c>
      <c r="E167" s="462"/>
      <c r="F167" s="462"/>
      <c r="G167" s="51"/>
      <c r="H167" s="51"/>
      <c r="I167" s="4"/>
      <c r="J167" s="4"/>
      <c r="K167" s="4"/>
      <c r="L167" s="4"/>
      <c r="M167" s="18"/>
      <c r="N167" s="18"/>
      <c r="O167" s="463"/>
    </row>
    <row r="168" spans="1:15" x14ac:dyDescent="0.25">
      <c r="C168" s="460"/>
      <c r="D168" s="464" t="s">
        <v>658</v>
      </c>
      <c r="E168" s="462"/>
      <c r="F168" s="462"/>
      <c r="G168" s="51"/>
      <c r="H168" s="51"/>
      <c r="I168" s="4"/>
      <c r="J168" s="4"/>
      <c r="K168" s="4"/>
      <c r="L168" s="4"/>
      <c r="M168" s="18"/>
      <c r="N168" s="18"/>
      <c r="O168" s="463"/>
    </row>
    <row r="169" spans="1:15" x14ac:dyDescent="0.25">
      <c r="C169" s="460"/>
      <c r="D169" s="464" t="s">
        <v>659</v>
      </c>
      <c r="E169" s="462"/>
      <c r="F169" s="462"/>
      <c r="G169" s="51"/>
      <c r="H169" s="51"/>
      <c r="I169" s="4"/>
      <c r="J169" s="4"/>
      <c r="K169" s="4"/>
      <c r="L169" s="4"/>
      <c r="M169" s="18"/>
      <c r="N169" s="18"/>
      <c r="O169" s="463"/>
    </row>
    <row r="170" spans="1:15" x14ac:dyDescent="0.25">
      <c r="C170" s="460"/>
      <c r="D170" s="465" t="s">
        <v>660</v>
      </c>
      <c r="E170" s="462"/>
      <c r="F170" s="462"/>
      <c r="G170" s="51"/>
      <c r="H170" s="51"/>
      <c r="I170" s="4"/>
      <c r="J170" s="4"/>
      <c r="K170" s="4"/>
      <c r="L170" s="4"/>
      <c r="M170" s="18"/>
      <c r="N170" s="18"/>
      <c r="O170" s="463"/>
    </row>
    <row r="171" spans="1:15" x14ac:dyDescent="0.25">
      <c r="C171" s="460"/>
      <c r="D171" s="466" t="s">
        <v>661</v>
      </c>
      <c r="E171" s="189" t="s">
        <v>18</v>
      </c>
      <c r="F171" s="4" t="s">
        <v>662</v>
      </c>
      <c r="G171" s="4"/>
      <c r="H171" s="4"/>
      <c r="I171" s="4"/>
      <c r="J171" s="4"/>
      <c r="K171" s="4"/>
      <c r="L171" s="4"/>
      <c r="M171" s="18"/>
      <c r="N171" s="18"/>
      <c r="O171" s="463"/>
    </row>
    <row r="172" spans="1:15" x14ac:dyDescent="0.25">
      <c r="C172" s="460"/>
      <c r="D172" s="466"/>
      <c r="E172" s="189"/>
      <c r="F172" s="4"/>
      <c r="G172" s="4"/>
      <c r="H172" s="4"/>
      <c r="I172" s="4"/>
      <c r="J172" s="4"/>
      <c r="K172" s="4"/>
      <c r="L172" s="4"/>
      <c r="M172" s="18"/>
      <c r="N172" s="18"/>
      <c r="O172" s="463"/>
    </row>
    <row r="173" spans="1:15" x14ac:dyDescent="0.25">
      <c r="C173" s="460"/>
      <c r="D173" s="286"/>
      <c r="E173" s="467" t="s">
        <v>663</v>
      </c>
      <c r="F173" s="466" t="s">
        <v>664</v>
      </c>
      <c r="G173" s="51" t="s">
        <v>18</v>
      </c>
      <c r="H173" s="439" t="s">
        <v>665</v>
      </c>
      <c r="I173" s="439"/>
      <c r="J173" s="4"/>
      <c r="K173" s="4"/>
      <c r="L173" s="4"/>
      <c r="M173" s="18"/>
      <c r="N173" s="18"/>
      <c r="O173" s="463"/>
    </row>
    <row r="174" spans="1:15" x14ac:dyDescent="0.25">
      <c r="C174" s="460"/>
      <c r="D174" s="286"/>
      <c r="E174" s="467"/>
      <c r="F174" s="466"/>
      <c r="G174" s="51"/>
      <c r="H174" s="468"/>
      <c r="I174" s="468"/>
      <c r="J174" s="4"/>
      <c r="K174" s="4"/>
      <c r="L174" s="4"/>
      <c r="M174" s="18"/>
      <c r="N174" s="18"/>
      <c r="O174" s="463"/>
    </row>
    <row r="175" spans="1:15" x14ac:dyDescent="0.25">
      <c r="C175" s="469"/>
      <c r="D175" s="470" t="s">
        <v>666</v>
      </c>
      <c r="E175" s="471"/>
      <c r="F175" s="471"/>
      <c r="G175" s="195"/>
      <c r="H175" s="195"/>
      <c r="I175" s="472"/>
      <c r="J175" s="472"/>
      <c r="K175" s="472"/>
      <c r="L175" s="472"/>
      <c r="M175" s="473"/>
      <c r="N175" s="473"/>
      <c r="O175" s="474"/>
    </row>
    <row r="176" spans="1:15" x14ac:dyDescent="0.25">
      <c r="B176" s="475"/>
      <c r="C176" s="475"/>
      <c r="D176" s="453"/>
      <c r="E176" s="453"/>
      <c r="F176" s="453"/>
    </row>
    <row r="177" spans="2:15" x14ac:dyDescent="0.25">
      <c r="B177" s="475"/>
      <c r="C177" s="454" t="s">
        <v>667</v>
      </c>
      <c r="D177" s="455"/>
      <c r="E177" s="455"/>
      <c r="F177" s="455"/>
      <c r="G177" s="456"/>
      <c r="H177" s="456"/>
      <c r="I177" s="457"/>
      <c r="J177" s="457"/>
      <c r="K177" s="457"/>
      <c r="L177" s="457"/>
      <c r="M177" s="458"/>
      <c r="N177" s="458"/>
      <c r="O177" s="459"/>
    </row>
    <row r="178" spans="2:15" x14ac:dyDescent="0.25">
      <c r="B178" s="475"/>
      <c r="C178" s="460"/>
      <c r="D178" s="476" t="s">
        <v>668</v>
      </c>
      <c r="E178" s="4"/>
      <c r="F178" s="4"/>
      <c r="G178" s="4"/>
      <c r="H178" s="2774">
        <v>10000000</v>
      </c>
      <c r="I178" s="2774"/>
      <c r="J178" s="476" t="s">
        <v>669</v>
      </c>
      <c r="K178" s="462"/>
      <c r="L178" s="477"/>
      <c r="M178" s="4"/>
      <c r="N178" s="4"/>
      <c r="O178" s="478"/>
    </row>
    <row r="179" spans="2:15" x14ac:dyDescent="0.25">
      <c r="B179" s="475"/>
      <c r="C179" s="460"/>
      <c r="D179" s="462"/>
      <c r="E179" s="462"/>
      <c r="F179" s="462"/>
      <c r="G179" s="51"/>
      <c r="H179" s="51"/>
      <c r="I179" s="4"/>
      <c r="J179" s="4"/>
      <c r="K179" s="4"/>
      <c r="L179" s="4"/>
      <c r="M179" s="18"/>
      <c r="N179" s="18"/>
      <c r="O179" s="463"/>
    </row>
    <row r="180" spans="2:15" x14ac:dyDescent="0.25">
      <c r="B180" s="475"/>
      <c r="C180" s="460"/>
      <c r="D180" s="479" t="s">
        <v>670</v>
      </c>
      <c r="E180" s="462"/>
      <c r="F180" s="462"/>
      <c r="G180" s="51"/>
      <c r="H180" s="51"/>
      <c r="I180" s="4"/>
      <c r="J180" s="4"/>
      <c r="K180" s="4"/>
      <c r="L180" s="4"/>
      <c r="M180" s="18"/>
      <c r="N180" s="18"/>
      <c r="O180" s="463"/>
    </row>
    <row r="181" spans="2:15" x14ac:dyDescent="0.25">
      <c r="B181" s="2"/>
      <c r="C181" s="480"/>
      <c r="D181" s="2962" t="s">
        <v>671</v>
      </c>
      <c r="E181" s="2962"/>
      <c r="F181" s="2962"/>
      <c r="G181" s="2962"/>
      <c r="H181" s="2774">
        <v>6234700</v>
      </c>
      <c r="I181" s="2774"/>
      <c r="J181" s="4"/>
      <c r="L181" s="4"/>
      <c r="M181" s="481"/>
      <c r="N181" s="2966"/>
      <c r="O181" s="2967"/>
    </row>
    <row r="182" spans="2:15" x14ac:dyDescent="0.25">
      <c r="B182" s="475"/>
      <c r="C182" s="482"/>
      <c r="D182" s="2962" t="s">
        <v>672</v>
      </c>
      <c r="E182" s="2962"/>
      <c r="F182" s="2962"/>
      <c r="G182" s="2962"/>
      <c r="H182" s="2774">
        <f>1200000-800000</f>
        <v>400000</v>
      </c>
      <c r="I182" s="2774"/>
      <c r="J182" s="462"/>
      <c r="K182" s="4"/>
      <c r="L182" s="4"/>
      <c r="M182" s="18"/>
      <c r="N182" s="18"/>
      <c r="O182" s="463"/>
    </row>
    <row r="183" spans="2:15" ht="17.25" x14ac:dyDescent="0.4">
      <c r="B183" s="2"/>
      <c r="C183" s="482"/>
      <c r="D183" s="2963" t="s">
        <v>673</v>
      </c>
      <c r="E183" s="2963"/>
      <c r="F183" s="2963"/>
      <c r="G183" s="2963"/>
      <c r="H183" s="2774">
        <v>750000</v>
      </c>
      <c r="I183" s="2774"/>
      <c r="J183" s="462"/>
      <c r="K183" s="4"/>
      <c r="L183" s="4"/>
      <c r="M183" s="18"/>
      <c r="N183" s="18"/>
      <c r="O183" s="463"/>
    </row>
    <row r="184" spans="2:15" x14ac:dyDescent="0.25">
      <c r="B184" s="2"/>
      <c r="C184" s="480"/>
      <c r="D184" s="483" t="s">
        <v>674</v>
      </c>
      <c r="E184" s="4"/>
      <c r="F184" s="4"/>
      <c r="G184" s="4"/>
      <c r="H184" s="2774">
        <f>SUM(H181:H183)</f>
        <v>7384700</v>
      </c>
      <c r="I184" s="2774"/>
      <c r="J184" s="462"/>
      <c r="K184" s="4"/>
      <c r="L184" s="4"/>
      <c r="M184" s="18"/>
      <c r="N184" s="18"/>
      <c r="O184" s="463"/>
    </row>
    <row r="185" spans="2:15" x14ac:dyDescent="0.25">
      <c r="B185" s="2"/>
      <c r="C185" s="480"/>
      <c r="D185" s="4"/>
      <c r="E185" s="4"/>
      <c r="F185" s="4"/>
      <c r="G185" s="4"/>
      <c r="H185" s="4"/>
      <c r="I185" s="4"/>
      <c r="J185" s="462"/>
      <c r="K185" s="4"/>
      <c r="L185" s="4"/>
      <c r="M185" s="18"/>
      <c r="N185" s="18"/>
      <c r="O185" s="463"/>
    </row>
    <row r="186" spans="2:15" x14ac:dyDescent="0.25">
      <c r="B186" s="2"/>
      <c r="C186" s="480"/>
      <c r="D186" s="4"/>
      <c r="E186" s="4"/>
      <c r="F186" s="4"/>
      <c r="G186" s="4"/>
      <c r="H186" s="4"/>
      <c r="I186" s="4"/>
      <c r="J186" s="193" t="s">
        <v>675</v>
      </c>
      <c r="K186" s="484">
        <v>0.8</v>
      </c>
      <c r="L186" s="2964" t="s">
        <v>676</v>
      </c>
      <c r="M186" s="2965"/>
      <c r="N186" s="2955">
        <f>+H184*K186</f>
        <v>5907760</v>
      </c>
      <c r="O186" s="2956"/>
    </row>
    <row r="187" spans="2:15" x14ac:dyDescent="0.25">
      <c r="B187" s="2"/>
      <c r="C187" s="480"/>
      <c r="D187" s="4"/>
      <c r="E187" s="4"/>
      <c r="F187" s="4"/>
      <c r="G187" s="51"/>
      <c r="H187" s="51"/>
      <c r="I187" s="4"/>
      <c r="J187" s="4"/>
      <c r="K187" s="4"/>
      <c r="L187" s="4"/>
      <c r="M187" s="18"/>
      <c r="N187" s="18"/>
      <c r="O187" s="463"/>
    </row>
    <row r="188" spans="2:15" x14ac:dyDescent="0.25">
      <c r="B188" s="2"/>
      <c r="C188" s="480"/>
      <c r="D188" s="485" t="s">
        <v>677</v>
      </c>
      <c r="E188" s="286"/>
      <c r="F188" s="286"/>
      <c r="G188" s="189"/>
      <c r="H188" s="189"/>
      <c r="I188" s="4"/>
      <c r="J188" s="4"/>
      <c r="K188" s="4"/>
      <c r="L188" s="4"/>
      <c r="M188" s="18"/>
      <c r="N188" s="18"/>
      <c r="O188" s="463"/>
    </row>
    <row r="189" spans="2:15" x14ac:dyDescent="0.25">
      <c r="B189" s="475"/>
      <c r="C189" s="460"/>
      <c r="D189" s="286" t="s">
        <v>678</v>
      </c>
      <c r="E189" s="286"/>
      <c r="F189" s="286"/>
      <c r="G189" s="189"/>
      <c r="H189" s="189"/>
      <c r="I189" s="4"/>
      <c r="J189" s="4"/>
      <c r="K189" s="4"/>
      <c r="L189" s="4"/>
      <c r="M189" s="18"/>
      <c r="N189" s="18"/>
      <c r="O189" s="463"/>
    </row>
    <row r="190" spans="2:15" x14ac:dyDescent="0.25">
      <c r="B190" s="2"/>
      <c r="C190" s="480"/>
      <c r="D190" s="2957" t="s">
        <v>679</v>
      </c>
      <c r="E190" s="2958"/>
      <c r="F190" s="2959">
        <f>+H178-N186</f>
        <v>4092240</v>
      </c>
      <c r="G190" s="2960"/>
      <c r="H190" s="189"/>
      <c r="I190" s="4"/>
      <c r="J190" s="4"/>
      <c r="K190" s="4"/>
      <c r="L190" s="4"/>
      <c r="M190" s="18"/>
      <c r="N190" s="18"/>
      <c r="O190" s="463"/>
    </row>
    <row r="191" spans="2:15" x14ac:dyDescent="0.25">
      <c r="C191" s="486"/>
      <c r="D191" s="487"/>
      <c r="E191" s="487"/>
      <c r="F191" s="487"/>
      <c r="G191" s="195"/>
      <c r="H191" s="195"/>
      <c r="I191" s="472"/>
      <c r="J191" s="472"/>
      <c r="K191" s="472"/>
      <c r="L191" s="472"/>
      <c r="M191" s="473"/>
      <c r="N191" s="473"/>
      <c r="O191" s="474"/>
    </row>
    <row r="193" spans="1:17" x14ac:dyDescent="0.25">
      <c r="B193" s="6" t="s">
        <v>389</v>
      </c>
      <c r="C193" s="21" t="s">
        <v>680</v>
      </c>
    </row>
    <row r="195" spans="1:17" x14ac:dyDescent="0.25">
      <c r="C195" s="39">
        <v>1</v>
      </c>
      <c r="D195" s="2110"/>
      <c r="E195" s="2090"/>
      <c r="F195" s="2090"/>
      <c r="G195" s="2090"/>
      <c r="H195" s="2096"/>
      <c r="I195" s="2096"/>
      <c r="J195" s="2961"/>
      <c r="K195" s="2961"/>
      <c r="L195" s="2961"/>
      <c r="M195" s="488"/>
    </row>
    <row r="196" spans="1:17" x14ac:dyDescent="0.25">
      <c r="C196" s="489" t="s">
        <v>11</v>
      </c>
      <c r="D196" s="490" t="s">
        <v>681</v>
      </c>
      <c r="E196" s="491"/>
      <c r="F196" s="139"/>
      <c r="G196" s="201"/>
      <c r="H196" s="201"/>
      <c r="I196" s="1"/>
      <c r="J196" s="1"/>
      <c r="K196" s="1"/>
      <c r="L196" s="1"/>
      <c r="M196" s="2952">
        <f>+N186</f>
        <v>5907760</v>
      </c>
      <c r="N196" s="2953"/>
      <c r="O196" s="2954"/>
      <c r="P196" s="2953"/>
    </row>
    <row r="197" spans="1:17" x14ac:dyDescent="0.25">
      <c r="C197" s="489" t="s">
        <v>11</v>
      </c>
      <c r="D197" s="492" t="s">
        <v>604</v>
      </c>
      <c r="E197" s="286"/>
      <c r="G197" s="189"/>
      <c r="H197" s="189"/>
      <c r="I197" s="4"/>
      <c r="J197" s="4"/>
      <c r="K197" s="4"/>
      <c r="L197" s="4"/>
      <c r="M197" s="2946">
        <f>+F190</f>
        <v>4092240</v>
      </c>
      <c r="N197" s="2947"/>
      <c r="O197" s="2948"/>
      <c r="P197" s="2947"/>
    </row>
    <row r="198" spans="1:17" x14ac:dyDescent="0.25">
      <c r="C198" s="489" t="s">
        <v>14</v>
      </c>
      <c r="D198" s="493"/>
      <c r="E198" s="286"/>
      <c r="F198" s="20" t="s">
        <v>1</v>
      </c>
      <c r="G198" s="199" t="s">
        <v>669</v>
      </c>
      <c r="H198" s="189"/>
      <c r="I198" s="4"/>
      <c r="J198" s="4"/>
      <c r="K198" s="4"/>
      <c r="L198" s="4"/>
      <c r="M198" s="2946"/>
      <c r="N198" s="2947"/>
      <c r="O198" s="2948">
        <f>+M197+M196</f>
        <v>10000000</v>
      </c>
      <c r="P198" s="2947"/>
    </row>
    <row r="199" spans="1:17" x14ac:dyDescent="0.25">
      <c r="C199" s="39">
        <v>2</v>
      </c>
      <c r="D199" s="2110" t="s">
        <v>21</v>
      </c>
      <c r="E199" s="2090"/>
      <c r="F199" s="2090"/>
      <c r="G199" s="2090"/>
      <c r="H199" s="2096"/>
      <c r="I199" s="2096"/>
      <c r="J199" s="2090" t="s">
        <v>21</v>
      </c>
      <c r="K199" s="2090"/>
      <c r="L199" s="2090"/>
      <c r="M199" s="2946"/>
      <c r="N199" s="2947"/>
      <c r="O199" s="2948"/>
      <c r="P199" s="2947"/>
    </row>
    <row r="200" spans="1:17" x14ac:dyDescent="0.25">
      <c r="C200" s="489" t="s">
        <v>11</v>
      </c>
      <c r="D200" s="492" t="s">
        <v>681</v>
      </c>
      <c r="E200" s="286"/>
      <c r="F200" s="4"/>
      <c r="G200" s="4"/>
      <c r="H200" s="189"/>
      <c r="I200" s="4"/>
      <c r="J200" s="4"/>
      <c r="K200" s="4"/>
      <c r="L200" s="4"/>
      <c r="M200" s="2946">
        <f>560000*K186</f>
        <v>448000</v>
      </c>
      <c r="N200" s="2947"/>
      <c r="O200" s="2948"/>
      <c r="P200" s="2947"/>
    </row>
    <row r="201" spans="1:17" x14ac:dyDescent="0.25">
      <c r="C201" s="489" t="s">
        <v>16</v>
      </c>
      <c r="D201" s="493"/>
      <c r="E201" s="286"/>
      <c r="F201" s="20" t="s">
        <v>1</v>
      </c>
      <c r="G201" s="199" t="s">
        <v>647</v>
      </c>
      <c r="H201" s="189"/>
      <c r="I201" s="4"/>
      <c r="J201" s="4"/>
      <c r="K201" s="4"/>
      <c r="L201" s="4"/>
      <c r="M201" s="2946"/>
      <c r="N201" s="2947"/>
      <c r="O201" s="2948">
        <f>+M200</f>
        <v>448000</v>
      </c>
      <c r="P201" s="2947"/>
    </row>
    <row r="202" spans="1:17" x14ac:dyDescent="0.25">
      <c r="C202" s="39">
        <v>3</v>
      </c>
      <c r="D202" s="2110" t="s">
        <v>21</v>
      </c>
      <c r="E202" s="2090"/>
      <c r="F202" s="2090"/>
      <c r="G202" s="2090"/>
      <c r="H202" s="2096"/>
      <c r="I202" s="2096"/>
      <c r="J202" s="2090" t="s">
        <v>21</v>
      </c>
      <c r="K202" s="2090"/>
      <c r="L202" s="2090"/>
      <c r="M202" s="2946"/>
      <c r="N202" s="2947"/>
      <c r="O202" s="2948"/>
      <c r="P202" s="2947"/>
    </row>
    <row r="203" spans="1:17" x14ac:dyDescent="0.25">
      <c r="C203" s="489" t="s">
        <v>11</v>
      </c>
      <c r="D203" s="492" t="s">
        <v>639</v>
      </c>
      <c r="E203" s="286"/>
      <c r="G203" s="189"/>
      <c r="H203" s="189"/>
      <c r="I203" s="4"/>
      <c r="J203" s="4"/>
      <c r="K203" s="4"/>
      <c r="L203" s="4"/>
      <c r="M203" s="2946">
        <f>1000000*0.8*0.2</f>
        <v>160000</v>
      </c>
      <c r="N203" s="2947"/>
      <c r="O203" s="2948"/>
      <c r="P203" s="2947"/>
    </row>
    <row r="204" spans="1:17" x14ac:dyDescent="0.25">
      <c r="C204" s="489" t="s">
        <v>14</v>
      </c>
      <c r="D204" s="494"/>
      <c r="E204" s="495"/>
      <c r="F204" s="35" t="s">
        <v>1</v>
      </c>
      <c r="G204" s="197" t="s">
        <v>681</v>
      </c>
      <c r="H204" s="200"/>
      <c r="I204" s="3"/>
      <c r="J204" s="3"/>
      <c r="K204" s="3"/>
      <c r="L204" s="3"/>
      <c r="M204" s="2949"/>
      <c r="N204" s="2950"/>
      <c r="O204" s="2951">
        <f>+M203</f>
        <v>160000</v>
      </c>
      <c r="P204" s="2950"/>
    </row>
    <row r="205" spans="1:17" x14ac:dyDescent="0.25">
      <c r="G205" s="7"/>
      <c r="H205" s="7"/>
    </row>
    <row r="206" spans="1:17" s="4" customFormat="1" x14ac:dyDescent="0.25">
      <c r="B206" s="189"/>
      <c r="C206" s="12"/>
      <c r="D206" s="12"/>
      <c r="E206" s="12"/>
      <c r="F206" s="12"/>
      <c r="G206" s="51"/>
      <c r="H206" s="51"/>
      <c r="M206" s="18"/>
      <c r="N206" s="18"/>
      <c r="O206" s="18"/>
      <c r="P206" s="18"/>
    </row>
    <row r="207" spans="1:17" x14ac:dyDescent="0.25">
      <c r="A207" s="3"/>
      <c r="B207" s="200"/>
      <c r="C207" s="11"/>
      <c r="D207" s="11"/>
      <c r="E207" s="11"/>
      <c r="F207" s="11"/>
      <c r="G207" s="24"/>
      <c r="H207" s="24"/>
      <c r="I207" s="3"/>
      <c r="J207" s="3"/>
      <c r="K207" s="3"/>
      <c r="L207" s="3"/>
      <c r="M207" s="22"/>
      <c r="N207" s="22"/>
      <c r="O207" s="22"/>
      <c r="P207" s="22"/>
      <c r="Q207" s="3"/>
    </row>
    <row r="208" spans="1:17" x14ac:dyDescent="0.25">
      <c r="A208" s="1844" t="s">
        <v>20</v>
      </c>
      <c r="B208" s="1845"/>
      <c r="C208" s="1845"/>
      <c r="D208" s="1845"/>
      <c r="E208" s="1845"/>
      <c r="F208" s="1845"/>
      <c r="G208" s="1845"/>
      <c r="H208" s="1845"/>
      <c r="I208" s="1845"/>
      <c r="J208" s="1845"/>
      <c r="K208" s="1845"/>
      <c r="L208" s="1845"/>
      <c r="M208" s="1845"/>
      <c r="N208" s="1845"/>
      <c r="O208" s="1845"/>
      <c r="P208" s="1845"/>
      <c r="Q208" s="1846"/>
    </row>
    <row r="209" spans="1:17" x14ac:dyDescent="0.25">
      <c r="A209" s="1847" t="s">
        <v>682</v>
      </c>
      <c r="B209" s="1848"/>
      <c r="C209" s="1848"/>
      <c r="D209" s="1848"/>
      <c r="E209" s="1848"/>
      <c r="F209" s="1848"/>
      <c r="G209" s="1848"/>
      <c r="H209" s="1848"/>
      <c r="I209" s="1848"/>
      <c r="J209" s="1848"/>
      <c r="K209" s="1848"/>
      <c r="L209" s="1848"/>
      <c r="M209" s="1848"/>
      <c r="N209" s="1848"/>
      <c r="O209" s="1848"/>
      <c r="P209" s="1848"/>
      <c r="Q209" s="1849"/>
    </row>
    <row r="211" spans="1:17" x14ac:dyDescent="0.25">
      <c r="B211" s="108">
        <v>1</v>
      </c>
    </row>
    <row r="212" spans="1:17" x14ac:dyDescent="0.25">
      <c r="B212" s="489" t="s">
        <v>11</v>
      </c>
      <c r="C212" s="496" t="s">
        <v>683</v>
      </c>
      <c r="D212" s="497"/>
      <c r="E212" s="497"/>
      <c r="F212" s="497"/>
      <c r="G212" s="201"/>
      <c r="H212" s="201"/>
      <c r="I212" s="1"/>
      <c r="J212" s="1"/>
      <c r="K212" s="1"/>
      <c r="L212" s="157"/>
      <c r="M212" s="2944">
        <v>437400</v>
      </c>
      <c r="N212" s="2945"/>
      <c r="O212" s="2944"/>
      <c r="P212" s="2945"/>
    </row>
    <row r="213" spans="1:17" x14ac:dyDescent="0.25">
      <c r="B213" s="489" t="s">
        <v>11</v>
      </c>
      <c r="C213" s="498" t="s">
        <v>604</v>
      </c>
      <c r="D213" s="499"/>
      <c r="E213" s="499"/>
      <c r="F213" s="499"/>
      <c r="G213" s="189"/>
      <c r="H213" s="189"/>
      <c r="I213" s="4"/>
      <c r="J213" s="4"/>
      <c r="K213" s="4"/>
      <c r="L213" s="500"/>
      <c r="M213" s="2942">
        <v>57600</v>
      </c>
      <c r="N213" s="2943"/>
      <c r="O213" s="2942"/>
      <c r="P213" s="2943"/>
    </row>
    <row r="214" spans="1:17" x14ac:dyDescent="0.25">
      <c r="B214" s="489" t="s">
        <v>142</v>
      </c>
      <c r="C214" s="498" t="s">
        <v>143</v>
      </c>
      <c r="D214" s="499"/>
      <c r="E214" s="499"/>
      <c r="F214" s="499"/>
      <c r="G214" s="189"/>
      <c r="H214" s="189"/>
      <c r="I214" s="4"/>
      <c r="J214" s="4"/>
      <c r="K214" s="4"/>
      <c r="L214" s="500"/>
      <c r="M214" s="2942">
        <v>9900</v>
      </c>
      <c r="N214" s="2943"/>
      <c r="O214" s="2942"/>
      <c r="P214" s="2943"/>
    </row>
    <row r="215" spans="1:17" x14ac:dyDescent="0.25">
      <c r="B215" s="489" t="s">
        <v>11</v>
      </c>
      <c r="C215" s="498" t="s">
        <v>13</v>
      </c>
      <c r="D215" s="499"/>
      <c r="E215" s="499"/>
      <c r="F215" s="499"/>
      <c r="G215" s="189"/>
      <c r="H215" s="189"/>
      <c r="I215" s="4"/>
      <c r="J215" s="4"/>
      <c r="K215" s="4"/>
      <c r="L215" s="500"/>
      <c r="M215" s="2942">
        <v>2079</v>
      </c>
      <c r="N215" s="2943"/>
      <c r="O215" s="2942"/>
      <c r="P215" s="2943"/>
    </row>
    <row r="216" spans="1:17" x14ac:dyDescent="0.25">
      <c r="B216" s="489" t="s">
        <v>14</v>
      </c>
      <c r="C216" s="501"/>
      <c r="D216" s="499"/>
      <c r="E216" s="499"/>
      <c r="F216" s="502" t="s">
        <v>1</v>
      </c>
      <c r="G216" s="503" t="s">
        <v>23</v>
      </c>
      <c r="H216" s="189"/>
      <c r="I216" s="4"/>
      <c r="J216" s="4"/>
      <c r="K216" s="4"/>
      <c r="L216" s="500"/>
      <c r="M216" s="2942"/>
      <c r="N216" s="2943"/>
      <c r="O216" s="2942">
        <v>247500</v>
      </c>
      <c r="P216" s="2943"/>
    </row>
    <row r="217" spans="1:17" x14ac:dyDescent="0.25">
      <c r="B217" s="489" t="s">
        <v>17</v>
      </c>
      <c r="C217" s="202"/>
      <c r="D217" s="203"/>
      <c r="E217" s="203"/>
      <c r="F217" s="502" t="s">
        <v>1</v>
      </c>
      <c r="G217" s="503" t="s">
        <v>6</v>
      </c>
      <c r="H217" s="189"/>
      <c r="I217" s="4"/>
      <c r="J217" s="4"/>
      <c r="K217" s="4"/>
      <c r="L217" s="500"/>
      <c r="M217" s="2942"/>
      <c r="N217" s="2943"/>
      <c r="O217" s="2942">
        <v>259479</v>
      </c>
      <c r="P217" s="2943"/>
    </row>
    <row r="218" spans="1:17" x14ac:dyDescent="0.25">
      <c r="B218" s="108">
        <v>2</v>
      </c>
      <c r="C218" s="2679" t="s">
        <v>21</v>
      </c>
      <c r="D218" s="2680"/>
      <c r="E218" s="2680"/>
      <c r="F218" s="2680"/>
      <c r="G218" s="2096"/>
      <c r="H218" s="2096"/>
      <c r="I218" s="2090" t="s">
        <v>21</v>
      </c>
      <c r="J218" s="2090"/>
      <c r="K218" s="2090"/>
      <c r="L218" s="2090"/>
      <c r="M218" s="2942"/>
      <c r="N218" s="2943"/>
      <c r="O218" s="2942"/>
      <c r="P218" s="2943"/>
    </row>
    <row r="219" spans="1:17" x14ac:dyDescent="0.25">
      <c r="B219" s="489" t="s">
        <v>15</v>
      </c>
      <c r="C219" s="492" t="s">
        <v>493</v>
      </c>
      <c r="D219" s="203"/>
      <c r="E219" s="203"/>
      <c r="F219" s="499"/>
      <c r="G219" s="189"/>
      <c r="H219" s="189"/>
      <c r="I219" s="4"/>
      <c r="J219" s="4"/>
      <c r="K219" s="4"/>
      <c r="L219" s="500"/>
      <c r="M219" s="2942">
        <f>+M214/120*10</f>
        <v>825</v>
      </c>
      <c r="N219" s="2943"/>
      <c r="O219" s="2942"/>
      <c r="P219" s="2943"/>
    </row>
    <row r="220" spans="1:17" x14ac:dyDescent="0.25">
      <c r="B220" s="489" t="s">
        <v>320</v>
      </c>
      <c r="C220" s="498"/>
      <c r="D220" s="203"/>
      <c r="E220" s="203"/>
      <c r="F220" s="502" t="s">
        <v>1</v>
      </c>
      <c r="G220" s="199" t="str">
        <f>+C214</f>
        <v>Intereses negativos a devengar s/D.a.P.</v>
      </c>
      <c r="H220" s="189"/>
      <c r="I220" s="4"/>
      <c r="J220" s="4"/>
      <c r="K220" s="4"/>
      <c r="L220" s="500"/>
      <c r="M220" s="2942"/>
      <c r="N220" s="2943"/>
      <c r="O220" s="2942">
        <f>+M219</f>
        <v>825</v>
      </c>
      <c r="P220" s="2943"/>
    </row>
    <row r="221" spans="1:17" x14ac:dyDescent="0.25">
      <c r="B221" s="108">
        <v>3</v>
      </c>
      <c r="C221" s="2679" t="s">
        <v>21</v>
      </c>
      <c r="D221" s="2680"/>
      <c r="E221" s="2680"/>
      <c r="F221" s="2680"/>
      <c r="G221" s="2096"/>
      <c r="H221" s="2096"/>
      <c r="I221" s="2090" t="s">
        <v>21</v>
      </c>
      <c r="J221" s="2090"/>
      <c r="K221" s="2090"/>
      <c r="L221" s="2090"/>
      <c r="M221" s="504"/>
      <c r="N221" s="505"/>
      <c r="O221" s="504"/>
      <c r="P221" s="505"/>
    </row>
    <row r="222" spans="1:17" x14ac:dyDescent="0.25">
      <c r="B222" s="7" t="s">
        <v>11</v>
      </c>
      <c r="C222" s="498" t="s">
        <v>683</v>
      </c>
      <c r="D222" s="499"/>
      <c r="E222" s="499"/>
      <c r="F222" s="499"/>
      <c r="G222" s="189"/>
      <c r="H222" s="189"/>
      <c r="I222" s="4"/>
      <c r="J222" s="4"/>
      <c r="K222" s="4"/>
      <c r="L222" s="500"/>
      <c r="M222" s="2942">
        <f>+L237</f>
        <v>10200</v>
      </c>
      <c r="N222" s="2943"/>
      <c r="O222" s="504"/>
      <c r="P222" s="505"/>
    </row>
    <row r="223" spans="1:17" x14ac:dyDescent="0.25">
      <c r="B223" s="7" t="s">
        <v>16</v>
      </c>
      <c r="C223" s="506"/>
      <c r="D223" s="507"/>
      <c r="E223" s="507"/>
      <c r="F223" s="508" t="s">
        <v>1</v>
      </c>
      <c r="G223" s="509" t="s">
        <v>647</v>
      </c>
      <c r="H223" s="200"/>
      <c r="I223" s="3"/>
      <c r="J223" s="3"/>
      <c r="K223" s="3"/>
      <c r="L223" s="354"/>
      <c r="M223" s="510"/>
      <c r="N223" s="511"/>
      <c r="O223" s="2936">
        <f>+M222</f>
        <v>10200</v>
      </c>
      <c r="P223" s="2937"/>
    </row>
    <row r="224" spans="1:17" x14ac:dyDescent="0.25">
      <c r="G224" s="7"/>
      <c r="H224" s="7"/>
    </row>
    <row r="225" spans="3:16" x14ac:dyDescent="0.25">
      <c r="C225" s="512" t="s">
        <v>92</v>
      </c>
    </row>
    <row r="227" spans="3:16" x14ac:dyDescent="0.25">
      <c r="C227" s="50"/>
      <c r="D227" s="439" t="s">
        <v>684</v>
      </c>
    </row>
    <row r="229" spans="3:16" x14ac:dyDescent="0.25">
      <c r="I229" s="2938" t="s">
        <v>685</v>
      </c>
      <c r="J229" s="2939"/>
      <c r="L229" s="2938" t="s">
        <v>686</v>
      </c>
      <c r="M229" s="2939"/>
    </row>
    <row r="230" spans="3:16" x14ac:dyDescent="0.25">
      <c r="I230" s="2940"/>
      <c r="J230" s="2941"/>
      <c r="L230" s="2940"/>
      <c r="M230" s="2941"/>
    </row>
    <row r="231" spans="3:16" x14ac:dyDescent="0.25">
      <c r="D231" s="28" t="s">
        <v>687</v>
      </c>
      <c r="I231" s="2230">
        <v>585000</v>
      </c>
      <c r="J231" s="2230"/>
      <c r="L231" s="2230">
        <v>20000</v>
      </c>
      <c r="M231" s="2230"/>
    </row>
    <row r="232" spans="3:16" x14ac:dyDescent="0.25">
      <c r="C232" s="50" t="s">
        <v>688</v>
      </c>
      <c r="D232" s="513" t="s">
        <v>689</v>
      </c>
      <c r="I232" s="2230">
        <f>95000-55000</f>
        <v>40000</v>
      </c>
      <c r="J232" s="2230"/>
      <c r="L232" s="2935">
        <v>-3000</v>
      </c>
      <c r="M232" s="2935"/>
    </row>
    <row r="233" spans="3:16" x14ac:dyDescent="0.25">
      <c r="C233" s="50" t="s">
        <v>688</v>
      </c>
      <c r="D233" s="513" t="s">
        <v>690</v>
      </c>
      <c r="I233" s="2230">
        <v>124000</v>
      </c>
      <c r="J233" s="2230"/>
      <c r="L233" s="2230">
        <v>0</v>
      </c>
      <c r="M233" s="2230"/>
    </row>
    <row r="234" spans="3:16" x14ac:dyDescent="0.25">
      <c r="C234" s="50" t="s">
        <v>370</v>
      </c>
      <c r="D234" s="513" t="s">
        <v>691</v>
      </c>
      <c r="I234" s="2935">
        <v>-20000</v>
      </c>
      <c r="J234" s="2935"/>
      <c r="L234" s="2935">
        <v>0</v>
      </c>
      <c r="M234" s="2935"/>
    </row>
    <row r="235" spans="3:16" x14ac:dyDescent="0.25">
      <c r="D235" s="28" t="s">
        <v>692</v>
      </c>
      <c r="I235" s="2045">
        <f>+SUM(I231:J234)</f>
        <v>729000</v>
      </c>
      <c r="J235" s="2045"/>
      <c r="K235" s="514" t="s">
        <v>693</v>
      </c>
      <c r="L235" s="2045">
        <f>+SUM(L231:M234)</f>
        <v>17000</v>
      </c>
      <c r="M235" s="2045"/>
    </row>
    <row r="236" spans="3:16" x14ac:dyDescent="0.25">
      <c r="D236" s="513" t="s">
        <v>694</v>
      </c>
      <c r="I236" s="2932">
        <v>0.6</v>
      </c>
      <c r="J236" s="2932"/>
      <c r="L236" s="2932">
        <f>+I236</f>
        <v>0.6</v>
      </c>
      <c r="M236" s="2932"/>
    </row>
    <row r="237" spans="3:16" ht="15.75" thickBot="1" x14ac:dyDescent="0.3">
      <c r="D237" s="112" t="s">
        <v>695</v>
      </c>
      <c r="I237" s="2933">
        <f>+I235*I236</f>
        <v>437400</v>
      </c>
      <c r="J237" s="2933"/>
      <c r="L237" s="2933">
        <f>+L235*L236</f>
        <v>10200</v>
      </c>
      <c r="M237" s="2933"/>
      <c r="O237" s="2934"/>
      <c r="P237" s="2934"/>
    </row>
    <row r="238" spans="3:16" ht="15.75" thickTop="1" x14ac:dyDescent="0.25">
      <c r="O238" s="2934"/>
      <c r="P238" s="2934"/>
    </row>
    <row r="239" spans="3:16" x14ac:dyDescent="0.25">
      <c r="O239" s="515"/>
      <c r="P239" s="515"/>
    </row>
    <row r="240" spans="3:16" x14ac:dyDescent="0.25">
      <c r="D240" s="28" t="s">
        <v>696</v>
      </c>
      <c r="I240" s="1940">
        <v>495000</v>
      </c>
      <c r="J240" s="1940"/>
      <c r="K240" s="516" t="s">
        <v>321</v>
      </c>
    </row>
    <row r="241" spans="2:16" ht="15.75" thickBot="1" x14ac:dyDescent="0.3">
      <c r="D241" s="112" t="s">
        <v>697</v>
      </c>
      <c r="I241" s="2926">
        <f>+I240-I237</f>
        <v>57600</v>
      </c>
      <c r="J241" s="2926"/>
    </row>
    <row r="242" spans="2:16" ht="15.75" thickTop="1" x14ac:dyDescent="0.25"/>
    <row r="243" spans="2:16" x14ac:dyDescent="0.25">
      <c r="D243" s="28" t="s">
        <v>696</v>
      </c>
      <c r="I243" s="1940">
        <f>+I240</f>
        <v>495000</v>
      </c>
      <c r="J243" s="1940"/>
    </row>
    <row r="244" spans="2:16" x14ac:dyDescent="0.25">
      <c r="D244" s="28" t="s">
        <v>698</v>
      </c>
      <c r="I244" s="2155">
        <f>+I243*0.5</f>
        <v>247500</v>
      </c>
      <c r="J244" s="2156"/>
    </row>
    <row r="245" spans="2:16" x14ac:dyDescent="0.25">
      <c r="D245" s="28" t="s">
        <v>699</v>
      </c>
      <c r="I245" s="2084">
        <f>+I244</f>
        <v>247500</v>
      </c>
      <c r="J245" s="2085"/>
    </row>
    <row r="246" spans="2:16" x14ac:dyDescent="0.25">
      <c r="D246" s="28" t="s">
        <v>700</v>
      </c>
      <c r="I246" s="1940">
        <f>+I245*0.01*4</f>
        <v>9900</v>
      </c>
      <c r="J246" s="1940"/>
      <c r="K246" s="75" t="s">
        <v>701</v>
      </c>
    </row>
    <row r="247" spans="2:16" x14ac:dyDescent="0.25">
      <c r="D247" s="28" t="s">
        <v>702</v>
      </c>
      <c r="I247" s="1940">
        <f>+I246*0.21</f>
        <v>2079</v>
      </c>
      <c r="J247" s="1940"/>
    </row>
    <row r="248" spans="2:16" ht="15.75" thickBot="1" x14ac:dyDescent="0.3">
      <c r="D248" s="112" t="s">
        <v>335</v>
      </c>
      <c r="I248" s="2926">
        <f>+I245+I246+I247</f>
        <v>259479</v>
      </c>
      <c r="J248" s="2926"/>
    </row>
    <row r="249" spans="2:16" ht="15.75" thickTop="1" x14ac:dyDescent="0.25"/>
    <row r="250" spans="2:16" x14ac:dyDescent="0.25">
      <c r="I250" s="2012"/>
      <c r="J250" s="2012"/>
    </row>
    <row r="256" spans="2:16" s="4" customFormat="1" x14ac:dyDescent="0.25">
      <c r="B256" s="189"/>
      <c r="C256" s="12"/>
      <c r="D256" s="12"/>
      <c r="E256" s="12"/>
      <c r="F256" s="12"/>
      <c r="G256" s="51"/>
      <c r="H256" s="51"/>
      <c r="M256" s="18"/>
      <c r="N256" s="18"/>
      <c r="O256" s="18"/>
      <c r="P256" s="18"/>
    </row>
    <row r="257" spans="1:17" x14ac:dyDescent="0.25">
      <c r="A257" s="3"/>
      <c r="B257" s="200"/>
      <c r="C257" s="11"/>
      <c r="D257" s="11"/>
      <c r="E257" s="11"/>
      <c r="F257" s="11"/>
      <c r="G257" s="24"/>
      <c r="H257" s="24"/>
      <c r="I257" s="3"/>
      <c r="J257" s="3"/>
      <c r="K257" s="3"/>
      <c r="L257" s="3"/>
      <c r="M257" s="22"/>
      <c r="N257" s="22"/>
      <c r="O257" s="22"/>
      <c r="P257" s="22"/>
      <c r="Q257" s="3"/>
    </row>
    <row r="258" spans="1:17" x14ac:dyDescent="0.25">
      <c r="A258" s="1844" t="s">
        <v>20</v>
      </c>
      <c r="B258" s="1845"/>
      <c r="C258" s="1845"/>
      <c r="D258" s="1845"/>
      <c r="E258" s="1845"/>
      <c r="F258" s="1845"/>
      <c r="G258" s="1845"/>
      <c r="H258" s="1845"/>
      <c r="I258" s="1845"/>
      <c r="J258" s="1845"/>
      <c r="K258" s="1845"/>
      <c r="L258" s="1845"/>
      <c r="M258" s="1845"/>
      <c r="N258" s="1845"/>
      <c r="O258" s="1845"/>
      <c r="P258" s="1845"/>
      <c r="Q258" s="1846"/>
    </row>
    <row r="259" spans="1:17" x14ac:dyDescent="0.25">
      <c r="A259" s="1847" t="s">
        <v>703</v>
      </c>
      <c r="B259" s="1848"/>
      <c r="C259" s="1848"/>
      <c r="D259" s="1848"/>
      <c r="E259" s="1848"/>
      <c r="F259" s="1848"/>
      <c r="G259" s="1848"/>
      <c r="H259" s="1848"/>
      <c r="I259" s="1848"/>
      <c r="J259" s="1848"/>
      <c r="K259" s="1848"/>
      <c r="L259" s="1848"/>
      <c r="M259" s="1848"/>
      <c r="N259" s="1848"/>
      <c r="O259" s="1848"/>
      <c r="P259" s="1848"/>
      <c r="Q259" s="1849"/>
    </row>
    <row r="261" spans="1:17" x14ac:dyDescent="0.25">
      <c r="B261" s="6" t="s">
        <v>307</v>
      </c>
      <c r="C261" s="21" t="s">
        <v>482</v>
      </c>
    </row>
    <row r="262" spans="1:17" x14ac:dyDescent="0.25">
      <c r="B262" s="2"/>
      <c r="C262" s="2"/>
      <c r="D262" s="2"/>
      <c r="E262" s="2"/>
      <c r="F262" s="2"/>
      <c r="G262" s="2"/>
    </row>
    <row r="263" spans="1:17" x14ac:dyDescent="0.25">
      <c r="B263" s="2"/>
      <c r="C263" s="517" t="s">
        <v>520</v>
      </c>
      <c r="D263" s="518" t="s">
        <v>704</v>
      </c>
      <c r="E263" s="519"/>
      <c r="F263" s="520"/>
      <c r="G263" s="521"/>
      <c r="H263" s="521"/>
      <c r="M263" s="2"/>
      <c r="N263" s="2"/>
    </row>
    <row r="264" spans="1:17" x14ac:dyDescent="0.25">
      <c r="B264" s="2"/>
      <c r="C264" s="2"/>
      <c r="D264" s="519" t="s">
        <v>705</v>
      </c>
      <c r="E264" s="519"/>
      <c r="F264" s="519"/>
      <c r="G264" s="521"/>
      <c r="H264" s="521"/>
      <c r="M264" s="2"/>
      <c r="N264" s="2"/>
    </row>
    <row r="265" spans="1:17" x14ac:dyDescent="0.25">
      <c r="B265" s="2"/>
      <c r="C265" s="517"/>
      <c r="D265" s="519" t="s">
        <v>706</v>
      </c>
      <c r="E265" s="519"/>
      <c r="F265" s="519"/>
      <c r="G265" s="521"/>
      <c r="H265" s="521"/>
      <c r="M265" s="2"/>
      <c r="N265" s="2"/>
    </row>
    <row r="266" spans="1:17" x14ac:dyDescent="0.25">
      <c r="B266" s="2"/>
      <c r="C266" s="522"/>
      <c r="D266" s="519" t="s">
        <v>707</v>
      </c>
      <c r="E266" s="519"/>
      <c r="F266" s="520"/>
      <c r="G266" s="521"/>
      <c r="H266" s="521"/>
      <c r="M266" s="2"/>
      <c r="N266" s="2"/>
    </row>
    <row r="267" spans="1:17" x14ac:dyDescent="0.25">
      <c r="C267" s="522"/>
      <c r="D267" s="2927" t="s">
        <v>708</v>
      </c>
      <c r="E267" s="2928"/>
      <c r="F267" s="2929"/>
      <c r="G267" s="521"/>
      <c r="H267" s="521"/>
    </row>
    <row r="268" spans="1:17" x14ac:dyDescent="0.25">
      <c r="C268" s="522"/>
      <c r="D268" s="523"/>
      <c r="E268" s="523"/>
      <c r="F268" s="523"/>
      <c r="G268" s="521"/>
      <c r="H268" s="521"/>
    </row>
    <row r="269" spans="1:17" x14ac:dyDescent="0.25">
      <c r="B269" s="2"/>
      <c r="C269" s="7"/>
      <c r="G269" s="12"/>
      <c r="H269" s="7"/>
      <c r="I269" s="7"/>
      <c r="K269" s="2930" t="s">
        <v>709</v>
      </c>
      <c r="L269" s="2930"/>
      <c r="M269" s="2930" t="s">
        <v>710</v>
      </c>
      <c r="N269" s="2930"/>
      <c r="O269" s="2930" t="s">
        <v>711</v>
      </c>
      <c r="P269" s="2930"/>
    </row>
    <row r="270" spans="1:17" ht="15" customHeight="1" x14ac:dyDescent="0.25">
      <c r="B270" s="2"/>
      <c r="C270" s="7"/>
      <c r="G270" s="12"/>
      <c r="H270" s="7"/>
      <c r="I270" s="7"/>
      <c r="K270" s="2931"/>
      <c r="L270" s="2931"/>
      <c r="M270" s="2931"/>
      <c r="N270" s="2931"/>
      <c r="O270" s="2931"/>
      <c r="P270" s="2931"/>
    </row>
    <row r="271" spans="1:17" x14ac:dyDescent="0.25">
      <c r="B271" s="2"/>
      <c r="C271" s="2922" t="s">
        <v>712</v>
      </c>
      <c r="D271" s="2922"/>
      <c r="E271" s="2922"/>
      <c r="F271" s="2922"/>
      <c r="G271" s="2923" t="s">
        <v>713</v>
      </c>
      <c r="H271" s="2923"/>
      <c r="I271" s="2923"/>
      <c r="J271" s="2923"/>
      <c r="K271" s="2924">
        <f>100000/2.5</f>
        <v>40000</v>
      </c>
      <c r="L271" s="2924"/>
      <c r="M271" s="2924">
        <f>100000/1.25</f>
        <v>80000</v>
      </c>
      <c r="N271" s="2924"/>
      <c r="O271" s="2924">
        <f>100000/1</f>
        <v>100000</v>
      </c>
      <c r="P271" s="2924"/>
    </row>
    <row r="272" spans="1:17" ht="15" customHeight="1" x14ac:dyDescent="0.25">
      <c r="B272" s="2"/>
      <c r="C272" s="2922"/>
      <c r="D272" s="2922"/>
      <c r="E272" s="2922"/>
      <c r="F272" s="2922"/>
      <c r="G272" s="2923"/>
      <c r="H272" s="2923"/>
      <c r="I272" s="2923"/>
      <c r="J272" s="2923"/>
      <c r="K272" s="2924"/>
      <c r="L272" s="2924"/>
      <c r="M272" s="2924"/>
      <c r="N272" s="2924"/>
      <c r="O272" s="2924"/>
      <c r="P272" s="2924"/>
    </row>
    <row r="273" spans="2:16" x14ac:dyDescent="0.25">
      <c r="B273" s="2"/>
      <c r="C273" s="2922" t="s">
        <v>714</v>
      </c>
      <c r="D273" s="2922"/>
      <c r="E273" s="2922"/>
      <c r="F273" s="2922"/>
      <c r="G273" s="2923" t="s">
        <v>715</v>
      </c>
      <c r="H273" s="2923"/>
      <c r="I273" s="2923"/>
      <c r="J273" s="2923"/>
      <c r="K273" s="2925">
        <f>+K271/10000000</f>
        <v>4.0000000000000001E-3</v>
      </c>
      <c r="L273" s="2925"/>
      <c r="M273" s="2925">
        <f>+M271/800000</f>
        <v>0.1</v>
      </c>
      <c r="N273" s="2925"/>
      <c r="O273" s="2925">
        <f>+O271/125000</f>
        <v>0.8</v>
      </c>
      <c r="P273" s="2925"/>
    </row>
    <row r="274" spans="2:16" x14ac:dyDescent="0.25">
      <c r="C274" s="2922"/>
      <c r="D274" s="2922"/>
      <c r="E274" s="2922"/>
      <c r="F274" s="2922"/>
      <c r="G274" s="2923"/>
      <c r="H274" s="2923"/>
      <c r="I274" s="2923"/>
      <c r="J274" s="2923"/>
      <c r="K274" s="2925"/>
      <c r="L274" s="2925"/>
      <c r="M274" s="2925"/>
      <c r="N274" s="2925"/>
      <c r="O274" s="2925"/>
      <c r="P274" s="2925"/>
    </row>
    <row r="275" spans="2:16" x14ac:dyDescent="0.25">
      <c r="G275" s="7"/>
      <c r="H275" s="7"/>
    </row>
    <row r="276" spans="2:16" x14ac:dyDescent="0.25">
      <c r="C276" s="517" t="s">
        <v>525</v>
      </c>
      <c r="D276" s="112" t="s">
        <v>716</v>
      </c>
      <c r="K276" s="2545" t="s">
        <v>717</v>
      </c>
      <c r="L276" s="2545"/>
      <c r="M276" s="2546" t="s">
        <v>718</v>
      </c>
      <c r="N276" s="2546"/>
      <c r="O276" s="2546" t="s">
        <v>719</v>
      </c>
      <c r="P276" s="2546"/>
    </row>
    <row r="278" spans="2:16" x14ac:dyDescent="0.25">
      <c r="C278" s="517" t="s">
        <v>530</v>
      </c>
      <c r="D278" s="112" t="s">
        <v>720</v>
      </c>
    </row>
    <row r="279" spans="2:16" x14ac:dyDescent="0.25">
      <c r="G279" s="7"/>
      <c r="H279" s="7"/>
    </row>
    <row r="280" spans="2:16" ht="15.75" thickBot="1" x14ac:dyDescent="0.3">
      <c r="C280" s="524"/>
      <c r="D280" s="525" t="s">
        <v>709</v>
      </c>
      <c r="E280" s="524"/>
      <c r="F280" s="524"/>
      <c r="G280" s="526"/>
      <c r="H280" s="526"/>
      <c r="I280" s="527"/>
      <c r="J280" s="527"/>
      <c r="K280" s="527"/>
      <c r="L280" s="527"/>
      <c r="M280" s="528"/>
      <c r="N280" s="528"/>
      <c r="O280" s="528"/>
      <c r="P280" s="528"/>
    </row>
    <row r="281" spans="2:16" ht="15.75" thickTop="1" x14ac:dyDescent="0.25">
      <c r="D281" s="2"/>
      <c r="E281" s="352"/>
      <c r="G281" s="7"/>
      <c r="H281" s="7"/>
    </row>
    <row r="282" spans="2:16" x14ac:dyDescent="0.25">
      <c r="C282" s="529" t="s">
        <v>721</v>
      </c>
      <c r="D282" s="530" t="s">
        <v>722</v>
      </c>
      <c r="E282" s="352"/>
      <c r="G282" s="7"/>
      <c r="H282" s="7"/>
    </row>
    <row r="283" spans="2:16" x14ac:dyDescent="0.25">
      <c r="D283" s="28"/>
      <c r="G283" s="7"/>
      <c r="H283" s="7"/>
    </row>
    <row r="284" spans="2:16" x14ac:dyDescent="0.25">
      <c r="C284" s="531" t="s">
        <v>11</v>
      </c>
      <c r="D284" s="2903" t="s">
        <v>723</v>
      </c>
      <c r="E284" s="2904"/>
      <c r="F284" s="2904"/>
      <c r="G284" s="2904"/>
      <c r="H284" s="2905">
        <f>40000*2.5*0.98</f>
        <v>98000</v>
      </c>
      <c r="I284" s="2906"/>
      <c r="J284" s="2911"/>
      <c r="K284" s="2906"/>
      <c r="L284" s="137" t="s">
        <v>724</v>
      </c>
      <c r="M284" s="2"/>
    </row>
    <row r="285" spans="2:16" x14ac:dyDescent="0.25">
      <c r="C285" s="531" t="s">
        <v>15</v>
      </c>
      <c r="D285" s="2912" t="s">
        <v>725</v>
      </c>
      <c r="E285" s="2913"/>
      <c r="F285" s="2913"/>
      <c r="G285" s="2913"/>
      <c r="H285" s="2914">
        <f>40000*2.5*0.02*2</f>
        <v>4000</v>
      </c>
      <c r="I285" s="2915"/>
      <c r="J285" s="2902"/>
      <c r="K285" s="2915"/>
      <c r="L285" s="137" t="s">
        <v>726</v>
      </c>
      <c r="M285" s="2"/>
    </row>
    <row r="286" spans="2:16" x14ac:dyDescent="0.25">
      <c r="C286" s="531" t="s">
        <v>14</v>
      </c>
      <c r="D286" s="2893" t="s">
        <v>727</v>
      </c>
      <c r="E286" s="2894"/>
      <c r="F286" s="2894"/>
      <c r="G286" s="2894"/>
      <c r="H286" s="2895"/>
      <c r="I286" s="2896"/>
      <c r="J286" s="2910">
        <f>40000*2.5*1.02</f>
        <v>102000</v>
      </c>
      <c r="K286" s="2896"/>
      <c r="L286" s="137" t="s">
        <v>728</v>
      </c>
      <c r="M286" s="2"/>
    </row>
    <row r="287" spans="2:16" x14ac:dyDescent="0.25">
      <c r="C287" s="531"/>
      <c r="D287" s="532"/>
      <c r="E287" s="532"/>
      <c r="F287" s="532"/>
      <c r="G287" s="532"/>
      <c r="H287" s="533"/>
      <c r="I287" s="533"/>
      <c r="J287" s="533"/>
      <c r="K287" s="533"/>
      <c r="M287" s="137"/>
    </row>
    <row r="288" spans="2:16" x14ac:dyDescent="0.25">
      <c r="C288" s="531"/>
      <c r="D288" s="532"/>
      <c r="E288" s="532"/>
      <c r="F288" s="532"/>
      <c r="G288" s="532"/>
      <c r="H288" s="533"/>
      <c r="I288" s="533"/>
      <c r="J288" s="533"/>
      <c r="K288" s="533"/>
      <c r="M288" s="137"/>
    </row>
    <row r="289" spans="3:16" x14ac:dyDescent="0.25">
      <c r="C289" s="531"/>
      <c r="D289" s="532"/>
      <c r="E289" s="532"/>
      <c r="F289" s="532"/>
      <c r="G289" s="532"/>
      <c r="H289" s="533"/>
      <c r="I289" s="533"/>
      <c r="J289" s="533"/>
      <c r="K289" s="533"/>
      <c r="M289" s="137"/>
    </row>
    <row r="290" spans="3:16" x14ac:dyDescent="0.25">
      <c r="C290" s="531"/>
      <c r="D290" s="532"/>
      <c r="E290" s="532"/>
      <c r="F290" s="532"/>
      <c r="G290" s="532"/>
      <c r="H290" s="533"/>
      <c r="I290" s="533"/>
      <c r="J290" s="533"/>
      <c r="K290" s="533"/>
      <c r="M290" s="137"/>
    </row>
    <row r="291" spans="3:16" x14ac:dyDescent="0.25">
      <c r="C291" s="531"/>
      <c r="D291" s="532"/>
      <c r="E291" s="532"/>
      <c r="F291" s="532"/>
      <c r="G291" s="532"/>
      <c r="H291" s="533"/>
      <c r="I291" s="533"/>
      <c r="J291" s="533"/>
      <c r="K291" s="533"/>
      <c r="M291" s="137"/>
    </row>
    <row r="292" spans="3:16" x14ac:dyDescent="0.25">
      <c r="C292" s="529" t="s">
        <v>721</v>
      </c>
      <c r="D292" s="113" t="s">
        <v>729</v>
      </c>
      <c r="E292" s="532"/>
      <c r="F292" s="532"/>
      <c r="G292" s="532"/>
      <c r="H292" s="533"/>
      <c r="I292" s="533"/>
      <c r="J292" s="533"/>
      <c r="K292" s="533"/>
      <c r="M292" s="137"/>
    </row>
    <row r="293" spans="3:16" ht="17.25" x14ac:dyDescent="0.25">
      <c r="C293" s="189"/>
      <c r="D293" s="2"/>
      <c r="E293" s="112"/>
      <c r="F293" s="112"/>
      <c r="G293" s="112"/>
      <c r="H293" s="2902"/>
      <c r="I293" s="2902"/>
      <c r="J293" s="2902"/>
      <c r="K293" s="2902"/>
      <c r="L293" s="534" t="s">
        <v>730</v>
      </c>
      <c r="M293" s="535"/>
      <c r="N293" s="535"/>
      <c r="O293" s="2"/>
    </row>
    <row r="294" spans="3:16" x14ac:dyDescent="0.25">
      <c r="C294" s="531" t="s">
        <v>11</v>
      </c>
      <c r="D294" s="2903" t="str">
        <f>+D284</f>
        <v>Acciones - Arrayanes</v>
      </c>
      <c r="E294" s="2904"/>
      <c r="F294" s="2904"/>
      <c r="G294" s="2904"/>
      <c r="H294" s="2905">
        <f>+O296*40000</f>
        <v>1959.9999999999973</v>
      </c>
      <c r="I294" s="2906"/>
      <c r="J294" s="2905"/>
      <c r="K294" s="2906"/>
      <c r="L294" s="536" t="s">
        <v>731</v>
      </c>
      <c r="M294" s="2"/>
      <c r="O294" s="2678">
        <f>2.45*0.98</f>
        <v>2.4010000000000002</v>
      </c>
      <c r="P294" s="2678"/>
    </row>
    <row r="295" spans="3:16" x14ac:dyDescent="0.25">
      <c r="C295" s="531" t="s">
        <v>16</v>
      </c>
      <c r="D295" s="2893" t="s">
        <v>732</v>
      </c>
      <c r="E295" s="2894"/>
      <c r="F295" s="2894"/>
      <c r="G295" s="2894"/>
      <c r="H295" s="2895"/>
      <c r="I295" s="2896"/>
      <c r="J295" s="2895">
        <f>+H294</f>
        <v>1959.9999999999973</v>
      </c>
      <c r="K295" s="2896"/>
      <c r="L295" s="536" t="s">
        <v>733</v>
      </c>
      <c r="M295" s="2"/>
      <c r="O295" s="2678">
        <f>2.5*0.98</f>
        <v>2.4500000000000002</v>
      </c>
      <c r="P295" s="2678"/>
    </row>
    <row r="296" spans="3:16" x14ac:dyDescent="0.25">
      <c r="C296" s="531"/>
      <c r="D296" s="532"/>
      <c r="E296" s="532"/>
      <c r="F296" s="532"/>
      <c r="G296" s="532"/>
      <c r="H296" s="533"/>
      <c r="I296" s="533"/>
      <c r="J296" s="533"/>
      <c r="K296" s="533"/>
      <c r="L296" s="536" t="s">
        <v>734</v>
      </c>
      <c r="M296" s="2"/>
      <c r="O296" s="2921">
        <f>+O295-O294</f>
        <v>4.8999999999999932E-2</v>
      </c>
      <c r="P296" s="2921"/>
    </row>
    <row r="297" spans="3:16" x14ac:dyDescent="0.25">
      <c r="C297" s="2"/>
      <c r="D297" s="2"/>
      <c r="E297" s="2"/>
      <c r="F297" s="2"/>
      <c r="G297" s="2"/>
      <c r="H297" s="2"/>
      <c r="L297" s="536" t="s">
        <v>735</v>
      </c>
      <c r="M297" s="137"/>
      <c r="O297" s="2897">
        <v>40000</v>
      </c>
      <c r="P297" s="2897"/>
    </row>
    <row r="298" spans="3:16" ht="15.75" thickBot="1" x14ac:dyDescent="0.3">
      <c r="C298" s="2"/>
      <c r="D298" s="2"/>
      <c r="E298" s="2"/>
      <c r="F298" s="2"/>
      <c r="G298" s="2"/>
      <c r="H298" s="2"/>
      <c r="L298" s="536" t="s">
        <v>736</v>
      </c>
      <c r="O298" s="2899">
        <f>+O296*O297</f>
        <v>1959.9999999999973</v>
      </c>
      <c r="P298" s="2899"/>
    </row>
    <row r="299" spans="3:16" ht="15.75" thickTop="1" x14ac:dyDescent="0.25">
      <c r="C299" s="2"/>
      <c r="D299" s="2"/>
      <c r="E299" s="2"/>
      <c r="F299" s="2"/>
      <c r="G299" s="2"/>
      <c r="H299" s="2"/>
    </row>
    <row r="300" spans="3:16" x14ac:dyDescent="0.25">
      <c r="C300" s="529" t="s">
        <v>721</v>
      </c>
      <c r="D300" s="113" t="s">
        <v>737</v>
      </c>
      <c r="E300" s="532"/>
      <c r="F300" s="532"/>
      <c r="G300" s="532"/>
      <c r="H300" s="533"/>
      <c r="I300" s="533"/>
      <c r="J300" s="533"/>
      <c r="K300" s="533"/>
    </row>
    <row r="301" spans="3:16" x14ac:dyDescent="0.25">
      <c r="C301" s="531"/>
      <c r="D301" s="2"/>
      <c r="E301" s="112"/>
      <c r="F301" s="112"/>
      <c r="G301" s="112"/>
      <c r="H301" s="2902"/>
      <c r="I301" s="2902"/>
      <c r="J301" s="2902"/>
      <c r="K301" s="2902"/>
      <c r="L301" s="534" t="s">
        <v>640</v>
      </c>
    </row>
    <row r="302" spans="3:16" x14ac:dyDescent="0.25">
      <c r="C302" s="531" t="s">
        <v>11</v>
      </c>
      <c r="D302" s="2903" t="s">
        <v>639</v>
      </c>
      <c r="E302" s="2904"/>
      <c r="F302" s="2904"/>
      <c r="G302" s="2904"/>
      <c r="H302" s="2905">
        <f>+O305</f>
        <v>80</v>
      </c>
      <c r="I302" s="2906"/>
      <c r="J302" s="2905"/>
      <c r="K302" s="2906"/>
      <c r="L302" s="266" t="s">
        <v>738</v>
      </c>
      <c r="O302" s="2907">
        <v>1000000</v>
      </c>
      <c r="P302" s="2907"/>
    </row>
    <row r="303" spans="3:16" x14ac:dyDescent="0.25">
      <c r="C303" s="531" t="s">
        <v>16</v>
      </c>
      <c r="D303" s="2893" t="s">
        <v>739</v>
      </c>
      <c r="E303" s="2894"/>
      <c r="F303" s="2894"/>
      <c r="G303" s="2894"/>
      <c r="H303" s="2895"/>
      <c r="I303" s="2896"/>
      <c r="J303" s="2895">
        <f>+H302</f>
        <v>80</v>
      </c>
      <c r="K303" s="2896"/>
      <c r="L303" s="266" t="s">
        <v>740</v>
      </c>
      <c r="O303" s="2897">
        <v>0.02</v>
      </c>
      <c r="P303" s="2897"/>
    </row>
    <row r="304" spans="3:16" x14ac:dyDescent="0.25">
      <c r="L304" s="196" t="s">
        <v>741</v>
      </c>
      <c r="O304" s="2918">
        <v>4.0000000000000001E-3</v>
      </c>
      <c r="P304" s="2918"/>
    </row>
    <row r="305" spans="1:17" ht="15.75" thickBot="1" x14ac:dyDescent="0.3">
      <c r="O305" s="2899">
        <f>+O302*O303*O304</f>
        <v>80</v>
      </c>
      <c r="P305" s="2899"/>
    </row>
    <row r="306" spans="1:17" ht="15.75" thickTop="1" x14ac:dyDescent="0.25">
      <c r="A306" s="4"/>
      <c r="B306" s="189"/>
      <c r="G306" s="51"/>
      <c r="H306" s="51"/>
      <c r="I306" s="4"/>
      <c r="J306" s="4"/>
      <c r="K306" s="4"/>
      <c r="L306" s="4"/>
      <c r="M306" s="18"/>
      <c r="N306" s="18"/>
      <c r="O306" s="2897"/>
      <c r="P306" s="2897"/>
      <c r="Q306" s="4"/>
    </row>
    <row r="307" spans="1:17" s="4" customFormat="1" x14ac:dyDescent="0.25">
      <c r="B307" s="189"/>
      <c r="C307" s="12"/>
      <c r="D307" s="12"/>
      <c r="E307" s="12"/>
      <c r="F307" s="12"/>
      <c r="G307" s="51"/>
      <c r="H307" s="51"/>
      <c r="M307" s="18"/>
      <c r="N307" s="18"/>
      <c r="O307" s="18"/>
      <c r="P307" s="18"/>
    </row>
    <row r="308" spans="1:17" ht="15.75" thickBot="1" x14ac:dyDescent="0.3">
      <c r="C308" s="524"/>
      <c r="D308" s="525" t="s">
        <v>710</v>
      </c>
      <c r="E308" s="524"/>
      <c r="F308" s="524"/>
      <c r="G308" s="526"/>
      <c r="H308" s="526"/>
      <c r="I308" s="527"/>
      <c r="J308" s="527"/>
      <c r="K308" s="527"/>
      <c r="L308" s="527"/>
      <c r="M308" s="528"/>
      <c r="N308" s="528"/>
      <c r="O308" s="528"/>
      <c r="P308" s="528"/>
    </row>
    <row r="309" spans="1:17" ht="7.5" customHeight="1" thickTop="1" x14ac:dyDescent="0.25">
      <c r="D309" s="2"/>
      <c r="E309" s="352"/>
      <c r="G309" s="7"/>
      <c r="H309" s="7"/>
    </row>
    <row r="310" spans="1:17" x14ac:dyDescent="0.25">
      <c r="C310" s="529" t="s">
        <v>721</v>
      </c>
      <c r="D310" s="530" t="s">
        <v>722</v>
      </c>
      <c r="E310" s="352"/>
      <c r="G310" s="7"/>
      <c r="H310" s="7"/>
    </row>
    <row r="311" spans="1:17" ht="7.5" customHeight="1" x14ac:dyDescent="0.25">
      <c r="D311" s="28"/>
      <c r="G311" s="7"/>
      <c r="H311" s="7"/>
    </row>
    <row r="312" spans="1:17" x14ac:dyDescent="0.25">
      <c r="C312" s="531" t="s">
        <v>11</v>
      </c>
      <c r="D312" s="2903" t="s">
        <v>742</v>
      </c>
      <c r="E312" s="2904"/>
      <c r="F312" s="2904"/>
      <c r="G312" s="2904"/>
      <c r="H312" s="2905">
        <f>80000*1.25*1.01</f>
        <v>101000</v>
      </c>
      <c r="I312" s="2906"/>
      <c r="J312" s="2911"/>
      <c r="K312" s="2906"/>
      <c r="L312" s="137" t="s">
        <v>743</v>
      </c>
      <c r="M312" s="2"/>
    </row>
    <row r="313" spans="1:17" x14ac:dyDescent="0.25">
      <c r="C313" s="531" t="s">
        <v>14</v>
      </c>
      <c r="D313" s="2893" t="s">
        <v>727</v>
      </c>
      <c r="E313" s="2894"/>
      <c r="F313" s="2894"/>
      <c r="G313" s="2894"/>
      <c r="H313" s="2895"/>
      <c r="I313" s="2896"/>
      <c r="J313" s="2910">
        <f>+H312</f>
        <v>101000</v>
      </c>
      <c r="K313" s="2896"/>
      <c r="L313" s="137"/>
      <c r="M313" s="2"/>
    </row>
    <row r="314" spans="1:17" x14ac:dyDescent="0.25">
      <c r="C314" s="531"/>
      <c r="D314" s="532"/>
      <c r="E314" s="532"/>
      <c r="F314" s="532"/>
      <c r="G314" s="532"/>
      <c r="H314" s="533"/>
      <c r="I314" s="533"/>
      <c r="J314" s="533"/>
      <c r="K314" s="533"/>
      <c r="M314" s="137"/>
    </row>
    <row r="315" spans="1:17" x14ac:dyDescent="0.25">
      <c r="C315" s="531"/>
      <c r="D315" s="532"/>
      <c r="E315" s="532"/>
      <c r="F315" s="532"/>
      <c r="G315" s="532"/>
      <c r="H315" s="533"/>
      <c r="I315" s="533"/>
      <c r="J315" s="533"/>
      <c r="K315" s="533"/>
      <c r="M315" s="137"/>
    </row>
    <row r="316" spans="1:17" x14ac:dyDescent="0.25">
      <c r="C316" s="531"/>
      <c r="D316" s="532"/>
      <c r="E316" s="532"/>
      <c r="F316" s="532"/>
      <c r="G316" s="532"/>
      <c r="H316" s="533"/>
      <c r="I316" s="533"/>
      <c r="J316" s="533"/>
      <c r="K316" s="533"/>
      <c r="M316" s="137"/>
    </row>
    <row r="317" spans="1:17" ht="7.5" customHeight="1" x14ac:dyDescent="0.25">
      <c r="C317" s="531"/>
      <c r="D317" s="532"/>
      <c r="E317" s="532"/>
      <c r="F317" s="532"/>
      <c r="G317" s="532"/>
      <c r="H317" s="533"/>
      <c r="I317" s="533"/>
      <c r="J317" s="533"/>
      <c r="K317" s="533"/>
      <c r="M317" s="137"/>
    </row>
    <row r="318" spans="1:17" x14ac:dyDescent="0.25">
      <c r="C318" s="529" t="s">
        <v>721</v>
      </c>
      <c r="D318" s="113" t="s">
        <v>729</v>
      </c>
      <c r="E318" s="532"/>
      <c r="F318" s="532"/>
      <c r="G318" s="532"/>
      <c r="H318" s="533"/>
      <c r="I318" s="533"/>
      <c r="J318" s="533"/>
      <c r="K318" s="533"/>
      <c r="M318" s="137"/>
    </row>
    <row r="319" spans="1:17" ht="15" customHeight="1" x14ac:dyDescent="0.25">
      <c r="C319" s="533"/>
      <c r="D319" s="2919" t="s">
        <v>744</v>
      </c>
      <c r="E319" s="2919"/>
      <c r="F319" s="2919"/>
      <c r="G319" s="2919"/>
      <c r="H319" s="2919"/>
      <c r="I319" s="2919"/>
      <c r="J319" s="2919"/>
      <c r="K319" s="2919"/>
      <c r="L319" s="2919"/>
      <c r="M319" s="2919"/>
      <c r="N319" s="2919"/>
      <c r="O319" s="2919"/>
      <c r="P319" s="537"/>
    </row>
    <row r="320" spans="1:17" x14ac:dyDescent="0.25">
      <c r="C320" s="533"/>
      <c r="D320" s="2919"/>
      <c r="E320" s="2919"/>
      <c r="F320" s="2919"/>
      <c r="G320" s="2919"/>
      <c r="H320" s="2919"/>
      <c r="I320" s="2919"/>
      <c r="J320" s="2919"/>
      <c r="K320" s="2919"/>
      <c r="L320" s="2919"/>
      <c r="M320" s="2919"/>
      <c r="N320" s="2919"/>
      <c r="O320" s="2919"/>
      <c r="P320" s="537"/>
    </row>
    <row r="321" spans="3:16" x14ac:dyDescent="0.25">
      <c r="C321" s="533"/>
      <c r="D321" s="2919"/>
      <c r="E321" s="2919"/>
      <c r="F321" s="2919"/>
      <c r="G321" s="2919"/>
      <c r="H321" s="2919"/>
      <c r="I321" s="2919"/>
      <c r="J321" s="2919"/>
      <c r="K321" s="2919"/>
      <c r="L321" s="2919"/>
      <c r="M321" s="2919"/>
      <c r="N321" s="2919"/>
      <c r="O321" s="2919"/>
      <c r="P321" s="537"/>
    </row>
    <row r="322" spans="3:16" x14ac:dyDescent="0.25">
      <c r="C322" s="4"/>
      <c r="D322" s="2919"/>
      <c r="E322" s="2919"/>
      <c r="F322" s="2919"/>
      <c r="G322" s="2919"/>
      <c r="H322" s="2919"/>
      <c r="I322" s="2919"/>
      <c r="J322" s="2919"/>
      <c r="K322" s="2919"/>
      <c r="L322" s="2919"/>
      <c r="M322" s="2919"/>
      <c r="N322" s="2919"/>
      <c r="O322" s="2919"/>
      <c r="P322" s="537"/>
    </row>
    <row r="323" spans="3:16" ht="7.5" customHeight="1" x14ac:dyDescent="0.25">
      <c r="C323" s="4"/>
      <c r="D323" s="4"/>
      <c r="E323" s="4"/>
      <c r="F323" s="4"/>
      <c r="G323" s="4"/>
      <c r="H323" s="4"/>
      <c r="I323" s="4"/>
      <c r="J323" s="4"/>
      <c r="K323" s="4"/>
      <c r="L323" s="538"/>
      <c r="M323" s="18"/>
      <c r="N323" s="18"/>
      <c r="O323" s="537"/>
      <c r="P323" s="537"/>
    </row>
    <row r="324" spans="3:16" x14ac:dyDescent="0.25">
      <c r="C324" s="529" t="s">
        <v>721</v>
      </c>
      <c r="D324" s="113" t="s">
        <v>737</v>
      </c>
      <c r="E324" s="532"/>
      <c r="F324" s="532"/>
      <c r="G324" s="532"/>
      <c r="H324" s="533"/>
      <c r="I324" s="533"/>
      <c r="J324" s="533"/>
      <c r="K324" s="533"/>
    </row>
    <row r="325" spans="3:16" x14ac:dyDescent="0.25">
      <c r="C325" s="531"/>
      <c r="D325" s="2"/>
      <c r="E325" s="112"/>
      <c r="F325" s="112"/>
      <c r="G325" s="112"/>
      <c r="H325" s="2902"/>
      <c r="I325" s="2902"/>
      <c r="J325" s="2902"/>
      <c r="K325" s="2902"/>
      <c r="L325" s="534" t="s">
        <v>640</v>
      </c>
    </row>
    <row r="326" spans="3:16" x14ac:dyDescent="0.25">
      <c r="C326" s="531" t="s">
        <v>11</v>
      </c>
      <c r="D326" s="2903" t="s">
        <v>639</v>
      </c>
      <c r="E326" s="2904"/>
      <c r="F326" s="2904"/>
      <c r="G326" s="2904"/>
      <c r="H326" s="2903">
        <f>+O329</f>
        <v>2250</v>
      </c>
      <c r="I326" s="2920"/>
      <c r="J326" s="2903"/>
      <c r="K326" s="2920"/>
      <c r="L326" s="266" t="s">
        <v>738</v>
      </c>
      <c r="O326" s="2907">
        <v>150000</v>
      </c>
      <c r="P326" s="2907"/>
    </row>
    <row r="327" spans="3:16" x14ac:dyDescent="0.25">
      <c r="C327" s="531" t="s">
        <v>16</v>
      </c>
      <c r="D327" s="2893" t="s">
        <v>739</v>
      </c>
      <c r="E327" s="2894"/>
      <c r="F327" s="2894"/>
      <c r="G327" s="2894"/>
      <c r="H327" s="2916"/>
      <c r="I327" s="2917"/>
      <c r="J327" s="2916">
        <f>+H326</f>
        <v>2250</v>
      </c>
      <c r="K327" s="2917"/>
      <c r="L327" s="266" t="s">
        <v>740</v>
      </c>
      <c r="O327" s="2897">
        <v>0.15</v>
      </c>
      <c r="P327" s="2897"/>
    </row>
    <row r="328" spans="3:16" x14ac:dyDescent="0.25">
      <c r="L328" s="196" t="s">
        <v>741</v>
      </c>
      <c r="O328" s="2918">
        <v>0.1</v>
      </c>
      <c r="P328" s="2918"/>
    </row>
    <row r="329" spans="3:16" ht="15.75" thickBot="1" x14ac:dyDescent="0.3">
      <c r="O329" s="2899">
        <f>+O326*O327*O328</f>
        <v>2250</v>
      </c>
      <c r="P329" s="2899"/>
    </row>
    <row r="330" spans="3:16" ht="7.5" customHeight="1" thickTop="1" x14ac:dyDescent="0.25"/>
    <row r="331" spans="3:16" ht="15.75" thickBot="1" x14ac:dyDescent="0.3">
      <c r="C331" s="524"/>
      <c r="D331" s="525" t="s">
        <v>711</v>
      </c>
      <c r="E331" s="524"/>
      <c r="F331" s="524"/>
      <c r="G331" s="526"/>
      <c r="H331" s="526"/>
      <c r="I331" s="527"/>
      <c r="J331" s="527"/>
      <c r="K331" s="527"/>
      <c r="L331" s="527"/>
      <c r="M331" s="528"/>
      <c r="N331" s="528"/>
      <c r="O331" s="528"/>
      <c r="P331" s="528"/>
    </row>
    <row r="332" spans="3:16" ht="7.5" customHeight="1" thickTop="1" x14ac:dyDescent="0.25"/>
    <row r="333" spans="3:16" x14ac:dyDescent="0.25">
      <c r="C333" s="529" t="s">
        <v>721</v>
      </c>
      <c r="D333" s="530" t="s">
        <v>722</v>
      </c>
      <c r="E333" s="352"/>
      <c r="G333" s="7"/>
      <c r="H333" s="7"/>
    </row>
    <row r="334" spans="3:16" x14ac:dyDescent="0.25">
      <c r="D334" s="28"/>
      <c r="G334" s="7"/>
      <c r="H334" s="7"/>
      <c r="L334" s="539" t="s">
        <v>745</v>
      </c>
    </row>
    <row r="335" spans="3:16" x14ac:dyDescent="0.25">
      <c r="C335" s="531" t="s">
        <v>11</v>
      </c>
      <c r="D335" s="2903" t="s">
        <v>746</v>
      </c>
      <c r="E335" s="2904"/>
      <c r="F335" s="2904"/>
      <c r="G335" s="2904"/>
      <c r="H335" s="2905">
        <f>+O340</f>
        <v>72000</v>
      </c>
      <c r="I335" s="2906"/>
      <c r="J335" s="2911"/>
      <c r="K335" s="2906"/>
      <c r="L335" s="540" t="s">
        <v>747</v>
      </c>
      <c r="M335" s="137"/>
      <c r="N335" s="137"/>
      <c r="O335" s="2908">
        <v>36000</v>
      </c>
      <c r="P335" s="2908"/>
    </row>
    <row r="336" spans="3:16" x14ac:dyDescent="0.25">
      <c r="C336" s="531" t="s">
        <v>15</v>
      </c>
      <c r="D336" s="2912" t="s">
        <v>748</v>
      </c>
      <c r="E336" s="2913"/>
      <c r="F336" s="2913"/>
      <c r="G336" s="2913"/>
      <c r="H336" s="2914">
        <f>+J337-H335</f>
        <v>28000</v>
      </c>
      <c r="I336" s="2915"/>
      <c r="J336" s="2902"/>
      <c r="K336" s="2915"/>
      <c r="L336" s="540" t="s">
        <v>749</v>
      </c>
      <c r="M336" s="137"/>
      <c r="N336" s="137"/>
      <c r="O336" s="2908">
        <v>42000</v>
      </c>
      <c r="P336" s="2908"/>
    </row>
    <row r="337" spans="3:16" x14ac:dyDescent="0.25">
      <c r="C337" s="531" t="s">
        <v>14</v>
      </c>
      <c r="D337" s="2893" t="s">
        <v>727</v>
      </c>
      <c r="E337" s="2894"/>
      <c r="F337" s="2894"/>
      <c r="G337" s="2894"/>
      <c r="H337" s="2895"/>
      <c r="I337" s="2896"/>
      <c r="J337" s="2910">
        <v>100000</v>
      </c>
      <c r="K337" s="2896"/>
      <c r="L337" s="540" t="s">
        <v>750</v>
      </c>
      <c r="M337" s="137"/>
      <c r="N337" s="137"/>
      <c r="O337" s="2908">
        <v>12000</v>
      </c>
      <c r="P337" s="2908"/>
    </row>
    <row r="338" spans="3:16" x14ac:dyDescent="0.25">
      <c r="C338" s="531"/>
      <c r="D338" s="532"/>
      <c r="E338" s="532"/>
      <c r="F338" s="532"/>
      <c r="G338" s="532"/>
      <c r="H338" s="533"/>
      <c r="I338" s="533"/>
      <c r="J338" s="533"/>
      <c r="K338" s="533"/>
      <c r="L338" s="540" t="s">
        <v>751</v>
      </c>
      <c r="M338" s="137"/>
      <c r="N338" s="137"/>
      <c r="O338" s="2909">
        <f>+O335+O336+O337</f>
        <v>90000</v>
      </c>
      <c r="P338" s="2909"/>
    </row>
    <row r="339" spans="3:16" x14ac:dyDescent="0.25">
      <c r="C339" s="531"/>
      <c r="D339" s="532"/>
      <c r="E339" s="532"/>
      <c r="F339" s="532"/>
      <c r="G339" s="532"/>
      <c r="H339" s="533"/>
      <c r="I339" s="533"/>
      <c r="J339" s="533"/>
      <c r="K339" s="533"/>
      <c r="L339" s="266" t="s">
        <v>741</v>
      </c>
      <c r="O339" s="2900">
        <v>0.8</v>
      </c>
      <c r="P339" s="2900"/>
    </row>
    <row r="340" spans="3:16" ht="15.75" thickBot="1" x14ac:dyDescent="0.3">
      <c r="C340" s="531"/>
      <c r="D340" s="532"/>
      <c r="E340" s="532"/>
      <c r="F340" s="532"/>
      <c r="G340" s="532"/>
      <c r="H340" s="533"/>
      <c r="I340" s="533"/>
      <c r="J340" s="533"/>
      <c r="K340" s="533"/>
      <c r="L340" s="540" t="s">
        <v>752</v>
      </c>
      <c r="M340" s="137"/>
      <c r="N340" s="137"/>
      <c r="O340" s="2901">
        <f>+O338*O339</f>
        <v>72000</v>
      </c>
      <c r="P340" s="2901"/>
    </row>
    <row r="341" spans="3:16" ht="7.5" customHeight="1" thickTop="1" x14ac:dyDescent="0.25">
      <c r="C341" s="531"/>
      <c r="D341" s="532"/>
      <c r="E341" s="532"/>
      <c r="F341" s="532"/>
      <c r="G341" s="532"/>
      <c r="H341" s="533"/>
      <c r="I341" s="533"/>
      <c r="J341" s="533"/>
      <c r="K341" s="533"/>
      <c r="M341" s="137"/>
    </row>
    <row r="342" spans="3:16" x14ac:dyDescent="0.25">
      <c r="C342" s="529" t="s">
        <v>721</v>
      </c>
      <c r="D342" s="113" t="s">
        <v>729</v>
      </c>
      <c r="E342" s="532"/>
      <c r="F342" s="532"/>
      <c r="G342" s="532"/>
      <c r="H342" s="533"/>
      <c r="I342" s="533"/>
      <c r="J342" s="533"/>
      <c r="K342" s="533"/>
      <c r="M342" s="137"/>
    </row>
    <row r="343" spans="3:16" x14ac:dyDescent="0.25">
      <c r="C343" s="189"/>
      <c r="D343" s="2"/>
      <c r="E343" s="112"/>
      <c r="F343" s="112"/>
      <c r="G343" s="112"/>
      <c r="H343" s="2902"/>
      <c r="I343" s="2902"/>
      <c r="J343" s="2902"/>
      <c r="K343" s="2902"/>
      <c r="L343" s="539" t="s">
        <v>753</v>
      </c>
    </row>
    <row r="344" spans="3:16" x14ac:dyDescent="0.25">
      <c r="C344" s="531" t="s">
        <v>11</v>
      </c>
      <c r="D344" s="2903" t="str">
        <f>+D335</f>
        <v>Acciones - Lengas</v>
      </c>
      <c r="E344" s="2904"/>
      <c r="F344" s="2904"/>
      <c r="G344" s="2904"/>
      <c r="H344" s="2905">
        <f>+O349</f>
        <v>2880</v>
      </c>
      <c r="I344" s="2906"/>
      <c r="J344" s="2905"/>
      <c r="K344" s="2906"/>
      <c r="L344" s="540" t="s">
        <v>754</v>
      </c>
      <c r="M344" s="137"/>
      <c r="N344" s="137"/>
      <c r="O344" s="2908">
        <v>6000</v>
      </c>
      <c r="P344" s="2908"/>
    </row>
    <row r="345" spans="3:16" x14ac:dyDescent="0.25">
      <c r="C345" s="531" t="s">
        <v>16</v>
      </c>
      <c r="D345" s="2893" t="s">
        <v>755</v>
      </c>
      <c r="E345" s="2894"/>
      <c r="F345" s="2894"/>
      <c r="G345" s="2894"/>
      <c r="H345" s="2895"/>
      <c r="I345" s="2896"/>
      <c r="J345" s="2895">
        <f>+H344</f>
        <v>2880</v>
      </c>
      <c r="K345" s="2896"/>
      <c r="L345" s="540" t="s">
        <v>756</v>
      </c>
      <c r="M345" s="137"/>
      <c r="N345" s="137"/>
      <c r="O345" s="2908">
        <f>-J369</f>
        <v>-1200</v>
      </c>
      <c r="P345" s="2908"/>
    </row>
    <row r="346" spans="3:16" x14ac:dyDescent="0.25">
      <c r="C346" s="531"/>
      <c r="D346" s="532"/>
      <c r="E346" s="532"/>
      <c r="F346" s="532"/>
      <c r="G346" s="532"/>
      <c r="H346" s="533"/>
      <c r="I346" s="533"/>
      <c r="J346" s="533"/>
      <c r="K346" s="533"/>
      <c r="L346" s="540" t="s">
        <v>757</v>
      </c>
      <c r="M346" s="137"/>
      <c r="N346" s="137"/>
      <c r="O346" s="2908">
        <f>-J393</f>
        <v>-1200</v>
      </c>
      <c r="P346" s="2908"/>
    </row>
    <row r="347" spans="3:16" x14ac:dyDescent="0.25">
      <c r="C347" s="2"/>
      <c r="D347" s="2"/>
      <c r="E347" s="541" t="s">
        <v>758</v>
      </c>
      <c r="F347" s="2"/>
      <c r="G347" s="2"/>
      <c r="H347" s="2"/>
      <c r="L347" s="540" t="s">
        <v>759</v>
      </c>
      <c r="M347" s="137"/>
      <c r="N347" s="137"/>
      <c r="O347" s="2909">
        <f>+O344+O345+O346</f>
        <v>3600</v>
      </c>
      <c r="P347" s="2909"/>
    </row>
    <row r="348" spans="3:16" x14ac:dyDescent="0.25">
      <c r="C348" s="2"/>
      <c r="D348" s="2"/>
      <c r="E348" s="541" t="s">
        <v>760</v>
      </c>
      <c r="F348" s="2"/>
      <c r="G348" s="2"/>
      <c r="H348" s="2"/>
      <c r="L348" s="266" t="s">
        <v>741</v>
      </c>
      <c r="O348" s="2900">
        <f>+O339</f>
        <v>0.8</v>
      </c>
      <c r="P348" s="2900"/>
    </row>
    <row r="349" spans="3:16" ht="15.75" thickBot="1" x14ac:dyDescent="0.3">
      <c r="C349" s="2"/>
      <c r="D349" s="2"/>
      <c r="E349" s="2"/>
      <c r="F349" s="2"/>
      <c r="G349" s="2"/>
      <c r="H349" s="2"/>
      <c r="L349" s="540" t="s">
        <v>761</v>
      </c>
      <c r="M349" s="137"/>
      <c r="N349" s="137"/>
      <c r="O349" s="2901">
        <f>+O348*O347</f>
        <v>2880</v>
      </c>
      <c r="P349" s="2901"/>
    </row>
    <row r="350" spans="3:16" ht="15.75" thickTop="1" x14ac:dyDescent="0.25">
      <c r="C350" s="2"/>
      <c r="D350" s="2"/>
      <c r="E350" s="2"/>
      <c r="F350" s="2"/>
      <c r="G350" s="2"/>
      <c r="H350" s="2"/>
      <c r="M350" s="2"/>
      <c r="N350" s="2"/>
      <c r="O350" s="2"/>
      <c r="P350" s="2"/>
    </row>
    <row r="351" spans="3:16" x14ac:dyDescent="0.25">
      <c r="C351" s="529" t="s">
        <v>721</v>
      </c>
      <c r="D351" s="113" t="s">
        <v>737</v>
      </c>
      <c r="E351" s="532"/>
      <c r="F351" s="532"/>
      <c r="G351" s="532"/>
      <c r="H351" s="533"/>
      <c r="I351" s="533"/>
      <c r="J351" s="533"/>
      <c r="K351" s="533"/>
    </row>
    <row r="352" spans="3:16" x14ac:dyDescent="0.25">
      <c r="C352" s="531"/>
      <c r="D352" s="2"/>
      <c r="E352" s="112"/>
      <c r="F352" s="112"/>
      <c r="G352" s="112"/>
      <c r="H352" s="2902"/>
      <c r="I352" s="2902"/>
      <c r="J352" s="2902"/>
      <c r="K352" s="2902"/>
      <c r="L352" s="534" t="s">
        <v>640</v>
      </c>
    </row>
    <row r="353" spans="1:17" x14ac:dyDescent="0.25">
      <c r="C353" s="531" t="s">
        <v>11</v>
      </c>
      <c r="D353" s="2903" t="s">
        <v>639</v>
      </c>
      <c r="E353" s="2904"/>
      <c r="F353" s="2904"/>
      <c r="G353" s="2904"/>
      <c r="H353" s="2905">
        <f>+O356</f>
        <v>480</v>
      </c>
      <c r="I353" s="2906"/>
      <c r="J353" s="2905"/>
      <c r="K353" s="2906"/>
      <c r="L353" s="266" t="s">
        <v>738</v>
      </c>
      <c r="O353" s="2907">
        <v>6000</v>
      </c>
      <c r="P353" s="2907"/>
    </row>
    <row r="354" spans="1:17" x14ac:dyDescent="0.25">
      <c r="C354" s="531" t="s">
        <v>14</v>
      </c>
      <c r="D354" s="2893" t="s">
        <v>762</v>
      </c>
      <c r="E354" s="2894"/>
      <c r="F354" s="2894"/>
      <c r="G354" s="2894"/>
      <c r="H354" s="2895"/>
      <c r="I354" s="2896"/>
      <c r="J354" s="2895">
        <f>+H353</f>
        <v>480</v>
      </c>
      <c r="K354" s="2896"/>
      <c r="L354" s="266" t="s">
        <v>740</v>
      </c>
      <c r="O354" s="2897">
        <v>0.1</v>
      </c>
      <c r="P354" s="2897"/>
    </row>
    <row r="355" spans="1:17" x14ac:dyDescent="0.25">
      <c r="L355" s="196" t="s">
        <v>741</v>
      </c>
      <c r="O355" s="2898">
        <v>0.8</v>
      </c>
      <c r="P355" s="2898"/>
    </row>
    <row r="356" spans="1:17" ht="15.75" thickBot="1" x14ac:dyDescent="0.3">
      <c r="O356" s="2899">
        <f>+O353*O354*O355</f>
        <v>480</v>
      </c>
      <c r="P356" s="2899"/>
    </row>
    <row r="357" spans="1:17" ht="15.75" thickTop="1" x14ac:dyDescent="0.25"/>
    <row r="359" spans="1:17" s="4" customFormat="1" x14ac:dyDescent="0.25">
      <c r="B359" s="189"/>
      <c r="C359" s="12"/>
      <c r="D359" s="12"/>
      <c r="E359" s="12"/>
      <c r="F359" s="12"/>
      <c r="G359" s="51"/>
      <c r="H359" s="51"/>
      <c r="M359" s="18"/>
      <c r="N359" s="18"/>
      <c r="O359" s="18"/>
      <c r="P359" s="18"/>
    </row>
    <row r="360" spans="1:17" x14ac:dyDescent="0.25">
      <c r="A360" s="4"/>
      <c r="B360" s="189"/>
      <c r="G360" s="51"/>
      <c r="H360" s="51"/>
      <c r="I360" s="4"/>
      <c r="J360" s="4"/>
      <c r="K360" s="4"/>
      <c r="L360" s="4"/>
      <c r="M360" s="18"/>
      <c r="N360" s="18"/>
      <c r="O360" s="18"/>
      <c r="P360" s="18"/>
      <c r="Q360" s="4"/>
    </row>
    <row r="361" spans="1:17" x14ac:dyDescent="0.25">
      <c r="B361" s="107" t="s">
        <v>92</v>
      </c>
    </row>
    <row r="362" spans="1:17" x14ac:dyDescent="0.25">
      <c r="B362" s="107"/>
    </row>
    <row r="363" spans="1:17" x14ac:dyDescent="0.25">
      <c r="B363" s="6" t="s">
        <v>148</v>
      </c>
      <c r="C363" s="542" t="s">
        <v>763</v>
      </c>
      <c r="D363" s="543"/>
      <c r="E363" s="543"/>
      <c r="F363" s="175"/>
      <c r="G363" s="544"/>
      <c r="H363" s="544"/>
      <c r="I363" s="175"/>
      <c r="J363" s="175"/>
      <c r="K363" s="175"/>
    </row>
    <row r="364" spans="1:17" x14ac:dyDescent="0.25">
      <c r="C364" s="542"/>
      <c r="D364" s="543"/>
      <c r="E364" s="543"/>
      <c r="F364" s="175"/>
      <c r="G364" s="544"/>
      <c r="H364" s="544"/>
      <c r="I364" s="175"/>
      <c r="J364" s="175"/>
      <c r="K364" s="175"/>
    </row>
    <row r="365" spans="1:17" ht="29.25" customHeight="1" x14ac:dyDescent="0.25">
      <c r="C365" s="2883"/>
      <c r="D365" s="2884"/>
      <c r="E365" s="2885"/>
      <c r="F365" s="2886" t="s">
        <v>764</v>
      </c>
      <c r="G365" s="2886"/>
      <c r="H365" s="2886" t="s">
        <v>765</v>
      </c>
      <c r="I365" s="2886"/>
      <c r="J365" s="2887" t="s">
        <v>766</v>
      </c>
      <c r="K365" s="2887"/>
    </row>
    <row r="366" spans="1:17" x14ac:dyDescent="0.25">
      <c r="C366" s="2890" t="s">
        <v>32</v>
      </c>
      <c r="D366" s="2891"/>
      <c r="E366" s="2892"/>
      <c r="F366" s="2881">
        <v>120000</v>
      </c>
      <c r="G366" s="2881"/>
      <c r="H366" s="2881"/>
      <c r="I366" s="2881"/>
      <c r="J366" s="2881"/>
      <c r="K366" s="2881"/>
    </row>
    <row r="367" spans="1:17" x14ac:dyDescent="0.25">
      <c r="C367" s="2890" t="s">
        <v>767</v>
      </c>
      <c r="D367" s="2891"/>
      <c r="E367" s="2892"/>
      <c r="F367" s="2881">
        <v>84000</v>
      </c>
      <c r="G367" s="2881"/>
      <c r="H367" s="2881">
        <v>126000</v>
      </c>
      <c r="I367" s="2881"/>
      <c r="J367" s="2881">
        <f>+H367-F367</f>
        <v>42000</v>
      </c>
      <c r="K367" s="2881"/>
    </row>
    <row r="368" spans="1:17" x14ac:dyDescent="0.25">
      <c r="C368" s="2890" t="s">
        <v>768</v>
      </c>
      <c r="D368" s="2891"/>
      <c r="E368" s="2892"/>
      <c r="F368" s="2881">
        <f>F366-F367</f>
        <v>36000</v>
      </c>
      <c r="G368" s="2881"/>
      <c r="H368" s="2881">
        <v>0</v>
      </c>
      <c r="I368" s="2881"/>
      <c r="J368" s="2881">
        <v>0</v>
      </c>
      <c r="K368" s="2881"/>
    </row>
    <row r="369" spans="3:11" x14ac:dyDescent="0.25">
      <c r="C369" s="2890" t="s">
        <v>769</v>
      </c>
      <c r="D369" s="2891"/>
      <c r="E369" s="2892"/>
      <c r="F369" s="2881">
        <f>+F366/50</f>
        <v>2400</v>
      </c>
      <c r="G369" s="2881"/>
      <c r="H369" s="2881">
        <f>+H367/35</f>
        <v>3600</v>
      </c>
      <c r="I369" s="2881"/>
      <c r="J369" s="2881">
        <f>+H369-F369</f>
        <v>1200</v>
      </c>
      <c r="K369" s="2881"/>
    </row>
    <row r="370" spans="3:11" x14ac:dyDescent="0.25">
      <c r="C370" s="545"/>
      <c r="D370" s="173"/>
      <c r="E370" s="173"/>
      <c r="F370" s="2882"/>
      <c r="G370" s="2882"/>
      <c r="H370" s="2882"/>
      <c r="I370" s="2882"/>
      <c r="J370" s="2882"/>
      <c r="K370" s="2882"/>
    </row>
    <row r="371" spans="3:11" x14ac:dyDescent="0.25">
      <c r="C371" s="546" t="s">
        <v>770</v>
      </c>
      <c r="D371" s="173"/>
      <c r="E371" s="173"/>
      <c r="F371" s="2889">
        <v>50</v>
      </c>
      <c r="G371" s="2889"/>
      <c r="H371" s="2882"/>
      <c r="I371" s="2882"/>
      <c r="J371" s="2882"/>
      <c r="K371" s="2882"/>
    </row>
    <row r="372" spans="3:11" x14ac:dyDescent="0.25">
      <c r="C372" s="546" t="s">
        <v>771</v>
      </c>
      <c r="D372" s="173"/>
      <c r="E372" s="173"/>
      <c r="F372" s="2889">
        <f>+F368/F369</f>
        <v>15</v>
      </c>
      <c r="G372" s="2889"/>
      <c r="H372" s="2882"/>
      <c r="I372" s="2882"/>
      <c r="J372" s="2882"/>
      <c r="K372" s="2882"/>
    </row>
    <row r="373" spans="3:11" x14ac:dyDescent="0.25">
      <c r="C373" s="546" t="s">
        <v>772</v>
      </c>
      <c r="D373" s="173"/>
      <c r="E373" s="173"/>
      <c r="F373" s="2888">
        <f>+F371-F372</f>
        <v>35</v>
      </c>
      <c r="G373" s="2888"/>
      <c r="H373" s="2882"/>
      <c r="I373" s="2882"/>
      <c r="J373" s="2882"/>
      <c r="K373" s="2882"/>
    </row>
    <row r="374" spans="3:11" x14ac:dyDescent="0.25">
      <c r="C374" s="2"/>
      <c r="D374" s="2"/>
      <c r="E374" s="2"/>
      <c r="F374" s="2"/>
      <c r="G374" s="2"/>
      <c r="H374" s="2882"/>
      <c r="I374" s="2882"/>
      <c r="J374" s="2882"/>
      <c r="K374" s="2882"/>
    </row>
    <row r="375" spans="3:11" x14ac:dyDescent="0.25">
      <c r="C375" s="2"/>
      <c r="D375" s="2"/>
      <c r="E375" s="2"/>
      <c r="F375" s="2"/>
      <c r="G375" s="2"/>
      <c r="H375" s="2882"/>
      <c r="I375" s="2882"/>
      <c r="J375" s="2882"/>
      <c r="K375" s="2882"/>
    </row>
    <row r="376" spans="3:11" x14ac:dyDescent="0.25">
      <c r="C376" s="175"/>
      <c r="D376" s="173"/>
      <c r="E376" s="173"/>
      <c r="F376" s="547"/>
      <c r="G376" s="547"/>
      <c r="H376" s="547"/>
      <c r="I376" s="547"/>
      <c r="J376" s="547"/>
      <c r="K376" s="547"/>
    </row>
    <row r="377" spans="3:11" x14ac:dyDescent="0.25">
      <c r="C377" s="175"/>
      <c r="D377" s="173"/>
      <c r="E377" s="173"/>
      <c r="F377" s="547"/>
      <c r="G377" s="547"/>
      <c r="H377" s="547"/>
      <c r="I377" s="547"/>
      <c r="J377" s="547"/>
      <c r="K377" s="547"/>
    </row>
    <row r="378" spans="3:11" x14ac:dyDescent="0.25">
      <c r="C378" s="175"/>
      <c r="D378" s="173"/>
      <c r="E378" s="173"/>
      <c r="F378" s="547"/>
      <c r="G378" s="547"/>
      <c r="H378" s="547"/>
      <c r="I378" s="547"/>
      <c r="J378" s="547"/>
      <c r="K378" s="547"/>
    </row>
    <row r="379" spans="3:11" x14ac:dyDescent="0.25">
      <c r="C379" s="175"/>
      <c r="D379" s="173"/>
      <c r="E379" s="173"/>
      <c r="F379" s="547"/>
      <c r="G379" s="547"/>
      <c r="H379" s="547"/>
      <c r="I379" s="547"/>
      <c r="J379" s="547"/>
      <c r="K379" s="547"/>
    </row>
    <row r="380" spans="3:11" x14ac:dyDescent="0.25">
      <c r="C380" s="175"/>
      <c r="D380" s="173"/>
      <c r="E380" s="173"/>
      <c r="F380" s="547"/>
      <c r="G380" s="547"/>
      <c r="H380" s="547"/>
      <c r="I380" s="547"/>
      <c r="J380" s="547"/>
      <c r="K380" s="547"/>
    </row>
    <row r="381" spans="3:11" x14ac:dyDescent="0.25">
      <c r="C381" s="175"/>
      <c r="D381" s="173"/>
      <c r="E381" s="173"/>
      <c r="F381" s="547"/>
      <c r="G381" s="547"/>
      <c r="H381" s="547"/>
      <c r="I381" s="547"/>
      <c r="J381" s="547"/>
      <c r="K381" s="547"/>
    </row>
    <row r="382" spans="3:11" x14ac:dyDescent="0.25">
      <c r="C382" s="175"/>
      <c r="D382" s="548"/>
      <c r="E382" s="173"/>
      <c r="F382" s="547"/>
      <c r="G382" s="547"/>
      <c r="H382" s="547"/>
      <c r="I382" s="547"/>
      <c r="J382" s="547"/>
      <c r="K382" s="547"/>
    </row>
    <row r="383" spans="3:11" x14ac:dyDescent="0.25">
      <c r="C383" s="175"/>
      <c r="D383" s="549"/>
      <c r="E383" s="173"/>
      <c r="F383" s="547"/>
      <c r="G383" s="547"/>
      <c r="H383" s="547"/>
      <c r="I383" s="547"/>
      <c r="J383" s="547"/>
      <c r="K383" s="547"/>
    </row>
    <row r="384" spans="3:11" x14ac:dyDescent="0.25">
      <c r="C384" s="175"/>
      <c r="D384" s="549"/>
      <c r="E384" s="173"/>
      <c r="F384" s="547"/>
      <c r="G384" s="547"/>
      <c r="H384" s="547"/>
      <c r="I384" s="547"/>
      <c r="J384" s="547"/>
      <c r="K384" s="547"/>
    </row>
    <row r="385" spans="2:16" x14ac:dyDescent="0.25">
      <c r="C385" s="175"/>
      <c r="D385" s="173"/>
      <c r="E385" s="173"/>
      <c r="F385" s="547"/>
      <c r="G385" s="547"/>
      <c r="H385" s="547"/>
      <c r="I385" s="547"/>
      <c r="J385" s="547"/>
      <c r="K385" s="547"/>
    </row>
    <row r="386" spans="2:16" x14ac:dyDescent="0.25">
      <c r="C386" s="175"/>
      <c r="D386" s="173"/>
      <c r="E386" s="173"/>
      <c r="F386" s="547"/>
      <c r="G386" s="547"/>
      <c r="H386" s="547"/>
      <c r="I386" s="547"/>
      <c r="J386" s="547"/>
      <c r="K386" s="547"/>
    </row>
    <row r="387" spans="2:16" x14ac:dyDescent="0.25">
      <c r="C387" s="175"/>
      <c r="D387" s="173"/>
      <c r="E387" s="173"/>
      <c r="F387" s="547"/>
      <c r="G387" s="547"/>
      <c r="H387" s="547"/>
      <c r="I387" s="547"/>
      <c r="J387" s="547"/>
      <c r="K387" s="547"/>
    </row>
    <row r="388" spans="2:16" x14ac:dyDescent="0.25">
      <c r="B388" s="6" t="s">
        <v>160</v>
      </c>
      <c r="C388" s="550" t="s">
        <v>773</v>
      </c>
      <c r="D388" s="173"/>
      <c r="E388" s="173"/>
      <c r="F388" s="551"/>
      <c r="G388" s="551"/>
      <c r="H388" s="551"/>
      <c r="I388" s="551"/>
      <c r="J388" s="2882"/>
      <c r="K388" s="2882"/>
    </row>
    <row r="389" spans="2:16" x14ac:dyDescent="0.25">
      <c r="C389" s="552"/>
      <c r="D389" s="173"/>
      <c r="E389" s="173"/>
      <c r="F389" s="547"/>
      <c r="G389" s="547"/>
      <c r="H389" s="547"/>
      <c r="I389" s="547"/>
      <c r="J389" s="547"/>
      <c r="K389" s="547"/>
    </row>
    <row r="390" spans="2:16" ht="30" customHeight="1" x14ac:dyDescent="0.25">
      <c r="C390" s="2883"/>
      <c r="D390" s="2884"/>
      <c r="E390" s="2885"/>
      <c r="F390" s="2886" t="s">
        <v>764</v>
      </c>
      <c r="G390" s="2886"/>
      <c r="H390" s="2886" t="s">
        <v>765</v>
      </c>
      <c r="I390" s="2886"/>
      <c r="J390" s="2887" t="s">
        <v>766</v>
      </c>
      <c r="K390" s="2887"/>
    </row>
    <row r="391" spans="2:16" x14ac:dyDescent="0.25">
      <c r="C391" s="2880" t="s">
        <v>32</v>
      </c>
      <c r="D391" s="2880"/>
      <c r="E391" s="2880"/>
      <c r="F391" s="2881">
        <v>0</v>
      </c>
      <c r="G391" s="2881"/>
      <c r="H391" s="2881">
        <v>12000</v>
      </c>
      <c r="I391" s="2881"/>
      <c r="J391" s="2881">
        <f>+H391-F391</f>
        <v>12000</v>
      </c>
      <c r="K391" s="2881"/>
    </row>
    <row r="392" spans="2:16" x14ac:dyDescent="0.25">
      <c r="C392" s="2880" t="s">
        <v>774</v>
      </c>
      <c r="D392" s="2880"/>
      <c r="E392" s="2880"/>
      <c r="F392" s="2881">
        <v>0</v>
      </c>
      <c r="G392" s="2881"/>
      <c r="H392" s="2881">
        <f>+H391/(120)</f>
        <v>100</v>
      </c>
      <c r="I392" s="2881"/>
      <c r="J392" s="2881">
        <f>+H392</f>
        <v>100</v>
      </c>
      <c r="K392" s="2881"/>
    </row>
    <row r="393" spans="2:16" x14ac:dyDescent="0.25">
      <c r="C393" s="2880" t="s">
        <v>769</v>
      </c>
      <c r="D393" s="2880"/>
      <c r="E393" s="2880"/>
      <c r="F393" s="2881">
        <v>0</v>
      </c>
      <c r="G393" s="2881"/>
      <c r="H393" s="2881">
        <f>+H392*12</f>
        <v>1200</v>
      </c>
      <c r="I393" s="2881"/>
      <c r="J393" s="2881">
        <f>+H393</f>
        <v>1200</v>
      </c>
      <c r="K393" s="2881"/>
    </row>
    <row r="396" spans="2:16" x14ac:dyDescent="0.25">
      <c r="B396" s="6" t="s">
        <v>389</v>
      </c>
      <c r="C396" s="21" t="s">
        <v>775</v>
      </c>
    </row>
    <row r="397" spans="2:16" x14ac:dyDescent="0.25">
      <c r="C397" s="28" t="s">
        <v>776</v>
      </c>
    </row>
    <row r="398" spans="2:16" x14ac:dyDescent="0.25">
      <c r="C398" s="2406" t="s">
        <v>777</v>
      </c>
      <c r="D398" s="2406"/>
      <c r="E398" s="2406"/>
      <c r="F398" s="2406"/>
      <c r="G398" s="2406"/>
      <c r="H398" s="2406"/>
      <c r="I398" s="2406"/>
      <c r="J398" s="2406"/>
      <c r="K398" s="2406"/>
      <c r="L398" s="2406"/>
      <c r="M398" s="2406"/>
      <c r="N398" s="2406"/>
      <c r="O398" s="2406"/>
      <c r="P398" s="2406"/>
    </row>
    <row r="399" spans="2:16" x14ac:dyDescent="0.25">
      <c r="C399" s="2406"/>
      <c r="D399" s="2406"/>
      <c r="E399" s="2406"/>
      <c r="F399" s="2406"/>
      <c r="G399" s="2406"/>
      <c r="H399" s="2406"/>
      <c r="I399" s="2406"/>
      <c r="J399" s="2406"/>
      <c r="K399" s="2406"/>
      <c r="L399" s="2406"/>
      <c r="M399" s="2406"/>
      <c r="N399" s="2406"/>
      <c r="O399" s="2406"/>
      <c r="P399" s="2406"/>
    </row>
    <row r="400" spans="2:16" ht="23.25" x14ac:dyDescent="0.25">
      <c r="D400" s="553" t="s">
        <v>778</v>
      </c>
      <c r="E400" s="203" t="s">
        <v>779</v>
      </c>
      <c r="J400" s="554" t="s">
        <v>780</v>
      </c>
      <c r="K400" s="554"/>
      <c r="L400" s="554" t="s">
        <v>18</v>
      </c>
      <c r="M400" s="2463">
        <v>2040</v>
      </c>
      <c r="N400" s="2463"/>
    </row>
    <row r="401" spans="2:16" ht="23.25" x14ac:dyDescent="0.25">
      <c r="D401" s="553" t="s">
        <v>778</v>
      </c>
      <c r="E401" s="203" t="s">
        <v>781</v>
      </c>
      <c r="M401" s="2463">
        <v>2250</v>
      </c>
      <c r="N401" s="2463"/>
    </row>
    <row r="402" spans="2:16" ht="23.25" x14ac:dyDescent="0.25">
      <c r="D402" s="553" t="s">
        <v>778</v>
      </c>
      <c r="E402" s="203" t="s">
        <v>782</v>
      </c>
      <c r="M402" s="2878">
        <v>2880</v>
      </c>
      <c r="N402" s="2879"/>
      <c r="O402" s="555" t="s">
        <v>783</v>
      </c>
    </row>
    <row r="406" spans="2:16" s="4" customFormat="1" x14ac:dyDescent="0.25">
      <c r="B406" s="189"/>
      <c r="C406" s="12"/>
      <c r="D406" s="12"/>
      <c r="E406" s="12"/>
      <c r="F406" s="12"/>
      <c r="G406" s="51"/>
      <c r="H406" s="51"/>
      <c r="M406" s="18"/>
      <c r="N406" s="18"/>
      <c r="O406" s="18"/>
      <c r="P406" s="18"/>
    </row>
  </sheetData>
  <sheetProtection algorithmName="SHA-512" hashValue="RrAXduUj3ftKNLdtYKDidY6RLIyYPNSwykQdvn38G9iiPFz4fSA8EmEVXQik9XAqnPikRwjlNyOiVJW/8licuQ==" saltValue="HURbvHlj8cehdf/sZ9KS/A==" spinCount="100000" sheet="1" objects="1" scenarios="1"/>
  <mergeCells count="530">
    <mergeCell ref="A2:Q2"/>
    <mergeCell ref="A3:Q3"/>
    <mergeCell ref="G7:H7"/>
    <mergeCell ref="M7:N7"/>
    <mergeCell ref="O7:P7"/>
    <mergeCell ref="C8:L9"/>
    <mergeCell ref="M8:N8"/>
    <mergeCell ref="O8:P8"/>
    <mergeCell ref="M9:N9"/>
    <mergeCell ref="O9:P9"/>
    <mergeCell ref="O12:P12"/>
    <mergeCell ref="C13:F13"/>
    <mergeCell ref="G13:H13"/>
    <mergeCell ref="I13:L13"/>
    <mergeCell ref="M13:N13"/>
    <mergeCell ref="O13:P13"/>
    <mergeCell ref="C10:F10"/>
    <mergeCell ref="G10:H10"/>
    <mergeCell ref="I10:L10"/>
    <mergeCell ref="M10:N10"/>
    <mergeCell ref="O10:P10"/>
    <mergeCell ref="M11:N11"/>
    <mergeCell ref="O11:P11"/>
    <mergeCell ref="M14:N14"/>
    <mergeCell ref="O14:P14"/>
    <mergeCell ref="M15:N15"/>
    <mergeCell ref="O15:P15"/>
    <mergeCell ref="O16:P16"/>
    <mergeCell ref="C17:F17"/>
    <mergeCell ref="G17:H17"/>
    <mergeCell ref="I17:L17"/>
    <mergeCell ref="M17:N17"/>
    <mergeCell ref="O17:P17"/>
    <mergeCell ref="M18:N18"/>
    <mergeCell ref="O18:P18"/>
    <mergeCell ref="M19:N19"/>
    <mergeCell ref="O19:P19"/>
    <mergeCell ref="O20:P20"/>
    <mergeCell ref="C21:F21"/>
    <mergeCell ref="G21:H21"/>
    <mergeCell ref="I21:L21"/>
    <mergeCell ref="M21:N21"/>
    <mergeCell ref="O21:P21"/>
    <mergeCell ref="M26:N26"/>
    <mergeCell ref="O26:P26"/>
    <mergeCell ref="O27:P27"/>
    <mergeCell ref="C28:F28"/>
    <mergeCell ref="G28:H28"/>
    <mergeCell ref="I28:L28"/>
    <mergeCell ref="M28:N28"/>
    <mergeCell ref="O28:P28"/>
    <mergeCell ref="M22:N22"/>
    <mergeCell ref="O22:P22"/>
    <mergeCell ref="M23:N23"/>
    <mergeCell ref="O23:P23"/>
    <mergeCell ref="O24:P24"/>
    <mergeCell ref="C25:F25"/>
    <mergeCell ref="G25:H25"/>
    <mergeCell ref="I25:L25"/>
    <mergeCell ref="M25:N25"/>
    <mergeCell ref="O25:P25"/>
    <mergeCell ref="M29:N29"/>
    <mergeCell ref="O29:P29"/>
    <mergeCell ref="O30:P30"/>
    <mergeCell ref="O31:P31"/>
    <mergeCell ref="C32:F32"/>
    <mergeCell ref="G32:H32"/>
    <mergeCell ref="I32:L32"/>
    <mergeCell ref="M32:N32"/>
    <mergeCell ref="O32:P32"/>
    <mergeCell ref="O36:P36"/>
    <mergeCell ref="C37:F37"/>
    <mergeCell ref="G37:H37"/>
    <mergeCell ref="I37:L37"/>
    <mergeCell ref="M37:N37"/>
    <mergeCell ref="O37:P37"/>
    <mergeCell ref="M33:N33"/>
    <mergeCell ref="O33:P33"/>
    <mergeCell ref="M34:N34"/>
    <mergeCell ref="O34:P34"/>
    <mergeCell ref="M35:N35"/>
    <mergeCell ref="O35:P35"/>
    <mergeCell ref="M38:N38"/>
    <mergeCell ref="O38:P38"/>
    <mergeCell ref="M39:N39"/>
    <mergeCell ref="O39:P39"/>
    <mergeCell ref="O40:P40"/>
    <mergeCell ref="C41:F41"/>
    <mergeCell ref="G41:H41"/>
    <mergeCell ref="I41:L41"/>
    <mergeCell ref="M41:N41"/>
    <mergeCell ref="O41:P41"/>
    <mergeCell ref="C42:L43"/>
    <mergeCell ref="M42:N42"/>
    <mergeCell ref="O42:P42"/>
    <mergeCell ref="O43:P43"/>
    <mergeCell ref="C44:F44"/>
    <mergeCell ref="G44:H44"/>
    <mergeCell ref="I44:L44"/>
    <mergeCell ref="M44:N44"/>
    <mergeCell ref="O44:P44"/>
    <mergeCell ref="C45:L46"/>
    <mergeCell ref="M45:N45"/>
    <mergeCell ref="O45:P45"/>
    <mergeCell ref="O46:P46"/>
    <mergeCell ref="C47:F47"/>
    <mergeCell ref="G47:H47"/>
    <mergeCell ref="I47:L47"/>
    <mergeCell ref="M47:N47"/>
    <mergeCell ref="O47:P47"/>
    <mergeCell ref="C53:F53"/>
    <mergeCell ref="G53:H53"/>
    <mergeCell ref="I53:L53"/>
    <mergeCell ref="M53:N53"/>
    <mergeCell ref="O53:P53"/>
    <mergeCell ref="M54:N54"/>
    <mergeCell ref="O54:P54"/>
    <mergeCell ref="M48:N48"/>
    <mergeCell ref="O48:P48"/>
    <mergeCell ref="O49:P49"/>
    <mergeCell ref="C50:F50"/>
    <mergeCell ref="G50:H50"/>
    <mergeCell ref="I50:L50"/>
    <mergeCell ref="O50:P50"/>
    <mergeCell ref="O59:P59"/>
    <mergeCell ref="O60:P60"/>
    <mergeCell ref="B64:E64"/>
    <mergeCell ref="F64:G64"/>
    <mergeCell ref="H64:I64"/>
    <mergeCell ref="J64:K64"/>
    <mergeCell ref="L64:M64"/>
    <mergeCell ref="N64:O64"/>
    <mergeCell ref="M55:N55"/>
    <mergeCell ref="O55:P55"/>
    <mergeCell ref="M56:N56"/>
    <mergeCell ref="O56:P56"/>
    <mergeCell ref="O57:P57"/>
    <mergeCell ref="O58:P58"/>
    <mergeCell ref="B66:E66"/>
    <mergeCell ref="F66:G66"/>
    <mergeCell ref="H66:I66"/>
    <mergeCell ref="J66:K66"/>
    <mergeCell ref="L66:M66"/>
    <mergeCell ref="N66:O66"/>
    <mergeCell ref="B65:E65"/>
    <mergeCell ref="F65:G65"/>
    <mergeCell ref="H65:I65"/>
    <mergeCell ref="J65:K65"/>
    <mergeCell ref="L65:M65"/>
    <mergeCell ref="N65:O65"/>
    <mergeCell ref="B68:E68"/>
    <mergeCell ref="F68:G68"/>
    <mergeCell ref="H68:I68"/>
    <mergeCell ref="J68:K68"/>
    <mergeCell ref="L68:M68"/>
    <mergeCell ref="N68:O68"/>
    <mergeCell ref="B67:E67"/>
    <mergeCell ref="F67:G67"/>
    <mergeCell ref="H67:I67"/>
    <mergeCell ref="J67:K67"/>
    <mergeCell ref="L67:M67"/>
    <mergeCell ref="N67:O67"/>
    <mergeCell ref="M109:N109"/>
    <mergeCell ref="O109:P109"/>
    <mergeCell ref="C110:F110"/>
    <mergeCell ref="G110:H110"/>
    <mergeCell ref="I110:L110"/>
    <mergeCell ref="C111:L111"/>
    <mergeCell ref="A102:Q102"/>
    <mergeCell ref="A103:Q103"/>
    <mergeCell ref="M106:N107"/>
    <mergeCell ref="O106:P107"/>
    <mergeCell ref="M108:N108"/>
    <mergeCell ref="O108:P108"/>
    <mergeCell ref="M114:N114"/>
    <mergeCell ref="O114:P114"/>
    <mergeCell ref="C115:F115"/>
    <mergeCell ref="G115:H115"/>
    <mergeCell ref="I115:L115"/>
    <mergeCell ref="M115:N115"/>
    <mergeCell ref="O115:P115"/>
    <mergeCell ref="C112:F112"/>
    <mergeCell ref="G112:H112"/>
    <mergeCell ref="I112:L112"/>
    <mergeCell ref="M112:N112"/>
    <mergeCell ref="O112:P112"/>
    <mergeCell ref="M113:N113"/>
    <mergeCell ref="O113:P113"/>
    <mergeCell ref="C121:F121"/>
    <mergeCell ref="G121:H121"/>
    <mergeCell ref="I121:L121"/>
    <mergeCell ref="M121:N121"/>
    <mergeCell ref="O121:P121"/>
    <mergeCell ref="M116:N116"/>
    <mergeCell ref="O116:P116"/>
    <mergeCell ref="M117:N117"/>
    <mergeCell ref="O117:P117"/>
    <mergeCell ref="C118:F118"/>
    <mergeCell ref="G118:H118"/>
    <mergeCell ref="I118:L118"/>
    <mergeCell ref="M118:N118"/>
    <mergeCell ref="O118:P118"/>
    <mergeCell ref="M122:N122"/>
    <mergeCell ref="O122:P122"/>
    <mergeCell ref="M123:N123"/>
    <mergeCell ref="O123:P123"/>
    <mergeCell ref="M124:N124"/>
    <mergeCell ref="O124:P124"/>
    <mergeCell ref="M119:N119"/>
    <mergeCell ref="O119:P119"/>
    <mergeCell ref="M120:N120"/>
    <mergeCell ref="O120:P120"/>
    <mergeCell ref="M133:N133"/>
    <mergeCell ref="O133:P133"/>
    <mergeCell ref="C134:F134"/>
    <mergeCell ref="G134:H134"/>
    <mergeCell ref="I134:L134"/>
    <mergeCell ref="M134:N134"/>
    <mergeCell ref="O134:P134"/>
    <mergeCell ref="M128:N129"/>
    <mergeCell ref="O128:P129"/>
    <mergeCell ref="M130:N130"/>
    <mergeCell ref="O130:P130"/>
    <mergeCell ref="M131:N131"/>
    <mergeCell ref="O132:P132"/>
    <mergeCell ref="M135:N135"/>
    <mergeCell ref="O135:P135"/>
    <mergeCell ref="M136:N136"/>
    <mergeCell ref="O136:P136"/>
    <mergeCell ref="C137:F137"/>
    <mergeCell ref="G137:H137"/>
    <mergeCell ref="I137:L137"/>
    <mergeCell ref="M137:N137"/>
    <mergeCell ref="O137:P137"/>
    <mergeCell ref="M145:N145"/>
    <mergeCell ref="O145:P145"/>
    <mergeCell ref="O146:P146"/>
    <mergeCell ref="C147:F147"/>
    <mergeCell ref="G147:H147"/>
    <mergeCell ref="I147:L147"/>
    <mergeCell ref="M147:N147"/>
    <mergeCell ref="O147:P147"/>
    <mergeCell ref="M138:N138"/>
    <mergeCell ref="O138:P138"/>
    <mergeCell ref="M139:N139"/>
    <mergeCell ref="O139:P139"/>
    <mergeCell ref="M143:N144"/>
    <mergeCell ref="O143:P144"/>
    <mergeCell ref="M148:N148"/>
    <mergeCell ref="O148:P148"/>
    <mergeCell ref="M149:N149"/>
    <mergeCell ref="O149:P149"/>
    <mergeCell ref="C150:F150"/>
    <mergeCell ref="G150:H150"/>
    <mergeCell ref="I150:L150"/>
    <mergeCell ref="M150:N150"/>
    <mergeCell ref="O150:P150"/>
    <mergeCell ref="A158:Q158"/>
    <mergeCell ref="A159:Q159"/>
    <mergeCell ref="H178:I178"/>
    <mergeCell ref="D181:G181"/>
    <mergeCell ref="H181:I181"/>
    <mergeCell ref="N181:O181"/>
    <mergeCell ref="M151:N151"/>
    <mergeCell ref="O151:P151"/>
    <mergeCell ref="M152:N152"/>
    <mergeCell ref="O152:P152"/>
    <mergeCell ref="M153:N153"/>
    <mergeCell ref="O153:P153"/>
    <mergeCell ref="N186:O186"/>
    <mergeCell ref="D190:E190"/>
    <mergeCell ref="F190:G190"/>
    <mergeCell ref="D195:G195"/>
    <mergeCell ref="H195:I195"/>
    <mergeCell ref="J195:L195"/>
    <mergeCell ref="D182:G182"/>
    <mergeCell ref="H182:I182"/>
    <mergeCell ref="D183:G183"/>
    <mergeCell ref="H183:I183"/>
    <mergeCell ref="H184:I184"/>
    <mergeCell ref="L186:M186"/>
    <mergeCell ref="D199:G199"/>
    <mergeCell ref="H199:I199"/>
    <mergeCell ref="J199:L199"/>
    <mergeCell ref="M199:N199"/>
    <mergeCell ref="O199:P199"/>
    <mergeCell ref="M200:N200"/>
    <mergeCell ref="O200:P200"/>
    <mergeCell ref="M196:N196"/>
    <mergeCell ref="O196:P196"/>
    <mergeCell ref="M197:N197"/>
    <mergeCell ref="O197:P197"/>
    <mergeCell ref="M198:N198"/>
    <mergeCell ref="O198:P198"/>
    <mergeCell ref="M203:N203"/>
    <mergeCell ref="O203:P203"/>
    <mergeCell ref="M204:N204"/>
    <mergeCell ref="O204:P204"/>
    <mergeCell ref="A208:Q208"/>
    <mergeCell ref="A209:Q209"/>
    <mergeCell ref="M201:N201"/>
    <mergeCell ref="O201:P201"/>
    <mergeCell ref="D202:G202"/>
    <mergeCell ref="H202:I202"/>
    <mergeCell ref="J202:L202"/>
    <mergeCell ref="M202:N202"/>
    <mergeCell ref="O202:P202"/>
    <mergeCell ref="M215:N215"/>
    <mergeCell ref="O215:P215"/>
    <mergeCell ref="M216:N216"/>
    <mergeCell ref="O216:P216"/>
    <mergeCell ref="M217:N217"/>
    <mergeCell ref="O217:P217"/>
    <mergeCell ref="M212:N212"/>
    <mergeCell ref="O212:P212"/>
    <mergeCell ref="M213:N213"/>
    <mergeCell ref="O213:P213"/>
    <mergeCell ref="M214:N214"/>
    <mergeCell ref="O214:P214"/>
    <mergeCell ref="C221:F221"/>
    <mergeCell ref="G221:H221"/>
    <mergeCell ref="I221:L221"/>
    <mergeCell ref="M222:N222"/>
    <mergeCell ref="C218:F218"/>
    <mergeCell ref="G218:H218"/>
    <mergeCell ref="I218:L218"/>
    <mergeCell ref="M218:N218"/>
    <mergeCell ref="O218:P218"/>
    <mergeCell ref="M219:N219"/>
    <mergeCell ref="O219:P219"/>
    <mergeCell ref="O223:P223"/>
    <mergeCell ref="I229:J230"/>
    <mergeCell ref="L229:M230"/>
    <mergeCell ref="I231:J231"/>
    <mergeCell ref="L231:M231"/>
    <mergeCell ref="I232:J232"/>
    <mergeCell ref="L232:M232"/>
    <mergeCell ref="M220:N220"/>
    <mergeCell ref="O220:P220"/>
    <mergeCell ref="I236:J236"/>
    <mergeCell ref="L236:M236"/>
    <mergeCell ref="I237:J237"/>
    <mergeCell ref="L237:M237"/>
    <mergeCell ref="O237:P238"/>
    <mergeCell ref="I240:J240"/>
    <mergeCell ref="I233:J233"/>
    <mergeCell ref="L233:M233"/>
    <mergeCell ref="I234:J234"/>
    <mergeCell ref="L234:M234"/>
    <mergeCell ref="I235:J235"/>
    <mergeCell ref="L235:M235"/>
    <mergeCell ref="I248:J248"/>
    <mergeCell ref="I250:J250"/>
    <mergeCell ref="A258:Q258"/>
    <mergeCell ref="A259:Q259"/>
    <mergeCell ref="D267:F267"/>
    <mergeCell ref="K269:L270"/>
    <mergeCell ref="M269:N270"/>
    <mergeCell ref="O269:P270"/>
    <mergeCell ref="I241:J241"/>
    <mergeCell ref="I243:J243"/>
    <mergeCell ref="I244:J244"/>
    <mergeCell ref="I245:J245"/>
    <mergeCell ref="I246:J246"/>
    <mergeCell ref="I247:J247"/>
    <mergeCell ref="K276:L276"/>
    <mergeCell ref="M276:N276"/>
    <mergeCell ref="O276:P276"/>
    <mergeCell ref="D284:G284"/>
    <mergeCell ref="H284:I284"/>
    <mergeCell ref="J284:K284"/>
    <mergeCell ref="C271:F272"/>
    <mergeCell ref="G271:J272"/>
    <mergeCell ref="K271:L272"/>
    <mergeCell ref="M271:N272"/>
    <mergeCell ref="O271:P272"/>
    <mergeCell ref="C273:F274"/>
    <mergeCell ref="G273:J274"/>
    <mergeCell ref="K273:L274"/>
    <mergeCell ref="M273:N274"/>
    <mergeCell ref="O273:P274"/>
    <mergeCell ref="H293:I293"/>
    <mergeCell ref="J293:K293"/>
    <mergeCell ref="D294:G294"/>
    <mergeCell ref="H294:I294"/>
    <mergeCell ref="J294:K294"/>
    <mergeCell ref="O294:P294"/>
    <mergeCell ref="D285:G285"/>
    <mergeCell ref="H285:I285"/>
    <mergeCell ref="J285:K285"/>
    <mergeCell ref="D286:G286"/>
    <mergeCell ref="H286:I286"/>
    <mergeCell ref="J286:K286"/>
    <mergeCell ref="O298:P298"/>
    <mergeCell ref="H301:I301"/>
    <mergeCell ref="J301:K301"/>
    <mergeCell ref="D302:G302"/>
    <mergeCell ref="H302:I302"/>
    <mergeCell ref="J302:K302"/>
    <mergeCell ref="O302:P302"/>
    <mergeCell ref="D295:G295"/>
    <mergeCell ref="H295:I295"/>
    <mergeCell ref="J295:K295"/>
    <mergeCell ref="O295:P295"/>
    <mergeCell ref="O296:P296"/>
    <mergeCell ref="O297:P297"/>
    <mergeCell ref="O306:P306"/>
    <mergeCell ref="D312:G312"/>
    <mergeCell ref="H312:I312"/>
    <mergeCell ref="J312:K312"/>
    <mergeCell ref="D313:G313"/>
    <mergeCell ref="H313:I313"/>
    <mergeCell ref="J313:K313"/>
    <mergeCell ref="D303:G303"/>
    <mergeCell ref="H303:I303"/>
    <mergeCell ref="J303:K303"/>
    <mergeCell ref="O303:P303"/>
    <mergeCell ref="O304:P304"/>
    <mergeCell ref="O305:P305"/>
    <mergeCell ref="D327:G327"/>
    <mergeCell ref="H327:I327"/>
    <mergeCell ref="J327:K327"/>
    <mergeCell ref="O327:P327"/>
    <mergeCell ref="O328:P328"/>
    <mergeCell ref="O329:P329"/>
    <mergeCell ref="D319:O322"/>
    <mergeCell ref="H325:I325"/>
    <mergeCell ref="J325:K325"/>
    <mergeCell ref="D326:G326"/>
    <mergeCell ref="H326:I326"/>
    <mergeCell ref="J326:K326"/>
    <mergeCell ref="O326:P326"/>
    <mergeCell ref="D337:G337"/>
    <mergeCell ref="H337:I337"/>
    <mergeCell ref="J337:K337"/>
    <mergeCell ref="O337:P337"/>
    <mergeCell ref="O338:P338"/>
    <mergeCell ref="O339:P339"/>
    <mergeCell ref="D335:G335"/>
    <mergeCell ref="H335:I335"/>
    <mergeCell ref="J335:K335"/>
    <mergeCell ref="O335:P335"/>
    <mergeCell ref="D336:G336"/>
    <mergeCell ref="H336:I336"/>
    <mergeCell ref="J336:K336"/>
    <mergeCell ref="O336:P336"/>
    <mergeCell ref="D345:G345"/>
    <mergeCell ref="H345:I345"/>
    <mergeCell ref="J345:K345"/>
    <mergeCell ref="O345:P345"/>
    <mergeCell ref="O346:P346"/>
    <mergeCell ref="O347:P347"/>
    <mergeCell ref="O340:P340"/>
    <mergeCell ref="H343:I343"/>
    <mergeCell ref="J343:K343"/>
    <mergeCell ref="D344:G344"/>
    <mergeCell ref="H344:I344"/>
    <mergeCell ref="J344:K344"/>
    <mergeCell ref="O344:P344"/>
    <mergeCell ref="O354:P354"/>
    <mergeCell ref="O355:P355"/>
    <mergeCell ref="O356:P356"/>
    <mergeCell ref="O348:P348"/>
    <mergeCell ref="O349:P349"/>
    <mergeCell ref="H352:I352"/>
    <mergeCell ref="J352:K352"/>
    <mergeCell ref="D353:G353"/>
    <mergeCell ref="H353:I353"/>
    <mergeCell ref="J353:K353"/>
    <mergeCell ref="O353:P353"/>
    <mergeCell ref="C365:E365"/>
    <mergeCell ref="F365:G365"/>
    <mergeCell ref="H365:I365"/>
    <mergeCell ref="J365:K365"/>
    <mergeCell ref="C366:E366"/>
    <mergeCell ref="F366:G366"/>
    <mergeCell ref="H366:I366"/>
    <mergeCell ref="J366:K366"/>
    <mergeCell ref="D354:G354"/>
    <mergeCell ref="H354:I354"/>
    <mergeCell ref="J354:K354"/>
    <mergeCell ref="C369:E369"/>
    <mergeCell ref="F369:G369"/>
    <mergeCell ref="H369:I369"/>
    <mergeCell ref="J369:K369"/>
    <mergeCell ref="F370:G370"/>
    <mergeCell ref="H370:I370"/>
    <mergeCell ref="J370:K370"/>
    <mergeCell ref="C367:E367"/>
    <mergeCell ref="F367:G367"/>
    <mergeCell ref="H367:I367"/>
    <mergeCell ref="J367:K367"/>
    <mergeCell ref="C368:E368"/>
    <mergeCell ref="F368:G368"/>
    <mergeCell ref="H368:I368"/>
    <mergeCell ref="J368:K368"/>
    <mergeCell ref="F373:G373"/>
    <mergeCell ref="H373:I373"/>
    <mergeCell ref="J373:K373"/>
    <mergeCell ref="H374:I374"/>
    <mergeCell ref="J374:K374"/>
    <mergeCell ref="H375:I375"/>
    <mergeCell ref="J375:K375"/>
    <mergeCell ref="F371:G371"/>
    <mergeCell ref="H371:I371"/>
    <mergeCell ref="J371:K371"/>
    <mergeCell ref="F372:G372"/>
    <mergeCell ref="H372:I372"/>
    <mergeCell ref="J372:K372"/>
    <mergeCell ref="J388:K388"/>
    <mergeCell ref="C390:E390"/>
    <mergeCell ref="F390:G390"/>
    <mergeCell ref="H390:I390"/>
    <mergeCell ref="J390:K390"/>
    <mergeCell ref="C391:E391"/>
    <mergeCell ref="F391:G391"/>
    <mergeCell ref="H391:I391"/>
    <mergeCell ref="J391:K391"/>
    <mergeCell ref="C398:P399"/>
    <mergeCell ref="M400:N400"/>
    <mergeCell ref="M401:N401"/>
    <mergeCell ref="M402:N402"/>
    <mergeCell ref="C392:E392"/>
    <mergeCell ref="F392:G392"/>
    <mergeCell ref="H392:I392"/>
    <mergeCell ref="J392:K392"/>
    <mergeCell ref="C393:E393"/>
    <mergeCell ref="F393:G393"/>
    <mergeCell ref="H393:I393"/>
    <mergeCell ref="J393:K393"/>
  </mergeCells>
  <printOptions horizontalCentered="1"/>
  <pageMargins left="0.70866141732283472" right="1.0416666666666667" top="0.78740157480314965" bottom="0.78740157480314965"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 10: Bienes intangibles e Inversiones</oddHeader>
    <oddFooter xml:space="preserve">&amp;C&amp;"Garamond,Normal"
</oddFooter>
  </headerFooter>
  <rowBreaks count="3" manualBreakCount="3">
    <brk id="100" max="16" man="1"/>
    <brk id="156" max="16383" man="1"/>
    <brk id="359" max="16383" man="1"/>
  </row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I28"/>
  <sheetViews>
    <sheetView showGridLines="0" view="pageBreakPreview" zoomScale="60" zoomScaleNormal="100" workbookViewId="0"/>
  </sheetViews>
  <sheetFormatPr baseColWidth="10" defaultColWidth="11.42578125" defaultRowHeight="15.75" x14ac:dyDescent="0.25"/>
  <cols>
    <col min="1" max="1" width="2.7109375" style="557" customWidth="1"/>
    <col min="2" max="2" width="36.140625" style="557" bestFit="1" customWidth="1"/>
    <col min="3" max="3" width="11.42578125" style="557" bestFit="1" customWidth="1"/>
    <col min="4" max="4" width="12.7109375" style="557" customWidth="1"/>
    <col min="5" max="5" width="4" style="557" customWidth="1"/>
    <col min="6" max="6" width="12.7109375" style="557" customWidth="1"/>
    <col min="7" max="7" width="4" style="557" customWidth="1"/>
    <col min="8" max="8" width="12.7109375" style="557" customWidth="1"/>
    <col min="9" max="9" width="4" style="557" customWidth="1"/>
  </cols>
  <sheetData>
    <row r="2" spans="2:9" s="557" customFormat="1" x14ac:dyDescent="0.25">
      <c r="B2" s="556" t="s">
        <v>784</v>
      </c>
    </row>
    <row r="3" spans="2:9" s="557" customFormat="1" ht="8.25" customHeight="1" x14ac:dyDescent="0.25"/>
    <row r="4" spans="2:9" s="562" customFormat="1" ht="32.25" thickBot="1" x14ac:dyDescent="0.3">
      <c r="B4" s="558"/>
      <c r="C4" s="559" t="s">
        <v>785</v>
      </c>
      <c r="D4" s="560" t="s">
        <v>709</v>
      </c>
      <c r="E4" s="561"/>
      <c r="F4" s="560" t="s">
        <v>710</v>
      </c>
      <c r="G4" s="561"/>
      <c r="H4" s="560" t="s">
        <v>711</v>
      </c>
      <c r="I4" s="561"/>
    </row>
    <row r="5" spans="2:9" s="557" customFormat="1" ht="16.5" thickTop="1" x14ac:dyDescent="0.25">
      <c r="B5" s="563" t="s">
        <v>786</v>
      </c>
      <c r="C5" s="388"/>
      <c r="D5" s="564"/>
      <c r="E5" s="422"/>
      <c r="F5" s="564"/>
      <c r="G5" s="422"/>
      <c r="H5" s="564"/>
      <c r="I5" s="422"/>
    </row>
    <row r="6" spans="2:9" s="557" customFormat="1" x14ac:dyDescent="0.25">
      <c r="B6" s="558" t="s">
        <v>787</v>
      </c>
      <c r="C6" s="423">
        <v>300000</v>
      </c>
      <c r="D6" s="565">
        <v>800000</v>
      </c>
      <c r="E6" s="427"/>
      <c r="F6" s="565">
        <v>550000</v>
      </c>
      <c r="G6" s="427"/>
      <c r="H6" s="565">
        <v>500000</v>
      </c>
      <c r="I6" s="427"/>
    </row>
    <row r="7" spans="2:9" s="557" customFormat="1" x14ac:dyDescent="0.25">
      <c r="B7" s="558" t="s">
        <v>788</v>
      </c>
      <c r="C7" s="423">
        <v>50000</v>
      </c>
      <c r="D7" s="565">
        <v>1300000</v>
      </c>
      <c r="E7" s="427"/>
      <c r="F7" s="565">
        <v>430000</v>
      </c>
      <c r="G7" s="427"/>
      <c r="H7" s="565">
        <v>110000</v>
      </c>
      <c r="I7" s="427"/>
    </row>
    <row r="8" spans="2:9" s="557" customFormat="1" x14ac:dyDescent="0.25">
      <c r="B8" s="558" t="s">
        <v>789</v>
      </c>
      <c r="C8" s="423">
        <v>100000</v>
      </c>
      <c r="D8" s="565">
        <v>0</v>
      </c>
      <c r="E8" s="427"/>
      <c r="F8" s="565">
        <v>750000</v>
      </c>
      <c r="G8" s="566" t="s">
        <v>790</v>
      </c>
      <c r="H8" s="565">
        <v>120000</v>
      </c>
      <c r="I8" s="566" t="s">
        <v>791</v>
      </c>
    </row>
    <row r="9" spans="2:9" s="557" customFormat="1" x14ac:dyDescent="0.25">
      <c r="B9" s="558" t="s">
        <v>792</v>
      </c>
      <c r="C9" s="423">
        <v>600000</v>
      </c>
      <c r="D9" s="565">
        <v>25200000</v>
      </c>
      <c r="E9" s="427"/>
      <c r="F9" s="565">
        <v>900000</v>
      </c>
      <c r="G9" s="427"/>
      <c r="H9" s="565">
        <v>84000</v>
      </c>
      <c r="I9" s="566" t="s">
        <v>793</v>
      </c>
    </row>
    <row r="10" spans="2:9" s="557" customFormat="1" x14ac:dyDescent="0.25">
      <c r="B10" s="558" t="s">
        <v>794</v>
      </c>
      <c r="C10" s="423">
        <v>0</v>
      </c>
      <c r="D10" s="565">
        <v>10000000</v>
      </c>
      <c r="E10" s="566" t="s">
        <v>795</v>
      </c>
      <c r="F10" s="565">
        <v>0</v>
      </c>
      <c r="G10" s="427"/>
      <c r="H10" s="565">
        <v>152000</v>
      </c>
      <c r="I10" s="566" t="s">
        <v>796</v>
      </c>
    </row>
    <row r="11" spans="2:9" s="557" customFormat="1" x14ac:dyDescent="0.25">
      <c r="B11" s="567" t="s">
        <v>797</v>
      </c>
      <c r="C11" s="568">
        <v>1050000</v>
      </c>
      <c r="D11" s="569">
        <v>37300000</v>
      </c>
      <c r="E11" s="570"/>
      <c r="F11" s="569">
        <v>2630000</v>
      </c>
      <c r="G11" s="570"/>
      <c r="H11" s="569">
        <v>966000</v>
      </c>
      <c r="I11" s="570"/>
    </row>
    <row r="12" spans="2:9" s="557" customFormat="1" x14ac:dyDescent="0.25">
      <c r="B12" s="558"/>
      <c r="C12" s="423"/>
      <c r="D12" s="565"/>
      <c r="E12" s="427"/>
      <c r="F12" s="565"/>
      <c r="G12" s="427"/>
      <c r="H12" s="565"/>
      <c r="I12" s="427"/>
    </row>
    <row r="13" spans="2:9" s="557" customFormat="1" x14ac:dyDescent="0.25">
      <c r="B13" s="558" t="s">
        <v>798</v>
      </c>
      <c r="C13" s="423">
        <v>250000</v>
      </c>
      <c r="D13" s="565">
        <v>5300000</v>
      </c>
      <c r="E13" s="427"/>
      <c r="F13" s="565">
        <v>330000</v>
      </c>
      <c r="G13" s="566" t="s">
        <v>799</v>
      </c>
      <c r="H13" s="565">
        <v>130000</v>
      </c>
      <c r="I13" s="427"/>
    </row>
    <row r="14" spans="2:9" s="557" customFormat="1" x14ac:dyDescent="0.25">
      <c r="B14" s="558" t="s">
        <v>800</v>
      </c>
      <c r="C14" s="423">
        <v>430000</v>
      </c>
      <c r="D14" s="565">
        <v>1200000</v>
      </c>
      <c r="E14" s="427"/>
      <c r="F14" s="565">
        <v>0</v>
      </c>
      <c r="G14" s="427"/>
      <c r="H14" s="565">
        <v>800000</v>
      </c>
      <c r="I14" s="427"/>
    </row>
    <row r="15" spans="2:9" s="557" customFormat="1" x14ac:dyDescent="0.25">
      <c r="B15" s="558" t="s">
        <v>801</v>
      </c>
      <c r="C15" s="423">
        <v>370000</v>
      </c>
      <c r="D15" s="565">
        <v>30800000</v>
      </c>
      <c r="E15" s="427"/>
      <c r="F15" s="565">
        <v>2300000</v>
      </c>
      <c r="G15" s="427"/>
      <c r="H15" s="565">
        <v>36000</v>
      </c>
      <c r="I15" s="427"/>
    </row>
    <row r="16" spans="2:9" s="557" customFormat="1" x14ac:dyDescent="0.25">
      <c r="B16" s="567" t="s">
        <v>802</v>
      </c>
      <c r="C16" s="568">
        <v>1050000</v>
      </c>
      <c r="D16" s="569">
        <v>37300000</v>
      </c>
      <c r="E16" s="570"/>
      <c r="F16" s="569">
        <v>2630000</v>
      </c>
      <c r="G16" s="570"/>
      <c r="H16" s="569">
        <v>966000</v>
      </c>
      <c r="I16" s="570"/>
    </row>
    <row r="17" spans="2:9" s="557" customFormat="1" x14ac:dyDescent="0.25">
      <c r="B17" s="558"/>
      <c r="C17" s="571"/>
      <c r="D17" s="565"/>
      <c r="E17" s="427"/>
      <c r="F17" s="565"/>
      <c r="G17" s="427"/>
      <c r="H17" s="565"/>
      <c r="I17" s="427"/>
    </row>
    <row r="18" spans="2:9" s="557" customFormat="1" x14ac:dyDescent="0.25">
      <c r="B18" s="563" t="s">
        <v>803</v>
      </c>
      <c r="C18" s="572"/>
      <c r="D18" s="573"/>
      <c r="E18" s="574"/>
      <c r="F18" s="575"/>
      <c r="G18" s="574"/>
      <c r="H18" s="573"/>
      <c r="I18" s="574"/>
    </row>
    <row r="19" spans="2:9" s="557" customFormat="1" x14ac:dyDescent="0.25">
      <c r="B19" s="558" t="s">
        <v>804</v>
      </c>
      <c r="C19" s="576"/>
      <c r="D19" s="577" t="s">
        <v>805</v>
      </c>
      <c r="E19" s="578"/>
      <c r="F19" s="577" t="s">
        <v>806</v>
      </c>
      <c r="G19" s="578"/>
      <c r="H19" s="577" t="s">
        <v>806</v>
      </c>
      <c r="I19" s="578"/>
    </row>
    <row r="20" spans="2:9" s="557" customFormat="1" x14ac:dyDescent="0.25">
      <c r="B20" s="558" t="s">
        <v>807</v>
      </c>
      <c r="C20" s="572"/>
      <c r="D20" s="565">
        <v>10000000</v>
      </c>
      <c r="E20" s="427"/>
      <c r="F20" s="565">
        <v>800000</v>
      </c>
      <c r="G20" s="427"/>
      <c r="H20" s="565">
        <v>125000</v>
      </c>
      <c r="I20" s="427"/>
    </row>
    <row r="21" spans="2:9" s="557" customFormat="1" x14ac:dyDescent="0.25">
      <c r="B21" s="558" t="s">
        <v>808</v>
      </c>
      <c r="C21" s="579"/>
      <c r="D21" s="580">
        <v>1</v>
      </c>
      <c r="E21" s="581"/>
      <c r="F21" s="580">
        <v>1</v>
      </c>
      <c r="G21" s="581"/>
      <c r="H21" s="580">
        <v>1</v>
      </c>
      <c r="I21" s="581"/>
    </row>
    <row r="22" spans="2:9" s="557" customFormat="1" x14ac:dyDescent="0.25">
      <c r="B22" s="558" t="s">
        <v>809</v>
      </c>
      <c r="C22" s="579"/>
      <c r="D22" s="580">
        <v>2.5</v>
      </c>
      <c r="E22" s="581"/>
      <c r="F22" s="580">
        <v>1.25</v>
      </c>
      <c r="G22" s="581"/>
      <c r="H22" s="580">
        <v>1</v>
      </c>
      <c r="I22" s="581"/>
    </row>
    <row r="23" spans="2:9" s="557" customFormat="1" x14ac:dyDescent="0.25">
      <c r="B23" s="558" t="s">
        <v>810</v>
      </c>
      <c r="C23" s="579"/>
      <c r="D23" s="582">
        <v>2.5499999999999998</v>
      </c>
      <c r="E23" s="583"/>
      <c r="F23" s="580">
        <v>1.6</v>
      </c>
      <c r="G23" s="583"/>
      <c r="H23" s="580">
        <v>1.2</v>
      </c>
      <c r="I23" s="583"/>
    </row>
    <row r="24" spans="2:9" s="557" customFormat="1" x14ac:dyDescent="0.25">
      <c r="B24" s="558" t="s">
        <v>811</v>
      </c>
      <c r="C24" s="579"/>
      <c r="D24" s="584">
        <v>0.02</v>
      </c>
      <c r="E24" s="585"/>
      <c r="F24" s="573">
        <v>0.01</v>
      </c>
      <c r="G24" s="585"/>
      <c r="H24" s="573">
        <v>0</v>
      </c>
      <c r="I24" s="585"/>
    </row>
    <row r="25" spans="2:9" s="557" customFormat="1" x14ac:dyDescent="0.25">
      <c r="B25" s="558"/>
      <c r="C25" s="576"/>
      <c r="D25" s="586"/>
      <c r="E25" s="587"/>
      <c r="F25" s="577"/>
      <c r="G25" s="587"/>
      <c r="H25" s="577"/>
      <c r="I25" s="587"/>
    </row>
    <row r="26" spans="2:9" s="557" customFormat="1" x14ac:dyDescent="0.25">
      <c r="B26" s="558" t="s">
        <v>812</v>
      </c>
      <c r="C26" s="572"/>
      <c r="D26" s="565">
        <v>1000000</v>
      </c>
      <c r="E26" s="427"/>
      <c r="F26" s="565">
        <v>150000</v>
      </c>
      <c r="G26" s="427"/>
      <c r="H26" s="565">
        <v>6000</v>
      </c>
      <c r="I26" s="427"/>
    </row>
    <row r="27" spans="2:9" s="557" customFormat="1" ht="31.5" x14ac:dyDescent="0.25">
      <c r="B27" s="558" t="s">
        <v>813</v>
      </c>
      <c r="C27" s="572"/>
      <c r="D27" s="588">
        <v>0.02</v>
      </c>
      <c r="E27" s="589"/>
      <c r="F27" s="590">
        <v>0.15</v>
      </c>
      <c r="G27" s="589"/>
      <c r="H27" s="590">
        <v>0.1</v>
      </c>
      <c r="I27" s="589"/>
    </row>
    <row r="28" spans="2:9" s="557" customFormat="1" x14ac:dyDescent="0.25"/>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L24"/>
  <sheetViews>
    <sheetView showGridLines="0" view="pageBreakPreview" zoomScale="60" zoomScaleNormal="100" workbookViewId="0"/>
  </sheetViews>
  <sheetFormatPr baseColWidth="10" defaultColWidth="11.42578125" defaultRowHeight="15" x14ac:dyDescent="0.25"/>
  <cols>
    <col min="1" max="1" width="2.42578125" style="592" customWidth="1"/>
    <col min="2" max="2" width="11.7109375" style="592" bestFit="1" customWidth="1"/>
    <col min="3" max="3" width="9.28515625" style="592" customWidth="1"/>
    <col min="4" max="4" width="9.7109375" style="592" customWidth="1"/>
    <col min="5" max="5" width="9.28515625" style="592" customWidth="1"/>
    <col min="6" max="6" width="9.7109375" style="592" customWidth="1"/>
    <col min="7" max="8" width="9.28515625" style="592" customWidth="1"/>
    <col min="9" max="9" width="4.7109375" style="592" customWidth="1"/>
    <col min="10" max="11" width="9.28515625" style="592" customWidth="1"/>
    <col min="12" max="12" width="10" style="592" customWidth="1"/>
    <col min="13" max="13" width="2.7109375" style="592" customWidth="1"/>
    <col min="14" max="16384" width="11.42578125" style="592"/>
  </cols>
  <sheetData>
    <row r="1" spans="2:12" x14ac:dyDescent="0.25">
      <c r="B1" s="591" t="s">
        <v>814</v>
      </c>
    </row>
    <row r="3" spans="2:12" x14ac:dyDescent="0.25">
      <c r="B3" s="2988" t="s">
        <v>394</v>
      </c>
      <c r="C3" s="2989" t="s">
        <v>183</v>
      </c>
      <c r="D3" s="2989"/>
      <c r="E3" s="2989"/>
      <c r="F3" s="2989"/>
      <c r="G3" s="2989" t="s">
        <v>815</v>
      </c>
      <c r="H3" s="2989"/>
      <c r="I3" s="2989"/>
      <c r="J3" s="2989"/>
      <c r="K3" s="2989"/>
      <c r="L3" s="2990" t="s">
        <v>816</v>
      </c>
    </row>
    <row r="4" spans="2:12" x14ac:dyDescent="0.25">
      <c r="B4" s="2988"/>
      <c r="C4" s="2984" t="s">
        <v>817</v>
      </c>
      <c r="D4" s="2984" t="s">
        <v>818</v>
      </c>
      <c r="E4" s="2984" t="s">
        <v>819</v>
      </c>
      <c r="F4" s="2984" t="s">
        <v>820</v>
      </c>
      <c r="G4" s="2984" t="s">
        <v>821</v>
      </c>
      <c r="H4" s="2984" t="s">
        <v>819</v>
      </c>
      <c r="I4" s="2984" t="s">
        <v>822</v>
      </c>
      <c r="J4" s="2984"/>
      <c r="K4" s="2984" t="s">
        <v>823</v>
      </c>
      <c r="L4" s="2991"/>
    </row>
    <row r="5" spans="2:12" x14ac:dyDescent="0.25">
      <c r="B5" s="2988"/>
      <c r="C5" s="2984"/>
      <c r="D5" s="2984"/>
      <c r="E5" s="2984"/>
      <c r="F5" s="2984"/>
      <c r="G5" s="2984"/>
      <c r="H5" s="2984"/>
      <c r="I5" s="593" t="s">
        <v>565</v>
      </c>
      <c r="J5" s="593" t="s">
        <v>164</v>
      </c>
      <c r="K5" s="2984"/>
      <c r="L5" s="2992"/>
    </row>
    <row r="6" spans="2:12" x14ac:dyDescent="0.25">
      <c r="B6" s="594" t="s">
        <v>824</v>
      </c>
      <c r="C6" s="595">
        <v>300000</v>
      </c>
      <c r="D6" s="595">
        <v>800000</v>
      </c>
      <c r="E6" s="595">
        <v>300000</v>
      </c>
      <c r="F6" s="595">
        <v>800000</v>
      </c>
      <c r="G6" s="595">
        <f>+H6/11*4</f>
        <v>20000</v>
      </c>
      <c r="H6" s="595">
        <f>+'U8-3y4'!M35</f>
        <v>55000</v>
      </c>
      <c r="I6" s="596">
        <v>0.02</v>
      </c>
      <c r="J6" s="595">
        <f>+(H6/11*7)</f>
        <v>35000</v>
      </c>
      <c r="K6" s="595">
        <f>+G6-H6+J6</f>
        <v>0</v>
      </c>
      <c r="L6" s="595">
        <f>+F6-K6</f>
        <v>800000</v>
      </c>
    </row>
    <row r="7" spans="2:12" x14ac:dyDescent="0.25">
      <c r="B7" s="594" t="s">
        <v>604</v>
      </c>
      <c r="C7" s="595">
        <v>0</v>
      </c>
      <c r="D7" s="595">
        <v>6000</v>
      </c>
      <c r="E7" s="595">
        <v>0</v>
      </c>
      <c r="F7" s="595">
        <v>6000</v>
      </c>
      <c r="G7" s="595">
        <v>0</v>
      </c>
      <c r="H7" s="595">
        <v>0</v>
      </c>
      <c r="I7" s="597">
        <v>0.2</v>
      </c>
      <c r="J7" s="595">
        <f>+'U8-3y4'!N66</f>
        <v>1000</v>
      </c>
      <c r="K7" s="595">
        <f>+G7-H7+J7</f>
        <v>1000</v>
      </c>
      <c r="L7" s="595">
        <f>+F7-K7</f>
        <v>5000</v>
      </c>
    </row>
    <row r="8" spans="2:12" x14ac:dyDescent="0.25">
      <c r="B8" s="594" t="s">
        <v>825</v>
      </c>
      <c r="C8" s="595">
        <v>0</v>
      </c>
      <c r="D8" s="595">
        <v>450000</v>
      </c>
      <c r="E8" s="595">
        <v>0</v>
      </c>
      <c r="F8" s="595">
        <v>450000</v>
      </c>
      <c r="G8" s="595">
        <v>0</v>
      </c>
      <c r="H8" s="595">
        <v>0</v>
      </c>
      <c r="I8" s="597">
        <f>+I7</f>
        <v>0.2</v>
      </c>
      <c r="J8" s="595">
        <f>+'U8-3y4'!N67</f>
        <v>60000</v>
      </c>
      <c r="K8" s="595">
        <f>+G8-H8+J8</f>
        <v>60000</v>
      </c>
      <c r="L8" s="595">
        <f>+F8-K8</f>
        <v>390000</v>
      </c>
    </row>
    <row r="9" spans="2:12" ht="15.75" thickBot="1" x14ac:dyDescent="0.3">
      <c r="B9" s="598" t="s">
        <v>826</v>
      </c>
      <c r="C9" s="599">
        <v>0</v>
      </c>
      <c r="D9" s="599">
        <v>54000</v>
      </c>
      <c r="E9" s="599">
        <v>0</v>
      </c>
      <c r="F9" s="599">
        <v>54000</v>
      </c>
      <c r="G9" s="599">
        <v>0</v>
      </c>
      <c r="H9" s="599">
        <v>0</v>
      </c>
      <c r="I9" s="600">
        <v>6.6666666666666666E-2</v>
      </c>
      <c r="J9" s="599">
        <f>+'U8-3y4'!N68</f>
        <v>1200</v>
      </c>
      <c r="K9" s="599">
        <f>+G9-H9+J9</f>
        <v>1200</v>
      </c>
      <c r="L9" s="599">
        <f>+F9-K9</f>
        <v>52800</v>
      </c>
    </row>
    <row r="10" spans="2:12" ht="15.75" thickTop="1" x14ac:dyDescent="0.25">
      <c r="B10" s="601" t="s">
        <v>305</v>
      </c>
      <c r="C10" s="602">
        <v>300000</v>
      </c>
      <c r="D10" s="602">
        <v>1310000</v>
      </c>
      <c r="E10" s="602">
        <v>300000</v>
      </c>
      <c r="F10" s="602">
        <v>1310000</v>
      </c>
      <c r="G10" s="602">
        <f>+SUM(G6:G9)</f>
        <v>20000</v>
      </c>
      <c r="H10" s="602">
        <f>+SUM(H6:H9)</f>
        <v>55000</v>
      </c>
      <c r="I10" s="602"/>
      <c r="J10" s="602">
        <f>+SUM(J6:J9)</f>
        <v>97200</v>
      </c>
      <c r="K10" s="602">
        <f>+SUM(K6:K9)</f>
        <v>62200</v>
      </c>
      <c r="L10" s="602">
        <f>+SUM(L6:L9)</f>
        <v>1247800</v>
      </c>
    </row>
    <row r="12" spans="2:12" x14ac:dyDescent="0.25">
      <c r="B12" s="591" t="s">
        <v>827</v>
      </c>
    </row>
    <row r="13" spans="2:12" x14ac:dyDescent="0.25">
      <c r="B13" s="2985" t="s">
        <v>828</v>
      </c>
      <c r="C13" s="2985"/>
      <c r="D13" s="2985"/>
      <c r="E13" s="2985"/>
      <c r="F13" s="2985"/>
      <c r="G13" s="2985"/>
      <c r="H13" s="2985"/>
      <c r="I13" s="2985"/>
      <c r="J13" s="2985"/>
      <c r="K13" s="2985"/>
      <c r="L13" s="2985"/>
    </row>
    <row r="14" spans="2:12" x14ac:dyDescent="0.25">
      <c r="B14" s="2986" t="s">
        <v>829</v>
      </c>
      <c r="C14" s="2986"/>
      <c r="D14" s="2986"/>
      <c r="E14" s="2986"/>
      <c r="F14" s="2986"/>
      <c r="G14" s="2986"/>
      <c r="H14" s="2986"/>
      <c r="I14" s="2986"/>
      <c r="J14" s="2986"/>
      <c r="K14" s="2986"/>
      <c r="L14" s="2986"/>
    </row>
    <row r="15" spans="2:12" x14ac:dyDescent="0.25">
      <c r="B15" s="2987" t="s">
        <v>569</v>
      </c>
      <c r="C15" s="2987"/>
      <c r="D15" s="2987"/>
      <c r="E15" s="2987"/>
      <c r="F15" s="2987"/>
      <c r="G15" s="2987"/>
      <c r="H15" s="2987"/>
      <c r="I15" s="2987"/>
      <c r="J15" s="2987"/>
      <c r="K15" s="2987"/>
      <c r="L15" s="2987"/>
    </row>
    <row r="16" spans="2:12" x14ac:dyDescent="0.25">
      <c r="B16" s="603"/>
      <c r="C16" s="603"/>
      <c r="D16" s="603"/>
      <c r="E16" s="603"/>
      <c r="F16" s="603"/>
      <c r="G16" s="603"/>
      <c r="H16" s="603"/>
      <c r="I16" s="603"/>
      <c r="J16" s="603"/>
      <c r="K16" s="603"/>
      <c r="L16" s="604"/>
    </row>
    <row r="17" spans="2:12" x14ac:dyDescent="0.25">
      <c r="B17" s="2988" t="s">
        <v>394</v>
      </c>
      <c r="C17" s="2989" t="s">
        <v>183</v>
      </c>
      <c r="D17" s="2989"/>
      <c r="E17" s="2989"/>
      <c r="F17" s="2989"/>
      <c r="G17" s="2989" t="s">
        <v>815</v>
      </c>
      <c r="H17" s="2989"/>
      <c r="I17" s="2989"/>
      <c r="J17" s="2989"/>
      <c r="K17" s="2989"/>
      <c r="L17" s="2990" t="s">
        <v>816</v>
      </c>
    </row>
    <row r="18" spans="2:12" x14ac:dyDescent="0.25">
      <c r="B18" s="2988"/>
      <c r="C18" s="2984" t="s">
        <v>817</v>
      </c>
      <c r="D18" s="2984" t="s">
        <v>818</v>
      </c>
      <c r="E18" s="2984" t="s">
        <v>819</v>
      </c>
      <c r="F18" s="2984" t="s">
        <v>820</v>
      </c>
      <c r="G18" s="2984" t="s">
        <v>821</v>
      </c>
      <c r="H18" s="2984" t="s">
        <v>819</v>
      </c>
      <c r="I18" s="2984" t="s">
        <v>822</v>
      </c>
      <c r="J18" s="2984"/>
      <c r="K18" s="2984" t="s">
        <v>823</v>
      </c>
      <c r="L18" s="2991"/>
    </row>
    <row r="19" spans="2:12" x14ac:dyDescent="0.25">
      <c r="B19" s="2988"/>
      <c r="C19" s="2984"/>
      <c r="D19" s="2984"/>
      <c r="E19" s="2984"/>
      <c r="F19" s="2984"/>
      <c r="G19" s="2984"/>
      <c r="H19" s="2984"/>
      <c r="I19" s="593" t="s">
        <v>565</v>
      </c>
      <c r="J19" s="593" t="s">
        <v>164</v>
      </c>
      <c r="K19" s="2984"/>
      <c r="L19" s="2992"/>
    </row>
    <row r="20" spans="2:12" x14ac:dyDescent="0.25">
      <c r="B20" s="594" t="s">
        <v>824</v>
      </c>
      <c r="C20" s="595">
        <v>300000</v>
      </c>
      <c r="D20" s="595"/>
      <c r="E20" s="595"/>
      <c r="F20" s="595"/>
      <c r="G20" s="595">
        <f>+G6</f>
        <v>20000</v>
      </c>
      <c r="H20" s="595"/>
      <c r="I20" s="596"/>
      <c r="J20" s="595"/>
      <c r="K20" s="595"/>
      <c r="L20" s="595"/>
    </row>
    <row r="21" spans="2:12" x14ac:dyDescent="0.25">
      <c r="B21" s="594" t="s">
        <v>604</v>
      </c>
      <c r="C21" s="595">
        <v>0</v>
      </c>
      <c r="D21" s="595"/>
      <c r="E21" s="595"/>
      <c r="F21" s="595"/>
      <c r="G21" s="595">
        <v>0</v>
      </c>
      <c r="H21" s="595"/>
      <c r="I21" s="597"/>
      <c r="J21" s="595"/>
      <c r="K21" s="595"/>
      <c r="L21" s="595"/>
    </row>
    <row r="22" spans="2:12" x14ac:dyDescent="0.25">
      <c r="B22" s="594" t="s">
        <v>825</v>
      </c>
      <c r="C22" s="595">
        <v>0</v>
      </c>
      <c r="D22" s="595"/>
      <c r="E22" s="595"/>
      <c r="F22" s="595"/>
      <c r="G22" s="595">
        <v>0</v>
      </c>
      <c r="H22" s="595"/>
      <c r="I22" s="597"/>
      <c r="J22" s="595"/>
      <c r="K22" s="595"/>
      <c r="L22" s="595"/>
    </row>
    <row r="23" spans="2:12" ht="15.75" thickBot="1" x14ac:dyDescent="0.3">
      <c r="B23" s="598" t="s">
        <v>826</v>
      </c>
      <c r="C23" s="599">
        <v>0</v>
      </c>
      <c r="D23" s="599"/>
      <c r="E23" s="599"/>
      <c r="F23" s="599"/>
      <c r="G23" s="599">
        <v>0</v>
      </c>
      <c r="H23" s="599"/>
      <c r="I23" s="600"/>
      <c r="J23" s="599"/>
      <c r="K23" s="599"/>
      <c r="L23" s="599"/>
    </row>
    <row r="24" spans="2:12" ht="15.75" thickTop="1" x14ac:dyDescent="0.25">
      <c r="B24" s="601" t="s">
        <v>305</v>
      </c>
      <c r="C24" s="602">
        <v>300000</v>
      </c>
      <c r="D24" s="602"/>
      <c r="E24" s="602"/>
      <c r="F24" s="602"/>
      <c r="G24" s="602">
        <f>+SUM(G20:G23)</f>
        <v>20000</v>
      </c>
      <c r="H24" s="602"/>
      <c r="I24" s="602"/>
      <c r="J24" s="602"/>
      <c r="K24" s="602"/>
      <c r="L24" s="602"/>
    </row>
  </sheetData>
  <mergeCells count="27">
    <mergeCell ref="B17:B19"/>
    <mergeCell ref="C17:F17"/>
    <mergeCell ref="G17:K17"/>
    <mergeCell ref="L17:L19"/>
    <mergeCell ref="C18:C19"/>
    <mergeCell ref="K18:K19"/>
    <mergeCell ref="D18:D19"/>
    <mergeCell ref="E18:E19"/>
    <mergeCell ref="F18:F19"/>
    <mergeCell ref="G18:G19"/>
    <mergeCell ref="H18:H19"/>
    <mergeCell ref="I18:J18"/>
    <mergeCell ref="I4:J4"/>
    <mergeCell ref="K4:K5"/>
    <mergeCell ref="B13:L13"/>
    <mergeCell ref="B14:L14"/>
    <mergeCell ref="B15:L15"/>
    <mergeCell ref="B3:B5"/>
    <mergeCell ref="C3:F3"/>
    <mergeCell ref="G3:K3"/>
    <mergeCell ref="L3:L5"/>
    <mergeCell ref="C4:C5"/>
    <mergeCell ref="D4:D5"/>
    <mergeCell ref="E4:E5"/>
    <mergeCell ref="F4:F5"/>
    <mergeCell ref="G4:G5"/>
    <mergeCell ref="H4:H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tint="-0.249977111117893"/>
  </sheetPr>
  <dimension ref="A1:Q303"/>
  <sheetViews>
    <sheetView showGridLines="0" view="pageLayout" topLeftCell="A64" zoomScale="85" zoomScaleNormal="100" zoomScaleSheetLayoutView="50" zoomScalePageLayoutView="85" workbookViewId="0">
      <selection activeCell="P126" sqref="P126"/>
    </sheetView>
  </sheetViews>
  <sheetFormatPr baseColWidth="10" defaultColWidth="9.140625" defaultRowHeight="15" x14ac:dyDescent="0.25"/>
  <cols>
    <col min="1" max="1" width="0.7109375" style="2" customWidth="1"/>
    <col min="2" max="2" width="5.28515625" style="7" bestFit="1" customWidth="1"/>
    <col min="3" max="6" width="5.42578125" style="12" customWidth="1"/>
    <col min="7" max="8" width="5.42578125" style="27" customWidth="1"/>
    <col min="9" max="12" width="5.42578125" style="2" customWidth="1"/>
    <col min="13" max="14" width="5.42578125" style="10" customWidth="1"/>
    <col min="15" max="16" width="5.28515625" style="10" customWidth="1"/>
    <col min="17" max="17" width="0.42578125" style="2" customWidth="1"/>
    <col min="18" max="18" width="12" style="2" bestFit="1" customWidth="1"/>
    <col min="19" max="19" width="9.140625" style="2"/>
    <col min="20" max="20" width="12" style="2" bestFit="1" customWidth="1"/>
    <col min="21" max="16384" width="9.140625" style="2"/>
  </cols>
  <sheetData>
    <row r="1" spans="1:17" s="4" customFormat="1" x14ac:dyDescent="0.25">
      <c r="B1" s="189"/>
      <c r="C1" s="12"/>
      <c r="D1" s="12"/>
      <c r="E1" s="12"/>
      <c r="F1" s="12"/>
      <c r="G1" s="51"/>
      <c r="H1" s="51"/>
      <c r="M1" s="18"/>
      <c r="N1" s="18"/>
      <c r="O1" s="18"/>
      <c r="P1" s="18"/>
    </row>
    <row r="2" spans="1:17" x14ac:dyDescent="0.25">
      <c r="A2" s="1844" t="s">
        <v>20</v>
      </c>
      <c r="B2" s="1845"/>
      <c r="C2" s="1845"/>
      <c r="D2" s="1845"/>
      <c r="E2" s="1845"/>
      <c r="F2" s="1845"/>
      <c r="G2" s="1845"/>
      <c r="H2" s="1845"/>
      <c r="I2" s="1845"/>
      <c r="J2" s="1845"/>
      <c r="K2" s="1845"/>
      <c r="L2" s="1845"/>
      <c r="M2" s="1845"/>
      <c r="N2" s="1845"/>
      <c r="O2" s="1845"/>
      <c r="P2" s="1845"/>
      <c r="Q2" s="1846"/>
    </row>
    <row r="3" spans="1:17" x14ac:dyDescent="0.25">
      <c r="A3" s="1847" t="s">
        <v>830</v>
      </c>
      <c r="B3" s="1848"/>
      <c r="C3" s="1848"/>
      <c r="D3" s="1848"/>
      <c r="E3" s="1848"/>
      <c r="F3" s="1848"/>
      <c r="G3" s="1848"/>
      <c r="H3" s="1848"/>
      <c r="I3" s="1848"/>
      <c r="J3" s="1848"/>
      <c r="K3" s="1848"/>
      <c r="L3" s="1848"/>
      <c r="M3" s="1848"/>
      <c r="N3" s="1848"/>
      <c r="O3" s="1848"/>
      <c r="P3" s="1848"/>
      <c r="Q3" s="1849"/>
    </row>
    <row r="5" spans="1:17" x14ac:dyDescent="0.25">
      <c r="B5" s="108">
        <v>1</v>
      </c>
      <c r="C5" s="605" t="s">
        <v>831</v>
      </c>
      <c r="D5" s="183"/>
      <c r="E5" s="183"/>
      <c r="F5" s="183"/>
      <c r="G5" s="2094"/>
      <c r="H5" s="2094"/>
      <c r="I5" s="190"/>
      <c r="J5" s="190"/>
      <c r="K5" s="190"/>
      <c r="L5" s="183"/>
      <c r="M5" s="2"/>
      <c r="N5" s="2"/>
      <c r="O5" s="2"/>
      <c r="P5" s="2"/>
    </row>
    <row r="6" spans="1:17" x14ac:dyDescent="0.25">
      <c r="B6" s="323"/>
      <c r="C6" s="183"/>
      <c r="D6" s="183"/>
      <c r="E6" s="183"/>
      <c r="F6" s="183"/>
      <c r="G6" s="190"/>
      <c r="H6" s="190"/>
      <c r="I6" s="190"/>
      <c r="J6" s="190"/>
      <c r="K6" s="190"/>
      <c r="L6" s="183"/>
      <c r="M6" s="2103" t="s">
        <v>9</v>
      </c>
      <c r="N6" s="2103"/>
      <c r="O6" s="2103" t="s">
        <v>8</v>
      </c>
      <c r="P6" s="2103"/>
    </row>
    <row r="7" spans="1:17" x14ac:dyDescent="0.25">
      <c r="B7" s="38" t="s">
        <v>15</v>
      </c>
      <c r="C7" s="353" t="s">
        <v>835</v>
      </c>
      <c r="D7" s="31"/>
      <c r="E7" s="31"/>
      <c r="F7" s="31"/>
      <c r="G7" s="23"/>
      <c r="H7" s="23"/>
      <c r="I7" s="1"/>
      <c r="J7" s="1"/>
      <c r="K7" s="1"/>
      <c r="L7" s="606"/>
      <c r="M7" s="2106">
        <v>10000</v>
      </c>
      <c r="N7" s="2107"/>
      <c r="O7" s="2108"/>
      <c r="P7" s="2107"/>
    </row>
    <row r="8" spans="1:17" x14ac:dyDescent="0.25">
      <c r="B8" s="102" t="s">
        <v>108</v>
      </c>
      <c r="C8" s="204"/>
      <c r="D8" s="205"/>
      <c r="E8" s="35" t="s">
        <v>1</v>
      </c>
      <c r="F8" s="197" t="s">
        <v>832</v>
      </c>
      <c r="G8" s="3"/>
      <c r="H8" s="24"/>
      <c r="I8" s="3"/>
      <c r="J8" s="3"/>
      <c r="K8" s="3"/>
      <c r="L8" s="607"/>
      <c r="M8" s="2006"/>
      <c r="N8" s="2100"/>
      <c r="O8" s="2006">
        <f>+M7</f>
        <v>10000</v>
      </c>
      <c r="P8" s="2007"/>
    </row>
    <row r="9" spans="1:17" x14ac:dyDescent="0.25">
      <c r="B9" s="38"/>
      <c r="C9" s="203"/>
      <c r="D9" s="203"/>
      <c r="E9" s="20"/>
      <c r="F9" s="199"/>
      <c r="G9" s="4"/>
      <c r="H9" s="51"/>
      <c r="I9" s="4"/>
      <c r="J9" s="4"/>
      <c r="K9" s="4"/>
      <c r="L9" s="183"/>
      <c r="M9" s="186"/>
      <c r="N9" s="186"/>
      <c r="O9" s="186"/>
      <c r="P9" s="186"/>
    </row>
    <row r="10" spans="1:17" x14ac:dyDescent="0.25">
      <c r="B10" s="38"/>
      <c r="C10" s="203"/>
      <c r="D10" s="203"/>
      <c r="E10" s="20"/>
      <c r="F10" s="199"/>
      <c r="G10" s="2"/>
      <c r="H10" s="51"/>
      <c r="I10" s="4"/>
      <c r="J10" s="4"/>
      <c r="K10" s="4"/>
      <c r="L10" s="183"/>
      <c r="M10" s="186"/>
      <c r="N10" s="186"/>
      <c r="O10" s="186"/>
      <c r="P10" s="186"/>
    </row>
    <row r="11" spans="1:17" x14ac:dyDescent="0.25">
      <c r="B11" s="108">
        <v>2</v>
      </c>
      <c r="C11" s="605" t="s">
        <v>833</v>
      </c>
      <c r="D11" s="203"/>
      <c r="E11" s="20"/>
      <c r="F11" s="199"/>
      <c r="G11" s="2"/>
      <c r="H11" s="51"/>
      <c r="I11" s="4"/>
      <c r="J11" s="4"/>
      <c r="K11" s="4"/>
      <c r="L11" s="183"/>
      <c r="M11" s="186"/>
      <c r="N11" s="186"/>
      <c r="O11" s="186"/>
      <c r="P11" s="186"/>
    </row>
    <row r="12" spans="1:17" x14ac:dyDescent="0.25">
      <c r="B12" s="323"/>
      <c r="C12" s="605"/>
      <c r="D12" s="203"/>
      <c r="E12" s="20"/>
      <c r="F12" s="199"/>
      <c r="G12" s="2"/>
      <c r="H12" s="51"/>
      <c r="I12" s="4"/>
      <c r="J12" s="4"/>
      <c r="K12" s="4"/>
      <c r="L12" s="183"/>
      <c r="M12" s="186"/>
      <c r="N12" s="186"/>
      <c r="O12" s="186"/>
      <c r="P12" s="186"/>
    </row>
    <row r="13" spans="1:17" x14ac:dyDescent="0.25">
      <c r="B13" s="4"/>
      <c r="C13" s="2961"/>
      <c r="D13" s="2961"/>
      <c r="E13" s="2961"/>
      <c r="F13" s="3055" t="s">
        <v>834</v>
      </c>
      <c r="G13" s="3056"/>
      <c r="H13" s="3056"/>
      <c r="I13" s="3057"/>
      <c r="J13" s="2961"/>
      <c r="K13" s="2961"/>
      <c r="L13" s="2961"/>
      <c r="M13" s="2100"/>
      <c r="N13" s="2100"/>
      <c r="O13" s="2100"/>
      <c r="P13" s="2100"/>
      <c r="Q13" s="4"/>
    </row>
    <row r="14" spans="1:17" x14ac:dyDescent="0.25">
      <c r="B14" s="7" t="s">
        <v>105</v>
      </c>
      <c r="C14" s="202" t="str">
        <f>+F8</f>
        <v>Previsión Deudores Incobrables</v>
      </c>
      <c r="D14" s="203"/>
      <c r="E14" s="203"/>
      <c r="F14" s="203"/>
      <c r="G14" s="51"/>
      <c r="H14" s="51"/>
      <c r="I14" s="4"/>
      <c r="J14" s="4"/>
      <c r="K14" s="4"/>
      <c r="L14" s="183"/>
      <c r="M14" s="2008">
        <v>10000</v>
      </c>
      <c r="N14" s="2012"/>
      <c r="O14" s="2008"/>
      <c r="P14" s="2012"/>
      <c r="Q14" s="8"/>
    </row>
    <row r="15" spans="1:17" x14ac:dyDescent="0.25">
      <c r="B15" s="7" t="s">
        <v>15</v>
      </c>
      <c r="C15" s="202" t="s">
        <v>835</v>
      </c>
      <c r="D15" s="203"/>
      <c r="E15" s="203"/>
      <c r="F15" s="20"/>
      <c r="G15" s="199"/>
      <c r="H15" s="51"/>
      <c r="I15" s="4"/>
      <c r="J15" s="4"/>
      <c r="K15" s="4"/>
      <c r="L15" s="183"/>
      <c r="M15" s="2008">
        <v>2000</v>
      </c>
      <c r="N15" s="2012"/>
      <c r="O15" s="2008"/>
      <c r="P15" s="2009"/>
      <c r="Q15" s="4"/>
    </row>
    <row r="16" spans="1:17" x14ac:dyDescent="0.25">
      <c r="B16" s="7" t="s">
        <v>14</v>
      </c>
      <c r="C16" s="202"/>
      <c r="D16" s="203"/>
      <c r="E16" s="20" t="s">
        <v>1</v>
      </c>
      <c r="F16" s="199" t="s">
        <v>0</v>
      </c>
      <c r="G16" s="2"/>
      <c r="H16" s="51"/>
      <c r="I16" s="4"/>
      <c r="J16" s="4"/>
      <c r="K16" s="4"/>
      <c r="L16" s="183"/>
      <c r="M16" s="2008"/>
      <c r="N16" s="2012"/>
      <c r="O16" s="2008">
        <v>12000</v>
      </c>
      <c r="P16" s="2009"/>
      <c r="Q16" s="4"/>
    </row>
    <row r="17" spans="2:17" x14ac:dyDescent="0.25">
      <c r="B17" s="323"/>
      <c r="C17" s="2110" t="s">
        <v>21</v>
      </c>
      <c r="D17" s="2090"/>
      <c r="E17" s="2092"/>
      <c r="F17" s="3055" t="s">
        <v>836</v>
      </c>
      <c r="G17" s="3056"/>
      <c r="H17" s="3056"/>
      <c r="I17" s="3057"/>
      <c r="J17" s="2090" t="s">
        <v>21</v>
      </c>
      <c r="K17" s="2090"/>
      <c r="L17" s="2090"/>
      <c r="M17" s="2008"/>
      <c r="N17" s="2012"/>
      <c r="O17" s="2008"/>
      <c r="P17" s="2012"/>
      <c r="Q17" s="8"/>
    </row>
    <row r="18" spans="2:17" x14ac:dyDescent="0.25">
      <c r="B18" s="7" t="s">
        <v>105</v>
      </c>
      <c r="C18" s="202" t="str">
        <f>+C14</f>
        <v>Previsión Deudores Incobrables</v>
      </c>
      <c r="D18" s="203"/>
      <c r="E18" s="203"/>
      <c r="F18" s="203"/>
      <c r="G18" s="51"/>
      <c r="H18" s="51"/>
      <c r="I18" s="4"/>
      <c r="J18" s="4"/>
      <c r="K18" s="4"/>
      <c r="L18" s="183"/>
      <c r="M18" s="2008">
        <v>10000</v>
      </c>
      <c r="N18" s="2012"/>
      <c r="O18" s="2008"/>
      <c r="P18" s="2012"/>
      <c r="Q18" s="8"/>
    </row>
    <row r="19" spans="2:17" x14ac:dyDescent="0.25">
      <c r="B19" s="7" t="s">
        <v>14</v>
      </c>
      <c r="C19" s="202"/>
      <c r="D19" s="203"/>
      <c r="E19" s="20" t="s">
        <v>1</v>
      </c>
      <c r="F19" s="199" t="s">
        <v>0</v>
      </c>
      <c r="G19" s="2"/>
      <c r="H19" s="51"/>
      <c r="I19" s="4"/>
      <c r="J19" s="4"/>
      <c r="K19" s="4"/>
      <c r="L19" s="183"/>
      <c r="M19" s="2008"/>
      <c r="N19" s="2012"/>
      <c r="O19" s="2008">
        <v>9500</v>
      </c>
      <c r="P19" s="2009"/>
      <c r="Q19" s="4"/>
    </row>
    <row r="20" spans="2:17" x14ac:dyDescent="0.25">
      <c r="B20" s="7" t="s">
        <v>16</v>
      </c>
      <c r="C20" s="204"/>
      <c r="D20" s="205"/>
      <c r="E20" s="35" t="s">
        <v>1</v>
      </c>
      <c r="F20" s="197" t="s">
        <v>835</v>
      </c>
      <c r="G20" s="3"/>
      <c r="H20" s="24"/>
      <c r="I20" s="3"/>
      <c r="J20" s="3"/>
      <c r="K20" s="3"/>
      <c r="L20" s="53"/>
      <c r="M20" s="2006"/>
      <c r="N20" s="2100"/>
      <c r="O20" s="2006">
        <f>+M18-O19</f>
        <v>500</v>
      </c>
      <c r="P20" s="2007"/>
      <c r="Q20" s="4"/>
    </row>
    <row r="50" spans="1:17" s="4" customFormat="1" x14ac:dyDescent="0.25">
      <c r="B50" s="189"/>
      <c r="C50" s="12"/>
      <c r="D50" s="12"/>
      <c r="E50" s="12"/>
      <c r="F50" s="12"/>
      <c r="G50" s="51"/>
      <c r="H50" s="51"/>
      <c r="M50" s="18"/>
      <c r="N50" s="18"/>
      <c r="O50" s="18"/>
      <c r="P50" s="18"/>
    </row>
    <row r="51" spans="1:17" x14ac:dyDescent="0.25">
      <c r="A51" s="3"/>
      <c r="B51" s="200"/>
      <c r="C51" s="11"/>
      <c r="D51" s="11"/>
      <c r="E51" s="11"/>
      <c r="F51" s="11"/>
      <c r="G51" s="24"/>
      <c r="H51" s="24"/>
      <c r="I51" s="3"/>
      <c r="J51" s="3"/>
      <c r="K51" s="3"/>
      <c r="L51" s="3"/>
      <c r="M51" s="22"/>
      <c r="N51" s="22"/>
      <c r="O51" s="22"/>
      <c r="P51" s="22"/>
      <c r="Q51" s="3"/>
    </row>
    <row r="52" spans="1:17" x14ac:dyDescent="0.25">
      <c r="A52" s="1844" t="s">
        <v>20</v>
      </c>
      <c r="B52" s="1845"/>
      <c r="C52" s="1845"/>
      <c r="D52" s="1845"/>
      <c r="E52" s="1845"/>
      <c r="F52" s="1845"/>
      <c r="G52" s="1845"/>
      <c r="H52" s="1845"/>
      <c r="I52" s="1845"/>
      <c r="J52" s="1845"/>
      <c r="K52" s="1845"/>
      <c r="L52" s="1845"/>
      <c r="M52" s="1845"/>
      <c r="N52" s="1845"/>
      <c r="O52" s="1845"/>
      <c r="P52" s="1845"/>
      <c r="Q52" s="1846"/>
    </row>
    <row r="53" spans="1:17" x14ac:dyDescent="0.25">
      <c r="A53" s="1847" t="s">
        <v>837</v>
      </c>
      <c r="B53" s="1848"/>
      <c r="C53" s="1848"/>
      <c r="D53" s="1848"/>
      <c r="E53" s="1848"/>
      <c r="F53" s="1848"/>
      <c r="G53" s="1848"/>
      <c r="H53" s="1848"/>
      <c r="I53" s="1848"/>
      <c r="J53" s="1848"/>
      <c r="K53" s="1848"/>
      <c r="L53" s="1848"/>
      <c r="M53" s="1848"/>
      <c r="N53" s="1848"/>
      <c r="O53" s="1848"/>
      <c r="P53" s="1848"/>
      <c r="Q53" s="1849"/>
    </row>
    <row r="55" spans="1:17" x14ac:dyDescent="0.25">
      <c r="B55" s="108" t="s">
        <v>838</v>
      </c>
      <c r="C55" s="213"/>
      <c r="D55" s="608"/>
      <c r="E55" s="213"/>
      <c r="F55" s="4"/>
      <c r="G55" s="4"/>
      <c r="H55" s="189"/>
      <c r="I55" s="4"/>
      <c r="J55" s="4"/>
      <c r="K55" s="4"/>
      <c r="L55" s="4"/>
      <c r="M55" s="3054" t="s">
        <v>9</v>
      </c>
      <c r="N55" s="3054"/>
      <c r="O55" s="3054" t="s">
        <v>8</v>
      </c>
      <c r="P55" s="3054"/>
    </row>
    <row r="56" spans="1:17" x14ac:dyDescent="0.25">
      <c r="B56" s="609" t="s">
        <v>15</v>
      </c>
      <c r="C56" s="209" t="s">
        <v>835</v>
      </c>
      <c r="D56" s="610"/>
      <c r="E56" s="611"/>
      <c r="F56" s="1"/>
      <c r="G56" s="1"/>
      <c r="H56" s="201"/>
      <c r="I56" s="1"/>
      <c r="J56" s="1"/>
      <c r="K56" s="1"/>
      <c r="L56" s="157"/>
      <c r="M56" s="2683">
        <f>4000000*0.02</f>
        <v>80000</v>
      </c>
      <c r="N56" s="2684"/>
      <c r="O56" s="2683"/>
      <c r="P56" s="2684"/>
    </row>
    <row r="57" spans="1:17" x14ac:dyDescent="0.25">
      <c r="B57" s="609" t="s">
        <v>108</v>
      </c>
      <c r="C57" s="202"/>
      <c r="D57" s="608"/>
      <c r="E57" s="213"/>
      <c r="F57" s="20" t="s">
        <v>1</v>
      </c>
      <c r="G57" s="612" t="s">
        <v>832</v>
      </c>
      <c r="H57" s="189"/>
      <c r="I57" s="4"/>
      <c r="J57" s="4"/>
      <c r="K57" s="4"/>
      <c r="L57" s="500"/>
      <c r="M57" s="2674"/>
      <c r="N57" s="2675"/>
      <c r="O57" s="2674">
        <f>+M56</f>
        <v>80000</v>
      </c>
      <c r="P57" s="2675"/>
    </row>
    <row r="58" spans="1:17" x14ac:dyDescent="0.25">
      <c r="B58" s="613" t="s">
        <v>839</v>
      </c>
      <c r="C58" s="2110" t="s">
        <v>21</v>
      </c>
      <c r="D58" s="2090"/>
      <c r="E58" s="2090"/>
      <c r="F58" s="2090"/>
      <c r="G58" s="4"/>
      <c r="H58" s="189"/>
      <c r="I58" s="2090" t="s">
        <v>21</v>
      </c>
      <c r="J58" s="2090"/>
      <c r="K58" s="2090"/>
      <c r="L58" s="2092"/>
      <c r="M58" s="2674"/>
      <c r="N58" s="2675"/>
      <c r="O58" s="2674"/>
      <c r="P58" s="2675"/>
    </row>
    <row r="59" spans="1:17" x14ac:dyDescent="0.25">
      <c r="B59" s="609" t="s">
        <v>105</v>
      </c>
      <c r="C59" s="614" t="s">
        <v>832</v>
      </c>
      <c r="D59" s="608"/>
      <c r="E59" s="213"/>
      <c r="F59" s="4"/>
      <c r="G59" s="4"/>
      <c r="H59" s="189"/>
      <c r="I59" s="4"/>
      <c r="J59" s="4"/>
      <c r="K59" s="4"/>
      <c r="L59" s="500"/>
      <c r="M59" s="2674">
        <v>7500</v>
      </c>
      <c r="N59" s="2675"/>
      <c r="O59" s="2674"/>
      <c r="P59" s="2675"/>
    </row>
    <row r="60" spans="1:17" x14ac:dyDescent="0.25">
      <c r="B60" s="609" t="s">
        <v>14</v>
      </c>
      <c r="C60" s="202"/>
      <c r="D60" s="608"/>
      <c r="E60" s="213"/>
      <c r="F60" s="20" t="s">
        <v>1</v>
      </c>
      <c r="G60" s="612" t="s">
        <v>840</v>
      </c>
      <c r="H60" s="189"/>
      <c r="I60" s="4"/>
      <c r="J60" s="4"/>
      <c r="K60" s="4"/>
      <c r="L60" s="500"/>
      <c r="M60" s="2674"/>
      <c r="N60" s="2675"/>
      <c r="O60" s="2674">
        <v>2500</v>
      </c>
      <c r="P60" s="2675"/>
    </row>
    <row r="61" spans="1:17" x14ac:dyDescent="0.25">
      <c r="B61" s="609" t="s">
        <v>14</v>
      </c>
      <c r="C61" s="202"/>
      <c r="D61" s="608"/>
      <c r="E61" s="213"/>
      <c r="F61" s="20" t="s">
        <v>1</v>
      </c>
      <c r="G61" s="612" t="s">
        <v>841</v>
      </c>
      <c r="H61" s="189"/>
      <c r="I61" s="4"/>
      <c r="J61" s="4"/>
      <c r="K61" s="4"/>
      <c r="L61" s="500"/>
      <c r="M61" s="2674"/>
      <c r="N61" s="2675"/>
      <c r="O61" s="2674">
        <v>5000</v>
      </c>
      <c r="P61" s="2675"/>
    </row>
    <row r="62" spans="1:17" x14ac:dyDescent="0.25">
      <c r="B62" s="613" t="s">
        <v>842</v>
      </c>
      <c r="C62" s="2110" t="s">
        <v>21</v>
      </c>
      <c r="D62" s="2090"/>
      <c r="E62" s="2090"/>
      <c r="F62" s="2090"/>
      <c r="G62" s="4"/>
      <c r="H62" s="189"/>
      <c r="I62" s="2090" t="s">
        <v>21</v>
      </c>
      <c r="J62" s="2090"/>
      <c r="K62" s="2090"/>
      <c r="L62" s="2092"/>
      <c r="M62" s="2674"/>
      <c r="N62" s="2675"/>
      <c r="O62" s="2674"/>
      <c r="P62" s="2675"/>
    </row>
    <row r="63" spans="1:17" x14ac:dyDescent="0.25">
      <c r="B63" s="609" t="s">
        <v>105</v>
      </c>
      <c r="C63" s="211" t="s">
        <v>832</v>
      </c>
      <c r="D63" s="608"/>
      <c r="E63" s="213"/>
      <c r="F63" s="4"/>
      <c r="G63" s="4"/>
      <c r="H63" s="189"/>
      <c r="I63" s="4"/>
      <c r="J63" s="4"/>
      <c r="K63" s="4"/>
      <c r="L63" s="500"/>
      <c r="M63" s="2674">
        <v>72500</v>
      </c>
      <c r="N63" s="2675"/>
      <c r="O63" s="2674"/>
      <c r="P63" s="2675"/>
    </row>
    <row r="64" spans="1:17" x14ac:dyDescent="0.25">
      <c r="B64" s="609" t="s">
        <v>16</v>
      </c>
      <c r="C64" s="202"/>
      <c r="D64" s="608"/>
      <c r="E64" s="213"/>
      <c r="F64" s="20" t="s">
        <v>1</v>
      </c>
      <c r="G64" s="612" t="s">
        <v>835</v>
      </c>
      <c r="H64" s="189"/>
      <c r="I64" s="4"/>
      <c r="J64" s="4"/>
      <c r="K64" s="4"/>
      <c r="L64" s="500"/>
      <c r="M64" s="2674"/>
      <c r="N64" s="2675"/>
      <c r="O64" s="2674">
        <v>72500</v>
      </c>
      <c r="P64" s="2675"/>
    </row>
    <row r="65" spans="2:16" x14ac:dyDescent="0.25">
      <c r="B65" s="613" t="s">
        <v>843</v>
      </c>
      <c r="C65" s="2110" t="s">
        <v>21</v>
      </c>
      <c r="D65" s="2090"/>
      <c r="E65" s="2090"/>
      <c r="F65" s="2090"/>
      <c r="G65" s="4"/>
      <c r="H65" s="189"/>
      <c r="I65" s="2090" t="s">
        <v>21</v>
      </c>
      <c r="J65" s="2090"/>
      <c r="K65" s="2090"/>
      <c r="L65" s="2092"/>
      <c r="M65" s="2674"/>
      <c r="N65" s="2675"/>
      <c r="O65" s="2674"/>
      <c r="P65" s="2675"/>
    </row>
    <row r="66" spans="2:16" x14ac:dyDescent="0.25">
      <c r="B66" s="609" t="s">
        <v>15</v>
      </c>
      <c r="C66" s="211" t="s">
        <v>835</v>
      </c>
      <c r="D66" s="608"/>
      <c r="E66" s="213"/>
      <c r="F66" s="4"/>
      <c r="G66" s="4"/>
      <c r="H66" s="189"/>
      <c r="I66" s="4"/>
      <c r="J66" s="4"/>
      <c r="K66" s="4"/>
      <c r="L66" s="500"/>
      <c r="M66" s="2674">
        <v>90000</v>
      </c>
      <c r="N66" s="2675"/>
      <c r="O66" s="2674"/>
      <c r="P66" s="2675"/>
    </row>
    <row r="67" spans="2:16" x14ac:dyDescent="0.25">
      <c r="B67" s="609" t="s">
        <v>108</v>
      </c>
      <c r="C67" s="202"/>
      <c r="D67" s="608"/>
      <c r="E67" s="213"/>
      <c r="F67" s="20" t="s">
        <v>1</v>
      </c>
      <c r="G67" s="612" t="s">
        <v>832</v>
      </c>
      <c r="H67" s="189"/>
      <c r="I67" s="4"/>
      <c r="J67" s="4"/>
      <c r="K67" s="4"/>
      <c r="L67" s="500"/>
      <c r="M67" s="2674"/>
      <c r="N67" s="2675"/>
      <c r="O67" s="2674">
        <v>90000</v>
      </c>
      <c r="P67" s="2675"/>
    </row>
    <row r="68" spans="2:16" x14ac:dyDescent="0.25">
      <c r="B68" s="609"/>
      <c r="C68" s="101" t="s">
        <v>844</v>
      </c>
      <c r="D68" s="608"/>
      <c r="E68" s="213"/>
      <c r="F68" s="20"/>
      <c r="G68" s="612"/>
      <c r="H68" s="189"/>
      <c r="I68" s="4"/>
      <c r="J68" s="4"/>
      <c r="K68" s="4"/>
      <c r="L68" s="500"/>
      <c r="M68" s="220"/>
      <c r="N68" s="218"/>
      <c r="O68" s="220"/>
      <c r="P68" s="218"/>
    </row>
    <row r="69" spans="2:16" x14ac:dyDescent="0.25">
      <c r="B69" s="613" t="s">
        <v>845</v>
      </c>
      <c r="C69" s="2110" t="s">
        <v>21</v>
      </c>
      <c r="D69" s="2090"/>
      <c r="E69" s="2090"/>
      <c r="F69" s="2090"/>
      <c r="G69" s="4"/>
      <c r="H69" s="189"/>
      <c r="I69" s="2090" t="s">
        <v>21</v>
      </c>
      <c r="J69" s="2090"/>
      <c r="K69" s="2090"/>
      <c r="L69" s="2092"/>
      <c r="M69" s="2674"/>
      <c r="N69" s="2675"/>
      <c r="O69" s="2674"/>
      <c r="P69" s="2675"/>
    </row>
    <row r="70" spans="2:16" x14ac:dyDescent="0.25">
      <c r="B70" s="609" t="s">
        <v>15</v>
      </c>
      <c r="C70" s="211" t="s">
        <v>1335</v>
      </c>
      <c r="D70" s="608"/>
      <c r="E70" s="213"/>
      <c r="F70" s="4"/>
      <c r="G70" s="4"/>
      <c r="H70" s="189"/>
      <c r="I70" s="4"/>
      <c r="J70" s="4"/>
      <c r="K70" s="4"/>
      <c r="L70" s="500"/>
      <c r="M70" s="2674">
        <v>32000</v>
      </c>
      <c r="N70" s="2675"/>
      <c r="O70" s="2674"/>
      <c r="P70" s="2675"/>
    </row>
    <row r="71" spans="2:16" x14ac:dyDescent="0.25">
      <c r="B71" s="609" t="s">
        <v>17</v>
      </c>
      <c r="C71" s="8"/>
      <c r="D71" s="608"/>
      <c r="E71" s="213"/>
      <c r="F71" s="20" t="s">
        <v>1</v>
      </c>
      <c r="G71" s="612" t="s">
        <v>846</v>
      </c>
      <c r="H71" s="189"/>
      <c r="I71" s="4"/>
      <c r="J71" s="4"/>
      <c r="K71" s="4"/>
      <c r="L71" s="500"/>
      <c r="M71" s="2674"/>
      <c r="N71" s="2675"/>
      <c r="O71" s="2674">
        <f>+M70</f>
        <v>32000</v>
      </c>
      <c r="P71" s="2675"/>
    </row>
    <row r="72" spans="2:16" x14ac:dyDescent="0.25">
      <c r="B72" s="613" t="s">
        <v>847</v>
      </c>
      <c r="C72" s="2110" t="s">
        <v>21</v>
      </c>
      <c r="D72" s="2090"/>
      <c r="E72" s="2090"/>
      <c r="F72" s="2090"/>
      <c r="G72" s="4"/>
      <c r="H72" s="189"/>
      <c r="I72" s="2090" t="s">
        <v>21</v>
      </c>
      <c r="J72" s="2090"/>
      <c r="K72" s="2090"/>
      <c r="L72" s="2092"/>
      <c r="M72" s="2674"/>
      <c r="N72" s="2675"/>
      <c r="O72" s="2674"/>
      <c r="P72" s="2675"/>
    </row>
    <row r="73" spans="2:16" x14ac:dyDescent="0.25">
      <c r="B73" s="323"/>
      <c r="C73" s="3051" t="s">
        <v>848</v>
      </c>
      <c r="D73" s="3052"/>
      <c r="E73" s="3052"/>
      <c r="F73" s="3052"/>
      <c r="G73" s="3052"/>
      <c r="H73" s="3052"/>
      <c r="I73" s="3052"/>
      <c r="J73" s="3052"/>
      <c r="K73" s="3052"/>
      <c r="L73" s="3053"/>
      <c r="M73" s="220"/>
      <c r="N73" s="218"/>
      <c r="O73" s="220"/>
      <c r="P73" s="218"/>
    </row>
    <row r="74" spans="2:16" x14ac:dyDescent="0.25">
      <c r="B74" s="609"/>
      <c r="C74" s="3051"/>
      <c r="D74" s="3052"/>
      <c r="E74" s="3052"/>
      <c r="F74" s="3052"/>
      <c r="G74" s="3052"/>
      <c r="H74" s="3052"/>
      <c r="I74" s="3052"/>
      <c r="J74" s="3052"/>
      <c r="K74" s="3052"/>
      <c r="L74" s="3053"/>
      <c r="M74" s="2674"/>
      <c r="N74" s="2675"/>
      <c r="O74" s="2674"/>
      <c r="P74" s="2675"/>
    </row>
    <row r="75" spans="2:16" x14ac:dyDescent="0.25">
      <c r="B75" s="613" t="s">
        <v>849</v>
      </c>
      <c r="C75" s="2110" t="s">
        <v>21</v>
      </c>
      <c r="D75" s="2090"/>
      <c r="E75" s="2090"/>
      <c r="F75" s="2090"/>
      <c r="G75" s="4"/>
      <c r="H75" s="189"/>
      <c r="I75" s="2090" t="s">
        <v>21</v>
      </c>
      <c r="J75" s="2090"/>
      <c r="K75" s="2090"/>
      <c r="L75" s="2092"/>
      <c r="M75" s="220"/>
      <c r="N75" s="218"/>
      <c r="O75" s="220"/>
      <c r="P75" s="218"/>
    </row>
    <row r="76" spans="2:16" x14ac:dyDescent="0.25">
      <c r="B76" s="609" t="s">
        <v>11</v>
      </c>
      <c r="C76" s="211" t="s">
        <v>10</v>
      </c>
      <c r="D76" s="608"/>
      <c r="E76" s="213"/>
      <c r="F76" s="4"/>
      <c r="G76" s="4"/>
      <c r="H76" s="189"/>
      <c r="I76" s="4"/>
      <c r="J76" s="4"/>
      <c r="K76" s="4"/>
      <c r="L76" s="500"/>
      <c r="M76" s="2674">
        <v>2500</v>
      </c>
      <c r="N76" s="2675"/>
      <c r="O76" s="2674"/>
      <c r="P76" s="2675"/>
    </row>
    <row r="77" spans="2:16" x14ac:dyDescent="0.25">
      <c r="B77" s="609" t="s">
        <v>16</v>
      </c>
      <c r="C77" s="202"/>
      <c r="D77" s="608"/>
      <c r="E77" s="213"/>
      <c r="F77" s="20" t="s">
        <v>1</v>
      </c>
      <c r="G77" s="612" t="s">
        <v>835</v>
      </c>
      <c r="H77" s="189"/>
      <c r="I77" s="4"/>
      <c r="J77" s="4"/>
      <c r="K77" s="4"/>
      <c r="L77" s="500"/>
      <c r="M77" s="2674"/>
      <c r="N77" s="2675"/>
      <c r="O77" s="2674">
        <v>2500</v>
      </c>
      <c r="P77" s="2675"/>
    </row>
    <row r="78" spans="2:16" x14ac:dyDescent="0.25">
      <c r="B78" s="613" t="s">
        <v>850</v>
      </c>
      <c r="C78" s="2110" t="s">
        <v>21</v>
      </c>
      <c r="D78" s="2090"/>
      <c r="E78" s="2090"/>
      <c r="F78" s="2090"/>
      <c r="G78" s="4"/>
      <c r="H78" s="189"/>
      <c r="I78" s="2090" t="s">
        <v>21</v>
      </c>
      <c r="J78" s="2090"/>
      <c r="K78" s="2090"/>
      <c r="L78" s="2092"/>
      <c r="M78" s="2674"/>
      <c r="N78" s="2675"/>
      <c r="O78" s="2674"/>
      <c r="P78" s="2675"/>
    </row>
    <row r="79" spans="2:16" x14ac:dyDescent="0.25">
      <c r="B79" s="609" t="s">
        <v>15</v>
      </c>
      <c r="C79" s="211" t="s">
        <v>1336</v>
      </c>
      <c r="D79" s="608"/>
      <c r="E79" s="213"/>
      <c r="F79" s="4"/>
      <c r="G79" s="4"/>
      <c r="H79" s="189"/>
      <c r="I79" s="4"/>
      <c r="J79" s="4"/>
      <c r="K79" s="4"/>
      <c r="L79" s="500"/>
      <c r="M79" s="2674">
        <v>20000</v>
      </c>
      <c r="N79" s="2675"/>
      <c r="O79" s="2674"/>
      <c r="P79" s="2675"/>
    </row>
    <row r="80" spans="2:16" x14ac:dyDescent="0.25">
      <c r="B80" s="609" t="s">
        <v>17</v>
      </c>
      <c r="C80" s="202"/>
      <c r="D80" s="608"/>
      <c r="E80" s="213"/>
      <c r="F80" s="20" t="s">
        <v>1</v>
      </c>
      <c r="G80" s="612" t="s">
        <v>851</v>
      </c>
      <c r="H80" s="189"/>
      <c r="I80" s="4"/>
      <c r="J80" s="4"/>
      <c r="K80" s="4"/>
      <c r="L80" s="500"/>
      <c r="M80" s="2674"/>
      <c r="N80" s="2675"/>
      <c r="O80" s="2674">
        <v>20000</v>
      </c>
      <c r="P80" s="2675"/>
    </row>
    <row r="81" spans="2:16" x14ac:dyDescent="0.25">
      <c r="B81" s="613" t="s">
        <v>852</v>
      </c>
      <c r="C81" s="2110" t="s">
        <v>21</v>
      </c>
      <c r="D81" s="2090"/>
      <c r="E81" s="2090"/>
      <c r="F81" s="2090"/>
      <c r="G81" s="4"/>
      <c r="H81" s="189"/>
      <c r="I81" s="2090" t="s">
        <v>21</v>
      </c>
      <c r="J81" s="2090"/>
      <c r="K81" s="2090"/>
      <c r="L81" s="2092"/>
      <c r="M81" s="2674"/>
      <c r="N81" s="2675"/>
      <c r="O81" s="2674"/>
      <c r="P81" s="2675"/>
    </row>
    <row r="82" spans="2:16" x14ac:dyDescent="0.25">
      <c r="B82" s="609" t="s">
        <v>207</v>
      </c>
      <c r="C82" s="614" t="s">
        <v>851</v>
      </c>
      <c r="D82" s="608"/>
      <c r="E82" s="213"/>
      <c r="F82" s="4"/>
      <c r="G82" s="4"/>
      <c r="H82" s="189"/>
      <c r="I82" s="4"/>
      <c r="J82" s="4"/>
      <c r="K82" s="4"/>
      <c r="L82" s="500"/>
      <c r="M82" s="2674">
        <v>6000</v>
      </c>
      <c r="N82" s="2675"/>
      <c r="O82" s="2674"/>
      <c r="P82" s="2675"/>
    </row>
    <row r="83" spans="2:16" x14ac:dyDescent="0.25">
      <c r="B83" s="609" t="s">
        <v>853</v>
      </c>
      <c r="C83" s="202"/>
      <c r="D83" s="608"/>
      <c r="E83" s="213"/>
      <c r="F83" s="20" t="s">
        <v>1</v>
      </c>
      <c r="G83" s="612" t="s">
        <v>5</v>
      </c>
      <c r="H83" s="189"/>
      <c r="I83" s="4"/>
      <c r="J83" s="4"/>
      <c r="K83" s="4"/>
      <c r="L83" s="500"/>
      <c r="M83" s="2674"/>
      <c r="N83" s="2675"/>
      <c r="O83" s="2674">
        <v>6000</v>
      </c>
      <c r="P83" s="2675"/>
    </row>
    <row r="84" spans="2:16" x14ac:dyDescent="0.25">
      <c r="B84" s="609"/>
      <c r="C84" s="2110" t="s">
        <v>21</v>
      </c>
      <c r="D84" s="2090"/>
      <c r="E84" s="2090"/>
      <c r="F84" s="2090"/>
      <c r="G84" s="3050" t="s">
        <v>854</v>
      </c>
      <c r="H84" s="3050"/>
      <c r="I84" s="2090" t="s">
        <v>21</v>
      </c>
      <c r="J84" s="2090"/>
      <c r="K84" s="2090"/>
      <c r="L84" s="2092"/>
      <c r="M84" s="2674"/>
      <c r="N84" s="2675"/>
      <c r="O84" s="2674"/>
      <c r="P84" s="2675"/>
    </row>
    <row r="85" spans="2:16" x14ac:dyDescent="0.25">
      <c r="B85" s="609" t="s">
        <v>207</v>
      </c>
      <c r="C85" s="614" t="s">
        <v>851</v>
      </c>
      <c r="D85" s="608"/>
      <c r="E85" s="213"/>
      <c r="F85" s="4"/>
      <c r="G85" s="4"/>
      <c r="H85" s="189"/>
      <c r="I85" s="4"/>
      <c r="J85" s="4"/>
      <c r="K85" s="4"/>
      <c r="L85" s="500"/>
      <c r="M85" s="2674">
        <v>14000</v>
      </c>
      <c r="N85" s="2675"/>
      <c r="O85" s="2674"/>
      <c r="P85" s="2675"/>
    </row>
    <row r="86" spans="2:16" x14ac:dyDescent="0.25">
      <c r="B86" s="609" t="s">
        <v>16</v>
      </c>
      <c r="C86" s="202"/>
      <c r="D86" s="608"/>
      <c r="E86" s="213"/>
      <c r="F86" s="20" t="s">
        <v>1</v>
      </c>
      <c r="G86" s="215" t="s">
        <v>1336</v>
      </c>
      <c r="H86" s="189"/>
      <c r="I86" s="4"/>
      <c r="J86" s="4"/>
      <c r="K86" s="4"/>
      <c r="L86" s="500"/>
      <c r="M86" s="2674"/>
      <c r="N86" s="2675"/>
      <c r="O86" s="2674">
        <v>14000</v>
      </c>
      <c r="P86" s="2675"/>
    </row>
    <row r="87" spans="2:16" x14ac:dyDescent="0.25">
      <c r="B87" s="609"/>
      <c r="C87" s="105" t="s">
        <v>855</v>
      </c>
      <c r="D87" s="615"/>
      <c r="E87" s="224"/>
      <c r="F87" s="35"/>
      <c r="G87" s="226"/>
      <c r="H87" s="200"/>
      <c r="I87" s="3"/>
      <c r="J87" s="3"/>
      <c r="K87" s="3"/>
      <c r="L87" s="3"/>
      <c r="M87" s="231"/>
      <c r="N87" s="232"/>
      <c r="O87" s="231"/>
      <c r="P87" s="616"/>
    </row>
    <row r="88" spans="2:16" x14ac:dyDescent="0.2">
      <c r="B88" s="617"/>
      <c r="C88" s="618"/>
      <c r="D88" s="619"/>
      <c r="E88" s="618"/>
      <c r="F88" s="4"/>
      <c r="G88" s="4"/>
      <c r="H88" s="51"/>
      <c r="I88" s="4"/>
      <c r="J88" s="4"/>
      <c r="K88" s="4"/>
      <c r="L88" s="4"/>
      <c r="M88" s="3011"/>
      <c r="N88" s="3011"/>
      <c r="O88" s="3011"/>
      <c r="P88" s="3011"/>
    </row>
    <row r="89" spans="2:16" x14ac:dyDescent="0.25">
      <c r="C89" s="512" t="s">
        <v>856</v>
      </c>
    </row>
    <row r="90" spans="2:16" x14ac:dyDescent="0.25">
      <c r="C90" s="512"/>
    </row>
    <row r="91" spans="2:16" x14ac:dyDescent="0.25">
      <c r="C91" s="529" t="s">
        <v>721</v>
      </c>
      <c r="D91" s="112" t="s">
        <v>857</v>
      </c>
      <c r="F91" s="28" t="s">
        <v>858</v>
      </c>
    </row>
    <row r="92" spans="2:16" x14ac:dyDescent="0.25">
      <c r="D92" s="2"/>
    </row>
    <row r="93" spans="2:16" x14ac:dyDescent="0.25">
      <c r="F93" s="609" t="s">
        <v>15</v>
      </c>
      <c r="G93" s="620" t="s">
        <v>835</v>
      </c>
      <c r="H93" s="1"/>
      <c r="I93" s="610"/>
      <c r="J93" s="611"/>
      <c r="K93" s="1"/>
      <c r="L93" s="1"/>
      <c r="M93" s="2682">
        <v>17500</v>
      </c>
      <c r="N93" s="2684"/>
      <c r="O93" s="2683"/>
      <c r="P93" s="2684"/>
    </row>
    <row r="94" spans="2:16" x14ac:dyDescent="0.25">
      <c r="F94" s="609" t="s">
        <v>108</v>
      </c>
      <c r="G94" s="621" t="s">
        <v>859</v>
      </c>
      <c r="H94" s="3"/>
      <c r="I94" s="615"/>
      <c r="J94" s="224"/>
      <c r="K94" s="3"/>
      <c r="L94" s="3"/>
      <c r="M94" s="2676"/>
      <c r="N94" s="2677"/>
      <c r="O94" s="2728">
        <v>17500</v>
      </c>
      <c r="P94" s="2677"/>
    </row>
    <row r="96" spans="2:16" x14ac:dyDescent="0.25">
      <c r="C96" s="529" t="s">
        <v>721</v>
      </c>
      <c r="D96" s="112" t="s">
        <v>860</v>
      </c>
      <c r="F96" s="28" t="s">
        <v>861</v>
      </c>
    </row>
    <row r="100" spans="1:17" s="4" customFormat="1" x14ac:dyDescent="0.25">
      <c r="B100" s="189"/>
      <c r="C100" s="12"/>
      <c r="D100" s="12"/>
      <c r="E100" s="12"/>
      <c r="F100" s="12"/>
      <c r="G100" s="51"/>
      <c r="H100" s="51"/>
      <c r="M100" s="18"/>
      <c r="N100" s="18"/>
      <c r="O100" s="18"/>
      <c r="P100" s="18"/>
    </row>
    <row r="101" spans="1:17" s="4" customFormat="1" x14ac:dyDescent="0.25">
      <c r="A101" s="3"/>
      <c r="B101" s="200"/>
      <c r="C101" s="11"/>
      <c r="D101" s="11"/>
      <c r="E101" s="11"/>
      <c r="F101" s="11"/>
      <c r="G101" s="24"/>
      <c r="H101" s="24"/>
      <c r="I101" s="3"/>
      <c r="J101" s="3"/>
      <c r="K101" s="3"/>
      <c r="L101" s="3"/>
      <c r="M101" s="22"/>
      <c r="N101" s="22"/>
      <c r="O101" s="22"/>
      <c r="P101" s="22"/>
      <c r="Q101" s="3"/>
    </row>
    <row r="102" spans="1:17" s="4" customFormat="1" x14ac:dyDescent="0.25">
      <c r="A102" s="1844" t="s">
        <v>20</v>
      </c>
      <c r="B102" s="1845"/>
      <c r="C102" s="1845"/>
      <c r="D102" s="1845"/>
      <c r="E102" s="1845"/>
      <c r="F102" s="1845"/>
      <c r="G102" s="1845"/>
      <c r="H102" s="1845"/>
      <c r="I102" s="1845"/>
      <c r="J102" s="1845"/>
      <c r="K102" s="1845"/>
      <c r="L102" s="1845"/>
      <c r="M102" s="1845"/>
      <c r="N102" s="1845"/>
      <c r="O102" s="1845"/>
      <c r="P102" s="1845"/>
      <c r="Q102" s="1846"/>
    </row>
    <row r="103" spans="1:17" s="4" customFormat="1" x14ac:dyDescent="0.25">
      <c r="A103" s="1847" t="s">
        <v>862</v>
      </c>
      <c r="B103" s="1848"/>
      <c r="C103" s="1848"/>
      <c r="D103" s="1848"/>
      <c r="E103" s="1848"/>
      <c r="F103" s="1848"/>
      <c r="G103" s="1848"/>
      <c r="H103" s="1848"/>
      <c r="I103" s="1848"/>
      <c r="J103" s="1848"/>
      <c r="K103" s="1848"/>
      <c r="L103" s="1848"/>
      <c r="M103" s="1848"/>
      <c r="N103" s="1848"/>
      <c r="O103" s="1848"/>
      <c r="P103" s="1848"/>
      <c r="Q103" s="1849"/>
    </row>
    <row r="104" spans="1:17" s="4" customFormat="1" x14ac:dyDescent="0.25">
      <c r="B104" s="189"/>
      <c r="C104" s="12"/>
      <c r="D104" s="12"/>
      <c r="E104" s="12"/>
      <c r="F104" s="12"/>
      <c r="G104" s="51"/>
      <c r="H104" s="51"/>
      <c r="M104" s="18"/>
      <c r="N104" s="18"/>
      <c r="O104" s="18"/>
      <c r="P104" s="18"/>
    </row>
    <row r="105" spans="1:17" s="4" customFormat="1" x14ac:dyDescent="0.25">
      <c r="B105" s="622" t="s">
        <v>645</v>
      </c>
      <c r="C105" s="623"/>
      <c r="D105" s="12"/>
      <c r="E105" s="12"/>
      <c r="F105" s="12"/>
      <c r="G105" s="51"/>
      <c r="H105" s="51"/>
      <c r="M105" s="18"/>
      <c r="N105" s="18"/>
      <c r="O105" s="18"/>
      <c r="P105" s="18"/>
    </row>
    <row r="106" spans="1:17" s="4" customFormat="1" x14ac:dyDescent="0.25">
      <c r="B106" s="623"/>
      <c r="C106" s="623"/>
      <c r="D106" s="12"/>
      <c r="E106" s="12"/>
      <c r="F106" s="12"/>
      <c r="G106" s="51"/>
      <c r="H106" s="51"/>
      <c r="M106" s="18"/>
      <c r="N106" s="18"/>
      <c r="O106" s="18"/>
      <c r="P106" s="18"/>
    </row>
    <row r="107" spans="1:17" s="4" customFormat="1" x14ac:dyDescent="0.25">
      <c r="B107" s="624" t="s">
        <v>863</v>
      </c>
      <c r="C107" s="625"/>
      <c r="D107" s="626"/>
      <c r="E107" s="626"/>
      <c r="F107" s="626"/>
      <c r="G107" s="625"/>
      <c r="H107" s="625"/>
      <c r="I107" s="625"/>
      <c r="J107" s="3048">
        <v>1920</v>
      </c>
      <c r="K107" s="3048"/>
      <c r="M107" s="18"/>
      <c r="N107" s="18"/>
      <c r="O107" s="18"/>
      <c r="P107" s="18"/>
    </row>
    <row r="108" spans="1:17" s="4" customFormat="1" x14ac:dyDescent="0.25">
      <c r="B108" s="627" t="s">
        <v>370</v>
      </c>
      <c r="C108" s="628" t="s">
        <v>864</v>
      </c>
      <c r="D108" s="626"/>
      <c r="E108" s="626"/>
      <c r="F108" s="626"/>
      <c r="G108" s="625"/>
      <c r="H108" s="625"/>
      <c r="I108" s="625"/>
      <c r="J108" s="3047">
        <v>-50</v>
      </c>
      <c r="K108" s="3047"/>
      <c r="L108" s="629" t="s">
        <v>865</v>
      </c>
      <c r="M108" s="630" t="s">
        <v>866</v>
      </c>
      <c r="N108" s="631" t="s">
        <v>867</v>
      </c>
      <c r="O108" s="18"/>
    </row>
    <row r="109" spans="1:17" s="4" customFormat="1" x14ac:dyDescent="0.25">
      <c r="B109" s="627" t="s">
        <v>688</v>
      </c>
      <c r="C109" s="628" t="s">
        <v>868</v>
      </c>
      <c r="D109" s="626"/>
      <c r="E109" s="626"/>
      <c r="F109" s="626"/>
      <c r="G109" s="625"/>
      <c r="H109" s="625"/>
      <c r="I109" s="625"/>
      <c r="J109" s="3047">
        <v>2000</v>
      </c>
      <c r="K109" s="3047"/>
      <c r="L109" s="629" t="s">
        <v>865</v>
      </c>
      <c r="M109" s="630" t="s">
        <v>866</v>
      </c>
      <c r="N109" s="631" t="s">
        <v>869</v>
      </c>
      <c r="O109" s="631"/>
    </row>
    <row r="110" spans="1:17" s="4" customFormat="1" x14ac:dyDescent="0.25">
      <c r="B110" s="627" t="s">
        <v>688</v>
      </c>
      <c r="C110" s="628" t="s">
        <v>870</v>
      </c>
      <c r="D110" s="626"/>
      <c r="E110" s="626"/>
      <c r="F110" s="626"/>
      <c r="G110" s="625"/>
      <c r="H110" s="625"/>
      <c r="I110" s="625"/>
      <c r="J110" s="3047">
        <v>180</v>
      </c>
      <c r="K110" s="3047"/>
      <c r="L110" s="632" t="s">
        <v>865</v>
      </c>
      <c r="M110" s="633" t="s">
        <v>871</v>
      </c>
      <c r="N110" s="18"/>
      <c r="O110" s="18"/>
      <c r="P110" s="18"/>
    </row>
    <row r="111" spans="1:17" s="4" customFormat="1" x14ac:dyDescent="0.25">
      <c r="B111" s="624" t="s">
        <v>872</v>
      </c>
      <c r="C111" s="625"/>
      <c r="D111" s="626"/>
      <c r="E111" s="626"/>
      <c r="F111" s="626"/>
      <c r="G111" s="625"/>
      <c r="H111" s="625"/>
      <c r="I111" s="625"/>
      <c r="J111" s="3048">
        <v>4050</v>
      </c>
      <c r="K111" s="3048"/>
      <c r="M111" s="18"/>
      <c r="N111" s="18"/>
      <c r="O111" s="18"/>
      <c r="P111" s="18"/>
    </row>
    <row r="112" spans="1:17" s="4" customFormat="1" x14ac:dyDescent="0.25">
      <c r="B112" s="213"/>
      <c r="D112" s="12"/>
      <c r="E112" s="12"/>
      <c r="F112" s="12"/>
      <c r="G112" s="3043"/>
      <c r="H112" s="3043"/>
      <c r="M112" s="18"/>
      <c r="N112" s="18"/>
      <c r="O112" s="18"/>
      <c r="P112" s="18"/>
    </row>
    <row r="113" spans="2:16" s="4" customFormat="1" x14ac:dyDescent="0.25">
      <c r="B113" s="634" t="s">
        <v>873</v>
      </c>
      <c r="C113" s="213"/>
      <c r="D113" s="213"/>
      <c r="E113" s="213"/>
      <c r="H113" s="3012" t="s">
        <v>9</v>
      </c>
      <c r="I113" s="3012"/>
      <c r="J113" s="3012" t="s">
        <v>8</v>
      </c>
      <c r="K113" s="3012"/>
      <c r="M113" s="18"/>
      <c r="N113" s="18"/>
      <c r="O113" s="18"/>
      <c r="P113" s="18"/>
    </row>
    <row r="114" spans="2:16" s="4" customFormat="1" x14ac:dyDescent="0.25">
      <c r="B114" s="635" t="s">
        <v>15</v>
      </c>
      <c r="C114" s="636" t="s">
        <v>874</v>
      </c>
      <c r="D114" s="611"/>
      <c r="E114" s="611"/>
      <c r="F114" s="1"/>
      <c r="G114" s="637"/>
      <c r="H114" s="1963">
        <v>50</v>
      </c>
      <c r="I114" s="1964"/>
      <c r="J114" s="121"/>
      <c r="K114" s="638"/>
      <c r="M114" s="18"/>
      <c r="N114" s="18"/>
      <c r="O114" s="18"/>
      <c r="P114" s="18"/>
    </row>
    <row r="115" spans="2:16" s="4" customFormat="1" x14ac:dyDescent="0.25">
      <c r="B115" s="635" t="s">
        <v>14</v>
      </c>
      <c r="C115" s="639" t="s">
        <v>875</v>
      </c>
      <c r="D115" s="213"/>
      <c r="E115" s="213"/>
      <c r="G115" s="640"/>
      <c r="H115" s="1953"/>
      <c r="I115" s="1954"/>
      <c r="J115" s="1953">
        <v>50</v>
      </c>
      <c r="K115" s="1954"/>
      <c r="M115" s="18"/>
      <c r="N115" s="18"/>
      <c r="O115" s="18"/>
      <c r="P115" s="18"/>
    </row>
    <row r="116" spans="2:16" s="4" customFormat="1" x14ac:dyDescent="0.25">
      <c r="B116" s="634" t="s">
        <v>876</v>
      </c>
      <c r="C116" s="2110" t="s">
        <v>877</v>
      </c>
      <c r="D116" s="2090"/>
      <c r="E116" s="641"/>
      <c r="F116" s="2090" t="s">
        <v>877</v>
      </c>
      <c r="G116" s="2092"/>
      <c r="H116" s="325"/>
      <c r="I116" s="326"/>
      <c r="J116" s="325"/>
      <c r="K116" s="326"/>
      <c r="M116" s="18"/>
      <c r="N116" s="18"/>
      <c r="O116" s="18"/>
      <c r="P116" s="18"/>
    </row>
    <row r="117" spans="2:16" s="4" customFormat="1" x14ac:dyDescent="0.25">
      <c r="B117" s="635" t="s">
        <v>11</v>
      </c>
      <c r="C117" s="639" t="s">
        <v>22</v>
      </c>
      <c r="D117" s="213"/>
      <c r="E117" s="213"/>
      <c r="F117" s="213"/>
      <c r="G117" s="642"/>
      <c r="H117" s="1953">
        <v>2000</v>
      </c>
      <c r="I117" s="1954"/>
      <c r="J117" s="1953"/>
      <c r="K117" s="1954"/>
      <c r="M117" s="18"/>
      <c r="N117" s="18"/>
      <c r="O117" s="18"/>
      <c r="P117" s="18"/>
    </row>
    <row r="118" spans="2:16" s="4" customFormat="1" x14ac:dyDescent="0.25">
      <c r="B118" s="635" t="s">
        <v>17</v>
      </c>
      <c r="C118" s="643" t="s">
        <v>878</v>
      </c>
      <c r="D118" s="224"/>
      <c r="E118" s="224"/>
      <c r="F118" s="224"/>
      <c r="G118" s="644"/>
      <c r="H118" s="1956"/>
      <c r="I118" s="1957"/>
      <c r="J118" s="1956">
        <f>+H117</f>
        <v>2000</v>
      </c>
      <c r="K118" s="1957"/>
      <c r="M118" s="18"/>
      <c r="N118" s="18"/>
      <c r="O118" s="18"/>
      <c r="P118" s="18"/>
    </row>
    <row r="119" spans="2:16" s="4" customFormat="1" x14ac:dyDescent="0.25">
      <c r="B119" s="645"/>
      <c r="C119" s="213"/>
      <c r="D119" s="213"/>
      <c r="E119" s="213"/>
      <c r="F119" s="213"/>
      <c r="G119" s="213"/>
      <c r="H119" s="189"/>
      <c r="M119" s="18"/>
      <c r="N119" s="18"/>
      <c r="O119" s="18"/>
      <c r="P119" s="18"/>
    </row>
    <row r="120" spans="2:16" s="4" customFormat="1" x14ac:dyDescent="0.25">
      <c r="B120" s="189"/>
      <c r="C120" s="12"/>
      <c r="D120" s="12"/>
      <c r="E120" s="12"/>
      <c r="F120" s="12"/>
      <c r="G120" s="189"/>
      <c r="H120" s="189"/>
      <c r="M120" s="18"/>
      <c r="N120" s="18"/>
      <c r="O120" s="18"/>
      <c r="P120" s="18"/>
    </row>
    <row r="121" spans="2:16" s="4" customFormat="1" x14ac:dyDescent="0.25">
      <c r="B121" s="258" t="s">
        <v>879</v>
      </c>
      <c r="C121" s="12"/>
      <c r="D121" s="12"/>
      <c r="E121" s="12"/>
      <c r="F121" s="12"/>
      <c r="G121" s="189"/>
      <c r="H121" s="189"/>
      <c r="M121" s="18"/>
      <c r="N121" s="18"/>
      <c r="O121" s="18"/>
      <c r="P121" s="18"/>
    </row>
    <row r="122" spans="2:16" s="4" customFormat="1" x14ac:dyDescent="0.25">
      <c r="B122" s="189"/>
      <c r="C122" s="12"/>
      <c r="D122" s="12"/>
      <c r="E122" s="12"/>
      <c r="F122" s="12"/>
      <c r="G122" s="189"/>
      <c r="H122" s="189"/>
      <c r="M122" s="18"/>
      <c r="N122" s="18"/>
      <c r="O122" s="18"/>
      <c r="P122" s="18"/>
    </row>
    <row r="123" spans="2:16" s="4" customFormat="1" x14ac:dyDescent="0.25">
      <c r="B123" s="624" t="s">
        <v>863</v>
      </c>
      <c r="C123" s="625"/>
      <c r="D123" s="626"/>
      <c r="E123" s="626"/>
      <c r="F123" s="626"/>
      <c r="G123" s="625"/>
      <c r="H123" s="625"/>
      <c r="I123" s="625"/>
      <c r="J123" s="3048">
        <v>4500</v>
      </c>
      <c r="K123" s="3048"/>
      <c r="M123" s="18"/>
      <c r="N123" s="18"/>
      <c r="O123" s="18"/>
      <c r="P123" s="18"/>
    </row>
    <row r="124" spans="2:16" s="4" customFormat="1" x14ac:dyDescent="0.25">
      <c r="B124" s="625" t="s">
        <v>370</v>
      </c>
      <c r="C124" s="628" t="s">
        <v>880</v>
      </c>
      <c r="D124" s="626"/>
      <c r="E124" s="626"/>
      <c r="F124" s="626"/>
      <c r="G124" s="625"/>
      <c r="H124" s="625"/>
      <c r="I124" s="625"/>
      <c r="J124" s="3047">
        <v>-1300</v>
      </c>
      <c r="K124" s="3047"/>
      <c r="L124" s="632" t="s">
        <v>865</v>
      </c>
      <c r="M124" s="633" t="s">
        <v>871</v>
      </c>
      <c r="N124" s="18"/>
      <c r="O124" s="18"/>
      <c r="P124" s="18"/>
    </row>
    <row r="125" spans="2:16" s="4" customFormat="1" x14ac:dyDescent="0.25">
      <c r="B125" s="625" t="s">
        <v>370</v>
      </c>
      <c r="C125" s="646" t="s">
        <v>881</v>
      </c>
      <c r="D125" s="626"/>
      <c r="E125" s="626"/>
      <c r="F125" s="626"/>
      <c r="G125" s="625"/>
      <c r="H125" s="625"/>
      <c r="I125" s="625"/>
      <c r="J125" s="3047">
        <f>210-120</f>
        <v>90</v>
      </c>
      <c r="K125" s="3047"/>
      <c r="L125" s="629" t="s">
        <v>865</v>
      </c>
      <c r="M125" s="630" t="s">
        <v>866</v>
      </c>
      <c r="N125" s="18"/>
      <c r="O125" s="18"/>
      <c r="P125" s="631" t="s">
        <v>882</v>
      </c>
    </row>
    <row r="126" spans="2:16" s="4" customFormat="1" x14ac:dyDescent="0.25">
      <c r="B126" s="625" t="s">
        <v>688</v>
      </c>
      <c r="C126" s="628" t="s">
        <v>883</v>
      </c>
      <c r="D126" s="626"/>
      <c r="E126" s="626"/>
      <c r="F126" s="626"/>
      <c r="G126" s="625"/>
      <c r="H126" s="625"/>
      <c r="I126" s="625"/>
      <c r="J126" s="3047">
        <v>1000</v>
      </c>
      <c r="K126" s="3047"/>
      <c r="L126" s="632" t="s">
        <v>865</v>
      </c>
      <c r="M126" s="633" t="s">
        <v>884</v>
      </c>
      <c r="N126" s="18"/>
      <c r="O126" s="18"/>
      <c r="P126" s="631" t="s">
        <v>885</v>
      </c>
    </row>
    <row r="127" spans="2:16" s="4" customFormat="1" x14ac:dyDescent="0.25">
      <c r="B127" s="625" t="s">
        <v>688</v>
      </c>
      <c r="C127" s="646" t="s">
        <v>886</v>
      </c>
      <c r="D127" s="626"/>
      <c r="E127" s="626"/>
      <c r="F127" s="626"/>
      <c r="G127" s="625"/>
      <c r="H127" s="625"/>
      <c r="I127" s="625"/>
      <c r="J127" s="3047">
        <v>4000</v>
      </c>
      <c r="K127" s="3047"/>
      <c r="L127" s="629" t="s">
        <v>865</v>
      </c>
      <c r="M127" s="630" t="s">
        <v>866</v>
      </c>
      <c r="N127" s="18"/>
      <c r="O127" s="18"/>
      <c r="P127" s="631" t="s">
        <v>887</v>
      </c>
    </row>
    <row r="128" spans="2:16" s="4" customFormat="1" x14ac:dyDescent="0.25">
      <c r="B128" s="624" t="s">
        <v>872</v>
      </c>
      <c r="C128" s="625"/>
      <c r="D128" s="626"/>
      <c r="E128" s="626"/>
      <c r="F128" s="626"/>
      <c r="G128" s="625"/>
      <c r="H128" s="625"/>
      <c r="I128" s="625"/>
      <c r="J128" s="3048">
        <f>+SUM(J123:K127)</f>
        <v>8290</v>
      </c>
      <c r="K128" s="3048"/>
      <c r="M128" s="18"/>
      <c r="N128" s="18"/>
      <c r="O128" s="18"/>
      <c r="P128" s="18"/>
    </row>
    <row r="129" spans="2:16" s="4" customFormat="1" x14ac:dyDescent="0.25">
      <c r="B129" s="647"/>
      <c r="D129" s="12"/>
      <c r="E129" s="12"/>
      <c r="F129" s="12"/>
      <c r="G129" s="3043"/>
      <c r="H129" s="3043"/>
      <c r="J129" s="3049"/>
      <c r="K129" s="3049"/>
      <c r="M129" s="18"/>
      <c r="N129" s="18"/>
      <c r="O129" s="18"/>
      <c r="P129" s="18"/>
    </row>
    <row r="130" spans="2:16" s="4" customFormat="1" x14ac:dyDescent="0.25">
      <c r="B130" s="189"/>
      <c r="C130" s="12"/>
      <c r="D130" s="12"/>
      <c r="E130" s="12"/>
      <c r="F130" s="12"/>
      <c r="G130" s="3043"/>
      <c r="H130" s="3043"/>
      <c r="M130" s="18"/>
      <c r="N130" s="18"/>
      <c r="O130" s="18"/>
      <c r="P130" s="18"/>
    </row>
    <row r="131" spans="2:16" s="4" customFormat="1" x14ac:dyDescent="0.25">
      <c r="B131" s="634" t="s">
        <v>888</v>
      </c>
      <c r="C131" s="213"/>
      <c r="D131" s="648"/>
      <c r="E131" s="332"/>
      <c r="H131" s="3043" t="s">
        <v>9</v>
      </c>
      <c r="I131" s="3043"/>
      <c r="J131" s="3044" t="s">
        <v>8</v>
      </c>
      <c r="K131" s="3044"/>
      <c r="M131" s="18"/>
      <c r="N131" s="18"/>
      <c r="O131" s="18"/>
      <c r="P131" s="18"/>
    </row>
    <row r="132" spans="2:16" s="4" customFormat="1" x14ac:dyDescent="0.25">
      <c r="B132" s="635" t="s">
        <v>11</v>
      </c>
      <c r="C132" s="620" t="s">
        <v>23</v>
      </c>
      <c r="D132" s="335"/>
      <c r="E132" s="335"/>
      <c r="F132" s="1"/>
      <c r="G132" s="1"/>
      <c r="H132" s="3045">
        <v>90</v>
      </c>
      <c r="I132" s="3046"/>
      <c r="J132" s="3045"/>
      <c r="K132" s="3046"/>
      <c r="M132" s="18"/>
      <c r="N132" s="18"/>
      <c r="O132" s="18"/>
      <c r="P132" s="18"/>
    </row>
    <row r="133" spans="2:16" s="4" customFormat="1" x14ac:dyDescent="0.25">
      <c r="B133" s="635" t="s">
        <v>17</v>
      </c>
      <c r="C133" s="649" t="s">
        <v>878</v>
      </c>
      <c r="D133" s="215"/>
      <c r="E133" s="215"/>
      <c r="H133" s="3036"/>
      <c r="I133" s="3037"/>
      <c r="J133" s="3036">
        <v>90</v>
      </c>
      <c r="K133" s="3037"/>
      <c r="M133" s="18"/>
      <c r="N133" s="18"/>
      <c r="O133" s="18"/>
      <c r="P133" s="18"/>
    </row>
    <row r="134" spans="2:16" s="4" customFormat="1" x14ac:dyDescent="0.25">
      <c r="B134" s="634" t="s">
        <v>888</v>
      </c>
      <c r="C134" s="2110" t="s">
        <v>877</v>
      </c>
      <c r="D134" s="2090"/>
      <c r="E134" s="641"/>
      <c r="F134" s="2090" t="s">
        <v>877</v>
      </c>
      <c r="G134" s="2090"/>
      <c r="H134" s="650"/>
      <c r="I134" s="651"/>
      <c r="J134" s="650"/>
      <c r="K134" s="651"/>
      <c r="M134" s="18"/>
      <c r="N134" s="18"/>
      <c r="O134" s="18"/>
      <c r="P134" s="18"/>
    </row>
    <row r="135" spans="2:16" s="4" customFormat="1" x14ac:dyDescent="0.25">
      <c r="B135" s="635" t="s">
        <v>11</v>
      </c>
      <c r="C135" s="649" t="s">
        <v>23</v>
      </c>
      <c r="D135" s="215"/>
      <c r="E135" s="215"/>
      <c r="H135" s="3036">
        <v>700</v>
      </c>
      <c r="I135" s="3037"/>
      <c r="J135" s="650"/>
      <c r="K135" s="651"/>
      <c r="M135" s="18"/>
      <c r="N135" s="18"/>
      <c r="O135" s="18"/>
      <c r="P135" s="18"/>
    </row>
    <row r="136" spans="2:16" s="4" customFormat="1" x14ac:dyDescent="0.25">
      <c r="B136" s="635" t="s">
        <v>17</v>
      </c>
      <c r="C136" s="649" t="s">
        <v>878</v>
      </c>
      <c r="D136" s="215"/>
      <c r="E136" s="215"/>
      <c r="H136" s="650"/>
      <c r="I136" s="651"/>
      <c r="J136" s="3036">
        <v>700</v>
      </c>
      <c r="K136" s="3037"/>
      <c r="M136" s="18"/>
      <c r="N136" s="18"/>
      <c r="O136" s="18"/>
      <c r="P136" s="18"/>
    </row>
    <row r="137" spans="2:16" s="4" customFormat="1" x14ac:dyDescent="0.25">
      <c r="B137" s="634" t="s">
        <v>889</v>
      </c>
      <c r="C137" s="2110" t="s">
        <v>877</v>
      </c>
      <c r="D137" s="2090"/>
      <c r="E137" s="641"/>
      <c r="F137" s="2090" t="s">
        <v>877</v>
      </c>
      <c r="G137" s="2090"/>
      <c r="H137" s="3036"/>
      <c r="I137" s="3037"/>
      <c r="J137" s="3036"/>
      <c r="K137" s="3037"/>
      <c r="M137" s="18"/>
      <c r="N137" s="18"/>
      <c r="O137" s="18"/>
      <c r="P137" s="18"/>
    </row>
    <row r="138" spans="2:16" s="4" customFormat="1" x14ac:dyDescent="0.25">
      <c r="B138" s="635" t="s">
        <v>11</v>
      </c>
      <c r="C138" s="649" t="s">
        <v>23</v>
      </c>
      <c r="D138" s="215"/>
      <c r="E138" s="215"/>
      <c r="H138" s="3036">
        <v>4000</v>
      </c>
      <c r="I138" s="3037"/>
      <c r="J138" s="3036"/>
      <c r="K138" s="3037"/>
      <c r="M138" s="18"/>
      <c r="N138" s="18"/>
      <c r="O138" s="18"/>
      <c r="P138" s="18"/>
    </row>
    <row r="139" spans="2:16" s="4" customFormat="1" x14ac:dyDescent="0.25">
      <c r="B139" s="635" t="s">
        <v>17</v>
      </c>
      <c r="C139" s="652" t="s">
        <v>890</v>
      </c>
      <c r="D139" s="226"/>
      <c r="E139" s="226"/>
      <c r="F139" s="3"/>
      <c r="G139" s="3"/>
      <c r="H139" s="3038"/>
      <c r="I139" s="3039"/>
      <c r="J139" s="3038">
        <v>4000</v>
      </c>
      <c r="K139" s="3039"/>
      <c r="M139" s="18"/>
      <c r="N139" s="18"/>
      <c r="O139" s="18"/>
      <c r="P139" s="18"/>
    </row>
    <row r="140" spans="2:16" s="4" customFormat="1" x14ac:dyDescent="0.25">
      <c r="B140" s="189"/>
      <c r="C140" s="645"/>
      <c r="D140" s="3040"/>
      <c r="E140" s="3040"/>
      <c r="F140" s="3040"/>
      <c r="G140" s="653"/>
      <c r="H140" s="213"/>
      <c r="M140" s="18"/>
      <c r="N140" s="18"/>
      <c r="O140" s="18"/>
      <c r="P140" s="18"/>
    </row>
    <row r="141" spans="2:16" s="4" customFormat="1" x14ac:dyDescent="0.25">
      <c r="B141" s="189"/>
      <c r="C141" s="645"/>
      <c r="D141" s="208"/>
      <c r="E141" s="208"/>
      <c r="F141" s="208"/>
      <c r="G141" s="653"/>
      <c r="H141" s="213"/>
      <c r="M141" s="18"/>
      <c r="N141" s="18"/>
      <c r="O141" s="18"/>
      <c r="P141" s="18"/>
    </row>
    <row r="142" spans="2:16" s="4" customFormat="1" x14ac:dyDescent="0.25">
      <c r="B142" s="189"/>
      <c r="C142" s="645"/>
      <c r="D142" s="208"/>
      <c r="E142" s="208"/>
      <c r="F142" s="208"/>
      <c r="G142" s="653"/>
      <c r="H142" s="213"/>
      <c r="M142" s="18"/>
      <c r="N142" s="18"/>
      <c r="O142" s="18"/>
      <c r="P142" s="18"/>
    </row>
    <row r="143" spans="2:16" s="4" customFormat="1" x14ac:dyDescent="0.25">
      <c r="B143" s="189"/>
      <c r="C143" s="645"/>
      <c r="D143" s="208"/>
      <c r="E143" s="208"/>
      <c r="F143" s="208"/>
      <c r="G143" s="653"/>
      <c r="H143" s="213"/>
      <c r="M143" s="18"/>
      <c r="N143" s="18"/>
      <c r="O143" s="18"/>
      <c r="P143" s="18"/>
    </row>
    <row r="144" spans="2:16" s="4" customFormat="1" x14ac:dyDescent="0.25">
      <c r="B144" s="189"/>
      <c r="C144" s="645"/>
      <c r="D144" s="208"/>
      <c r="E144" s="208"/>
      <c r="F144" s="208"/>
      <c r="G144" s="653"/>
      <c r="H144" s="213"/>
      <c r="M144" s="18"/>
      <c r="N144" s="18"/>
      <c r="O144" s="18"/>
      <c r="P144" s="18"/>
    </row>
    <row r="145" spans="1:17" s="4" customFormat="1" x14ac:dyDescent="0.25">
      <c r="B145" s="189"/>
      <c r="C145" s="645"/>
      <c r="D145" s="208"/>
      <c r="E145" s="208"/>
      <c r="F145" s="208"/>
      <c r="G145" s="653"/>
      <c r="H145" s="213"/>
      <c r="M145" s="18"/>
      <c r="N145" s="18"/>
      <c r="O145" s="18"/>
      <c r="P145" s="18"/>
    </row>
    <row r="146" spans="1:17" s="4" customFormat="1" x14ac:dyDescent="0.25">
      <c r="B146" s="189"/>
      <c r="C146" s="645"/>
      <c r="D146" s="208"/>
      <c r="E146" s="208"/>
      <c r="F146" s="208"/>
      <c r="G146" s="653"/>
      <c r="H146" s="213"/>
      <c r="M146" s="18"/>
      <c r="N146" s="18"/>
      <c r="O146" s="18"/>
      <c r="P146" s="18"/>
    </row>
    <row r="147" spans="1:17" s="4" customFormat="1" x14ac:dyDescent="0.25">
      <c r="B147" s="189"/>
      <c r="C147" s="645"/>
      <c r="D147" s="208"/>
      <c r="E147" s="208"/>
      <c r="F147" s="208"/>
      <c r="G147" s="653"/>
      <c r="H147" s="213"/>
      <c r="M147" s="18"/>
      <c r="N147" s="18"/>
      <c r="O147" s="18"/>
      <c r="P147" s="18"/>
    </row>
    <row r="148" spans="1:17" s="4" customFormat="1" x14ac:dyDescent="0.25">
      <c r="B148" s="189"/>
      <c r="C148" s="645"/>
      <c r="D148" s="208"/>
      <c r="E148" s="208"/>
      <c r="F148" s="208"/>
      <c r="G148" s="653"/>
      <c r="H148" s="213"/>
      <c r="M148" s="18"/>
      <c r="N148" s="18"/>
      <c r="O148" s="18"/>
      <c r="P148" s="18"/>
    </row>
    <row r="149" spans="1:17" s="4" customFormat="1" x14ac:dyDescent="0.25">
      <c r="B149" s="189"/>
      <c r="C149" s="645"/>
      <c r="D149" s="208"/>
      <c r="E149" s="208"/>
      <c r="F149" s="208"/>
      <c r="G149" s="653"/>
      <c r="H149" s="213"/>
      <c r="M149" s="18"/>
      <c r="N149" s="18"/>
      <c r="O149" s="18"/>
      <c r="P149" s="18"/>
    </row>
    <row r="150" spans="1:17" s="4" customFormat="1" x14ac:dyDescent="0.25">
      <c r="B150" s="189"/>
      <c r="C150" s="645"/>
      <c r="D150" s="208"/>
      <c r="E150" s="208"/>
      <c r="F150" s="208"/>
      <c r="G150" s="653"/>
      <c r="H150" s="213"/>
      <c r="M150" s="18"/>
      <c r="N150" s="18"/>
      <c r="O150" s="18"/>
      <c r="P150" s="18"/>
    </row>
    <row r="151" spans="1:17" x14ac:dyDescent="0.25">
      <c r="A151" s="3"/>
      <c r="B151" s="200"/>
      <c r="C151" s="11"/>
      <c r="D151" s="11"/>
      <c r="E151" s="11"/>
      <c r="F151" s="11"/>
      <c r="G151" s="24"/>
      <c r="H151" s="24"/>
      <c r="I151" s="3"/>
      <c r="J151" s="3"/>
      <c r="K151" s="3"/>
      <c r="L151" s="3"/>
      <c r="M151" s="22"/>
      <c r="N151" s="22"/>
      <c r="O151" s="22"/>
      <c r="P151" s="22"/>
      <c r="Q151" s="3"/>
    </row>
    <row r="152" spans="1:17" x14ac:dyDescent="0.25">
      <c r="A152" s="1844" t="s">
        <v>20</v>
      </c>
      <c r="B152" s="1845"/>
      <c r="C152" s="1845"/>
      <c r="D152" s="1845"/>
      <c r="E152" s="1845"/>
      <c r="F152" s="1845"/>
      <c r="G152" s="1845"/>
      <c r="H152" s="1845"/>
      <c r="I152" s="1845"/>
      <c r="J152" s="1845"/>
      <c r="K152" s="1845"/>
      <c r="L152" s="1845"/>
      <c r="M152" s="1845"/>
      <c r="N152" s="1845"/>
      <c r="O152" s="1845"/>
      <c r="P152" s="1845"/>
      <c r="Q152" s="1846"/>
    </row>
    <row r="153" spans="1:17" x14ac:dyDescent="0.25">
      <c r="A153" s="1847" t="s">
        <v>923</v>
      </c>
      <c r="B153" s="1848"/>
      <c r="C153" s="1848"/>
      <c r="D153" s="1848"/>
      <c r="E153" s="1848"/>
      <c r="F153" s="1848"/>
      <c r="G153" s="1848"/>
      <c r="H153" s="1848"/>
      <c r="I153" s="1848"/>
      <c r="J153" s="1848"/>
      <c r="K153" s="1848"/>
      <c r="L153" s="1848"/>
      <c r="M153" s="1848"/>
      <c r="N153" s="1848"/>
      <c r="O153" s="1848"/>
      <c r="P153" s="1848"/>
      <c r="Q153" s="1849"/>
    </row>
    <row r="155" spans="1:17" x14ac:dyDescent="0.25">
      <c r="B155" s="107" t="s">
        <v>891</v>
      </c>
    </row>
    <row r="157" spans="1:17" x14ac:dyDescent="0.25">
      <c r="B157" s="3013" t="s">
        <v>924</v>
      </c>
      <c r="C157" s="3013"/>
      <c r="D157" s="3013"/>
      <c r="E157" s="3013"/>
      <c r="F157" s="3013"/>
      <c r="G157" s="3013"/>
      <c r="H157" s="625"/>
      <c r="I157" s="625"/>
      <c r="J157" s="3014">
        <v>41970</v>
      </c>
      <c r="K157" s="3014"/>
    </row>
    <row r="158" spans="1:17" x14ac:dyDescent="0.25">
      <c r="B158" s="627" t="s">
        <v>370</v>
      </c>
      <c r="C158" s="646" t="s">
        <v>925</v>
      </c>
      <c r="D158" s="646"/>
      <c r="E158" s="646"/>
      <c r="F158" s="646"/>
      <c r="G158" s="646"/>
      <c r="H158" s="646"/>
      <c r="I158" s="646"/>
      <c r="J158" s="3007">
        <v>-204</v>
      </c>
      <c r="K158" s="3007"/>
      <c r="L158" s="657" t="s">
        <v>865</v>
      </c>
      <c r="M158" s="658" t="s">
        <v>892</v>
      </c>
      <c r="N158" s="2"/>
      <c r="P158" s="659" t="s">
        <v>867</v>
      </c>
    </row>
    <row r="159" spans="1:17" x14ac:dyDescent="0.25">
      <c r="B159" s="627" t="s">
        <v>688</v>
      </c>
      <c r="C159" s="646" t="s">
        <v>926</v>
      </c>
      <c r="D159" s="646"/>
      <c r="E159" s="646"/>
      <c r="F159" s="646"/>
      <c r="G159" s="646"/>
      <c r="H159" s="625"/>
      <c r="I159" s="625"/>
      <c r="J159" s="3007">
        <v>1800</v>
      </c>
      <c r="K159" s="3007"/>
      <c r="L159" s="657" t="s">
        <v>865</v>
      </c>
      <c r="M159" s="658" t="s">
        <v>892</v>
      </c>
      <c r="N159" s="2"/>
      <c r="P159" s="659" t="s">
        <v>869</v>
      </c>
    </row>
    <row r="160" spans="1:17" x14ac:dyDescent="0.25">
      <c r="B160" s="627" t="s">
        <v>370</v>
      </c>
      <c r="C160" s="646" t="s">
        <v>927</v>
      </c>
      <c r="D160" s="646"/>
      <c r="E160" s="646"/>
      <c r="F160" s="646"/>
      <c r="G160" s="646"/>
      <c r="H160" s="654"/>
      <c r="I160" s="625"/>
      <c r="J160" s="3007">
        <v>-2650</v>
      </c>
      <c r="K160" s="3007"/>
      <c r="L160" s="657" t="s">
        <v>865</v>
      </c>
      <c r="M160" s="658" t="s">
        <v>892</v>
      </c>
      <c r="N160" s="2"/>
      <c r="P160" s="659" t="s">
        <v>882</v>
      </c>
    </row>
    <row r="161" spans="2:16" x14ac:dyDescent="0.25">
      <c r="B161" s="627" t="s">
        <v>370</v>
      </c>
      <c r="C161" s="646" t="s">
        <v>928</v>
      </c>
      <c r="D161" s="646"/>
      <c r="E161" s="646"/>
      <c r="F161" s="646"/>
      <c r="G161" s="646"/>
      <c r="H161" s="654"/>
      <c r="I161" s="625"/>
      <c r="J161" s="3007">
        <v>-5900</v>
      </c>
      <c r="K161" s="3007"/>
      <c r="L161" s="655" t="s">
        <v>865</v>
      </c>
      <c r="M161" s="656" t="s">
        <v>929</v>
      </c>
      <c r="N161" s="2"/>
      <c r="P161" s="659"/>
    </row>
    <row r="162" spans="2:16" x14ac:dyDescent="0.25">
      <c r="B162" s="627" t="s">
        <v>688</v>
      </c>
      <c r="C162" s="646" t="s">
        <v>930</v>
      </c>
      <c r="D162" s="646"/>
      <c r="E162" s="646"/>
      <c r="F162" s="646"/>
      <c r="G162" s="646"/>
      <c r="H162" s="654"/>
      <c r="I162" s="625"/>
      <c r="J162" s="3007">
        <v>6700</v>
      </c>
      <c r="K162" s="3007"/>
      <c r="L162" s="657" t="s">
        <v>865</v>
      </c>
      <c r="M162" s="658" t="s">
        <v>892</v>
      </c>
      <c r="N162" s="2"/>
      <c r="P162" s="659" t="s">
        <v>885</v>
      </c>
    </row>
    <row r="163" spans="2:16" x14ac:dyDescent="0.25">
      <c r="B163" s="3013" t="s">
        <v>872</v>
      </c>
      <c r="C163" s="3013"/>
      <c r="D163" s="3013"/>
      <c r="E163" s="3013"/>
      <c r="F163" s="3013"/>
      <c r="G163" s="3013"/>
      <c r="H163" s="654"/>
      <c r="I163" s="625"/>
      <c r="J163" s="3014">
        <v>41716</v>
      </c>
      <c r="K163" s="3014"/>
    </row>
    <row r="164" spans="2:16" x14ac:dyDescent="0.2">
      <c r="J164" s="3011"/>
      <c r="K164" s="3011"/>
    </row>
    <row r="165" spans="2:16" x14ac:dyDescent="0.2">
      <c r="B165" s="107" t="s">
        <v>893</v>
      </c>
      <c r="J165" s="3011"/>
      <c r="K165" s="3011"/>
    </row>
    <row r="166" spans="2:16" x14ac:dyDescent="0.2">
      <c r="J166" s="669"/>
      <c r="K166" s="669"/>
    </row>
    <row r="167" spans="2:16" x14ac:dyDescent="0.25">
      <c r="B167" s="634" t="s">
        <v>873</v>
      </c>
      <c r="C167" s="213"/>
      <c r="D167" s="213"/>
      <c r="E167" s="213"/>
      <c r="F167" s="4"/>
      <c r="G167" s="4"/>
      <c r="H167" s="3012" t="s">
        <v>9</v>
      </c>
      <c r="I167" s="3012"/>
      <c r="J167" s="3012" t="s">
        <v>8</v>
      </c>
      <c r="K167" s="3012"/>
    </row>
    <row r="168" spans="2:16" x14ac:dyDescent="0.25">
      <c r="B168" s="635" t="s">
        <v>15</v>
      </c>
      <c r="C168" s="636" t="s">
        <v>874</v>
      </c>
      <c r="D168" s="611"/>
      <c r="E168" s="611"/>
      <c r="F168" s="1"/>
      <c r="G168" s="637"/>
      <c r="H168" s="1963">
        <f>-J158</f>
        <v>204</v>
      </c>
      <c r="I168" s="1964"/>
      <c r="J168" s="121"/>
      <c r="K168" s="638"/>
    </row>
    <row r="169" spans="2:16" x14ac:dyDescent="0.25">
      <c r="B169" s="635" t="s">
        <v>14</v>
      </c>
      <c r="C169" s="639" t="s">
        <v>875</v>
      </c>
      <c r="D169" s="213"/>
      <c r="E169" s="213"/>
      <c r="F169" s="4"/>
      <c r="G169" s="640"/>
      <c r="H169" s="1953"/>
      <c r="I169" s="1954"/>
      <c r="J169" s="1953">
        <f>+H168</f>
        <v>204</v>
      </c>
      <c r="K169" s="1954"/>
    </row>
    <row r="170" spans="2:16" x14ac:dyDescent="0.25">
      <c r="B170" s="634" t="s">
        <v>876</v>
      </c>
      <c r="C170" s="2110" t="s">
        <v>877</v>
      </c>
      <c r="D170" s="2090"/>
      <c r="E170" s="641"/>
      <c r="F170" s="2090" t="s">
        <v>877</v>
      </c>
      <c r="G170" s="2092"/>
      <c r="H170" s="325"/>
      <c r="I170" s="326"/>
      <c r="J170" s="325"/>
      <c r="K170" s="326"/>
    </row>
    <row r="171" spans="2:16" x14ac:dyDescent="0.25">
      <c r="B171" s="635" t="s">
        <v>11</v>
      </c>
      <c r="C171" s="639" t="s">
        <v>22</v>
      </c>
      <c r="D171" s="213"/>
      <c r="E171" s="213"/>
      <c r="F171" s="213"/>
      <c r="G171" s="642"/>
      <c r="H171" s="1953">
        <f>+J159</f>
        <v>1800</v>
      </c>
      <c r="I171" s="1954"/>
      <c r="J171" s="1953"/>
      <c r="K171" s="1954"/>
    </row>
    <row r="172" spans="2:16" x14ac:dyDescent="0.25">
      <c r="B172" s="635" t="s">
        <v>14</v>
      </c>
      <c r="C172" s="639" t="s">
        <v>727</v>
      </c>
      <c r="D172" s="213"/>
      <c r="E172" s="213"/>
      <c r="F172" s="213"/>
      <c r="G172" s="640"/>
      <c r="H172" s="1953"/>
      <c r="I172" s="1954"/>
      <c r="J172" s="1953">
        <f>+H171</f>
        <v>1800</v>
      </c>
      <c r="K172" s="1954"/>
    </row>
    <row r="173" spans="2:16" x14ac:dyDescent="0.25">
      <c r="B173" s="634" t="s">
        <v>888</v>
      </c>
      <c r="C173" s="2110" t="s">
        <v>877</v>
      </c>
      <c r="D173" s="2090"/>
      <c r="E173" s="641"/>
      <c r="F173" s="2090" t="s">
        <v>877</v>
      </c>
      <c r="G173" s="2092"/>
      <c r="H173" s="325"/>
      <c r="I173" s="326"/>
      <c r="J173" s="325"/>
      <c r="K173" s="326"/>
    </row>
    <row r="174" spans="2:16" x14ac:dyDescent="0.25">
      <c r="B174" s="635" t="s">
        <v>207</v>
      </c>
      <c r="C174" s="639" t="s">
        <v>2</v>
      </c>
      <c r="D174" s="213"/>
      <c r="E174" s="213"/>
      <c r="F174" s="213"/>
      <c r="G174" s="642"/>
      <c r="H174" s="1953">
        <f>-J160</f>
        <v>2650</v>
      </c>
      <c r="I174" s="1954"/>
      <c r="J174" s="1953"/>
      <c r="K174" s="1954"/>
    </row>
    <row r="175" spans="2:16" x14ac:dyDescent="0.25">
      <c r="B175" s="635" t="s">
        <v>14</v>
      </c>
      <c r="C175" s="639" t="s">
        <v>875</v>
      </c>
      <c r="D175" s="213"/>
      <c r="E175" s="213"/>
      <c r="F175" s="213"/>
      <c r="G175" s="640"/>
      <c r="H175" s="1953"/>
      <c r="I175" s="1954"/>
      <c r="J175" s="1953">
        <f>+H174</f>
        <v>2650</v>
      </c>
      <c r="K175" s="1954"/>
    </row>
    <row r="176" spans="2:16" x14ac:dyDescent="0.25">
      <c r="B176" s="634" t="s">
        <v>889</v>
      </c>
      <c r="C176" s="2110" t="s">
        <v>877</v>
      </c>
      <c r="D176" s="2090"/>
      <c r="E176" s="641"/>
      <c r="F176" s="2090" t="s">
        <v>877</v>
      </c>
      <c r="G176" s="2092"/>
      <c r="H176" s="325"/>
      <c r="I176" s="326"/>
      <c r="J176" s="325"/>
      <c r="K176" s="326"/>
    </row>
    <row r="177" spans="2:11" x14ac:dyDescent="0.25">
      <c r="B177" s="635" t="s">
        <v>11</v>
      </c>
      <c r="C177" s="639" t="s">
        <v>22</v>
      </c>
      <c r="D177" s="213"/>
      <c r="E177" s="213"/>
      <c r="F177" s="213"/>
      <c r="G177" s="642"/>
      <c r="H177" s="1953">
        <f>+J162</f>
        <v>6700</v>
      </c>
      <c r="I177" s="1954"/>
      <c r="J177" s="1953"/>
      <c r="K177" s="1954"/>
    </row>
    <row r="178" spans="2:11" x14ac:dyDescent="0.25">
      <c r="B178" s="635" t="s">
        <v>14</v>
      </c>
      <c r="C178" s="643" t="s">
        <v>931</v>
      </c>
      <c r="D178" s="224"/>
      <c r="E178" s="224"/>
      <c r="F178" s="224"/>
      <c r="G178" s="644"/>
      <c r="H178" s="1956"/>
      <c r="I178" s="1957"/>
      <c r="J178" s="1956">
        <f>+H177</f>
        <v>6700</v>
      </c>
      <c r="K178" s="1957"/>
    </row>
    <row r="200" spans="1:17" s="4" customFormat="1" x14ac:dyDescent="0.25">
      <c r="B200" s="189"/>
      <c r="C200" s="12"/>
      <c r="D200" s="12"/>
      <c r="E200" s="12"/>
      <c r="F200" s="12"/>
      <c r="G200" s="51"/>
      <c r="H200" s="51"/>
      <c r="M200" s="18"/>
      <c r="N200" s="18"/>
      <c r="O200" s="18"/>
      <c r="P200" s="18"/>
    </row>
    <row r="201" spans="1:17" x14ac:dyDescent="0.25">
      <c r="A201" s="3"/>
      <c r="B201" s="200"/>
      <c r="C201" s="11"/>
      <c r="D201" s="11"/>
      <c r="E201" s="11"/>
      <c r="F201" s="11"/>
      <c r="G201" s="24"/>
      <c r="H201" s="24"/>
      <c r="I201" s="3"/>
      <c r="J201" s="3"/>
      <c r="K201" s="3"/>
      <c r="L201" s="3"/>
      <c r="M201" s="22"/>
      <c r="N201" s="22"/>
      <c r="O201" s="22"/>
      <c r="P201" s="22"/>
      <c r="Q201" s="3"/>
    </row>
    <row r="202" spans="1:17" x14ac:dyDescent="0.25">
      <c r="A202" s="1844" t="s">
        <v>20</v>
      </c>
      <c r="B202" s="1845"/>
      <c r="C202" s="1845"/>
      <c r="D202" s="1845"/>
      <c r="E202" s="1845"/>
      <c r="F202" s="1845"/>
      <c r="G202" s="1845"/>
      <c r="H202" s="1845"/>
      <c r="I202" s="1845"/>
      <c r="J202" s="1845"/>
      <c r="K202" s="1845"/>
      <c r="L202" s="1845"/>
      <c r="M202" s="1845"/>
      <c r="N202" s="1845"/>
      <c r="O202" s="1845"/>
      <c r="P202" s="1845"/>
      <c r="Q202" s="1846"/>
    </row>
    <row r="203" spans="1:17" x14ac:dyDescent="0.25">
      <c r="A203" s="1847" t="s">
        <v>895</v>
      </c>
      <c r="B203" s="1848"/>
      <c r="C203" s="1848"/>
      <c r="D203" s="1848"/>
      <c r="E203" s="1848"/>
      <c r="F203" s="1848"/>
      <c r="G203" s="1848"/>
      <c r="H203" s="1848"/>
      <c r="I203" s="1848"/>
      <c r="J203" s="1848"/>
      <c r="K203" s="1848"/>
      <c r="L203" s="1848"/>
      <c r="M203" s="1848"/>
      <c r="N203" s="1848"/>
      <c r="O203" s="1848"/>
      <c r="P203" s="1848"/>
      <c r="Q203" s="1849"/>
    </row>
    <row r="205" spans="1:17" x14ac:dyDescent="0.25">
      <c r="B205" s="108">
        <v>1</v>
      </c>
      <c r="C205" s="662"/>
      <c r="G205" s="3041"/>
      <c r="H205" s="3042"/>
      <c r="M205" s="12"/>
      <c r="O205" s="7"/>
    </row>
    <row r="206" spans="1:17" x14ac:dyDescent="0.25">
      <c r="B206" s="208" t="s">
        <v>15</v>
      </c>
      <c r="C206" s="209" t="s">
        <v>896</v>
      </c>
      <c r="D206" s="210"/>
      <c r="E206" s="210"/>
      <c r="F206" s="497"/>
      <c r="G206" s="189"/>
      <c r="H206" s="189"/>
      <c r="I206" s="1"/>
      <c r="J206" s="1"/>
      <c r="K206" s="1"/>
      <c r="L206" s="157"/>
      <c r="M206" s="2682">
        <f>+O208-M207</f>
        <v>10</v>
      </c>
      <c r="N206" s="2684"/>
      <c r="O206" s="2684"/>
      <c r="P206" s="2684"/>
    </row>
    <row r="207" spans="1:17" x14ac:dyDescent="0.25">
      <c r="B207" s="208" t="s">
        <v>11</v>
      </c>
      <c r="C207" s="211" t="s">
        <v>897</v>
      </c>
      <c r="D207" s="212"/>
      <c r="E207" s="212"/>
      <c r="F207" s="499"/>
      <c r="G207" s="189"/>
      <c r="H207" s="189"/>
      <c r="I207" s="4"/>
      <c r="J207" s="4"/>
      <c r="K207" s="4"/>
      <c r="L207" s="4"/>
      <c r="M207" s="2673">
        <v>150</v>
      </c>
      <c r="N207" s="2675"/>
      <c r="O207" s="220"/>
      <c r="P207" s="218"/>
    </row>
    <row r="208" spans="1:17" x14ac:dyDescent="0.25">
      <c r="B208" s="208" t="s">
        <v>14</v>
      </c>
      <c r="C208" s="211"/>
      <c r="D208" s="499"/>
      <c r="E208" s="212"/>
      <c r="F208" s="20" t="s">
        <v>1</v>
      </c>
      <c r="G208" s="213" t="s">
        <v>898</v>
      </c>
      <c r="H208" s="189"/>
      <c r="I208" s="4"/>
      <c r="J208" s="4"/>
      <c r="K208" s="4"/>
      <c r="L208" s="500"/>
      <c r="M208" s="2673"/>
      <c r="N208" s="2674"/>
      <c r="O208" s="2673">
        <v>160</v>
      </c>
      <c r="P208" s="2675"/>
    </row>
    <row r="209" spans="2:16" x14ac:dyDescent="0.25">
      <c r="B209" s="108">
        <v>2</v>
      </c>
      <c r="C209" s="2679" t="s">
        <v>21</v>
      </c>
      <c r="D209" s="2680"/>
      <c r="E209" s="2680"/>
      <c r="F209" s="2680"/>
      <c r="G209" s="3035"/>
      <c r="H209" s="2327"/>
      <c r="I209" s="2090" t="s">
        <v>21</v>
      </c>
      <c r="J209" s="2090"/>
      <c r="K209" s="2090"/>
      <c r="L209" s="2092"/>
      <c r="M209" s="3032"/>
      <c r="N209" s="3033"/>
      <c r="O209" s="3032"/>
      <c r="P209" s="3034"/>
    </row>
    <row r="210" spans="2:16" x14ac:dyDescent="0.25">
      <c r="B210" s="208" t="s">
        <v>105</v>
      </c>
      <c r="C210" s="211" t="s">
        <v>174</v>
      </c>
      <c r="D210" s="499"/>
      <c r="E210" s="212"/>
      <c r="F210" s="499"/>
      <c r="G210" s="213"/>
      <c r="H210" s="189"/>
      <c r="I210" s="4"/>
      <c r="J210" s="4"/>
      <c r="K210" s="4"/>
      <c r="L210" s="500"/>
      <c r="M210" s="2673">
        <f>+F234</f>
        <v>70</v>
      </c>
      <c r="N210" s="2674"/>
      <c r="O210" s="2673"/>
      <c r="P210" s="2675"/>
    </row>
    <row r="211" spans="2:16" x14ac:dyDescent="0.25">
      <c r="B211" s="208" t="s">
        <v>105</v>
      </c>
      <c r="C211" s="211" t="s">
        <v>899</v>
      </c>
      <c r="D211" s="499"/>
      <c r="E211" s="212"/>
      <c r="F211" s="499"/>
      <c r="G211" s="213"/>
      <c r="H211" s="189"/>
      <c r="I211" s="4"/>
      <c r="J211" s="4"/>
      <c r="K211" s="4"/>
      <c r="L211" s="500"/>
      <c r="M211" s="2673">
        <f>+J234</f>
        <v>21</v>
      </c>
      <c r="N211" s="2674"/>
      <c r="O211" s="217"/>
      <c r="P211" s="218"/>
    </row>
    <row r="212" spans="2:16" x14ac:dyDescent="0.25">
      <c r="B212" s="208" t="s">
        <v>16</v>
      </c>
      <c r="C212" s="211"/>
      <c r="D212" s="499"/>
      <c r="E212" s="212"/>
      <c r="F212" s="20" t="s">
        <v>1</v>
      </c>
      <c r="G212" s="213" t="s">
        <v>100</v>
      </c>
      <c r="H212" s="189"/>
      <c r="I212" s="4"/>
      <c r="J212" s="4"/>
      <c r="K212" s="4"/>
      <c r="L212" s="500"/>
      <c r="M212" s="217"/>
      <c r="N212" s="220"/>
      <c r="O212" s="2673">
        <f>+M210</f>
        <v>70</v>
      </c>
      <c r="P212" s="2675"/>
    </row>
    <row r="213" spans="2:16" x14ac:dyDescent="0.25">
      <c r="B213" s="208" t="s">
        <v>16</v>
      </c>
      <c r="C213" s="211"/>
      <c r="D213" s="499"/>
      <c r="E213" s="212"/>
      <c r="F213" s="20" t="s">
        <v>1</v>
      </c>
      <c r="G213" s="213" t="s">
        <v>900</v>
      </c>
      <c r="H213" s="189"/>
      <c r="I213" s="4"/>
      <c r="J213" s="4"/>
      <c r="K213" s="4"/>
      <c r="L213" s="500"/>
      <c r="M213" s="2673"/>
      <c r="N213" s="2674"/>
      <c r="O213" s="2673">
        <f>+M211</f>
        <v>21</v>
      </c>
      <c r="P213" s="2675"/>
    </row>
    <row r="214" spans="2:16" x14ac:dyDescent="0.25">
      <c r="B214" s="208"/>
      <c r="C214" s="225" t="s">
        <v>901</v>
      </c>
      <c r="D214" s="499"/>
      <c r="E214" s="212"/>
      <c r="F214" s="20"/>
      <c r="G214" s="213"/>
      <c r="H214" s="189"/>
      <c r="I214" s="4"/>
      <c r="J214" s="4"/>
      <c r="K214" s="4"/>
      <c r="L214" s="500"/>
      <c r="M214" s="3032"/>
      <c r="N214" s="3033"/>
      <c r="O214" s="3032"/>
      <c r="P214" s="3034"/>
    </row>
    <row r="215" spans="2:16" x14ac:dyDescent="0.25">
      <c r="B215" s="108">
        <v>3</v>
      </c>
      <c r="C215" s="2679" t="s">
        <v>21</v>
      </c>
      <c r="D215" s="2680"/>
      <c r="E215" s="2680"/>
      <c r="F215" s="2680"/>
      <c r="G215" s="3035"/>
      <c r="H215" s="2327"/>
      <c r="I215" s="2090" t="s">
        <v>21</v>
      </c>
      <c r="J215" s="2090"/>
      <c r="K215" s="2090"/>
      <c r="L215" s="2092"/>
      <c r="M215" s="3032"/>
      <c r="N215" s="3033"/>
      <c r="O215" s="3032"/>
      <c r="P215" s="3034"/>
    </row>
    <row r="216" spans="2:16" x14ac:dyDescent="0.25">
      <c r="B216" s="208" t="s">
        <v>15</v>
      </c>
      <c r="C216" s="211" t="s">
        <v>1337</v>
      </c>
      <c r="D216" s="499"/>
      <c r="E216" s="212"/>
      <c r="F216" s="499"/>
      <c r="G216" s="213"/>
      <c r="H216" s="189"/>
      <c r="I216" s="4"/>
      <c r="J216" s="4"/>
      <c r="K216" s="4"/>
      <c r="L216" s="500"/>
      <c r="M216" s="2673">
        <f>+M249</f>
        <v>160</v>
      </c>
      <c r="N216" s="2674"/>
      <c r="O216" s="2673"/>
      <c r="P216" s="2675"/>
    </row>
    <row r="217" spans="2:16" x14ac:dyDescent="0.25">
      <c r="B217" s="208" t="s">
        <v>15</v>
      </c>
      <c r="C217" s="211" t="s">
        <v>1338</v>
      </c>
      <c r="D217" s="499"/>
      <c r="E217" s="212"/>
      <c r="F217" s="499"/>
      <c r="G217" s="213"/>
      <c r="H217" s="189"/>
      <c r="I217" s="4"/>
      <c r="J217" s="4"/>
      <c r="K217" s="4"/>
      <c r="L217" s="500"/>
      <c r="M217" s="2673">
        <f>+M247</f>
        <v>1900</v>
      </c>
      <c r="N217" s="2674"/>
      <c r="O217" s="217"/>
      <c r="P217" s="218"/>
    </row>
    <row r="218" spans="2:16" x14ac:dyDescent="0.25">
      <c r="B218" s="208" t="s">
        <v>108</v>
      </c>
      <c r="C218" s="211"/>
      <c r="D218" s="499"/>
      <c r="E218" s="212"/>
      <c r="F218" s="20" t="s">
        <v>1</v>
      </c>
      <c r="G218" s="213" t="s">
        <v>260</v>
      </c>
      <c r="H218" s="189"/>
      <c r="I218" s="4"/>
      <c r="J218" s="4"/>
      <c r="K218" s="4"/>
      <c r="L218" s="500"/>
      <c r="M218" s="217"/>
      <c r="N218" s="220"/>
      <c r="O218" s="2673">
        <f>+M216</f>
        <v>160</v>
      </c>
      <c r="P218" s="2675"/>
    </row>
    <row r="219" spans="2:16" x14ac:dyDescent="0.25">
      <c r="B219" s="208" t="s">
        <v>108</v>
      </c>
      <c r="C219" s="211"/>
      <c r="D219" s="499"/>
      <c r="E219" s="212"/>
      <c r="F219" s="20" t="s">
        <v>1</v>
      </c>
      <c r="G219" s="213" t="s">
        <v>902</v>
      </c>
      <c r="H219" s="189"/>
      <c r="I219" s="4"/>
      <c r="J219" s="4"/>
      <c r="K219" s="4"/>
      <c r="L219" s="500"/>
      <c r="M219" s="2673"/>
      <c r="N219" s="2674"/>
      <c r="O219" s="2673">
        <f>+M217</f>
        <v>1900</v>
      </c>
      <c r="P219" s="2675"/>
    </row>
    <row r="220" spans="2:16" x14ac:dyDescent="0.25">
      <c r="B220" s="208"/>
      <c r="C220" s="663" t="s">
        <v>903</v>
      </c>
      <c r="D220" s="507"/>
      <c r="E220" s="223"/>
      <c r="F220" s="35"/>
      <c r="G220" s="224"/>
      <c r="H220" s="200"/>
      <c r="I220" s="3"/>
      <c r="J220" s="3"/>
      <c r="K220" s="3"/>
      <c r="L220" s="354"/>
      <c r="M220" s="3025"/>
      <c r="N220" s="3026"/>
      <c r="O220" s="3025"/>
      <c r="P220" s="3027"/>
    </row>
    <row r="223" spans="2:16" x14ac:dyDescent="0.25">
      <c r="B223" s="107" t="s">
        <v>904</v>
      </c>
    </row>
    <row r="225" spans="2:16" x14ac:dyDescent="0.25">
      <c r="B225" s="6" t="s">
        <v>148</v>
      </c>
      <c r="C225" s="439" t="s">
        <v>905</v>
      </c>
    </row>
    <row r="226" spans="2:16" x14ac:dyDescent="0.25">
      <c r="B226" s="6"/>
      <c r="C226" s="439"/>
    </row>
    <row r="227" spans="2:16" x14ac:dyDescent="0.25">
      <c r="C227" s="3028"/>
      <c r="D227" s="3029"/>
      <c r="E227" s="3030"/>
      <c r="F227" s="3031" t="s">
        <v>212</v>
      </c>
      <c r="G227" s="3031"/>
      <c r="H227" s="3031" t="s">
        <v>906</v>
      </c>
      <c r="I227" s="3031"/>
      <c r="J227" s="3031" t="s">
        <v>907</v>
      </c>
      <c r="K227" s="3031"/>
      <c r="M227" s="2"/>
      <c r="N227" s="2"/>
      <c r="O227" s="2"/>
    </row>
    <row r="228" spans="2:16" x14ac:dyDescent="0.25">
      <c r="C228" s="3023" t="s">
        <v>32</v>
      </c>
      <c r="D228" s="3023"/>
      <c r="E228" s="3023"/>
      <c r="F228" s="2422">
        <v>210000</v>
      </c>
      <c r="G228" s="2422"/>
      <c r="H228" s="2422">
        <v>24000</v>
      </c>
      <c r="I228" s="2422"/>
      <c r="J228" s="2422">
        <v>8400</v>
      </c>
      <c r="K228" s="2422"/>
      <c r="M228" s="2"/>
      <c r="N228" s="2"/>
      <c r="O228" s="2"/>
    </row>
    <row r="229" spans="2:16" x14ac:dyDescent="0.25">
      <c r="C229" s="3023" t="s">
        <v>908</v>
      </c>
      <c r="D229" s="3023"/>
      <c r="E229" s="3023"/>
      <c r="F229" s="3024">
        <v>0.8</v>
      </c>
      <c r="G229" s="3024"/>
      <c r="H229" s="3024">
        <v>1</v>
      </c>
      <c r="I229" s="3024"/>
      <c r="J229" s="3024">
        <v>0.85</v>
      </c>
      <c r="K229" s="3024"/>
      <c r="M229" s="2"/>
      <c r="N229" s="2"/>
      <c r="O229" s="2"/>
    </row>
    <row r="230" spans="2:16" x14ac:dyDescent="0.25">
      <c r="C230" s="3023"/>
      <c r="D230" s="3023"/>
      <c r="E230" s="3023"/>
      <c r="F230" s="2422">
        <f>+F228*F229</f>
        <v>168000</v>
      </c>
      <c r="G230" s="2422"/>
      <c r="H230" s="2422">
        <f>+H228*H229</f>
        <v>24000</v>
      </c>
      <c r="I230" s="2422"/>
      <c r="J230" s="2422">
        <f>+J228*J229</f>
        <v>7140</v>
      </c>
      <c r="K230" s="2422"/>
      <c r="M230" s="2"/>
      <c r="N230" s="2"/>
      <c r="O230" s="2"/>
    </row>
    <row r="231" spans="2:16" x14ac:dyDescent="0.25">
      <c r="C231" s="3023" t="s">
        <v>909</v>
      </c>
      <c r="D231" s="3023"/>
      <c r="E231" s="3023"/>
      <c r="F231" s="2422">
        <f>50*12</f>
        <v>600</v>
      </c>
      <c r="G231" s="2422"/>
      <c r="H231" s="2422">
        <f>20*12</f>
        <v>240</v>
      </c>
      <c r="I231" s="2422"/>
      <c r="J231" s="2422">
        <f>5*12</f>
        <v>60</v>
      </c>
      <c r="K231" s="2422"/>
      <c r="M231" s="2"/>
      <c r="N231" s="2"/>
      <c r="O231" s="2"/>
    </row>
    <row r="232" spans="2:16" x14ac:dyDescent="0.25">
      <c r="C232" s="3023" t="s">
        <v>910</v>
      </c>
      <c r="D232" s="3023"/>
      <c r="E232" s="3023"/>
      <c r="F232" s="2422">
        <f>+F230/F231</f>
        <v>280</v>
      </c>
      <c r="G232" s="2422"/>
      <c r="H232" s="2422">
        <f>+H230/H231</f>
        <v>100</v>
      </c>
      <c r="I232" s="2422"/>
      <c r="J232" s="2422">
        <f>+J230/J231</f>
        <v>119</v>
      </c>
      <c r="K232" s="2422"/>
      <c r="M232" s="2"/>
      <c r="N232" s="2"/>
      <c r="O232" s="2"/>
    </row>
    <row r="233" spans="2:16" ht="15.75" thickBot="1" x14ac:dyDescent="0.3">
      <c r="C233" s="3015" t="s">
        <v>911</v>
      </c>
      <c r="D233" s="3015"/>
      <c r="E233" s="3015"/>
      <c r="F233" s="3016">
        <v>350</v>
      </c>
      <c r="G233" s="3016"/>
      <c r="H233" s="3016">
        <v>100</v>
      </c>
      <c r="I233" s="3016"/>
      <c r="J233" s="3016">
        <f>+J228/J231</f>
        <v>140</v>
      </c>
      <c r="K233" s="3016"/>
    </row>
    <row r="234" spans="2:16" ht="15.75" thickTop="1" x14ac:dyDescent="0.25">
      <c r="C234" s="3022" t="s">
        <v>912</v>
      </c>
      <c r="D234" s="3022"/>
      <c r="E234" s="3022"/>
      <c r="F234" s="2460">
        <f>+F233-F232</f>
        <v>70</v>
      </c>
      <c r="G234" s="2460"/>
      <c r="H234" s="2460">
        <f>+H233-H232</f>
        <v>0</v>
      </c>
      <c r="I234" s="2460"/>
      <c r="J234" s="2460">
        <f>+J233-J232</f>
        <v>21</v>
      </c>
      <c r="K234" s="2460"/>
    </row>
    <row r="236" spans="2:16" x14ac:dyDescent="0.25">
      <c r="B236" s="6" t="s">
        <v>160</v>
      </c>
      <c r="C236" s="439" t="s">
        <v>913</v>
      </c>
      <c r="G236" s="7"/>
      <c r="H236" s="7"/>
    </row>
    <row r="237" spans="2:16" x14ac:dyDescent="0.25">
      <c r="G237" s="7"/>
      <c r="H237" s="7"/>
    </row>
    <row r="238" spans="2:16" ht="15" customHeight="1" x14ac:dyDescent="0.25">
      <c r="B238" s="3017"/>
      <c r="C238" s="3017"/>
      <c r="D238" s="3017"/>
      <c r="E238" s="3017" t="s">
        <v>914</v>
      </c>
      <c r="F238" s="3017"/>
      <c r="G238" s="3017" t="s">
        <v>915</v>
      </c>
      <c r="H238" s="3017"/>
      <c r="I238" s="3017" t="s">
        <v>916</v>
      </c>
      <c r="J238" s="3017"/>
      <c r="K238" s="3017" t="s">
        <v>212</v>
      </c>
      <c r="L238" s="3017"/>
      <c r="M238" s="3017" t="s">
        <v>25</v>
      </c>
      <c r="N238" s="3017"/>
      <c r="O238" s="3017" t="s">
        <v>917</v>
      </c>
      <c r="P238" s="3017"/>
    </row>
    <row r="239" spans="2:16" ht="15" customHeight="1" x14ac:dyDescent="0.25">
      <c r="B239" s="3017"/>
      <c r="C239" s="3017"/>
      <c r="D239" s="3017"/>
      <c r="E239" s="3017"/>
      <c r="F239" s="3017"/>
      <c r="G239" s="3017"/>
      <c r="H239" s="3017"/>
      <c r="I239" s="3017"/>
      <c r="J239" s="3017"/>
      <c r="K239" s="3017"/>
      <c r="L239" s="3017"/>
      <c r="M239" s="3017"/>
      <c r="N239" s="3017"/>
      <c r="O239" s="3017"/>
      <c r="P239" s="3017"/>
    </row>
    <row r="240" spans="2:16" x14ac:dyDescent="0.25">
      <c r="B240" s="3009" t="s">
        <v>918</v>
      </c>
      <c r="C240" s="3009"/>
      <c r="D240" s="3009"/>
      <c r="E240" s="3002">
        <v>130</v>
      </c>
      <c r="F240" s="3002"/>
      <c r="G240" s="3002">
        <v>150</v>
      </c>
      <c r="H240" s="3002"/>
      <c r="I240" s="3002">
        <v>70</v>
      </c>
      <c r="J240" s="3002"/>
      <c r="K240" s="3005" t="s">
        <v>919</v>
      </c>
      <c r="L240" s="3005"/>
      <c r="M240" s="3002">
        <v>24000</v>
      </c>
      <c r="N240" s="3002"/>
      <c r="O240" s="3002">
        <v>8000</v>
      </c>
      <c r="P240" s="3002"/>
    </row>
    <row r="241" spans="1:17" x14ac:dyDescent="0.25">
      <c r="B241" s="3009" t="s">
        <v>717</v>
      </c>
      <c r="C241" s="3009"/>
      <c r="D241" s="3009"/>
      <c r="E241" s="3018">
        <v>200</v>
      </c>
      <c r="F241" s="3019"/>
      <c r="G241" s="3018">
        <v>140</v>
      </c>
      <c r="H241" s="3019"/>
      <c r="I241" s="3018">
        <v>90</v>
      </c>
      <c r="J241" s="3019"/>
      <c r="K241" s="3002">
        <v>300000</v>
      </c>
      <c r="L241" s="3002"/>
      <c r="M241" s="3002">
        <v>22000</v>
      </c>
      <c r="N241" s="3002"/>
      <c r="O241" s="3002">
        <v>7000</v>
      </c>
      <c r="P241" s="3002"/>
    </row>
    <row r="242" spans="1:17" x14ac:dyDescent="0.25">
      <c r="B242" s="3009" t="s">
        <v>920</v>
      </c>
      <c r="C242" s="3009"/>
      <c r="D242" s="3009"/>
      <c r="E242" s="3020"/>
      <c r="F242" s="3021"/>
      <c r="G242" s="3020"/>
      <c r="H242" s="3021"/>
      <c r="I242" s="3020"/>
      <c r="J242" s="3021"/>
      <c r="K242" s="3002">
        <v>280000</v>
      </c>
      <c r="L242" s="3002"/>
      <c r="M242" s="3002">
        <v>20000</v>
      </c>
      <c r="N242" s="3002"/>
      <c r="O242" s="3002">
        <v>10000</v>
      </c>
      <c r="P242" s="3002"/>
    </row>
    <row r="243" spans="1:17" x14ac:dyDescent="0.25">
      <c r="G243" s="7"/>
      <c r="H243" s="7"/>
    </row>
    <row r="244" spans="1:17" x14ac:dyDescent="0.25">
      <c r="B244" s="3008" t="s">
        <v>921</v>
      </c>
      <c r="C244" s="3008"/>
      <c r="D244" s="3008"/>
      <c r="E244" s="3005">
        <v>120</v>
      </c>
      <c r="F244" s="3005"/>
      <c r="G244" s="3005">
        <f>+G240</f>
        <v>150</v>
      </c>
      <c r="H244" s="3005"/>
      <c r="I244" s="3005">
        <v>80</v>
      </c>
      <c r="J244" s="3005"/>
      <c r="K244" s="3002">
        <f>+F228-F232</f>
        <v>209720</v>
      </c>
      <c r="L244" s="3002"/>
      <c r="M244" s="3002">
        <f>+H228-H232</f>
        <v>23900</v>
      </c>
      <c r="N244" s="3002"/>
      <c r="O244" s="3002">
        <f>+J228-J232</f>
        <v>8281</v>
      </c>
      <c r="P244" s="3002"/>
    </row>
    <row r="245" spans="1:17" x14ac:dyDescent="0.25">
      <c r="B245" s="3008" t="s">
        <v>253</v>
      </c>
      <c r="C245" s="3008"/>
      <c r="D245" s="3008"/>
      <c r="E245" s="3005">
        <f>+E241</f>
        <v>200</v>
      </c>
      <c r="F245" s="3005"/>
      <c r="G245" s="3005">
        <f>+G241</f>
        <v>140</v>
      </c>
      <c r="H245" s="3005"/>
      <c r="I245" s="3005">
        <f>+I241</f>
        <v>90</v>
      </c>
      <c r="J245" s="3005"/>
      <c r="K245" s="3002">
        <f>+K241</f>
        <v>300000</v>
      </c>
      <c r="L245" s="3002"/>
      <c r="M245" s="3002">
        <f>+M241</f>
        <v>22000</v>
      </c>
      <c r="N245" s="3002"/>
      <c r="O245" s="3002">
        <f>+O242</f>
        <v>10000</v>
      </c>
      <c r="P245" s="3002"/>
    </row>
    <row r="246" spans="1:17" x14ac:dyDescent="0.25">
      <c r="G246" s="7"/>
      <c r="H246" s="7"/>
    </row>
    <row r="247" spans="1:17" x14ac:dyDescent="0.25">
      <c r="B247" s="3010" t="s">
        <v>254</v>
      </c>
      <c r="C247" s="3010"/>
      <c r="D247" s="3010"/>
      <c r="E247" s="3005">
        <v>0</v>
      </c>
      <c r="F247" s="3005"/>
      <c r="G247" s="3005">
        <f>+G244-G245</f>
        <v>10</v>
      </c>
      <c r="H247" s="3005"/>
      <c r="I247" s="3005">
        <f>+I243</f>
        <v>0</v>
      </c>
      <c r="J247" s="3005"/>
      <c r="K247" s="3002">
        <f>+K243</f>
        <v>0</v>
      </c>
      <c r="L247" s="3002"/>
      <c r="M247" s="3006">
        <f>+M244-M245</f>
        <v>1900</v>
      </c>
      <c r="N247" s="3006"/>
      <c r="O247" s="3002">
        <v>0</v>
      </c>
      <c r="P247" s="3002"/>
    </row>
    <row r="248" spans="1:17" ht="15.75" x14ac:dyDescent="0.25">
      <c r="B248" s="664"/>
      <c r="C248" s="664"/>
      <c r="D248" s="664"/>
      <c r="E248" s="665"/>
      <c r="F248" s="665"/>
      <c r="G248" s="665"/>
      <c r="H248" s="665"/>
      <c r="I248" s="665"/>
      <c r="J248" s="665"/>
      <c r="K248" s="666"/>
      <c r="L248" s="666"/>
      <c r="M248" s="667"/>
      <c r="N248" s="667"/>
      <c r="O248" s="666"/>
      <c r="P248" s="666"/>
    </row>
    <row r="249" spans="1:17" x14ac:dyDescent="0.25">
      <c r="H249" s="668" t="s">
        <v>922</v>
      </c>
      <c r="M249" s="3003">
        <f>16*10</f>
        <v>160</v>
      </c>
      <c r="N249" s="3004"/>
    </row>
    <row r="250" spans="1:17" s="4" customFormat="1" x14ac:dyDescent="0.25">
      <c r="B250" s="189"/>
      <c r="C250" s="12"/>
      <c r="D250" s="12"/>
      <c r="E250" s="12"/>
      <c r="F250" s="12"/>
      <c r="G250" s="51"/>
      <c r="H250" s="51"/>
      <c r="M250" s="18"/>
      <c r="N250" s="18"/>
      <c r="O250" s="18"/>
      <c r="P250" s="18"/>
    </row>
    <row r="251" spans="1:17" x14ac:dyDescent="0.25">
      <c r="A251" s="3"/>
      <c r="B251" s="200"/>
      <c r="C251" s="11"/>
      <c r="D251" s="11"/>
      <c r="E251" s="11"/>
      <c r="F251" s="11"/>
      <c r="G251" s="24"/>
      <c r="H251" s="24"/>
      <c r="I251" s="3"/>
      <c r="J251" s="3"/>
      <c r="K251" s="3"/>
      <c r="L251" s="3"/>
      <c r="M251" s="22"/>
      <c r="N251" s="22"/>
      <c r="O251" s="22"/>
      <c r="P251" s="22"/>
      <c r="Q251" s="3"/>
    </row>
    <row r="252" spans="1:17" x14ac:dyDescent="0.25">
      <c r="A252" s="1844" t="s">
        <v>20</v>
      </c>
      <c r="B252" s="1845"/>
      <c r="C252" s="1845"/>
      <c r="D252" s="1845"/>
      <c r="E252" s="1845"/>
      <c r="F252" s="1845"/>
      <c r="G252" s="1845"/>
      <c r="H252" s="1845"/>
      <c r="I252" s="1845"/>
      <c r="J252" s="1845"/>
      <c r="K252" s="1845"/>
      <c r="L252" s="1845"/>
      <c r="M252" s="1845"/>
      <c r="N252" s="1845"/>
      <c r="O252" s="1845"/>
      <c r="P252" s="1845"/>
      <c r="Q252" s="1846"/>
    </row>
    <row r="253" spans="1:17" x14ac:dyDescent="0.25">
      <c r="A253" s="1847" t="s">
        <v>932</v>
      </c>
      <c r="B253" s="1848"/>
      <c r="C253" s="1848"/>
      <c r="D253" s="1848"/>
      <c r="E253" s="1848"/>
      <c r="F253" s="1848"/>
      <c r="G253" s="1848"/>
      <c r="H253" s="1848"/>
      <c r="I253" s="1848"/>
      <c r="J253" s="1848"/>
      <c r="K253" s="1848"/>
      <c r="L253" s="1848"/>
      <c r="M253" s="1848"/>
      <c r="N253" s="1848"/>
      <c r="O253" s="1848"/>
      <c r="P253" s="1848"/>
      <c r="Q253" s="1849"/>
    </row>
    <row r="254" spans="1:17" s="259" customFormat="1" ht="12" x14ac:dyDescent="0.25">
      <c r="B254" s="27"/>
      <c r="C254" s="670"/>
      <c r="D254" s="670"/>
      <c r="E254" s="670"/>
      <c r="F254" s="670"/>
      <c r="G254" s="27"/>
      <c r="H254" s="27"/>
      <c r="M254" s="671"/>
      <c r="N254" s="671"/>
      <c r="O254" s="671"/>
      <c r="P254" s="671"/>
    </row>
    <row r="255" spans="1:17" x14ac:dyDescent="0.25">
      <c r="B255" s="108" t="s">
        <v>1</v>
      </c>
      <c r="C255" s="670"/>
      <c r="D255" s="670"/>
      <c r="E255" s="670"/>
      <c r="F255" s="670"/>
      <c r="I255" s="259"/>
      <c r="J255" s="259"/>
      <c r="K255" s="259"/>
      <c r="L255" s="259"/>
      <c r="M255" s="671"/>
      <c r="N255" s="671"/>
      <c r="O255" s="671"/>
      <c r="P255" s="671"/>
    </row>
    <row r="256" spans="1:17" x14ac:dyDescent="0.25">
      <c r="B256" s="635" t="s">
        <v>11</v>
      </c>
      <c r="C256" s="209" t="s">
        <v>10</v>
      </c>
      <c r="D256" s="672"/>
      <c r="E256" s="210"/>
      <c r="F256" s="497"/>
      <c r="G256" s="201"/>
      <c r="H256" s="201"/>
      <c r="I256" s="1"/>
      <c r="J256" s="1"/>
      <c r="K256" s="1"/>
      <c r="L256" s="1"/>
      <c r="M256" s="2682">
        <f>1000*1.21</f>
        <v>1210</v>
      </c>
      <c r="N256" s="2684"/>
      <c r="O256" s="2683"/>
      <c r="P256" s="2684"/>
    </row>
    <row r="257" spans="1:17" x14ac:dyDescent="0.25">
      <c r="B257" s="635" t="s">
        <v>16</v>
      </c>
      <c r="C257" s="211"/>
      <c r="D257" s="499"/>
      <c r="E257" s="212"/>
      <c r="F257" s="20" t="s">
        <v>1</v>
      </c>
      <c r="G257" s="673" t="s">
        <v>941</v>
      </c>
      <c r="H257" s="189"/>
      <c r="I257" s="4"/>
      <c r="J257" s="4"/>
      <c r="K257" s="4"/>
      <c r="L257" s="4"/>
      <c r="M257" s="2673"/>
      <c r="N257" s="2675"/>
      <c r="O257" s="2674">
        <f>+M256</f>
        <v>1210</v>
      </c>
      <c r="P257" s="2675"/>
    </row>
    <row r="258" spans="1:17" x14ac:dyDescent="0.25">
      <c r="B258" s="108" t="s">
        <v>934</v>
      </c>
      <c r="C258" s="2996" t="s">
        <v>933</v>
      </c>
      <c r="D258" s="2997"/>
      <c r="E258" s="2997"/>
      <c r="F258" s="2997"/>
      <c r="G258" s="2998"/>
      <c r="H258" s="2306"/>
      <c r="I258" s="2997" t="s">
        <v>933</v>
      </c>
      <c r="J258" s="2997"/>
      <c r="K258" s="2997"/>
      <c r="L258" s="2997"/>
      <c r="M258" s="217"/>
      <c r="N258" s="218"/>
      <c r="O258" s="220"/>
      <c r="P258" s="218"/>
    </row>
    <row r="259" spans="1:17" x14ac:dyDescent="0.2">
      <c r="B259" s="661" t="s">
        <v>873</v>
      </c>
      <c r="C259" s="678" t="s">
        <v>942</v>
      </c>
      <c r="D259" s="679"/>
      <c r="E259" s="679"/>
      <c r="F259" s="679"/>
      <c r="G259" s="680"/>
      <c r="H259" s="328"/>
      <c r="I259" s="681"/>
      <c r="J259" s="681"/>
      <c r="K259" s="681"/>
      <c r="L259" s="681"/>
      <c r="M259" s="674"/>
      <c r="N259" s="675"/>
      <c r="O259" s="676"/>
      <c r="P259" s="675"/>
    </row>
    <row r="260" spans="1:17" x14ac:dyDescent="0.25">
      <c r="B260" s="635" t="s">
        <v>11</v>
      </c>
      <c r="C260" s="211" t="s">
        <v>67</v>
      </c>
      <c r="D260" s="499"/>
      <c r="E260" s="212"/>
      <c r="F260" s="499"/>
      <c r="G260" s="673"/>
      <c r="H260" s="189"/>
      <c r="I260" s="4"/>
      <c r="J260" s="4"/>
      <c r="K260" s="4"/>
      <c r="L260" s="4"/>
      <c r="M260" s="2673">
        <f>+J294</f>
        <v>3872</v>
      </c>
      <c r="N260" s="2675"/>
      <c r="O260" s="2674"/>
      <c r="P260" s="2675"/>
    </row>
    <row r="261" spans="1:17" x14ac:dyDescent="0.25">
      <c r="B261" s="635" t="s">
        <v>14</v>
      </c>
      <c r="C261" s="211"/>
      <c r="D261" s="499"/>
      <c r="E261" s="212"/>
      <c r="F261" s="20" t="s">
        <v>1</v>
      </c>
      <c r="G261" s="673" t="s">
        <v>227</v>
      </c>
      <c r="H261" s="189"/>
      <c r="I261" s="4"/>
      <c r="J261" s="4"/>
      <c r="K261" s="4"/>
      <c r="L261" s="4"/>
      <c r="M261" s="2673"/>
      <c r="N261" s="2675"/>
      <c r="O261" s="2674">
        <f>+M260</f>
        <v>3872</v>
      </c>
      <c r="P261" s="2675"/>
    </row>
    <row r="262" spans="1:17" x14ac:dyDescent="0.2">
      <c r="B262" s="661" t="s">
        <v>876</v>
      </c>
      <c r="C262" s="2996" t="s">
        <v>933</v>
      </c>
      <c r="D262" s="2997"/>
      <c r="E262" s="2997"/>
      <c r="F262" s="2997"/>
      <c r="G262" s="2998"/>
      <c r="H262" s="2306"/>
      <c r="I262" s="2997" t="s">
        <v>933</v>
      </c>
      <c r="J262" s="2997"/>
      <c r="K262" s="2997"/>
      <c r="L262" s="2997"/>
      <c r="M262" s="674"/>
      <c r="N262" s="675"/>
      <c r="O262" s="676"/>
      <c r="P262" s="675"/>
    </row>
    <row r="263" spans="1:17" x14ac:dyDescent="0.25">
      <c r="B263" s="635" t="s">
        <v>11</v>
      </c>
      <c r="C263" s="211" t="s">
        <v>0</v>
      </c>
      <c r="D263" s="499"/>
      <c r="E263" s="212"/>
      <c r="F263" s="499"/>
      <c r="G263" s="673"/>
      <c r="H263" s="189"/>
      <c r="I263" s="4"/>
      <c r="J263" s="4"/>
      <c r="K263" s="4"/>
      <c r="L263" s="4"/>
      <c r="M263" s="2673">
        <f>-J295</f>
        <v>300</v>
      </c>
      <c r="N263" s="2675"/>
      <c r="O263" s="2674"/>
      <c r="P263" s="2675"/>
    </row>
    <row r="264" spans="1:17" x14ac:dyDescent="0.25">
      <c r="B264" s="635" t="s">
        <v>14</v>
      </c>
      <c r="C264" s="211"/>
      <c r="D264" s="499"/>
      <c r="E264" s="212"/>
      <c r="F264" s="20" t="s">
        <v>1</v>
      </c>
      <c r="G264" s="673" t="s">
        <v>67</v>
      </c>
      <c r="H264" s="189"/>
      <c r="I264" s="4"/>
      <c r="J264" s="4"/>
      <c r="K264" s="4"/>
      <c r="L264" s="4"/>
      <c r="M264" s="2673"/>
      <c r="N264" s="2675"/>
      <c r="O264" s="2674">
        <f>+M263</f>
        <v>300</v>
      </c>
      <c r="P264" s="2675"/>
    </row>
    <row r="265" spans="1:17" x14ac:dyDescent="0.2">
      <c r="B265" s="661" t="s">
        <v>888</v>
      </c>
      <c r="C265" s="2996" t="s">
        <v>933</v>
      </c>
      <c r="D265" s="2997"/>
      <c r="E265" s="2997"/>
      <c r="F265" s="2997"/>
      <c r="G265" s="2998"/>
      <c r="H265" s="2306"/>
      <c r="I265" s="2997" t="s">
        <v>933</v>
      </c>
      <c r="J265" s="2997"/>
      <c r="K265" s="2997"/>
      <c r="L265" s="2997"/>
      <c r="M265" s="674"/>
      <c r="N265" s="675"/>
      <c r="O265" s="676"/>
      <c r="P265" s="675"/>
    </row>
    <row r="266" spans="1:17" x14ac:dyDescent="0.25">
      <c r="B266" s="635" t="s">
        <v>15</v>
      </c>
      <c r="C266" s="211" t="s">
        <v>874</v>
      </c>
      <c r="D266" s="499"/>
      <c r="E266" s="212"/>
      <c r="F266" s="499"/>
      <c r="G266" s="673"/>
      <c r="H266" s="189"/>
      <c r="I266" s="4"/>
      <c r="J266" s="4"/>
      <c r="K266" s="4"/>
      <c r="L266" s="4"/>
      <c r="M266" s="2673">
        <f>-J296</f>
        <v>80</v>
      </c>
      <c r="N266" s="2675"/>
      <c r="O266" s="2674"/>
      <c r="P266" s="2675"/>
    </row>
    <row r="267" spans="1:17" x14ac:dyDescent="0.25">
      <c r="B267" s="635" t="s">
        <v>14</v>
      </c>
      <c r="C267" s="211"/>
      <c r="D267" s="499"/>
      <c r="E267" s="212"/>
      <c r="F267" s="20" t="s">
        <v>1</v>
      </c>
      <c r="G267" s="673" t="s">
        <v>67</v>
      </c>
      <c r="H267" s="189"/>
      <c r="I267" s="4"/>
      <c r="J267" s="4"/>
      <c r="K267" s="4"/>
      <c r="L267" s="4"/>
      <c r="M267" s="2673"/>
      <c r="N267" s="2675"/>
      <c r="O267" s="2674">
        <f>+M266</f>
        <v>80</v>
      </c>
      <c r="P267" s="2675"/>
    </row>
    <row r="268" spans="1:17" x14ac:dyDescent="0.2">
      <c r="B268" s="661" t="s">
        <v>889</v>
      </c>
      <c r="C268" s="2996" t="s">
        <v>933</v>
      </c>
      <c r="D268" s="2997"/>
      <c r="E268" s="2997"/>
      <c r="F268" s="2997"/>
      <c r="G268" s="2998"/>
      <c r="H268" s="2306"/>
      <c r="I268" s="2997" t="s">
        <v>933</v>
      </c>
      <c r="J268" s="2997"/>
      <c r="K268" s="2997"/>
      <c r="L268" s="2997"/>
      <c r="M268" s="674"/>
      <c r="N268" s="675"/>
      <c r="O268" s="676"/>
      <c r="P268" s="675"/>
    </row>
    <row r="269" spans="1:17" x14ac:dyDescent="0.25">
      <c r="B269" s="635" t="s">
        <v>207</v>
      </c>
      <c r="C269" s="211" t="s">
        <v>2</v>
      </c>
      <c r="D269" s="499"/>
      <c r="E269" s="212"/>
      <c r="F269" s="499"/>
      <c r="G269" s="673"/>
      <c r="H269" s="189"/>
      <c r="I269" s="4"/>
      <c r="J269" s="4"/>
      <c r="K269" s="4"/>
      <c r="L269" s="4"/>
      <c r="M269" s="2673">
        <f>-J297</f>
        <v>9</v>
      </c>
      <c r="N269" s="2675"/>
      <c r="O269" s="2674"/>
      <c r="P269" s="2675"/>
    </row>
    <row r="270" spans="1:17" x14ac:dyDescent="0.25">
      <c r="B270" s="635" t="s">
        <v>14</v>
      </c>
      <c r="C270" s="211"/>
      <c r="D270" s="499"/>
      <c r="E270" s="212"/>
      <c r="F270" s="20" t="s">
        <v>1</v>
      </c>
      <c r="G270" s="673" t="s">
        <v>67</v>
      </c>
      <c r="H270" s="189"/>
      <c r="I270" s="4"/>
      <c r="J270" s="4"/>
      <c r="K270" s="4"/>
      <c r="L270" s="4"/>
      <c r="M270" s="2673"/>
      <c r="N270" s="2675"/>
      <c r="O270" s="2674">
        <f>+M269</f>
        <v>9</v>
      </c>
      <c r="P270" s="2675"/>
    </row>
    <row r="271" spans="1:17" x14ac:dyDescent="0.25">
      <c r="B271" s="108" t="s">
        <v>935</v>
      </c>
      <c r="C271" s="2996" t="s">
        <v>933</v>
      </c>
      <c r="D271" s="2997"/>
      <c r="E271" s="2997"/>
      <c r="F271" s="2997"/>
      <c r="G271" s="2998"/>
      <c r="H271" s="2306"/>
      <c r="I271" s="2997" t="s">
        <v>933</v>
      </c>
      <c r="J271" s="2997"/>
      <c r="K271" s="2997"/>
      <c r="L271" s="2997"/>
      <c r="M271" s="217"/>
      <c r="N271" s="218"/>
      <c r="O271" s="220"/>
      <c r="P271" s="218"/>
    </row>
    <row r="272" spans="1:17" x14ac:dyDescent="0.2">
      <c r="A272" s="4"/>
      <c r="B272" s="661" t="s">
        <v>876</v>
      </c>
      <c r="C272" s="678" t="s">
        <v>943</v>
      </c>
      <c r="D272" s="1333"/>
      <c r="E272" s="1333"/>
      <c r="F272" s="1333"/>
      <c r="G272" s="2998"/>
      <c r="H272" s="2306"/>
      <c r="I272" s="2997"/>
      <c r="J272" s="2997"/>
      <c r="K272" s="2997"/>
      <c r="L272" s="2997"/>
      <c r="M272" s="674"/>
      <c r="N272" s="675"/>
      <c r="O272" s="676"/>
      <c r="P272" s="675"/>
      <c r="Q272" s="4"/>
    </row>
    <row r="273" spans="2:16" x14ac:dyDescent="0.25">
      <c r="B273" s="635" t="s">
        <v>11</v>
      </c>
      <c r="C273" s="211" t="s">
        <v>0</v>
      </c>
      <c r="D273" s="499"/>
      <c r="E273" s="212"/>
      <c r="F273" s="499"/>
      <c r="G273" s="673"/>
      <c r="H273" s="189"/>
      <c r="I273" s="4"/>
      <c r="J273" s="4"/>
      <c r="K273" s="4"/>
      <c r="L273" s="4"/>
      <c r="M273" s="2673">
        <v>800</v>
      </c>
      <c r="N273" s="2675"/>
      <c r="O273" s="2674"/>
      <c r="P273" s="2675"/>
    </row>
    <row r="274" spans="2:16" x14ac:dyDescent="0.25">
      <c r="B274" s="635" t="s">
        <v>17</v>
      </c>
      <c r="C274" s="211" t="s">
        <v>944</v>
      </c>
      <c r="D274" s="499"/>
      <c r="E274" s="212"/>
      <c r="F274" s="20" t="s">
        <v>1</v>
      </c>
      <c r="G274" s="673" t="s">
        <v>233</v>
      </c>
      <c r="H274" s="189"/>
      <c r="I274" s="4"/>
      <c r="J274" s="4"/>
      <c r="K274" s="4"/>
      <c r="L274" s="4"/>
      <c r="M274" s="2673"/>
      <c r="N274" s="2675"/>
      <c r="O274" s="2674">
        <v>800</v>
      </c>
      <c r="P274" s="2675"/>
    </row>
    <row r="275" spans="2:16" x14ac:dyDescent="0.2">
      <c r="B275" s="661" t="s">
        <v>888</v>
      </c>
      <c r="C275" s="2996" t="s">
        <v>933</v>
      </c>
      <c r="D275" s="2997"/>
      <c r="E275" s="2997"/>
      <c r="F275" s="2997"/>
      <c r="G275" s="2998"/>
      <c r="H275" s="2306"/>
      <c r="I275" s="2997" t="s">
        <v>933</v>
      </c>
      <c r="J275" s="2997"/>
      <c r="K275" s="2997"/>
      <c r="L275" s="2997"/>
      <c r="M275" s="674"/>
      <c r="N275" s="675"/>
      <c r="O275" s="676"/>
      <c r="P275" s="675"/>
    </row>
    <row r="276" spans="2:16" x14ac:dyDescent="0.25">
      <c r="B276" s="635" t="s">
        <v>11</v>
      </c>
      <c r="C276" s="211" t="s">
        <v>549</v>
      </c>
      <c r="D276" s="499"/>
      <c r="E276" s="212"/>
      <c r="F276" s="499"/>
      <c r="G276" s="673"/>
      <c r="H276" s="189"/>
      <c r="I276" s="4"/>
      <c r="J276" s="4"/>
      <c r="K276" s="4"/>
      <c r="L276" s="4"/>
      <c r="M276" s="2673">
        <v>1800</v>
      </c>
      <c r="N276" s="2675"/>
      <c r="O276" s="2674"/>
      <c r="P276" s="2675"/>
    </row>
    <row r="277" spans="2:16" x14ac:dyDescent="0.25">
      <c r="B277" s="635" t="s">
        <v>14</v>
      </c>
      <c r="C277" s="211"/>
      <c r="D277" s="499"/>
      <c r="E277" s="212"/>
      <c r="F277" s="20" t="s">
        <v>1</v>
      </c>
      <c r="G277" s="673" t="s">
        <v>0</v>
      </c>
      <c r="H277" s="189"/>
      <c r="I277" s="4"/>
      <c r="J277" s="4"/>
      <c r="K277" s="4"/>
      <c r="L277" s="4"/>
      <c r="M277" s="2673"/>
      <c r="N277" s="2675"/>
      <c r="O277" s="2674">
        <v>1800</v>
      </c>
      <c r="P277" s="2675"/>
    </row>
    <row r="278" spans="2:16" x14ac:dyDescent="0.2">
      <c r="B278" s="661" t="s">
        <v>945</v>
      </c>
      <c r="C278" s="2996" t="s">
        <v>933</v>
      </c>
      <c r="D278" s="2997"/>
      <c r="E278" s="2997"/>
      <c r="F278" s="2997"/>
      <c r="G278" s="2998"/>
      <c r="H278" s="2306"/>
      <c r="I278" s="2997" t="s">
        <v>933</v>
      </c>
      <c r="J278" s="2997"/>
      <c r="K278" s="2997"/>
      <c r="L278" s="2997"/>
      <c r="M278" s="674"/>
      <c r="N278" s="675"/>
      <c r="O278" s="676"/>
      <c r="P278" s="675"/>
    </row>
    <row r="279" spans="2:16" x14ac:dyDescent="0.25">
      <c r="B279" s="635" t="s">
        <v>15</v>
      </c>
      <c r="C279" s="211" t="s">
        <v>835</v>
      </c>
      <c r="D279" s="499"/>
      <c r="E279" s="212"/>
      <c r="F279" s="499"/>
      <c r="G279" s="673"/>
      <c r="H279" s="189"/>
      <c r="I279" s="4"/>
      <c r="J279" s="4"/>
      <c r="K279" s="4"/>
      <c r="L279" s="4"/>
      <c r="M279" s="2673">
        <f>+M276</f>
        <v>1800</v>
      </c>
      <c r="N279" s="2675"/>
      <c r="O279" s="2674"/>
      <c r="P279" s="2675"/>
    </row>
    <row r="280" spans="2:16" x14ac:dyDescent="0.25">
      <c r="B280" s="635" t="s">
        <v>108</v>
      </c>
      <c r="C280" s="211"/>
      <c r="D280" s="499"/>
      <c r="E280" s="212"/>
      <c r="F280" s="20" t="s">
        <v>1</v>
      </c>
      <c r="G280" s="673" t="s">
        <v>832</v>
      </c>
      <c r="H280" s="189"/>
      <c r="I280" s="4"/>
      <c r="J280" s="4"/>
      <c r="K280" s="4"/>
      <c r="L280" s="4"/>
      <c r="M280" s="2673"/>
      <c r="N280" s="2675"/>
      <c r="O280" s="2674">
        <f>+M279</f>
        <v>1800</v>
      </c>
      <c r="P280" s="2675"/>
    </row>
    <row r="281" spans="2:16" x14ac:dyDescent="0.25">
      <c r="B281" s="108" t="s">
        <v>938</v>
      </c>
      <c r="C281" s="2996" t="s">
        <v>933</v>
      </c>
      <c r="D281" s="2997"/>
      <c r="E281" s="2997"/>
      <c r="F281" s="2997"/>
      <c r="G281" s="2998"/>
      <c r="H281" s="2306"/>
      <c r="I281" s="2997" t="s">
        <v>933</v>
      </c>
      <c r="J281" s="2997"/>
      <c r="K281" s="2997"/>
      <c r="L281" s="2997"/>
      <c r="M281" s="217"/>
      <c r="N281" s="218"/>
      <c r="O281" s="220"/>
      <c r="P281" s="218"/>
    </row>
    <row r="282" spans="2:16" ht="15.75" customHeight="1" x14ac:dyDescent="0.25">
      <c r="B282" s="189"/>
      <c r="C282" s="2999" t="s">
        <v>2261</v>
      </c>
      <c r="D282" s="3000"/>
      <c r="E282" s="3000"/>
      <c r="F282" s="3000"/>
      <c r="G282" s="3000"/>
      <c r="H282" s="3000"/>
      <c r="I282" s="3000"/>
      <c r="J282" s="3000"/>
      <c r="K282" s="3000"/>
      <c r="L282" s="3001"/>
      <c r="M282" s="2673"/>
      <c r="N282" s="2675"/>
      <c r="O282" s="2674"/>
      <c r="P282" s="2675"/>
    </row>
    <row r="283" spans="2:16" x14ac:dyDescent="0.25">
      <c r="B283" s="108" t="s">
        <v>939</v>
      </c>
      <c r="C283" s="2996" t="s">
        <v>933</v>
      </c>
      <c r="D283" s="2997"/>
      <c r="E283" s="2997"/>
      <c r="F283" s="2997"/>
      <c r="G283" s="2998"/>
      <c r="H283" s="2306"/>
      <c r="I283" s="2997" t="s">
        <v>933</v>
      </c>
      <c r="J283" s="2997"/>
      <c r="K283" s="2997"/>
      <c r="L283" s="2997"/>
      <c r="M283" s="217"/>
      <c r="N283" s="218"/>
      <c r="O283" s="220"/>
      <c r="P283" s="218"/>
    </row>
    <row r="284" spans="2:16" ht="15.75" customHeight="1" x14ac:dyDescent="0.25">
      <c r="B284" s="189" t="s">
        <v>207</v>
      </c>
      <c r="C284" s="211" t="s">
        <v>2</v>
      </c>
      <c r="D284" s="682"/>
      <c r="E284" s="682"/>
      <c r="F284" s="682"/>
      <c r="G284" s="682"/>
      <c r="H284" s="682"/>
      <c r="I284" s="682"/>
      <c r="J284" s="682"/>
      <c r="K284" s="682"/>
      <c r="L284" s="683"/>
      <c r="M284" s="2673">
        <v>200</v>
      </c>
      <c r="N284" s="2675"/>
      <c r="O284" s="2674"/>
      <c r="P284" s="2675"/>
    </row>
    <row r="285" spans="2:16" ht="15.75" customHeight="1" x14ac:dyDescent="0.25">
      <c r="B285" s="189" t="s">
        <v>16</v>
      </c>
      <c r="C285" s="684"/>
      <c r="D285" s="682"/>
      <c r="E285" s="682"/>
      <c r="F285" s="20" t="s">
        <v>1</v>
      </c>
      <c r="G285" s="673" t="s">
        <v>946</v>
      </c>
      <c r="H285" s="682"/>
      <c r="I285" s="682"/>
      <c r="J285" s="682"/>
      <c r="K285" s="682"/>
      <c r="L285" s="683"/>
      <c r="M285" s="2673"/>
      <c r="N285" s="2675"/>
      <c r="O285" s="2674">
        <f>+M284</f>
        <v>200</v>
      </c>
      <c r="P285" s="2675"/>
    </row>
    <row r="286" spans="2:16" x14ac:dyDescent="0.25">
      <c r="B286" s="108" t="s">
        <v>940</v>
      </c>
      <c r="C286" s="2996" t="s">
        <v>933</v>
      </c>
      <c r="D286" s="2997"/>
      <c r="E286" s="2997"/>
      <c r="F286" s="2997"/>
      <c r="G286" s="2998"/>
      <c r="H286" s="2306"/>
      <c r="I286" s="2997" t="s">
        <v>933</v>
      </c>
      <c r="J286" s="2997"/>
      <c r="K286" s="2997"/>
      <c r="L286" s="2997"/>
      <c r="M286" s="217"/>
      <c r="N286" s="218"/>
      <c r="O286" s="220"/>
      <c r="P286" s="218"/>
    </row>
    <row r="287" spans="2:16" ht="15.75" customHeight="1" x14ac:dyDescent="0.25">
      <c r="B287" s="189" t="s">
        <v>15</v>
      </c>
      <c r="C287" s="211" t="s">
        <v>3</v>
      </c>
      <c r="D287" s="682"/>
      <c r="E287" s="682"/>
      <c r="F287" s="682"/>
      <c r="G287" s="682"/>
      <c r="H287" s="682"/>
      <c r="I287" s="682"/>
      <c r="J287" s="682"/>
      <c r="K287" s="682"/>
      <c r="L287" s="683"/>
      <c r="M287" s="2673">
        <v>1000</v>
      </c>
      <c r="N287" s="2675"/>
      <c r="O287" s="2674"/>
      <c r="P287" s="2675"/>
    </row>
    <row r="288" spans="2:16" ht="15.75" customHeight="1" x14ac:dyDescent="0.25">
      <c r="B288" s="189" t="s">
        <v>17</v>
      </c>
      <c r="C288" s="685"/>
      <c r="D288" s="686"/>
      <c r="E288" s="686"/>
      <c r="F288" s="35" t="s">
        <v>1</v>
      </c>
      <c r="G288" s="677" t="s">
        <v>233</v>
      </c>
      <c r="H288" s="686"/>
      <c r="I288" s="686"/>
      <c r="J288" s="686"/>
      <c r="K288" s="686"/>
      <c r="L288" s="687"/>
      <c r="M288" s="2676"/>
      <c r="N288" s="2677"/>
      <c r="O288" s="2728">
        <v>1000</v>
      </c>
      <c r="P288" s="2677"/>
    </row>
    <row r="289" spans="2:16" ht="15.75" customHeight="1" x14ac:dyDescent="0.25">
      <c r="B289" s="189"/>
      <c r="G289" s="51"/>
      <c r="H289" s="51"/>
      <c r="I289" s="4"/>
      <c r="J289" s="4"/>
      <c r="K289" s="4"/>
      <c r="L289" s="4"/>
      <c r="M289" s="18"/>
      <c r="N289" s="18"/>
      <c r="O289" s="18"/>
      <c r="P289" s="18"/>
    </row>
    <row r="290" spans="2:16" x14ac:dyDescent="0.25">
      <c r="B290" s="107" t="s">
        <v>891</v>
      </c>
      <c r="I290" s="688"/>
      <c r="J290" s="688"/>
    </row>
    <row r="291" spans="2:16" x14ac:dyDescent="0.25">
      <c r="B291" s="689" t="s">
        <v>863</v>
      </c>
      <c r="C291" s="173"/>
      <c r="D291" s="173"/>
      <c r="E291" s="173"/>
      <c r="F291" s="173"/>
      <c r="G291" s="38"/>
      <c r="H291" s="38"/>
      <c r="I291" s="317"/>
      <c r="J291" s="2993">
        <v>2500</v>
      </c>
      <c r="K291" s="2993"/>
    </row>
    <row r="292" spans="2:16" x14ac:dyDescent="0.25">
      <c r="B292" s="319" t="s">
        <v>370</v>
      </c>
      <c r="C292" s="690" t="s">
        <v>947</v>
      </c>
      <c r="D292" s="173"/>
      <c r="E292" s="173"/>
      <c r="F292" s="173"/>
      <c r="G292" s="38"/>
      <c r="H292" s="317"/>
      <c r="I292" s="317"/>
      <c r="J292" s="2995">
        <v>-820</v>
      </c>
      <c r="K292" s="2995"/>
    </row>
    <row r="293" spans="2:16" x14ac:dyDescent="0.25">
      <c r="B293" s="319" t="s">
        <v>688</v>
      </c>
      <c r="C293" s="690" t="s">
        <v>883</v>
      </c>
      <c r="D293" s="173"/>
      <c r="E293" s="173"/>
      <c r="F293" s="173"/>
      <c r="G293" s="38"/>
      <c r="H293" s="317"/>
      <c r="I293" s="317"/>
      <c r="J293" s="2995">
        <v>1500</v>
      </c>
      <c r="K293" s="2995"/>
    </row>
    <row r="294" spans="2:16" x14ac:dyDescent="0.25">
      <c r="B294" s="319" t="s">
        <v>688</v>
      </c>
      <c r="C294" s="690" t="s">
        <v>948</v>
      </c>
      <c r="D294" s="173"/>
      <c r="E294" s="173"/>
      <c r="F294" s="173"/>
      <c r="G294" s="38"/>
      <c r="H294" s="317"/>
      <c r="I294" s="317"/>
      <c r="J294" s="2995">
        <v>3872</v>
      </c>
      <c r="K294" s="2995"/>
      <c r="L294" s="657" t="s">
        <v>865</v>
      </c>
      <c r="M294" s="658" t="s">
        <v>892</v>
      </c>
      <c r="N294" s="2"/>
      <c r="P294" s="659" t="s">
        <v>867</v>
      </c>
    </row>
    <row r="295" spans="2:16" x14ac:dyDescent="0.25">
      <c r="B295" s="319" t="s">
        <v>370</v>
      </c>
      <c r="C295" s="690" t="s">
        <v>949</v>
      </c>
      <c r="D295" s="173"/>
      <c r="E295" s="173"/>
      <c r="F295" s="173"/>
      <c r="G295" s="38"/>
      <c r="H295" s="317"/>
      <c r="I295" s="317"/>
      <c r="J295" s="2995">
        <v>-300</v>
      </c>
      <c r="K295" s="2995"/>
      <c r="L295" s="657" t="s">
        <v>865</v>
      </c>
      <c r="M295" s="658" t="s">
        <v>892</v>
      </c>
      <c r="N295" s="2"/>
      <c r="P295" s="659" t="s">
        <v>869</v>
      </c>
    </row>
    <row r="296" spans="2:16" x14ac:dyDescent="0.25">
      <c r="B296" s="319" t="s">
        <v>370</v>
      </c>
      <c r="C296" s="690" t="s">
        <v>950</v>
      </c>
      <c r="D296" s="173"/>
      <c r="E296" s="173"/>
      <c r="F296" s="173"/>
      <c r="G296" s="38"/>
      <c r="H296" s="317"/>
      <c r="I296" s="317"/>
      <c r="J296" s="2995">
        <v>-80</v>
      </c>
      <c r="K296" s="2995"/>
      <c r="L296" s="657" t="s">
        <v>865</v>
      </c>
      <c r="M296" s="658" t="s">
        <v>892</v>
      </c>
      <c r="N296" s="2"/>
      <c r="P296" s="659" t="s">
        <v>882</v>
      </c>
    </row>
    <row r="297" spans="2:16" x14ac:dyDescent="0.25">
      <c r="B297" s="319" t="s">
        <v>370</v>
      </c>
      <c r="C297" s="690" t="s">
        <v>951</v>
      </c>
      <c r="D297" s="173"/>
      <c r="E297" s="173"/>
      <c r="F297" s="173"/>
      <c r="G297" s="38"/>
      <c r="H297" s="317"/>
      <c r="I297" s="317"/>
      <c r="J297" s="2995">
        <v>-9</v>
      </c>
      <c r="K297" s="2995"/>
      <c r="L297" s="657" t="s">
        <v>865</v>
      </c>
      <c r="M297" s="658" t="s">
        <v>892</v>
      </c>
      <c r="N297" s="2"/>
      <c r="P297" s="659" t="s">
        <v>885</v>
      </c>
    </row>
    <row r="298" spans="2:16" x14ac:dyDescent="0.25">
      <c r="B298" s="689" t="s">
        <v>872</v>
      </c>
      <c r="C298" s="173"/>
      <c r="D298" s="173"/>
      <c r="E298" s="173"/>
      <c r="F298" s="173"/>
      <c r="G298" s="38"/>
      <c r="H298" s="317"/>
      <c r="I298" s="317"/>
      <c r="J298" s="2993">
        <f>+SUM(J291:K297)</f>
        <v>6663</v>
      </c>
      <c r="K298" s="2993"/>
    </row>
    <row r="299" spans="2:16" ht="8.25" customHeight="1" x14ac:dyDescent="0.2">
      <c r="H299" s="2994"/>
      <c r="I299" s="2994"/>
    </row>
    <row r="303" spans="2:16" s="4" customFormat="1" x14ac:dyDescent="0.25">
      <c r="B303" s="189"/>
      <c r="C303" s="12"/>
      <c r="D303" s="12"/>
      <c r="E303" s="12"/>
      <c r="F303" s="12"/>
      <c r="G303" s="51"/>
      <c r="H303" s="51"/>
      <c r="M303" s="18"/>
      <c r="N303" s="18"/>
      <c r="O303" s="18"/>
      <c r="P303" s="18"/>
    </row>
  </sheetData>
  <sheetProtection algorithmName="SHA-512" hashValue="vjMhVXaWWTlKhPkB+bCNUxdzjJCDMnj2A/NHisLy+RNTzlLqKgypxZyqZvdH/6kG43i5P2mguP45ivZ2vTM11g==" saltValue="glQcKP64xyZWZ5a33pIKjg==" spinCount="100000" sheet="1" objects="1" scenarios="1"/>
  <mergeCells count="398">
    <mergeCell ref="M8:N8"/>
    <mergeCell ref="O8:P8"/>
    <mergeCell ref="C13:E13"/>
    <mergeCell ref="F13:I13"/>
    <mergeCell ref="J13:L13"/>
    <mergeCell ref="M13:N13"/>
    <mergeCell ref="O13:P13"/>
    <mergeCell ref="A2:Q2"/>
    <mergeCell ref="A3:Q3"/>
    <mergeCell ref="G5:H5"/>
    <mergeCell ref="M6:N6"/>
    <mergeCell ref="O6:P6"/>
    <mergeCell ref="M7:N7"/>
    <mergeCell ref="O7:P7"/>
    <mergeCell ref="C17:E17"/>
    <mergeCell ref="F17:I17"/>
    <mergeCell ref="J17:L17"/>
    <mergeCell ref="M17:N17"/>
    <mergeCell ref="O17:P17"/>
    <mergeCell ref="M18:N18"/>
    <mergeCell ref="O18:P18"/>
    <mergeCell ref="M14:N14"/>
    <mergeCell ref="O14:P14"/>
    <mergeCell ref="M15:N15"/>
    <mergeCell ref="O15:P15"/>
    <mergeCell ref="M16:N16"/>
    <mergeCell ref="O16:P16"/>
    <mergeCell ref="M55:N55"/>
    <mergeCell ref="O55:P55"/>
    <mergeCell ref="M56:N56"/>
    <mergeCell ref="O56:P56"/>
    <mergeCell ref="M57:N57"/>
    <mergeCell ref="O57:P57"/>
    <mergeCell ref="M19:N19"/>
    <mergeCell ref="O19:P19"/>
    <mergeCell ref="M20:N20"/>
    <mergeCell ref="O20:P20"/>
    <mergeCell ref="A52:Q52"/>
    <mergeCell ref="A53:Q53"/>
    <mergeCell ref="M60:N60"/>
    <mergeCell ref="O60:P60"/>
    <mergeCell ref="M61:N61"/>
    <mergeCell ref="O61:P61"/>
    <mergeCell ref="C62:F62"/>
    <mergeCell ref="I62:L62"/>
    <mergeCell ref="M62:N62"/>
    <mergeCell ref="O62:P62"/>
    <mergeCell ref="C58:F58"/>
    <mergeCell ref="I58:L58"/>
    <mergeCell ref="M58:N58"/>
    <mergeCell ref="O58:P58"/>
    <mergeCell ref="M59:N59"/>
    <mergeCell ref="O59:P59"/>
    <mergeCell ref="M66:N66"/>
    <mergeCell ref="O66:P66"/>
    <mergeCell ref="M67:N67"/>
    <mergeCell ref="O67:P67"/>
    <mergeCell ref="C69:F69"/>
    <mergeCell ref="I69:L69"/>
    <mergeCell ref="M69:N69"/>
    <mergeCell ref="O69:P69"/>
    <mergeCell ref="M63:N63"/>
    <mergeCell ref="O63:P63"/>
    <mergeCell ref="M64:N64"/>
    <mergeCell ref="O64:P64"/>
    <mergeCell ref="C65:F65"/>
    <mergeCell ref="I65:L65"/>
    <mergeCell ref="M65:N65"/>
    <mergeCell ref="O65:P65"/>
    <mergeCell ref="C73:L74"/>
    <mergeCell ref="M74:N74"/>
    <mergeCell ref="O74:P74"/>
    <mergeCell ref="C75:F75"/>
    <mergeCell ref="I75:L75"/>
    <mergeCell ref="M76:N76"/>
    <mergeCell ref="O76:P76"/>
    <mergeCell ref="M70:N70"/>
    <mergeCell ref="O70:P70"/>
    <mergeCell ref="M71:N71"/>
    <mergeCell ref="O71:P71"/>
    <mergeCell ref="C72:F72"/>
    <mergeCell ref="I72:L72"/>
    <mergeCell ref="M72:N72"/>
    <mergeCell ref="O72:P72"/>
    <mergeCell ref="M79:N79"/>
    <mergeCell ref="O79:P79"/>
    <mergeCell ref="M80:N80"/>
    <mergeCell ref="O80:P80"/>
    <mergeCell ref="C81:F81"/>
    <mergeCell ref="I81:L81"/>
    <mergeCell ref="M81:N81"/>
    <mergeCell ref="O81:P81"/>
    <mergeCell ref="M77:N77"/>
    <mergeCell ref="O77:P77"/>
    <mergeCell ref="C78:F78"/>
    <mergeCell ref="I78:L78"/>
    <mergeCell ref="M78:N78"/>
    <mergeCell ref="O78:P78"/>
    <mergeCell ref="M82:N82"/>
    <mergeCell ref="O82:P82"/>
    <mergeCell ref="M83:N83"/>
    <mergeCell ref="O83:P83"/>
    <mergeCell ref="C84:F84"/>
    <mergeCell ref="G84:H84"/>
    <mergeCell ref="I84:L84"/>
    <mergeCell ref="M84:N84"/>
    <mergeCell ref="O84:P84"/>
    <mergeCell ref="M93:N93"/>
    <mergeCell ref="O93:P93"/>
    <mergeCell ref="M94:N94"/>
    <mergeCell ref="O94:P94"/>
    <mergeCell ref="A102:Q102"/>
    <mergeCell ref="A103:Q103"/>
    <mergeCell ref="M85:N85"/>
    <mergeCell ref="O85:P85"/>
    <mergeCell ref="M86:N86"/>
    <mergeCell ref="O86:P86"/>
    <mergeCell ref="M88:N88"/>
    <mergeCell ref="O88:P88"/>
    <mergeCell ref="H113:I113"/>
    <mergeCell ref="J113:K113"/>
    <mergeCell ref="H114:I114"/>
    <mergeCell ref="H115:I115"/>
    <mergeCell ref="J115:K115"/>
    <mergeCell ref="C116:D116"/>
    <mergeCell ref="F116:G116"/>
    <mergeCell ref="J107:K107"/>
    <mergeCell ref="J108:K108"/>
    <mergeCell ref="J109:K109"/>
    <mergeCell ref="J110:K110"/>
    <mergeCell ref="J111:K111"/>
    <mergeCell ref="G112:H112"/>
    <mergeCell ref="J125:K125"/>
    <mergeCell ref="J126:K126"/>
    <mergeCell ref="J127:K127"/>
    <mergeCell ref="J128:K128"/>
    <mergeCell ref="G129:H129"/>
    <mergeCell ref="J129:K129"/>
    <mergeCell ref="H117:I117"/>
    <mergeCell ref="J117:K117"/>
    <mergeCell ref="H118:I118"/>
    <mergeCell ref="J118:K118"/>
    <mergeCell ref="J123:K123"/>
    <mergeCell ref="J124:K124"/>
    <mergeCell ref="C134:D134"/>
    <mergeCell ref="F134:G134"/>
    <mergeCell ref="H135:I135"/>
    <mergeCell ref="J136:K136"/>
    <mergeCell ref="C137:D137"/>
    <mergeCell ref="F137:G137"/>
    <mergeCell ref="H137:I137"/>
    <mergeCell ref="J137:K137"/>
    <mergeCell ref="G130:H130"/>
    <mergeCell ref="H131:I131"/>
    <mergeCell ref="J131:K131"/>
    <mergeCell ref="H132:I132"/>
    <mergeCell ref="J132:K132"/>
    <mergeCell ref="H133:I133"/>
    <mergeCell ref="J133:K133"/>
    <mergeCell ref="H138:I138"/>
    <mergeCell ref="J138:K138"/>
    <mergeCell ref="H139:I139"/>
    <mergeCell ref="J139:K139"/>
    <mergeCell ref="D140:F140"/>
    <mergeCell ref="M207:N207"/>
    <mergeCell ref="M208:N208"/>
    <mergeCell ref="O208:P208"/>
    <mergeCell ref="C209:F209"/>
    <mergeCell ref="G209:H209"/>
    <mergeCell ref="I209:L209"/>
    <mergeCell ref="M209:N209"/>
    <mergeCell ref="O209:P209"/>
    <mergeCell ref="A202:Q202"/>
    <mergeCell ref="A203:Q203"/>
    <mergeCell ref="G205:H205"/>
    <mergeCell ref="M206:N206"/>
    <mergeCell ref="O206:P206"/>
    <mergeCell ref="A152:Q152"/>
    <mergeCell ref="A153:Q153"/>
    <mergeCell ref="B157:G157"/>
    <mergeCell ref="J157:K157"/>
    <mergeCell ref="J158:K158"/>
    <mergeCell ref="J159:K159"/>
    <mergeCell ref="M214:N214"/>
    <mergeCell ref="O214:P214"/>
    <mergeCell ref="C215:F215"/>
    <mergeCell ref="G215:H215"/>
    <mergeCell ref="I215:L215"/>
    <mergeCell ref="M215:N215"/>
    <mergeCell ref="O215:P215"/>
    <mergeCell ref="M210:N210"/>
    <mergeCell ref="O210:P210"/>
    <mergeCell ref="M211:N211"/>
    <mergeCell ref="O212:P212"/>
    <mergeCell ref="M213:N213"/>
    <mergeCell ref="O213:P213"/>
    <mergeCell ref="M220:N220"/>
    <mergeCell ref="O220:P220"/>
    <mergeCell ref="C227:E227"/>
    <mergeCell ref="F227:G227"/>
    <mergeCell ref="H227:I227"/>
    <mergeCell ref="J227:K227"/>
    <mergeCell ref="M216:N216"/>
    <mergeCell ref="O216:P216"/>
    <mergeCell ref="M217:N217"/>
    <mergeCell ref="O218:P218"/>
    <mergeCell ref="M219:N219"/>
    <mergeCell ref="O219:P219"/>
    <mergeCell ref="C228:E228"/>
    <mergeCell ref="F228:G228"/>
    <mergeCell ref="H228:I228"/>
    <mergeCell ref="J228:K228"/>
    <mergeCell ref="C229:E230"/>
    <mergeCell ref="F229:G229"/>
    <mergeCell ref="H229:I229"/>
    <mergeCell ref="J229:K229"/>
    <mergeCell ref="F230:G230"/>
    <mergeCell ref="H230:I230"/>
    <mergeCell ref="H233:I233"/>
    <mergeCell ref="J233:K233"/>
    <mergeCell ref="C234:E234"/>
    <mergeCell ref="F234:G234"/>
    <mergeCell ref="H234:I234"/>
    <mergeCell ref="J234:K234"/>
    <mergeCell ref="J230:K230"/>
    <mergeCell ref="C231:E231"/>
    <mergeCell ref="F231:G231"/>
    <mergeCell ref="H231:I231"/>
    <mergeCell ref="J231:K231"/>
    <mergeCell ref="C232:E232"/>
    <mergeCell ref="F232:G232"/>
    <mergeCell ref="H232:I232"/>
    <mergeCell ref="J232:K232"/>
    <mergeCell ref="O244:P244"/>
    <mergeCell ref="O238:P239"/>
    <mergeCell ref="B240:D240"/>
    <mergeCell ref="E240:F240"/>
    <mergeCell ref="G240:H240"/>
    <mergeCell ref="I240:J240"/>
    <mergeCell ref="K240:L240"/>
    <mergeCell ref="M240:N240"/>
    <mergeCell ref="O240:P240"/>
    <mergeCell ref="B238:D239"/>
    <mergeCell ref="E238:F239"/>
    <mergeCell ref="G238:H239"/>
    <mergeCell ref="I238:J239"/>
    <mergeCell ref="K238:L239"/>
    <mergeCell ref="M238:N239"/>
    <mergeCell ref="G244:H244"/>
    <mergeCell ref="I244:J244"/>
    <mergeCell ref="K244:L244"/>
    <mergeCell ref="B241:D241"/>
    <mergeCell ref="E241:F242"/>
    <mergeCell ref="G241:H242"/>
    <mergeCell ref="I241:J242"/>
    <mergeCell ref="K241:L241"/>
    <mergeCell ref="M241:N241"/>
    <mergeCell ref="J164:K164"/>
    <mergeCell ref="J165:K165"/>
    <mergeCell ref="H167:I167"/>
    <mergeCell ref="J167:K167"/>
    <mergeCell ref="H168:I168"/>
    <mergeCell ref="H169:I169"/>
    <mergeCell ref="J169:K169"/>
    <mergeCell ref="M244:N244"/>
    <mergeCell ref="B163:G163"/>
    <mergeCell ref="J163:K163"/>
    <mergeCell ref="C173:D173"/>
    <mergeCell ref="F173:G173"/>
    <mergeCell ref="H174:I174"/>
    <mergeCell ref="J174:K174"/>
    <mergeCell ref="H175:I175"/>
    <mergeCell ref="J175:K175"/>
    <mergeCell ref="C170:D170"/>
    <mergeCell ref="F170:G170"/>
    <mergeCell ref="H171:I171"/>
    <mergeCell ref="J171:K171"/>
    <mergeCell ref="H172:I172"/>
    <mergeCell ref="J172:K172"/>
    <mergeCell ref="C233:E233"/>
    <mergeCell ref="F233:G233"/>
    <mergeCell ref="J160:K160"/>
    <mergeCell ref="J161:K161"/>
    <mergeCell ref="J162:K162"/>
    <mergeCell ref="B245:D245"/>
    <mergeCell ref="E245:F245"/>
    <mergeCell ref="A252:Q252"/>
    <mergeCell ref="A253:Q253"/>
    <mergeCell ref="C176:D176"/>
    <mergeCell ref="F176:G176"/>
    <mergeCell ref="H177:I177"/>
    <mergeCell ref="J177:K177"/>
    <mergeCell ref="H178:I178"/>
    <mergeCell ref="J178:K178"/>
    <mergeCell ref="O241:P241"/>
    <mergeCell ref="B242:D242"/>
    <mergeCell ref="K242:L242"/>
    <mergeCell ref="M242:N242"/>
    <mergeCell ref="O242:P242"/>
    <mergeCell ref="B244:D244"/>
    <mergeCell ref="E244:F244"/>
    <mergeCell ref="B247:D247"/>
    <mergeCell ref="E247:F247"/>
    <mergeCell ref="G247:H247"/>
    <mergeCell ref="I247:J247"/>
    <mergeCell ref="M256:N256"/>
    <mergeCell ref="O256:P256"/>
    <mergeCell ref="O247:P247"/>
    <mergeCell ref="M249:N249"/>
    <mergeCell ref="G245:H245"/>
    <mergeCell ref="I245:J245"/>
    <mergeCell ref="K245:L245"/>
    <mergeCell ref="M245:N245"/>
    <mergeCell ref="O245:P245"/>
    <mergeCell ref="K247:L247"/>
    <mergeCell ref="M247:N247"/>
    <mergeCell ref="M260:N260"/>
    <mergeCell ref="O260:P260"/>
    <mergeCell ref="M261:N261"/>
    <mergeCell ref="O261:P261"/>
    <mergeCell ref="C268:F268"/>
    <mergeCell ref="G268:H268"/>
    <mergeCell ref="I268:L268"/>
    <mergeCell ref="M257:N257"/>
    <mergeCell ref="O257:P257"/>
    <mergeCell ref="C258:F258"/>
    <mergeCell ref="G258:H258"/>
    <mergeCell ref="I258:L258"/>
    <mergeCell ref="C262:F262"/>
    <mergeCell ref="G262:H262"/>
    <mergeCell ref="I262:L262"/>
    <mergeCell ref="M263:N263"/>
    <mergeCell ref="O263:P263"/>
    <mergeCell ref="C265:F265"/>
    <mergeCell ref="G265:H265"/>
    <mergeCell ref="I265:L265"/>
    <mergeCell ref="M266:N266"/>
    <mergeCell ref="O266:P266"/>
    <mergeCell ref="M267:N267"/>
    <mergeCell ref="O267:P267"/>
    <mergeCell ref="M264:N264"/>
    <mergeCell ref="O264:P264"/>
    <mergeCell ref="C271:F271"/>
    <mergeCell ref="G271:H271"/>
    <mergeCell ref="I271:L271"/>
    <mergeCell ref="G272:H272"/>
    <mergeCell ref="I272:L272"/>
    <mergeCell ref="M269:N269"/>
    <mergeCell ref="O269:P269"/>
    <mergeCell ref="M270:N270"/>
    <mergeCell ref="O270:P270"/>
    <mergeCell ref="M276:N276"/>
    <mergeCell ref="O276:P276"/>
    <mergeCell ref="M277:N277"/>
    <mergeCell ref="O277:P277"/>
    <mergeCell ref="C278:F278"/>
    <mergeCell ref="G278:H278"/>
    <mergeCell ref="I278:L278"/>
    <mergeCell ref="M273:N273"/>
    <mergeCell ref="O273:P273"/>
    <mergeCell ref="M274:N274"/>
    <mergeCell ref="O274:P274"/>
    <mergeCell ref="C275:F275"/>
    <mergeCell ref="G275:H275"/>
    <mergeCell ref="I275:L275"/>
    <mergeCell ref="C282:L282"/>
    <mergeCell ref="M282:N282"/>
    <mergeCell ref="O282:P282"/>
    <mergeCell ref="C283:F283"/>
    <mergeCell ref="G283:H283"/>
    <mergeCell ref="I283:L283"/>
    <mergeCell ref="M279:N279"/>
    <mergeCell ref="O279:P279"/>
    <mergeCell ref="M280:N280"/>
    <mergeCell ref="O280:P280"/>
    <mergeCell ref="C281:F281"/>
    <mergeCell ref="G281:H281"/>
    <mergeCell ref="I281:L281"/>
    <mergeCell ref="O287:P287"/>
    <mergeCell ref="M288:N288"/>
    <mergeCell ref="O288:P288"/>
    <mergeCell ref="J291:K291"/>
    <mergeCell ref="M284:N284"/>
    <mergeCell ref="O284:P284"/>
    <mergeCell ref="M285:N285"/>
    <mergeCell ref="O285:P285"/>
    <mergeCell ref="C286:F286"/>
    <mergeCell ref="G286:H286"/>
    <mergeCell ref="I286:L286"/>
    <mergeCell ref="J298:K298"/>
    <mergeCell ref="H299:I299"/>
    <mergeCell ref="J292:K292"/>
    <mergeCell ref="J293:K293"/>
    <mergeCell ref="J294:K294"/>
    <mergeCell ref="J295:K295"/>
    <mergeCell ref="J296:K296"/>
    <mergeCell ref="J297:K297"/>
    <mergeCell ref="M287:N287"/>
  </mergeCells>
  <printOptions horizontalCentered="1"/>
  <pageMargins left="0.70866141732283472" right="1.0300925925925926" top="0.78740157480314965" bottom="0.78740157480314965"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 11: Contingencias y Cierre de ejercicio</oddHeader>
    <oddFooter xml:space="preserve">&amp;C&amp;"Garamond,Normal"
</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2:I6"/>
  <sheetViews>
    <sheetView topLeftCell="A31" zoomScale="70" zoomScaleNormal="70" workbookViewId="0">
      <selection activeCell="L210" sqref="J210:P210"/>
    </sheetView>
  </sheetViews>
  <sheetFormatPr baseColWidth="10" defaultColWidth="11.42578125" defaultRowHeight="15.75" x14ac:dyDescent="0.25"/>
  <cols>
    <col min="1" max="2" width="11.42578125" style="691"/>
    <col min="3" max="3" width="16" style="691" customWidth="1"/>
    <col min="4" max="4" width="11.42578125" style="691"/>
    <col min="5" max="5" width="12.28515625" style="691" bestFit="1" customWidth="1"/>
    <col min="6" max="6" width="2.42578125" style="691" customWidth="1"/>
    <col min="7" max="7" width="26.7109375" style="691" bestFit="1" customWidth="1"/>
    <col min="8" max="8" width="11.140625" style="691" bestFit="1" customWidth="1"/>
    <col min="9" max="9" width="13" style="691" bestFit="1" customWidth="1"/>
    <col min="10" max="16384" width="11.42578125" style="691"/>
  </cols>
  <sheetData>
    <row r="2" spans="3:9" x14ac:dyDescent="0.25">
      <c r="C2" s="3058" t="s">
        <v>953</v>
      </c>
      <c r="D2" s="3059"/>
      <c r="E2" s="3059"/>
      <c r="G2" s="3058" t="s">
        <v>954</v>
      </c>
      <c r="H2" s="3059"/>
      <c r="I2" s="3059"/>
    </row>
    <row r="3" spans="3:9" ht="31.5" x14ac:dyDescent="0.25">
      <c r="C3" s="462"/>
      <c r="D3" s="692" t="s">
        <v>955</v>
      </c>
      <c r="E3" s="692" t="s">
        <v>718</v>
      </c>
      <c r="G3" s="462"/>
      <c r="H3" s="301" t="s">
        <v>32</v>
      </c>
      <c r="I3" s="301" t="s">
        <v>956</v>
      </c>
    </row>
    <row r="4" spans="3:9" x14ac:dyDescent="0.25">
      <c r="C4" s="693" t="s">
        <v>957</v>
      </c>
      <c r="D4" s="694" t="s">
        <v>958</v>
      </c>
      <c r="E4" s="694" t="s">
        <v>959</v>
      </c>
      <c r="G4" s="695" t="s">
        <v>212</v>
      </c>
      <c r="H4" s="696">
        <v>210000</v>
      </c>
      <c r="I4" s="696">
        <f>+H4/(50*12)</f>
        <v>350</v>
      </c>
    </row>
    <row r="5" spans="3:9" x14ac:dyDescent="0.25">
      <c r="C5" s="695" t="s">
        <v>960</v>
      </c>
      <c r="D5" s="694" t="s">
        <v>961</v>
      </c>
      <c r="E5" s="694" t="s">
        <v>962</v>
      </c>
      <c r="G5" s="695" t="s">
        <v>25</v>
      </c>
      <c r="H5" s="696">
        <v>24000</v>
      </c>
      <c r="I5" s="697">
        <f>+H5/(20*12)</f>
        <v>100</v>
      </c>
    </row>
    <row r="6" spans="3:9" x14ac:dyDescent="0.25">
      <c r="C6" s="695" t="s">
        <v>963</v>
      </c>
      <c r="D6" s="694" t="s">
        <v>964</v>
      </c>
      <c r="E6" s="694" t="s">
        <v>965</v>
      </c>
      <c r="G6" s="695" t="s">
        <v>917</v>
      </c>
      <c r="H6" s="696">
        <v>7500</v>
      </c>
      <c r="I6" s="696">
        <f>+H6/(5*12)</f>
        <v>125</v>
      </c>
    </row>
  </sheetData>
  <mergeCells count="2">
    <mergeCell ref="C2:E2"/>
    <mergeCell ref="G2:I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K42"/>
  <sheetViews>
    <sheetView zoomScaleNormal="100" workbookViewId="0">
      <selection activeCell="L210" sqref="J210:P210"/>
    </sheetView>
  </sheetViews>
  <sheetFormatPr baseColWidth="10" defaultColWidth="11.42578125" defaultRowHeight="15.75" x14ac:dyDescent="0.25"/>
  <cols>
    <col min="1" max="1" width="3.42578125" style="691" customWidth="1"/>
    <col min="2" max="2" width="32.42578125" style="691" bestFit="1" customWidth="1"/>
    <col min="3" max="4" width="9.7109375" style="691" customWidth="1"/>
    <col min="5" max="5" width="10.7109375" style="691" bestFit="1" customWidth="1"/>
    <col min="6" max="6" width="4" style="691" customWidth="1"/>
    <col min="7" max="7" width="10.7109375" style="691" bestFit="1" customWidth="1"/>
    <col min="8" max="8" width="25" style="691" bestFit="1" customWidth="1"/>
    <col min="9" max="9" width="8.42578125" style="691" bestFit="1" customWidth="1"/>
    <col min="10" max="10" width="9.7109375" style="691" bestFit="1" customWidth="1"/>
    <col min="11" max="11" width="12.42578125" style="691" bestFit="1" customWidth="1"/>
    <col min="12" max="12" width="3.7109375" style="691" customWidth="1"/>
    <col min="13" max="16384" width="11.42578125" style="691"/>
  </cols>
  <sheetData>
    <row r="1" spans="2:11" ht="16.5" x14ac:dyDescent="0.25">
      <c r="G1" s="698"/>
      <c r="H1" s="699"/>
      <c r="I1" s="700"/>
    </row>
    <row r="2" spans="2:11" x14ac:dyDescent="0.25">
      <c r="I2" s="700"/>
    </row>
    <row r="3" spans="2:11" ht="16.5" x14ac:dyDescent="0.3">
      <c r="B3" s="3073" t="s">
        <v>966</v>
      </c>
      <c r="C3" s="3073"/>
      <c r="D3" s="3073"/>
      <c r="E3" s="3073"/>
      <c r="G3" s="3074"/>
      <c r="H3" s="3075"/>
      <c r="I3" s="3076"/>
      <c r="J3" s="3076"/>
      <c r="K3" s="3077"/>
    </row>
    <row r="4" spans="2:11" x14ac:dyDescent="0.25">
      <c r="B4" s="3078" t="s">
        <v>967</v>
      </c>
      <c r="C4" s="3078"/>
      <c r="D4" s="3078"/>
      <c r="E4" s="3078"/>
      <c r="G4" s="3065" t="s">
        <v>968</v>
      </c>
      <c r="H4" s="3066"/>
      <c r="I4" s="3067" t="s">
        <v>969</v>
      </c>
      <c r="J4" s="3067"/>
      <c r="K4" s="3068"/>
    </row>
    <row r="5" spans="2:11" x14ac:dyDescent="0.25">
      <c r="B5" s="3064" t="s">
        <v>970</v>
      </c>
      <c r="C5" s="3064"/>
      <c r="D5" s="3064"/>
      <c r="E5" s="3064"/>
      <c r="G5" s="3065" t="s">
        <v>971</v>
      </c>
      <c r="H5" s="3066"/>
      <c r="I5" s="3067" t="s">
        <v>972</v>
      </c>
      <c r="J5" s="3067"/>
      <c r="K5" s="3068"/>
    </row>
    <row r="6" spans="2:11" x14ac:dyDescent="0.25">
      <c r="B6" s="701"/>
      <c r="G6" s="3065" t="s">
        <v>973</v>
      </c>
      <c r="H6" s="3066"/>
      <c r="I6" s="3067" t="s">
        <v>974</v>
      </c>
      <c r="J6" s="3067"/>
      <c r="K6" s="3068"/>
    </row>
    <row r="7" spans="2:11" x14ac:dyDescent="0.25">
      <c r="B7" s="702" t="s">
        <v>362</v>
      </c>
      <c r="C7" s="702" t="s">
        <v>9</v>
      </c>
      <c r="D7" s="702" t="s">
        <v>8</v>
      </c>
      <c r="E7" s="702" t="s">
        <v>975</v>
      </c>
      <c r="G7" s="3069" t="s">
        <v>976</v>
      </c>
      <c r="H7" s="3070"/>
      <c r="I7" s="3071" t="s">
        <v>977</v>
      </c>
      <c r="J7" s="3071"/>
      <c r="K7" s="3072"/>
    </row>
    <row r="8" spans="2:11" x14ac:dyDescent="0.25">
      <c r="B8" s="703" t="s">
        <v>978</v>
      </c>
      <c r="C8" s="704"/>
      <c r="D8" s="704"/>
      <c r="E8" s="704">
        <v>6500</v>
      </c>
      <c r="H8" s="700"/>
      <c r="I8" s="700"/>
    </row>
    <row r="9" spans="2:11" x14ac:dyDescent="0.25">
      <c r="B9" s="705" t="s">
        <v>979</v>
      </c>
      <c r="C9" s="706"/>
      <c r="D9" s="706">
        <v>345</v>
      </c>
      <c r="E9" s="706">
        <v>6155</v>
      </c>
      <c r="G9" s="707" t="s">
        <v>980</v>
      </c>
      <c r="H9" s="708" t="s">
        <v>981</v>
      </c>
      <c r="I9" s="707" t="s">
        <v>982</v>
      </c>
      <c r="J9" s="707" t="s">
        <v>983</v>
      </c>
      <c r="K9" s="709" t="s">
        <v>984</v>
      </c>
    </row>
    <row r="10" spans="2:11" x14ac:dyDescent="0.25">
      <c r="B10" s="710" t="s">
        <v>985</v>
      </c>
      <c r="C10" s="711">
        <v>7000</v>
      </c>
      <c r="D10" s="711"/>
      <c r="E10" s="711">
        <v>13155</v>
      </c>
      <c r="G10" s="3060" t="s">
        <v>986</v>
      </c>
      <c r="H10" s="3061"/>
      <c r="I10" s="712"/>
      <c r="J10" s="712"/>
      <c r="K10" s="713">
        <v>6500</v>
      </c>
    </row>
    <row r="11" spans="2:11" ht="16.5" x14ac:dyDescent="0.25">
      <c r="B11" s="710" t="s">
        <v>987</v>
      </c>
      <c r="C11" s="711"/>
      <c r="D11" s="711">
        <v>670</v>
      </c>
      <c r="E11" s="711">
        <v>12485</v>
      </c>
      <c r="G11" s="714" t="s">
        <v>988</v>
      </c>
      <c r="H11" s="715" t="s">
        <v>989</v>
      </c>
      <c r="I11" s="716">
        <v>32</v>
      </c>
      <c r="J11" s="717"/>
      <c r="K11" s="718">
        <v>6467.5</v>
      </c>
    </row>
    <row r="12" spans="2:11" ht="16.5" x14ac:dyDescent="0.25">
      <c r="B12" s="710" t="s">
        <v>990</v>
      </c>
      <c r="C12" s="711"/>
      <c r="D12" s="711">
        <v>3200</v>
      </c>
      <c r="E12" s="711">
        <v>9285</v>
      </c>
      <c r="G12" s="719" t="str">
        <f>G11</f>
        <v>02/07/X1</v>
      </c>
      <c r="H12" s="720" t="s">
        <v>991</v>
      </c>
      <c r="I12" s="721">
        <v>55.5</v>
      </c>
      <c r="J12" s="722"/>
      <c r="K12" s="723">
        <v>6412</v>
      </c>
    </row>
    <row r="13" spans="2:11" ht="16.5" x14ac:dyDescent="0.25">
      <c r="B13" s="710" t="s">
        <v>992</v>
      </c>
      <c r="C13" s="711"/>
      <c r="D13" s="711">
        <v>100</v>
      </c>
      <c r="E13" s="711">
        <v>9185</v>
      </c>
      <c r="G13" s="719" t="str">
        <f>G12</f>
        <v>02/07/X1</v>
      </c>
      <c r="H13" s="724" t="s">
        <v>993</v>
      </c>
      <c r="I13" s="721">
        <v>6</v>
      </c>
      <c r="J13" s="721"/>
      <c r="K13" s="723">
        <v>6406</v>
      </c>
    </row>
    <row r="14" spans="2:11" ht="16.5" x14ac:dyDescent="0.25">
      <c r="B14" s="710" t="s">
        <v>994</v>
      </c>
      <c r="C14" s="711"/>
      <c r="D14" s="711">
        <v>2900</v>
      </c>
      <c r="E14" s="711">
        <v>6285</v>
      </c>
      <c r="G14" s="719" t="str">
        <f>G13</f>
        <v>02/07/X1</v>
      </c>
      <c r="H14" s="724" t="s">
        <v>995</v>
      </c>
      <c r="I14" s="721">
        <v>345</v>
      </c>
      <c r="J14" s="721"/>
      <c r="K14" s="723">
        <v>6061</v>
      </c>
    </row>
    <row r="15" spans="2:11" ht="16.5" x14ac:dyDescent="0.25">
      <c r="B15" s="710" t="s">
        <v>985</v>
      </c>
      <c r="C15" s="711">
        <v>9500</v>
      </c>
      <c r="D15" s="711"/>
      <c r="E15" s="711">
        <v>15785</v>
      </c>
      <c r="G15" s="719" t="str">
        <f>G14</f>
        <v>02/07/X1</v>
      </c>
      <c r="H15" s="724" t="s">
        <v>985</v>
      </c>
      <c r="I15" s="721"/>
      <c r="J15" s="721">
        <v>7000</v>
      </c>
      <c r="K15" s="723">
        <v>13061</v>
      </c>
    </row>
    <row r="16" spans="2:11" ht="16.5" x14ac:dyDescent="0.25">
      <c r="B16" s="710" t="s">
        <v>996</v>
      </c>
      <c r="C16" s="711"/>
      <c r="D16" s="711">
        <v>1800</v>
      </c>
      <c r="E16" s="711">
        <v>13985</v>
      </c>
      <c r="G16" s="719" t="s">
        <v>997</v>
      </c>
      <c r="H16" s="724" t="s">
        <v>998</v>
      </c>
      <c r="I16" s="721">
        <v>670</v>
      </c>
      <c r="J16" s="721"/>
      <c r="K16" s="723">
        <v>12391</v>
      </c>
    </row>
    <row r="17" spans="2:11" ht="16.5" x14ac:dyDescent="0.25">
      <c r="B17" s="710" t="s">
        <v>999</v>
      </c>
      <c r="C17" s="711"/>
      <c r="D17" s="711">
        <v>1000</v>
      </c>
      <c r="E17" s="711">
        <v>12985</v>
      </c>
      <c r="G17" s="719" t="str">
        <f>G16</f>
        <v>05/07/X1</v>
      </c>
      <c r="H17" s="724" t="s">
        <v>1000</v>
      </c>
      <c r="I17" s="721">
        <v>3200</v>
      </c>
      <c r="J17" s="721"/>
      <c r="K17" s="723">
        <v>9191</v>
      </c>
    </row>
    <row r="18" spans="2:11" ht="16.5" x14ac:dyDescent="0.25">
      <c r="B18" s="710" t="s">
        <v>1001</v>
      </c>
      <c r="C18" s="711"/>
      <c r="D18" s="711">
        <v>3160</v>
      </c>
      <c r="E18" s="711">
        <v>9825</v>
      </c>
      <c r="G18" s="719" t="s">
        <v>1002</v>
      </c>
      <c r="H18" s="724" t="s">
        <v>985</v>
      </c>
      <c r="I18" s="721"/>
      <c r="J18" s="721">
        <v>9500</v>
      </c>
      <c r="K18" s="723">
        <v>18691</v>
      </c>
    </row>
    <row r="19" spans="2:11" ht="16.5" x14ac:dyDescent="0.25">
      <c r="B19" s="710" t="s">
        <v>1003</v>
      </c>
      <c r="C19" s="711"/>
      <c r="D19" s="711">
        <v>1250</v>
      </c>
      <c r="E19" s="711">
        <v>8575</v>
      </c>
      <c r="G19" s="719" t="str">
        <f t="shared" ref="G19:G20" si="0">G18</f>
        <v>09/07/X1</v>
      </c>
      <c r="H19" s="724" t="s">
        <v>1004</v>
      </c>
      <c r="I19" s="721">
        <v>100</v>
      </c>
      <c r="J19" s="721"/>
      <c r="K19" s="723">
        <v>18591</v>
      </c>
    </row>
    <row r="20" spans="2:11" ht="16.5" x14ac:dyDescent="0.25">
      <c r="B20" s="710" t="s">
        <v>1005</v>
      </c>
      <c r="C20" s="711"/>
      <c r="D20" s="711">
        <v>1300</v>
      </c>
      <c r="E20" s="711">
        <v>7275</v>
      </c>
      <c r="G20" s="719" t="str">
        <f t="shared" si="0"/>
        <v>09/07/X1</v>
      </c>
      <c r="H20" s="724" t="s">
        <v>1006</v>
      </c>
      <c r="I20" s="721">
        <v>2900</v>
      </c>
      <c r="J20" s="721"/>
      <c r="K20" s="723">
        <v>15691</v>
      </c>
    </row>
    <row r="21" spans="2:11" ht="16.5" x14ac:dyDescent="0.25">
      <c r="B21" s="710" t="s">
        <v>1007</v>
      </c>
      <c r="C21" s="711"/>
      <c r="D21" s="711">
        <v>125</v>
      </c>
      <c r="E21" s="711">
        <v>7150</v>
      </c>
      <c r="G21" s="719" t="s">
        <v>1008</v>
      </c>
      <c r="H21" s="724" t="s">
        <v>1001</v>
      </c>
      <c r="I21" s="721">
        <v>500</v>
      </c>
      <c r="J21" s="721"/>
      <c r="K21" s="723">
        <v>15191</v>
      </c>
    </row>
    <row r="22" spans="2:11" ht="16.5" x14ac:dyDescent="0.25">
      <c r="B22" s="710" t="s">
        <v>1009</v>
      </c>
      <c r="C22" s="711"/>
      <c r="D22" s="711">
        <v>5000</v>
      </c>
      <c r="E22" s="711">
        <v>2150</v>
      </c>
      <c r="G22" s="719" t="str">
        <f t="shared" ref="G22:G23" si="1">G21</f>
        <v>12/07/X1</v>
      </c>
      <c r="H22" s="724" t="s">
        <v>1001</v>
      </c>
      <c r="I22" s="721">
        <v>360</v>
      </c>
      <c r="J22" s="721"/>
      <c r="K22" s="723">
        <v>14831</v>
      </c>
    </row>
    <row r="23" spans="2:11" ht="16.5" x14ac:dyDescent="0.25">
      <c r="B23" s="710" t="s">
        <v>1010</v>
      </c>
      <c r="C23" s="711">
        <v>8300</v>
      </c>
      <c r="D23" s="711"/>
      <c r="E23" s="711">
        <v>10450</v>
      </c>
      <c r="G23" s="719" t="str">
        <f t="shared" si="1"/>
        <v>12/07/X1</v>
      </c>
      <c r="H23" s="724" t="s">
        <v>1001</v>
      </c>
      <c r="I23" s="721">
        <v>500</v>
      </c>
      <c r="J23" s="721"/>
      <c r="K23" s="723">
        <v>14331</v>
      </c>
    </row>
    <row r="24" spans="2:11" ht="16.5" x14ac:dyDescent="0.25">
      <c r="B24" s="710" t="s">
        <v>985</v>
      </c>
      <c r="C24" s="711">
        <v>6700</v>
      </c>
      <c r="D24" s="711"/>
      <c r="E24" s="711">
        <v>17150</v>
      </c>
      <c r="G24" s="719" t="s">
        <v>1011</v>
      </c>
      <c r="H24" s="724" t="s">
        <v>1012</v>
      </c>
      <c r="I24" s="721">
        <v>1800</v>
      </c>
      <c r="J24" s="721"/>
      <c r="K24" s="723">
        <v>12531</v>
      </c>
    </row>
    <row r="25" spans="2:11" ht="16.5" x14ac:dyDescent="0.25">
      <c r="B25" s="710" t="s">
        <v>1013</v>
      </c>
      <c r="C25" s="711"/>
      <c r="D25" s="711">
        <v>280</v>
      </c>
      <c r="E25" s="711">
        <v>16870</v>
      </c>
      <c r="G25" s="719" t="str">
        <f>G24</f>
        <v>16/07/X1</v>
      </c>
      <c r="H25" s="724" t="s">
        <v>1014</v>
      </c>
      <c r="I25" s="721">
        <v>1000</v>
      </c>
      <c r="J25" s="721"/>
      <c r="K25" s="723">
        <v>11531</v>
      </c>
    </row>
    <row r="26" spans="2:11" ht="16.5" x14ac:dyDescent="0.25">
      <c r="B26" s="710" t="s">
        <v>1015</v>
      </c>
      <c r="C26" s="711">
        <v>5900</v>
      </c>
      <c r="D26" s="711"/>
      <c r="E26" s="711">
        <v>22770</v>
      </c>
      <c r="G26" s="719" t="s">
        <v>1016</v>
      </c>
      <c r="H26" s="724" t="s">
        <v>1017</v>
      </c>
      <c r="I26" s="721">
        <v>105</v>
      </c>
      <c r="J26" s="721"/>
      <c r="K26" s="723">
        <v>11426</v>
      </c>
    </row>
    <row r="27" spans="2:11" ht="16.5" x14ac:dyDescent="0.25">
      <c r="B27" s="725" t="s">
        <v>1018</v>
      </c>
      <c r="C27" s="726">
        <v>19200</v>
      </c>
      <c r="D27" s="726"/>
      <c r="E27" s="726">
        <v>41970</v>
      </c>
      <c r="G27" s="719" t="str">
        <f>G26</f>
        <v>19/07/X1</v>
      </c>
      <c r="H27" s="724" t="s">
        <v>1019</v>
      </c>
      <c r="I27" s="721">
        <v>5</v>
      </c>
      <c r="J27" s="721"/>
      <c r="K27" s="723">
        <v>11421</v>
      </c>
    </row>
    <row r="28" spans="2:11" ht="16.5" x14ac:dyDescent="0.25">
      <c r="B28" s="703" t="s">
        <v>1020</v>
      </c>
      <c r="C28" s="727"/>
      <c r="D28" s="727"/>
      <c r="E28" s="727">
        <v>41970</v>
      </c>
      <c r="G28" s="719" t="s">
        <v>1021</v>
      </c>
      <c r="H28" s="724" t="s">
        <v>1022</v>
      </c>
      <c r="I28" s="721">
        <v>1250</v>
      </c>
      <c r="J28" s="721"/>
      <c r="K28" s="723">
        <v>10171</v>
      </c>
    </row>
    <row r="29" spans="2:11" ht="16.5" x14ac:dyDescent="0.25">
      <c r="G29" s="719" t="str">
        <f>G28</f>
        <v>21/07/X1</v>
      </c>
      <c r="H29" s="724" t="s">
        <v>1023</v>
      </c>
      <c r="I29" s="721">
        <v>1300</v>
      </c>
      <c r="J29" s="721"/>
      <c r="K29" s="723">
        <v>8871</v>
      </c>
    </row>
    <row r="30" spans="2:11" ht="16.5" x14ac:dyDescent="0.25">
      <c r="G30" s="719" t="s">
        <v>1024</v>
      </c>
      <c r="H30" s="724" t="s">
        <v>1025</v>
      </c>
      <c r="I30" s="721"/>
      <c r="J30" s="721">
        <v>6700</v>
      </c>
      <c r="K30" s="723">
        <v>15571</v>
      </c>
    </row>
    <row r="31" spans="2:11" ht="16.5" x14ac:dyDescent="0.25">
      <c r="G31" s="719" t="str">
        <f t="shared" ref="G31:G34" si="2">G30</f>
        <v>24/07/X1</v>
      </c>
      <c r="H31" s="724" t="s">
        <v>1026</v>
      </c>
      <c r="I31" s="721">
        <v>2650</v>
      </c>
      <c r="J31" s="721"/>
      <c r="K31" s="723">
        <v>12921</v>
      </c>
    </row>
    <row r="32" spans="2:11" ht="16.5" x14ac:dyDescent="0.25">
      <c r="G32" s="719" t="str">
        <f t="shared" si="2"/>
        <v>24/07/X1</v>
      </c>
      <c r="H32" s="724" t="s">
        <v>1027</v>
      </c>
      <c r="I32" s="721">
        <v>5000</v>
      </c>
      <c r="J32" s="721"/>
      <c r="K32" s="723">
        <v>7921</v>
      </c>
    </row>
    <row r="33" spans="7:11" ht="16.5" x14ac:dyDescent="0.25">
      <c r="G33" s="719" t="str">
        <f t="shared" si="2"/>
        <v>24/07/X1</v>
      </c>
      <c r="H33" s="724" t="s">
        <v>1028</v>
      </c>
      <c r="I33" s="721">
        <v>125</v>
      </c>
      <c r="J33" s="721"/>
      <c r="K33" s="723">
        <v>7796</v>
      </c>
    </row>
    <row r="34" spans="7:11" ht="16.5" x14ac:dyDescent="0.25">
      <c r="G34" s="719" t="str">
        <f t="shared" si="2"/>
        <v>24/07/X1</v>
      </c>
      <c r="H34" s="724" t="s">
        <v>1029</v>
      </c>
      <c r="I34" s="721">
        <v>280</v>
      </c>
      <c r="J34" s="721"/>
      <c r="K34" s="723">
        <v>7516</v>
      </c>
    </row>
    <row r="35" spans="7:11" ht="16.5" x14ac:dyDescent="0.25">
      <c r="G35" s="719" t="s">
        <v>1030</v>
      </c>
      <c r="H35" s="724" t="s">
        <v>1025</v>
      </c>
      <c r="I35" s="721"/>
      <c r="J35" s="721">
        <v>8300</v>
      </c>
      <c r="K35" s="723">
        <v>15816</v>
      </c>
    </row>
    <row r="36" spans="7:11" ht="16.5" x14ac:dyDescent="0.25">
      <c r="G36" s="719" t="s">
        <v>1031</v>
      </c>
      <c r="H36" s="724" t="s">
        <v>1018</v>
      </c>
      <c r="I36" s="721"/>
      <c r="J36" s="721">
        <v>19200</v>
      </c>
      <c r="K36" s="723">
        <v>35016</v>
      </c>
    </row>
    <row r="37" spans="7:11" ht="16.5" x14ac:dyDescent="0.25">
      <c r="G37" s="728" t="str">
        <f>G36</f>
        <v>29/07/X1</v>
      </c>
      <c r="H37" s="729" t="s">
        <v>1032</v>
      </c>
      <c r="I37" s="730"/>
      <c r="J37" s="731">
        <v>6700</v>
      </c>
      <c r="K37" s="732">
        <v>41716</v>
      </c>
    </row>
    <row r="38" spans="7:11" ht="16.5" x14ac:dyDescent="0.25">
      <c r="G38" s="3062" t="s">
        <v>1033</v>
      </c>
      <c r="H38" s="3063"/>
      <c r="I38" s="733"/>
      <c r="J38" s="733"/>
      <c r="K38" s="734">
        <v>41716</v>
      </c>
    </row>
    <row r="39" spans="7:11" x14ac:dyDescent="0.25">
      <c r="G39" s="735"/>
      <c r="H39" s="735"/>
      <c r="I39" s="735"/>
      <c r="J39" s="735"/>
      <c r="K39" s="735"/>
    </row>
    <row r="40" spans="7:11" x14ac:dyDescent="0.25">
      <c r="G40" s="735"/>
      <c r="H40" s="735"/>
      <c r="I40" s="735"/>
      <c r="J40" s="735"/>
      <c r="K40" s="735"/>
    </row>
    <row r="41" spans="7:11" x14ac:dyDescent="0.25">
      <c r="G41" s="735"/>
      <c r="H41" s="735"/>
      <c r="I41" s="735"/>
      <c r="J41" s="735"/>
      <c r="K41" s="735"/>
    </row>
    <row r="42" spans="7:11" x14ac:dyDescent="0.25">
      <c r="G42" s="735"/>
      <c r="H42" s="735"/>
      <c r="I42" s="735"/>
      <c r="J42" s="735"/>
      <c r="K42" s="735"/>
    </row>
  </sheetData>
  <mergeCells count="15">
    <mergeCell ref="B3:E3"/>
    <mergeCell ref="G3:H3"/>
    <mergeCell ref="I3:K3"/>
    <mergeCell ref="B4:E4"/>
    <mergeCell ref="G4:H4"/>
    <mergeCell ref="I4:K4"/>
    <mergeCell ref="G10:H10"/>
    <mergeCell ref="G38:H38"/>
    <mergeCell ref="B5:E5"/>
    <mergeCell ref="G5:H5"/>
    <mergeCell ref="I5:K5"/>
    <mergeCell ref="G6:H6"/>
    <mergeCell ref="I6:K6"/>
    <mergeCell ref="G7:H7"/>
    <mergeCell ref="I7:K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L18"/>
  <sheetViews>
    <sheetView workbookViewId="0">
      <selection activeCell="L210" sqref="J210:P210"/>
    </sheetView>
  </sheetViews>
  <sheetFormatPr baseColWidth="10" defaultColWidth="11.42578125" defaultRowHeight="15" x14ac:dyDescent="0.25"/>
  <cols>
    <col min="1" max="1" width="2.28515625" style="453" customWidth="1"/>
    <col min="2" max="2" width="7.140625" style="453" bestFit="1" customWidth="1"/>
    <col min="3" max="3" width="16.140625" style="453" bestFit="1" customWidth="1"/>
    <col min="4" max="4" width="6.42578125" style="453" bestFit="1" customWidth="1"/>
    <col min="5" max="5" width="8" style="453" bestFit="1" customWidth="1"/>
    <col min="6" max="6" width="7.42578125" style="453" bestFit="1" customWidth="1"/>
    <col min="7" max="7" width="1.7109375" style="453" customWidth="1"/>
    <col min="8" max="8" width="7.140625" style="453" bestFit="1" customWidth="1"/>
    <col min="9" max="9" width="21.42578125" style="453" customWidth="1"/>
    <col min="10" max="10" width="6.42578125" style="453" bestFit="1" customWidth="1"/>
    <col min="11" max="11" width="8" style="453" bestFit="1" customWidth="1"/>
    <col min="12" max="12" width="6.7109375" style="453" bestFit="1" customWidth="1"/>
    <col min="13" max="13" width="2.28515625" style="453" customWidth="1"/>
    <col min="14" max="16384" width="11.42578125" style="453"/>
  </cols>
  <sheetData>
    <row r="2" spans="2:12" x14ac:dyDescent="0.25">
      <c r="B2" s="736" t="s">
        <v>1034</v>
      </c>
      <c r="C2" s="736"/>
      <c r="D2" s="736"/>
      <c r="E2" s="736"/>
      <c r="F2" s="736"/>
      <c r="G2" s="736"/>
      <c r="H2" s="736" t="s">
        <v>1035</v>
      </c>
    </row>
    <row r="3" spans="2:12" ht="7.5" customHeight="1" x14ac:dyDescent="0.25"/>
    <row r="4" spans="2:12" ht="15.75" x14ac:dyDescent="0.25">
      <c r="B4" s="737" t="s">
        <v>162</v>
      </c>
      <c r="C4" s="737" t="s">
        <v>362</v>
      </c>
      <c r="D4" s="737" t="s">
        <v>9</v>
      </c>
      <c r="E4" s="738" t="s">
        <v>8</v>
      </c>
      <c r="F4" s="738" t="s">
        <v>1036</v>
      </c>
      <c r="H4" s="737" t="s">
        <v>162</v>
      </c>
      <c r="I4" s="737" t="s">
        <v>362</v>
      </c>
      <c r="J4" s="737" t="s">
        <v>9</v>
      </c>
      <c r="K4" s="738" t="s">
        <v>8</v>
      </c>
      <c r="L4" s="738" t="s">
        <v>975</v>
      </c>
    </row>
    <row r="5" spans="2:12" ht="15.75" x14ac:dyDescent="0.25">
      <c r="B5" s="739">
        <v>42400</v>
      </c>
      <c r="C5" s="740" t="s">
        <v>975</v>
      </c>
      <c r="D5" s="741"/>
      <c r="E5" s="741"/>
      <c r="F5" s="742">
        <v>2000</v>
      </c>
      <c r="H5" s="739">
        <v>42400</v>
      </c>
      <c r="I5" s="740" t="s">
        <v>975</v>
      </c>
      <c r="J5" s="741"/>
      <c r="K5" s="741"/>
      <c r="L5" s="742">
        <v>2000</v>
      </c>
    </row>
    <row r="6" spans="2:12" ht="15.75" x14ac:dyDescent="0.25">
      <c r="B6" s="739">
        <v>42410</v>
      </c>
      <c r="C6" s="743" t="s">
        <v>1037</v>
      </c>
      <c r="D6" s="742">
        <v>2000</v>
      </c>
      <c r="E6" s="741"/>
      <c r="F6" s="742">
        <v>4000</v>
      </c>
      <c r="H6" s="739">
        <v>42412</v>
      </c>
      <c r="I6" s="743" t="s">
        <v>1038</v>
      </c>
      <c r="J6" s="741"/>
      <c r="K6" s="742">
        <v>2000</v>
      </c>
      <c r="L6" s="742">
        <v>4000</v>
      </c>
    </row>
    <row r="7" spans="2:12" ht="15.75" x14ac:dyDescent="0.25">
      <c r="B7" s="739">
        <v>42412</v>
      </c>
      <c r="C7" s="743" t="s">
        <v>1039</v>
      </c>
      <c r="D7" s="741"/>
      <c r="E7" s="742">
        <v>2000</v>
      </c>
      <c r="F7" s="742">
        <v>2000</v>
      </c>
      <c r="H7" s="739">
        <v>42426</v>
      </c>
      <c r="I7" s="743" t="s">
        <v>1040</v>
      </c>
      <c r="J7" s="741"/>
      <c r="K7" s="742">
        <v>3000</v>
      </c>
      <c r="L7" s="742">
        <v>7000</v>
      </c>
    </row>
    <row r="8" spans="2:12" ht="15.75" x14ac:dyDescent="0.25">
      <c r="B8" s="739">
        <v>42426</v>
      </c>
      <c r="C8" s="743" t="s">
        <v>1040</v>
      </c>
      <c r="D8" s="742">
        <v>3000</v>
      </c>
      <c r="E8" s="741"/>
      <c r="F8" s="742">
        <v>5000</v>
      </c>
      <c r="H8" s="739">
        <v>42428</v>
      </c>
      <c r="I8" s="743" t="s">
        <v>1041</v>
      </c>
      <c r="J8" s="742">
        <v>2900</v>
      </c>
      <c r="K8" s="741"/>
      <c r="L8" s="742">
        <v>4100</v>
      </c>
    </row>
    <row r="9" spans="2:12" ht="15.75" x14ac:dyDescent="0.25">
      <c r="B9" s="739">
        <v>42428</v>
      </c>
      <c r="C9" s="743" t="s">
        <v>1041</v>
      </c>
      <c r="D9" s="741"/>
      <c r="E9" s="742">
        <v>2900</v>
      </c>
      <c r="F9" s="742">
        <v>2100</v>
      </c>
      <c r="H9" s="739">
        <v>42428</v>
      </c>
      <c r="I9" s="743" t="s">
        <v>1042</v>
      </c>
      <c r="J9" s="741">
        <v>50</v>
      </c>
      <c r="K9" s="741"/>
      <c r="L9" s="742">
        <v>4050</v>
      </c>
    </row>
    <row r="10" spans="2:12" ht="15.75" x14ac:dyDescent="0.25">
      <c r="B10" s="739">
        <v>42428</v>
      </c>
      <c r="C10" s="743" t="s">
        <v>1043</v>
      </c>
      <c r="D10" s="741"/>
      <c r="E10" s="741">
        <v>180</v>
      </c>
      <c r="F10" s="742">
        <v>1920</v>
      </c>
    </row>
    <row r="11" spans="2:12" x14ac:dyDescent="0.25">
      <c r="B11" s="475"/>
      <c r="C11" s="475"/>
      <c r="D11" s="475"/>
      <c r="E11" s="475"/>
      <c r="F11" s="475"/>
    </row>
    <row r="18" spans="2:6" x14ac:dyDescent="0.25">
      <c r="B18" s="475"/>
      <c r="C18" s="475"/>
      <c r="D18" s="475"/>
      <c r="E18" s="475"/>
      <c r="F18" s="47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3:E20"/>
  <sheetViews>
    <sheetView showGridLines="0" view="pageBreakPreview" topLeftCell="A2" zoomScaleNormal="100" zoomScaleSheetLayoutView="100" workbookViewId="0">
      <selection activeCell="F13" sqref="F13"/>
    </sheetView>
  </sheetViews>
  <sheetFormatPr baseColWidth="10" defaultColWidth="25.140625" defaultRowHeight="15.75" x14ac:dyDescent="0.25"/>
  <cols>
    <col min="1" max="1" width="3.42578125" style="557" customWidth="1"/>
    <col min="2" max="2" width="31.28515625" style="748" bestFit="1" customWidth="1"/>
    <col min="3" max="4" width="14.7109375" style="557" customWidth="1"/>
    <col min="5" max="16384" width="25.140625" style="557"/>
  </cols>
  <sheetData>
    <row r="3" spans="2:5" x14ac:dyDescent="0.25">
      <c r="B3" s="3079" t="s">
        <v>932</v>
      </c>
      <c r="C3" s="3079"/>
      <c r="D3" s="3079"/>
    </row>
    <row r="4" spans="2:5" ht="17.25" customHeight="1" x14ac:dyDescent="0.25">
      <c r="B4" s="3080" t="s">
        <v>2194</v>
      </c>
      <c r="C4" s="3080"/>
      <c r="D4" s="3080"/>
    </row>
    <row r="5" spans="2:5" ht="8.25" customHeight="1" x14ac:dyDescent="0.25">
      <c r="B5" s="744"/>
      <c r="C5" s="744"/>
      <c r="D5" s="744"/>
    </row>
    <row r="6" spans="2:5" x14ac:dyDescent="0.25">
      <c r="B6" s="745" t="s">
        <v>952</v>
      </c>
      <c r="C6" s="745" t="s">
        <v>9</v>
      </c>
      <c r="D6" s="745" t="s">
        <v>8</v>
      </c>
    </row>
    <row r="7" spans="2:5" x14ac:dyDescent="0.25">
      <c r="B7" s="746" t="s">
        <v>10</v>
      </c>
      <c r="C7" s="747">
        <v>1000</v>
      </c>
      <c r="D7" s="747"/>
    </row>
    <row r="8" spans="2:5" x14ac:dyDescent="0.25">
      <c r="B8" s="746" t="s">
        <v>2193</v>
      </c>
      <c r="C8" s="747">
        <v>2500</v>
      </c>
      <c r="D8" s="747"/>
    </row>
    <row r="9" spans="2:5" x14ac:dyDescent="0.25">
      <c r="B9" s="746" t="s">
        <v>1044</v>
      </c>
      <c r="C9" s="747">
        <v>2000</v>
      </c>
      <c r="D9" s="747"/>
    </row>
    <row r="10" spans="2:5" x14ac:dyDescent="0.25">
      <c r="B10" s="746" t="s">
        <v>937</v>
      </c>
      <c r="C10" s="747">
        <v>1500</v>
      </c>
      <c r="D10" s="747"/>
    </row>
    <row r="11" spans="2:5" x14ac:dyDescent="0.25">
      <c r="B11" s="746" t="s">
        <v>478</v>
      </c>
      <c r="C11" s="747">
        <f>2000+7200</f>
        <v>9200</v>
      </c>
      <c r="D11" s="747"/>
    </row>
    <row r="12" spans="2:5" x14ac:dyDescent="0.25">
      <c r="B12" s="746" t="s">
        <v>5</v>
      </c>
      <c r="C12" s="747">
        <v>3000</v>
      </c>
      <c r="D12" s="747"/>
    </row>
    <row r="13" spans="2:5" x14ac:dyDescent="0.25">
      <c r="B13" s="746" t="s">
        <v>302</v>
      </c>
      <c r="C13" s="747"/>
      <c r="D13" s="747">
        <v>500</v>
      </c>
    </row>
    <row r="14" spans="2:5" x14ac:dyDescent="0.25">
      <c r="B14" s="746" t="s">
        <v>2</v>
      </c>
      <c r="C14" s="747"/>
      <c r="D14" s="747">
        <v>2000</v>
      </c>
    </row>
    <row r="15" spans="2:5" x14ac:dyDescent="0.25">
      <c r="B15" s="746" t="s">
        <v>435</v>
      </c>
      <c r="C15" s="747"/>
      <c r="D15" s="747">
        <v>2000</v>
      </c>
    </row>
    <row r="16" spans="2:5" x14ac:dyDescent="0.25">
      <c r="B16" s="746" t="s">
        <v>3</v>
      </c>
      <c r="C16" s="747"/>
      <c r="D16" s="747">
        <v>13200</v>
      </c>
      <c r="E16" s="1417"/>
    </row>
    <row r="17" spans="2:4" x14ac:dyDescent="0.25">
      <c r="B17" s="746" t="s">
        <v>120</v>
      </c>
      <c r="C17" s="747">
        <v>1100</v>
      </c>
      <c r="D17" s="747"/>
    </row>
    <row r="18" spans="2:4" x14ac:dyDescent="0.25">
      <c r="B18" s="746" t="s">
        <v>398</v>
      </c>
      <c r="C18" s="747"/>
      <c r="D18" s="747">
        <v>2600</v>
      </c>
    </row>
    <row r="19" spans="2:4" ht="16.5" thickBot="1" x14ac:dyDescent="0.3">
      <c r="B19" s="1371" t="s">
        <v>410</v>
      </c>
      <c r="C19" s="1372">
        <f>SUM(C7:C18)</f>
        <v>20300</v>
      </c>
      <c r="D19" s="1372">
        <f>SUM(D7:D18)</f>
        <v>20300</v>
      </c>
    </row>
    <row r="20" spans="2:4" ht="16.5" thickTop="1" x14ac:dyDescent="0.25"/>
  </sheetData>
  <mergeCells count="2">
    <mergeCell ref="B3:D3"/>
    <mergeCell ref="B4:D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249977111117893"/>
  </sheetPr>
  <dimension ref="A1:S855"/>
  <sheetViews>
    <sheetView showGridLines="0" view="pageLayout" topLeftCell="A181" zoomScaleNormal="100" zoomScaleSheetLayoutView="50" workbookViewId="0">
      <selection activeCell="O190" sqref="O190:P190"/>
    </sheetView>
  </sheetViews>
  <sheetFormatPr baseColWidth="10" defaultColWidth="9.140625" defaultRowHeight="15" x14ac:dyDescent="0.25"/>
  <cols>
    <col min="1" max="1" width="0.7109375" style="2" customWidth="1"/>
    <col min="2" max="2" width="3" style="7" customWidth="1"/>
    <col min="3" max="6" width="5.42578125" style="12" customWidth="1"/>
    <col min="7" max="8" width="5.42578125" style="27" customWidth="1"/>
    <col min="9" max="12" width="5.42578125" style="2" customWidth="1"/>
    <col min="13" max="14" width="5.42578125" style="10" customWidth="1"/>
    <col min="15" max="16" width="5.28515625" style="10" customWidth="1"/>
    <col min="17" max="17" width="2.28515625" style="2" customWidth="1"/>
    <col min="18" max="18" width="12" style="2" bestFit="1" customWidth="1"/>
    <col min="19" max="19" width="11.140625" style="2" customWidth="1"/>
    <col min="20" max="20" width="12" style="2" bestFit="1" customWidth="1"/>
    <col min="21" max="16384" width="9.140625" style="2"/>
  </cols>
  <sheetData>
    <row r="1" spans="1:17" s="4" customFormat="1" x14ac:dyDescent="0.25">
      <c r="B1" s="189"/>
      <c r="C1" s="12"/>
      <c r="D1" s="12"/>
      <c r="E1" s="12"/>
      <c r="F1" s="12"/>
      <c r="G1" s="51"/>
      <c r="H1" s="51"/>
      <c r="M1" s="18"/>
      <c r="N1" s="18"/>
      <c r="O1" s="18"/>
      <c r="P1" s="18"/>
    </row>
    <row r="2" spans="1:17" x14ac:dyDescent="0.25">
      <c r="A2" s="1844" t="s">
        <v>20</v>
      </c>
      <c r="B2" s="1845"/>
      <c r="C2" s="1845"/>
      <c r="D2" s="1845"/>
      <c r="E2" s="1845"/>
      <c r="F2" s="1845"/>
      <c r="G2" s="1845"/>
      <c r="H2" s="1845"/>
      <c r="I2" s="1845"/>
      <c r="J2" s="1845"/>
      <c r="K2" s="1845"/>
      <c r="L2" s="1845"/>
      <c r="M2" s="1845"/>
      <c r="N2" s="1845"/>
      <c r="O2" s="1845"/>
      <c r="P2" s="1845"/>
      <c r="Q2" s="1846"/>
    </row>
    <row r="3" spans="1:17" x14ac:dyDescent="0.25">
      <c r="A3" s="1847" t="s">
        <v>1045</v>
      </c>
      <c r="B3" s="1848"/>
      <c r="C3" s="1848"/>
      <c r="D3" s="1848"/>
      <c r="E3" s="1848"/>
      <c r="F3" s="1848"/>
      <c r="G3" s="1848"/>
      <c r="H3" s="1848"/>
      <c r="I3" s="1848"/>
      <c r="J3" s="1848"/>
      <c r="K3" s="1848"/>
      <c r="L3" s="1848"/>
      <c r="M3" s="1848"/>
      <c r="N3" s="1848"/>
      <c r="O3" s="1848"/>
      <c r="P3" s="1848"/>
      <c r="Q3" s="1849"/>
    </row>
    <row r="5" spans="1:17" ht="15" customHeight="1" x14ac:dyDescent="0.25">
      <c r="B5" s="2"/>
      <c r="C5" s="3201" t="s">
        <v>1046</v>
      </c>
      <c r="D5" s="3202"/>
      <c r="E5" s="3202"/>
      <c r="F5" s="3202"/>
      <c r="G5" s="3202"/>
      <c r="H5" s="3202"/>
      <c r="I5" s="3202"/>
      <c r="J5" s="3201" t="s">
        <v>975</v>
      </c>
      <c r="K5" s="3203"/>
      <c r="L5" s="3204" t="s">
        <v>394</v>
      </c>
      <c r="M5" s="3205"/>
      <c r="N5" s="3205"/>
      <c r="O5" s="3205"/>
      <c r="P5" s="3206"/>
    </row>
    <row r="6" spans="1:17" x14ac:dyDescent="0.25">
      <c r="B6" s="2"/>
      <c r="C6" s="749" t="s">
        <v>10</v>
      </c>
      <c r="D6" s="750"/>
      <c r="E6" s="750"/>
      <c r="F6" s="750"/>
      <c r="G6" s="750"/>
      <c r="H6" s="750"/>
      <c r="I6" s="750"/>
      <c r="J6" s="3189">
        <v>11000</v>
      </c>
      <c r="K6" s="3190"/>
      <c r="L6" s="3209" t="s">
        <v>397</v>
      </c>
      <c r="M6" s="3210"/>
      <c r="N6" s="3210"/>
      <c r="O6" s="3210"/>
      <c r="P6" s="3211"/>
    </row>
    <row r="7" spans="1:17" x14ac:dyDescent="0.25">
      <c r="B7" s="2"/>
      <c r="C7" s="751" t="s">
        <v>435</v>
      </c>
      <c r="D7" s="752"/>
      <c r="E7" s="752"/>
      <c r="F7" s="752"/>
      <c r="G7" s="752"/>
      <c r="H7" s="752"/>
      <c r="I7" s="752"/>
      <c r="J7" s="3175">
        <v>111000</v>
      </c>
      <c r="K7" s="3176"/>
      <c r="L7" s="3177" t="s">
        <v>1047</v>
      </c>
      <c r="M7" s="3178"/>
      <c r="N7" s="3178"/>
      <c r="O7" s="3178"/>
      <c r="P7" s="3179"/>
    </row>
    <row r="8" spans="1:17" x14ac:dyDescent="0.25">
      <c r="B8" s="2"/>
      <c r="C8" s="751" t="s">
        <v>233</v>
      </c>
      <c r="D8" s="752"/>
      <c r="E8" s="752"/>
      <c r="F8" s="752"/>
      <c r="G8" s="752"/>
      <c r="H8" s="752"/>
      <c r="I8" s="752"/>
      <c r="J8" s="3175">
        <v>1500</v>
      </c>
      <c r="K8" s="3176"/>
      <c r="L8" s="3177" t="s">
        <v>404</v>
      </c>
      <c r="M8" s="3178"/>
      <c r="N8" s="3178"/>
      <c r="O8" s="3178"/>
      <c r="P8" s="3179"/>
    </row>
    <row r="9" spans="1:17" x14ac:dyDescent="0.25">
      <c r="B9" s="2"/>
      <c r="C9" s="751" t="s">
        <v>2</v>
      </c>
      <c r="D9" s="752"/>
      <c r="E9" s="752"/>
      <c r="F9" s="752"/>
      <c r="G9" s="752"/>
      <c r="H9" s="752"/>
      <c r="I9" s="752"/>
      <c r="J9" s="3175">
        <v>7850</v>
      </c>
      <c r="K9" s="3176"/>
      <c r="L9" s="3177" t="s">
        <v>404</v>
      </c>
      <c r="M9" s="3178"/>
      <c r="N9" s="3178"/>
      <c r="O9" s="3178"/>
      <c r="P9" s="3179"/>
    </row>
    <row r="10" spans="1:17" x14ac:dyDescent="0.25">
      <c r="B10" s="2"/>
      <c r="C10" s="751" t="s">
        <v>5</v>
      </c>
      <c r="D10" s="752"/>
      <c r="E10" s="752"/>
      <c r="F10" s="752"/>
      <c r="G10" s="752"/>
      <c r="H10" s="752"/>
      <c r="I10" s="752"/>
      <c r="J10" s="3175">
        <v>34890</v>
      </c>
      <c r="K10" s="3176"/>
      <c r="L10" s="3177" t="s">
        <v>19</v>
      </c>
      <c r="M10" s="3178"/>
      <c r="N10" s="3178"/>
      <c r="O10" s="3178"/>
      <c r="P10" s="3179"/>
    </row>
    <row r="11" spans="1:17" x14ac:dyDescent="0.25">
      <c r="B11" s="2"/>
      <c r="C11" s="751" t="s">
        <v>0</v>
      </c>
      <c r="D11" s="752"/>
      <c r="E11" s="752"/>
      <c r="F11" s="752"/>
      <c r="G11" s="752"/>
      <c r="H11" s="752"/>
      <c r="I11" s="752"/>
      <c r="J11" s="3175">
        <v>18000</v>
      </c>
      <c r="K11" s="3176"/>
      <c r="L11" s="3177" t="s">
        <v>403</v>
      </c>
      <c r="M11" s="3178"/>
      <c r="N11" s="3178"/>
      <c r="O11" s="3178"/>
      <c r="P11" s="3179"/>
    </row>
    <row r="12" spans="1:17" x14ac:dyDescent="0.25">
      <c r="B12" s="2"/>
      <c r="C12" s="751" t="s">
        <v>1048</v>
      </c>
      <c r="D12" s="752"/>
      <c r="E12" s="752"/>
      <c r="F12" s="752"/>
      <c r="G12" s="752"/>
      <c r="H12" s="752"/>
      <c r="I12" s="752"/>
      <c r="J12" s="3175">
        <v>350</v>
      </c>
      <c r="K12" s="3176"/>
      <c r="L12" s="3177" t="s">
        <v>1049</v>
      </c>
      <c r="M12" s="3178"/>
      <c r="N12" s="3178"/>
      <c r="O12" s="3178"/>
      <c r="P12" s="3179"/>
    </row>
    <row r="13" spans="1:17" x14ac:dyDescent="0.25">
      <c r="B13" s="2"/>
      <c r="C13" s="751" t="s">
        <v>143</v>
      </c>
      <c r="D13" s="752"/>
      <c r="E13" s="752"/>
      <c r="F13" s="752"/>
      <c r="G13" s="752"/>
      <c r="H13" s="752"/>
      <c r="I13" s="752"/>
      <c r="J13" s="3175">
        <v>350</v>
      </c>
      <c r="K13" s="3176"/>
      <c r="L13" s="3177" t="s">
        <v>1050</v>
      </c>
      <c r="M13" s="3178"/>
      <c r="N13" s="3178"/>
      <c r="O13" s="3178"/>
      <c r="P13" s="3179"/>
    </row>
    <row r="14" spans="1:17" x14ac:dyDescent="0.25">
      <c r="B14" s="2"/>
      <c r="C14" s="751" t="s">
        <v>669</v>
      </c>
      <c r="D14" s="752"/>
      <c r="E14" s="752"/>
      <c r="F14" s="752"/>
      <c r="G14" s="752"/>
      <c r="H14" s="752"/>
      <c r="I14" s="752"/>
      <c r="J14" s="3175">
        <v>18540</v>
      </c>
      <c r="K14" s="3176"/>
      <c r="L14" s="3177" t="s">
        <v>397</v>
      </c>
      <c r="M14" s="3178"/>
      <c r="N14" s="3178"/>
      <c r="O14" s="3178"/>
      <c r="P14" s="3179"/>
    </row>
    <row r="15" spans="1:17" x14ac:dyDescent="0.25">
      <c r="B15" s="2"/>
      <c r="C15" s="751" t="s">
        <v>139</v>
      </c>
      <c r="D15" s="752"/>
      <c r="E15" s="752"/>
      <c r="F15" s="752"/>
      <c r="G15" s="752"/>
      <c r="H15" s="752"/>
      <c r="I15" s="752"/>
      <c r="J15" s="3175">
        <v>12000</v>
      </c>
      <c r="K15" s="3176"/>
      <c r="L15" s="3177" t="s">
        <v>406</v>
      </c>
      <c r="M15" s="3178"/>
      <c r="N15" s="3178"/>
      <c r="O15" s="3178"/>
      <c r="P15" s="3179"/>
    </row>
    <row r="16" spans="1:17" x14ac:dyDescent="0.25">
      <c r="B16" s="2"/>
      <c r="C16" s="751" t="s">
        <v>1051</v>
      </c>
      <c r="D16" s="752"/>
      <c r="E16" s="752"/>
      <c r="F16" s="752"/>
      <c r="G16" s="752"/>
      <c r="H16" s="752"/>
      <c r="I16" s="752"/>
      <c r="J16" s="3175">
        <v>5820</v>
      </c>
      <c r="K16" s="3176"/>
      <c r="L16" s="3177" t="s">
        <v>415</v>
      </c>
      <c r="M16" s="3178"/>
      <c r="N16" s="3178"/>
      <c r="O16" s="3178"/>
      <c r="P16" s="3179"/>
    </row>
    <row r="17" spans="2:16" x14ac:dyDescent="0.25">
      <c r="B17" s="2"/>
      <c r="C17" s="751" t="s">
        <v>26</v>
      </c>
      <c r="D17" s="752"/>
      <c r="E17" s="752"/>
      <c r="F17" s="752"/>
      <c r="G17" s="752"/>
      <c r="H17" s="752"/>
      <c r="I17" s="752"/>
      <c r="J17" s="3175">
        <v>70000</v>
      </c>
      <c r="K17" s="3176"/>
      <c r="L17" s="3177" t="s">
        <v>53</v>
      </c>
      <c r="M17" s="3178"/>
      <c r="N17" s="3178"/>
      <c r="O17" s="3178"/>
      <c r="P17" s="3179"/>
    </row>
    <row r="18" spans="2:16" x14ac:dyDescent="0.25">
      <c r="B18" s="2"/>
      <c r="C18" s="751" t="s">
        <v>1052</v>
      </c>
      <c r="D18" s="752"/>
      <c r="E18" s="752"/>
      <c r="F18" s="752"/>
      <c r="G18" s="752"/>
      <c r="H18" s="752"/>
      <c r="I18" s="752"/>
      <c r="J18" s="3175">
        <v>15000</v>
      </c>
      <c r="K18" s="3176"/>
      <c r="L18" s="3177" t="s">
        <v>53</v>
      </c>
      <c r="M18" s="3178"/>
      <c r="N18" s="3178"/>
      <c r="O18" s="3178"/>
      <c r="P18" s="3179"/>
    </row>
    <row r="19" spans="2:16" x14ac:dyDescent="0.25">
      <c r="B19" s="2"/>
      <c r="C19" s="751" t="s">
        <v>173</v>
      </c>
      <c r="D19" s="752"/>
      <c r="E19" s="752"/>
      <c r="F19" s="752"/>
      <c r="G19" s="752"/>
      <c r="H19" s="752"/>
      <c r="I19" s="752"/>
      <c r="J19" s="3175">
        <v>7500</v>
      </c>
      <c r="K19" s="3176"/>
      <c r="L19" s="3177" t="s">
        <v>1053</v>
      </c>
      <c r="M19" s="3178"/>
      <c r="N19" s="3178"/>
      <c r="O19" s="3178"/>
      <c r="P19" s="3179"/>
    </row>
    <row r="20" spans="2:16" x14ac:dyDescent="0.25">
      <c r="B20" s="2"/>
      <c r="C20" s="751" t="s">
        <v>1054</v>
      </c>
      <c r="D20" s="752"/>
      <c r="E20" s="752"/>
      <c r="F20" s="752"/>
      <c r="G20" s="752"/>
      <c r="H20" s="752"/>
      <c r="I20" s="752"/>
      <c r="J20" s="3175">
        <v>5000</v>
      </c>
      <c r="K20" s="3176"/>
      <c r="L20" s="3177" t="s">
        <v>1053</v>
      </c>
      <c r="M20" s="3178"/>
      <c r="N20" s="3178"/>
      <c r="O20" s="3178"/>
      <c r="P20" s="3179"/>
    </row>
    <row r="21" spans="2:16" x14ac:dyDescent="0.25">
      <c r="B21" s="2"/>
      <c r="C21" s="751" t="s">
        <v>3</v>
      </c>
      <c r="D21" s="752"/>
      <c r="E21" s="752"/>
      <c r="F21" s="752"/>
      <c r="G21" s="752"/>
      <c r="H21" s="752"/>
      <c r="I21" s="752"/>
      <c r="J21" s="3175">
        <v>26000</v>
      </c>
      <c r="K21" s="3176"/>
      <c r="L21" s="3177" t="s">
        <v>1055</v>
      </c>
      <c r="M21" s="3178"/>
      <c r="N21" s="3178"/>
      <c r="O21" s="3178"/>
      <c r="P21" s="3179"/>
    </row>
    <row r="22" spans="2:16" x14ac:dyDescent="0.25">
      <c r="B22" s="2"/>
      <c r="C22" s="751" t="s">
        <v>299</v>
      </c>
      <c r="D22" s="752"/>
      <c r="E22" s="752"/>
      <c r="F22" s="752"/>
      <c r="G22" s="752"/>
      <c r="H22" s="752"/>
      <c r="I22" s="752"/>
      <c r="J22" s="3175">
        <v>200</v>
      </c>
      <c r="K22" s="3176"/>
      <c r="L22" s="3177" t="s">
        <v>1056</v>
      </c>
      <c r="M22" s="3178"/>
      <c r="N22" s="3178"/>
      <c r="O22" s="3178"/>
      <c r="P22" s="3179"/>
    </row>
    <row r="23" spans="2:16" x14ac:dyDescent="0.25">
      <c r="B23" s="2"/>
      <c r="C23" s="751" t="s">
        <v>492</v>
      </c>
      <c r="D23" s="752"/>
      <c r="E23" s="752"/>
      <c r="F23" s="752"/>
      <c r="G23" s="752"/>
      <c r="H23" s="752"/>
      <c r="I23" s="752"/>
      <c r="J23" s="3175">
        <v>2000</v>
      </c>
      <c r="K23" s="3176"/>
      <c r="L23" s="3177" t="s">
        <v>417</v>
      </c>
      <c r="M23" s="3178"/>
      <c r="N23" s="3178"/>
      <c r="O23" s="3178"/>
      <c r="P23" s="3179"/>
    </row>
    <row r="24" spans="2:16" x14ac:dyDescent="0.25">
      <c r="B24" s="2"/>
      <c r="C24" s="751" t="s">
        <v>1057</v>
      </c>
      <c r="D24" s="752"/>
      <c r="E24" s="752"/>
      <c r="F24" s="752"/>
      <c r="G24" s="752"/>
      <c r="H24" s="752"/>
      <c r="I24" s="752"/>
      <c r="J24" s="3175">
        <v>15800</v>
      </c>
      <c r="K24" s="3176"/>
      <c r="L24" s="3177" t="s">
        <v>400</v>
      </c>
      <c r="M24" s="3178"/>
      <c r="N24" s="3178"/>
      <c r="O24" s="3178"/>
      <c r="P24" s="3179"/>
    </row>
    <row r="25" spans="2:16" x14ac:dyDescent="0.25">
      <c r="B25" s="2"/>
      <c r="C25" s="751" t="s">
        <v>6</v>
      </c>
      <c r="D25" s="752"/>
      <c r="E25" s="752"/>
      <c r="F25" s="752"/>
      <c r="G25" s="752"/>
      <c r="H25" s="752"/>
      <c r="I25" s="752"/>
      <c r="J25" s="3175">
        <v>20200</v>
      </c>
      <c r="K25" s="3176"/>
      <c r="L25" s="3177" t="s">
        <v>404</v>
      </c>
      <c r="M25" s="3178"/>
      <c r="N25" s="3178"/>
      <c r="O25" s="3178"/>
      <c r="P25" s="3179"/>
    </row>
    <row r="26" spans="2:16" x14ac:dyDescent="0.25">
      <c r="B26" s="2"/>
      <c r="C26" s="753" t="s">
        <v>1058</v>
      </c>
      <c r="D26" s="754"/>
      <c r="E26" s="754"/>
      <c r="F26" s="754"/>
      <c r="G26" s="754"/>
      <c r="H26" s="754"/>
      <c r="I26" s="754"/>
      <c r="J26" s="3196">
        <v>200</v>
      </c>
      <c r="K26" s="3197"/>
      <c r="L26" s="3198" t="s">
        <v>1056</v>
      </c>
      <c r="M26" s="3199"/>
      <c r="N26" s="3199"/>
      <c r="O26" s="3199"/>
      <c r="P26" s="3200"/>
    </row>
    <row r="28" spans="2:16" ht="15.75" thickBot="1" x14ac:dyDescent="0.3"/>
    <row r="29" spans="2:16" ht="15.75" thickTop="1" x14ac:dyDescent="0.25">
      <c r="C29" s="755"/>
      <c r="D29" s="756"/>
      <c r="E29" s="756"/>
      <c r="F29" s="756"/>
      <c r="G29" s="757"/>
      <c r="H29" s="757"/>
      <c r="I29" s="758"/>
      <c r="J29" s="758"/>
      <c r="K29" s="758"/>
      <c r="L29" s="758"/>
      <c r="M29" s="759"/>
      <c r="N29" s="760"/>
    </row>
    <row r="30" spans="2:16" x14ac:dyDescent="0.25">
      <c r="C30" s="761"/>
      <c r="D30" s="3111" t="s">
        <v>1045</v>
      </c>
      <c r="E30" s="3111"/>
      <c r="F30" s="3111"/>
      <c r="G30" s="3111"/>
      <c r="H30" s="3111"/>
      <c r="I30" s="3111"/>
      <c r="J30" s="3111"/>
      <c r="K30" s="3111"/>
      <c r="L30" s="3111"/>
      <c r="M30" s="3111"/>
      <c r="N30" s="762"/>
    </row>
    <row r="31" spans="2:16" x14ac:dyDescent="0.25">
      <c r="C31" s="761"/>
      <c r="D31" s="3124" t="s">
        <v>413</v>
      </c>
      <c r="E31" s="3124"/>
      <c r="F31" s="3124"/>
      <c r="G31" s="3124"/>
      <c r="H31" s="3124"/>
      <c r="I31" s="3124"/>
      <c r="J31" s="3124"/>
      <c r="K31" s="3124"/>
      <c r="L31" s="3124"/>
      <c r="M31" s="3124"/>
      <c r="N31" s="762"/>
    </row>
    <row r="32" spans="2:16" x14ac:dyDescent="0.25">
      <c r="C32" s="761"/>
      <c r="D32" s="3112" t="s">
        <v>1059</v>
      </c>
      <c r="E32" s="3112"/>
      <c r="F32" s="3112"/>
      <c r="G32" s="3112"/>
      <c r="H32" s="3112"/>
      <c r="I32" s="3112"/>
      <c r="J32" s="3112"/>
      <c r="K32" s="3112"/>
      <c r="L32" s="3112"/>
      <c r="M32" s="3112"/>
      <c r="N32" s="762"/>
    </row>
    <row r="33" spans="3:14" x14ac:dyDescent="0.25">
      <c r="C33" s="761"/>
      <c r="D33" s="3115" t="s">
        <v>497</v>
      </c>
      <c r="E33" s="3115"/>
      <c r="F33" s="3115"/>
      <c r="G33" s="3115"/>
      <c r="H33" s="3115"/>
      <c r="I33" s="3115"/>
      <c r="J33" s="3115"/>
      <c r="K33" s="3115"/>
      <c r="L33" s="3115"/>
      <c r="M33" s="3115"/>
      <c r="N33" s="762"/>
    </row>
    <row r="34" spans="3:14" x14ac:dyDescent="0.25">
      <c r="C34" s="763"/>
      <c r="D34" s="764"/>
      <c r="E34" s="764"/>
      <c r="F34" s="173"/>
      <c r="G34" s="189"/>
      <c r="H34" s="189"/>
      <c r="I34" s="4"/>
      <c r="J34" s="4"/>
      <c r="K34" s="4"/>
      <c r="L34" s="4"/>
      <c r="M34" s="18"/>
      <c r="N34" s="762"/>
    </row>
    <row r="35" spans="3:14" x14ac:dyDescent="0.25">
      <c r="C35" s="761"/>
      <c r="D35" s="765" t="s">
        <v>1060</v>
      </c>
      <c r="E35" s="4"/>
      <c r="F35" s="173"/>
      <c r="G35" s="189"/>
      <c r="H35" s="189"/>
      <c r="I35" s="4"/>
      <c r="J35" s="4"/>
      <c r="K35" s="4"/>
      <c r="L35" s="3108">
        <f>+J21</f>
        <v>26000</v>
      </c>
      <c r="M35" s="3108"/>
      <c r="N35" s="762"/>
    </row>
    <row r="36" spans="3:14" x14ac:dyDescent="0.25">
      <c r="C36" s="761"/>
      <c r="D36" s="765" t="s">
        <v>400</v>
      </c>
      <c r="E36" s="4"/>
      <c r="G36" s="189"/>
      <c r="H36" s="189"/>
      <c r="I36" s="4"/>
      <c r="J36" s="4"/>
      <c r="K36" s="4"/>
      <c r="L36" s="3108">
        <f>-J24</f>
        <v>-15800</v>
      </c>
      <c r="M36" s="3108"/>
      <c r="N36" s="762"/>
    </row>
    <row r="37" spans="3:14" x14ac:dyDescent="0.25">
      <c r="C37" s="761"/>
      <c r="D37" s="766" t="s">
        <v>414</v>
      </c>
      <c r="E37" s="228"/>
      <c r="F37" s="227"/>
      <c r="G37" s="767"/>
      <c r="H37" s="767"/>
      <c r="I37" s="228"/>
      <c r="J37" s="5"/>
      <c r="K37" s="5"/>
      <c r="L37" s="3113">
        <f>+SUM(L35:M36)</f>
        <v>10200</v>
      </c>
      <c r="M37" s="3114"/>
      <c r="N37" s="762"/>
    </row>
    <row r="38" spans="3:14" x14ac:dyDescent="0.25">
      <c r="C38" s="761"/>
      <c r="D38" s="765"/>
      <c r="E38" s="4"/>
      <c r="G38" s="189"/>
      <c r="H38" s="189"/>
      <c r="I38" s="4"/>
      <c r="J38" s="4"/>
      <c r="K38" s="4"/>
      <c r="L38" s="3108"/>
      <c r="M38" s="3108"/>
      <c r="N38" s="762"/>
    </row>
    <row r="39" spans="3:14" x14ac:dyDescent="0.25">
      <c r="C39" s="761"/>
      <c r="D39" s="765" t="s">
        <v>415</v>
      </c>
      <c r="E39" s="4"/>
      <c r="G39" s="189"/>
      <c r="H39" s="189"/>
      <c r="I39" s="4"/>
      <c r="J39" s="4"/>
      <c r="K39" s="4"/>
      <c r="L39" s="3108">
        <f>-J16</f>
        <v>-5820</v>
      </c>
      <c r="M39" s="3108"/>
      <c r="N39" s="762"/>
    </row>
    <row r="40" spans="3:14" x14ac:dyDescent="0.25">
      <c r="C40" s="761"/>
      <c r="D40" s="765" t="s">
        <v>417</v>
      </c>
      <c r="E40" s="4"/>
      <c r="G40" s="189"/>
      <c r="H40" s="189"/>
      <c r="I40" s="4"/>
      <c r="J40" s="4"/>
      <c r="K40" s="4"/>
      <c r="L40" s="3108">
        <f>-J23</f>
        <v>-2000</v>
      </c>
      <c r="M40" s="3108"/>
      <c r="N40" s="762"/>
    </row>
    <row r="41" spans="3:14" x14ac:dyDescent="0.25">
      <c r="C41" s="761"/>
      <c r="D41" s="766" t="s">
        <v>1061</v>
      </c>
      <c r="E41" s="228"/>
      <c r="F41" s="227"/>
      <c r="G41" s="767"/>
      <c r="H41" s="767"/>
      <c r="I41" s="228"/>
      <c r="J41" s="5"/>
      <c r="K41" s="5"/>
      <c r="L41" s="3113">
        <f>+SUM(L37:M40)</f>
        <v>2380</v>
      </c>
      <c r="M41" s="3114"/>
      <c r="N41" s="762"/>
    </row>
    <row r="42" spans="3:14" x14ac:dyDescent="0.25">
      <c r="C42" s="761"/>
      <c r="D42" s="765"/>
      <c r="E42" s="4"/>
      <c r="G42" s="189"/>
      <c r="H42" s="189"/>
      <c r="I42" s="4"/>
      <c r="J42" s="4"/>
      <c r="K42" s="4"/>
      <c r="L42" s="3108"/>
      <c r="M42" s="3108"/>
      <c r="N42" s="762"/>
    </row>
    <row r="43" spans="3:14" x14ac:dyDescent="0.25">
      <c r="C43" s="761"/>
      <c r="D43" s="765" t="s">
        <v>1056</v>
      </c>
      <c r="E43" s="4"/>
      <c r="G43" s="189"/>
      <c r="H43" s="189"/>
      <c r="I43" s="4"/>
      <c r="J43" s="4"/>
      <c r="K43" s="4"/>
      <c r="L43" s="3108"/>
      <c r="M43" s="3108"/>
      <c r="N43" s="762"/>
    </row>
    <row r="44" spans="3:14" x14ac:dyDescent="0.25">
      <c r="C44" s="761"/>
      <c r="D44" s="768" t="s">
        <v>420</v>
      </c>
      <c r="E44" s="4"/>
      <c r="G44" s="189"/>
      <c r="H44" s="189"/>
      <c r="I44" s="4"/>
      <c r="J44" s="4"/>
      <c r="K44" s="4"/>
      <c r="L44" s="3108">
        <f>+J26</f>
        <v>200</v>
      </c>
      <c r="M44" s="3108"/>
      <c r="N44" s="762"/>
    </row>
    <row r="45" spans="3:14" x14ac:dyDescent="0.25">
      <c r="C45" s="761"/>
      <c r="D45" s="768" t="s">
        <v>419</v>
      </c>
      <c r="E45" s="4"/>
      <c r="G45" s="189"/>
      <c r="H45" s="189"/>
      <c r="I45" s="4"/>
      <c r="J45" s="4"/>
      <c r="K45" s="4"/>
      <c r="L45" s="3108">
        <f>-J22</f>
        <v>-200</v>
      </c>
      <c r="M45" s="3108"/>
      <c r="N45" s="762"/>
    </row>
    <row r="46" spans="3:14" ht="15.75" thickBot="1" x14ac:dyDescent="0.3">
      <c r="C46" s="761"/>
      <c r="D46" s="769" t="s">
        <v>1062</v>
      </c>
      <c r="E46" s="770"/>
      <c r="F46" s="771"/>
      <c r="G46" s="772"/>
      <c r="H46" s="772"/>
      <c r="I46" s="770"/>
      <c r="J46" s="773"/>
      <c r="K46" s="773"/>
      <c r="L46" s="3109">
        <f>+SUM(L41:M45)</f>
        <v>2380</v>
      </c>
      <c r="M46" s="3110"/>
      <c r="N46" s="762"/>
    </row>
    <row r="47" spans="3:14" ht="16.5" thickTop="1" thickBot="1" x14ac:dyDescent="0.3">
      <c r="C47" s="774"/>
      <c r="D47" s="775"/>
      <c r="E47" s="775"/>
      <c r="F47" s="524"/>
      <c r="G47" s="776"/>
      <c r="H47" s="776"/>
      <c r="I47" s="527"/>
      <c r="J47" s="527"/>
      <c r="K47" s="527"/>
      <c r="L47" s="527"/>
      <c r="M47" s="528"/>
      <c r="N47" s="777"/>
    </row>
    <row r="48" spans="3:14" ht="15.75" thickTop="1" x14ac:dyDescent="0.25"/>
    <row r="49" spans="1:17" s="4" customFormat="1" x14ac:dyDescent="0.25">
      <c r="B49" s="189"/>
      <c r="C49" s="12"/>
      <c r="D49" s="12"/>
      <c r="E49" s="12"/>
      <c r="F49" s="12"/>
      <c r="G49" s="51"/>
      <c r="H49" s="51"/>
      <c r="M49" s="18"/>
      <c r="N49" s="18"/>
      <c r="O49" s="18"/>
      <c r="P49" s="18"/>
    </row>
    <row r="50" spans="1:17" x14ac:dyDescent="0.25">
      <c r="A50" s="4"/>
      <c r="B50" s="189"/>
      <c r="G50" s="51"/>
      <c r="H50" s="51"/>
      <c r="I50" s="4"/>
      <c r="J50" s="4"/>
      <c r="K50" s="4"/>
      <c r="L50" s="4"/>
      <c r="M50" s="18"/>
      <c r="N50" s="18"/>
      <c r="O50" s="18"/>
      <c r="P50" s="18"/>
      <c r="Q50" s="4"/>
    </row>
    <row r="51" spans="1:17" ht="15.75" thickBot="1" x14ac:dyDescent="0.3">
      <c r="A51" s="4"/>
      <c r="B51" s="189"/>
      <c r="G51" s="51"/>
      <c r="H51" s="51"/>
      <c r="I51" s="4"/>
      <c r="J51" s="4"/>
      <c r="K51" s="4"/>
      <c r="L51" s="4"/>
      <c r="M51" s="18"/>
      <c r="N51" s="18"/>
      <c r="O51" s="18"/>
      <c r="P51" s="18"/>
      <c r="Q51" s="4"/>
    </row>
    <row r="52" spans="1:17" ht="15.75" thickTop="1" x14ac:dyDescent="0.25">
      <c r="B52" s="778"/>
      <c r="C52" s="779"/>
      <c r="D52" s="779"/>
      <c r="E52" s="779"/>
      <c r="F52" s="779"/>
      <c r="G52" s="780"/>
      <c r="H52" s="780"/>
      <c r="I52" s="781"/>
      <c r="J52" s="781"/>
      <c r="K52" s="781"/>
      <c r="L52" s="758"/>
      <c r="M52" s="759"/>
      <c r="N52" s="759"/>
      <c r="O52" s="759"/>
      <c r="P52" s="759"/>
      <c r="Q52" s="782"/>
    </row>
    <row r="53" spans="1:17" x14ac:dyDescent="0.25">
      <c r="B53" s="783"/>
      <c r="C53" s="3111" t="s">
        <v>1063</v>
      </c>
      <c r="D53" s="3111"/>
      <c r="E53" s="3111"/>
      <c r="F53" s="3111"/>
      <c r="G53" s="3111"/>
      <c r="H53" s="3111"/>
      <c r="I53" s="3111"/>
      <c r="J53" s="3111"/>
      <c r="K53" s="3111"/>
      <c r="L53" s="3111"/>
      <c r="M53" s="3111"/>
      <c r="N53" s="3111"/>
      <c r="O53" s="3111"/>
      <c r="P53" s="3111"/>
      <c r="Q53" s="784"/>
    </row>
    <row r="54" spans="1:17" x14ac:dyDescent="0.25">
      <c r="B54" s="783"/>
      <c r="C54" s="3111" t="s">
        <v>422</v>
      </c>
      <c r="D54" s="3111"/>
      <c r="E54" s="3111"/>
      <c r="F54" s="3111"/>
      <c r="G54" s="3111"/>
      <c r="H54" s="3111"/>
      <c r="I54" s="3111"/>
      <c r="J54" s="3111"/>
      <c r="K54" s="3111"/>
      <c r="L54" s="3111"/>
      <c r="M54" s="3111"/>
      <c r="N54" s="3111"/>
      <c r="O54" s="3111"/>
      <c r="P54" s="3111"/>
      <c r="Q54" s="784"/>
    </row>
    <row r="55" spans="1:17" x14ac:dyDescent="0.25">
      <c r="B55" s="783"/>
      <c r="C55" s="3112" t="s">
        <v>1064</v>
      </c>
      <c r="D55" s="3112"/>
      <c r="E55" s="3112"/>
      <c r="F55" s="3112"/>
      <c r="G55" s="3112"/>
      <c r="H55" s="3112"/>
      <c r="I55" s="3112"/>
      <c r="J55" s="3112"/>
      <c r="K55" s="3112"/>
      <c r="L55" s="3112"/>
      <c r="M55" s="3112"/>
      <c r="N55" s="3112"/>
      <c r="O55" s="3112"/>
      <c r="P55" s="3112"/>
      <c r="Q55" s="784"/>
    </row>
    <row r="56" spans="1:17" x14ac:dyDescent="0.25">
      <c r="B56" s="783"/>
      <c r="C56" s="3107" t="s">
        <v>497</v>
      </c>
      <c r="D56" s="3107"/>
      <c r="E56" s="3107"/>
      <c r="F56" s="3107"/>
      <c r="G56" s="3107"/>
      <c r="H56" s="3107"/>
      <c r="I56" s="3107"/>
      <c r="J56" s="3107"/>
      <c r="K56" s="3107"/>
      <c r="L56" s="3107"/>
      <c r="M56" s="3107"/>
      <c r="N56" s="3107"/>
      <c r="O56" s="3107"/>
      <c r="P56" s="3107"/>
      <c r="Q56" s="784"/>
    </row>
    <row r="57" spans="1:17" x14ac:dyDescent="0.25">
      <c r="B57" s="783"/>
      <c r="C57" s="785"/>
      <c r="D57" s="765"/>
      <c r="E57" s="765"/>
      <c r="F57" s="765"/>
      <c r="G57" s="38"/>
      <c r="H57" s="38"/>
      <c r="I57" s="317"/>
      <c r="J57" s="317"/>
      <c r="K57" s="317"/>
      <c r="L57" s="4"/>
      <c r="M57" s="18"/>
      <c r="N57" s="18"/>
      <c r="O57" s="18"/>
      <c r="P57" s="18"/>
      <c r="Q57" s="784"/>
    </row>
    <row r="58" spans="1:17" x14ac:dyDescent="0.25">
      <c r="B58" s="783"/>
      <c r="C58" s="786" t="s">
        <v>1065</v>
      </c>
      <c r="D58" s="787"/>
      <c r="E58" s="788"/>
      <c r="F58" s="788"/>
      <c r="G58" s="321"/>
      <c r="H58" s="321"/>
      <c r="I58" s="788"/>
      <c r="J58" s="789" t="s">
        <v>1066</v>
      </c>
      <c r="K58" s="787"/>
      <c r="L58" s="1"/>
      <c r="M58" s="140"/>
      <c r="N58" s="140"/>
      <c r="O58" s="140"/>
      <c r="P58" s="277"/>
      <c r="Q58" s="784"/>
    </row>
    <row r="59" spans="1:17" x14ac:dyDescent="0.25">
      <c r="B59" s="783"/>
      <c r="C59" s="790" t="s">
        <v>1067</v>
      </c>
      <c r="D59" s="765"/>
      <c r="E59" s="317"/>
      <c r="F59" s="317"/>
      <c r="G59" s="38"/>
      <c r="H59" s="38"/>
      <c r="I59" s="317"/>
      <c r="J59" s="791" t="s">
        <v>1068</v>
      </c>
      <c r="K59" s="765"/>
      <c r="L59" s="4"/>
      <c r="M59" s="18"/>
      <c r="N59" s="18"/>
      <c r="O59" s="18"/>
      <c r="P59" s="505"/>
      <c r="Q59" s="784"/>
    </row>
    <row r="60" spans="1:17" x14ac:dyDescent="0.25">
      <c r="B60" s="783"/>
      <c r="C60" s="792" t="s">
        <v>397</v>
      </c>
      <c r="D60" s="793"/>
      <c r="E60" s="317"/>
      <c r="F60" s="317"/>
      <c r="G60" s="38"/>
      <c r="H60" s="3100">
        <f ca="1">+SUMIF($L$6:$P$26,C60,$J$6:$K$26)</f>
        <v>29540</v>
      </c>
      <c r="I60" s="3100"/>
      <c r="J60" s="794" t="s">
        <v>1069</v>
      </c>
      <c r="K60" s="793"/>
      <c r="L60" s="4"/>
      <c r="M60" s="18"/>
      <c r="N60" s="18"/>
      <c r="O60" s="3100">
        <f>+J9+J25+J8-J13</f>
        <v>29200</v>
      </c>
      <c r="P60" s="3101"/>
      <c r="Q60" s="784"/>
    </row>
    <row r="61" spans="1:17" ht="17.25" x14ac:dyDescent="0.25">
      <c r="B61" s="783"/>
      <c r="C61" s="792" t="s">
        <v>1070</v>
      </c>
      <c r="D61" s="793"/>
      <c r="E61" s="317"/>
      <c r="F61" s="317"/>
      <c r="G61" s="38"/>
      <c r="H61" s="3100">
        <f>+J11-J12</f>
        <v>17650</v>
      </c>
      <c r="I61" s="3100"/>
      <c r="J61" s="794" t="s">
        <v>1071</v>
      </c>
      <c r="K61" s="795"/>
      <c r="L61" s="4"/>
      <c r="M61" s="18"/>
      <c r="N61" s="18"/>
      <c r="O61" s="3102">
        <f ca="1">+SUMIF($L$6:$P$26,J61,$J$6:$K$26)</f>
        <v>12000</v>
      </c>
      <c r="P61" s="3103"/>
      <c r="Q61" s="784"/>
    </row>
    <row r="62" spans="1:17" ht="17.25" x14ac:dyDescent="0.25">
      <c r="B62" s="783"/>
      <c r="C62" s="792" t="s">
        <v>423</v>
      </c>
      <c r="D62" s="793"/>
      <c r="E62" s="317"/>
      <c r="F62" s="317"/>
      <c r="G62" s="38"/>
      <c r="H62" s="3102">
        <f ca="1">+SUMIF($L$6:$P$26,C62,$J$6:$K$26)</f>
        <v>34890</v>
      </c>
      <c r="I62" s="3102"/>
      <c r="J62" s="791" t="s">
        <v>1072</v>
      </c>
      <c r="K62" s="765"/>
      <c r="L62" s="4"/>
      <c r="M62" s="18"/>
      <c r="N62" s="18"/>
      <c r="O62" s="3147">
        <f ca="1">+O60+O61</f>
        <v>41200</v>
      </c>
      <c r="P62" s="3148"/>
      <c r="Q62" s="784"/>
    </row>
    <row r="63" spans="1:17" x14ac:dyDescent="0.25">
      <c r="B63" s="783"/>
      <c r="C63" s="796" t="s">
        <v>1073</v>
      </c>
      <c r="D63" s="793"/>
      <c r="E63" s="317"/>
      <c r="F63" s="317"/>
      <c r="G63" s="38"/>
      <c r="H63" s="3097">
        <f ca="1">+SUM(H60:I62)</f>
        <v>82080</v>
      </c>
      <c r="I63" s="3097"/>
      <c r="J63" s="797" t="s">
        <v>450</v>
      </c>
      <c r="K63" s="798"/>
      <c r="L63" s="4"/>
      <c r="M63" s="18"/>
      <c r="N63" s="18"/>
      <c r="O63" s="3097">
        <f ca="1">+O62</f>
        <v>41200</v>
      </c>
      <c r="P63" s="3098"/>
      <c r="Q63" s="784"/>
    </row>
    <row r="64" spans="1:17" x14ac:dyDescent="0.25">
      <c r="B64" s="783"/>
      <c r="C64" s="8"/>
      <c r="D64" s="4"/>
      <c r="E64" s="4"/>
      <c r="F64" s="4"/>
      <c r="G64" s="4"/>
      <c r="H64" s="4"/>
      <c r="I64" s="4"/>
      <c r="J64" s="8"/>
      <c r="K64" s="798"/>
      <c r="L64" s="4"/>
      <c r="M64" s="18"/>
      <c r="N64" s="18"/>
      <c r="O64" s="3100"/>
      <c r="P64" s="3101"/>
      <c r="Q64" s="784"/>
    </row>
    <row r="65" spans="2:17" x14ac:dyDescent="0.25">
      <c r="B65" s="783"/>
      <c r="C65" s="790" t="s">
        <v>1074</v>
      </c>
      <c r="D65" s="765"/>
      <c r="E65" s="317"/>
      <c r="F65" s="317"/>
      <c r="G65" s="38"/>
      <c r="H65" s="3100"/>
      <c r="I65" s="3100"/>
      <c r="J65" s="789" t="s">
        <v>1075</v>
      </c>
      <c r="K65" s="1"/>
      <c r="L65" s="1"/>
      <c r="M65" s="1"/>
      <c r="N65" s="1"/>
      <c r="O65" s="1"/>
      <c r="P65" s="157"/>
      <c r="Q65" s="784"/>
    </row>
    <row r="66" spans="2:17" ht="17.25" x14ac:dyDescent="0.25">
      <c r="B66" s="783"/>
      <c r="C66" s="792" t="s">
        <v>401</v>
      </c>
      <c r="D66" s="793"/>
      <c r="E66" s="317"/>
      <c r="F66" s="317"/>
      <c r="G66" s="38"/>
      <c r="H66" s="3102">
        <f>+J17+J18-J19-J20</f>
        <v>72500</v>
      </c>
      <c r="I66" s="3102"/>
      <c r="J66" s="799" t="s">
        <v>1076</v>
      </c>
      <c r="K66" s="4"/>
      <c r="L66" s="4"/>
      <c r="M66" s="4"/>
      <c r="N66" s="4"/>
      <c r="O66" s="3097">
        <f ca="1">+SUMIF($L$6:$P$26,"PN",$J$6:$K$26)+L46</f>
        <v>113380</v>
      </c>
      <c r="P66" s="3098"/>
      <c r="Q66" s="784"/>
    </row>
    <row r="67" spans="2:17" x14ac:dyDescent="0.25">
      <c r="B67" s="783"/>
      <c r="C67" s="796" t="s">
        <v>1077</v>
      </c>
      <c r="D67" s="793"/>
      <c r="E67" s="317"/>
      <c r="F67" s="317"/>
      <c r="G67" s="38"/>
      <c r="H67" s="3097">
        <f>+H66</f>
        <v>72500</v>
      </c>
      <c r="I67" s="3097"/>
      <c r="J67" s="8"/>
      <c r="K67" s="765"/>
      <c r="L67" s="4"/>
      <c r="M67" s="18"/>
      <c r="N67" s="18"/>
      <c r="O67" s="3100"/>
      <c r="P67" s="3101"/>
      <c r="Q67" s="784"/>
    </row>
    <row r="68" spans="2:17" x14ac:dyDescent="0.25">
      <c r="B68" s="783"/>
      <c r="C68" s="800" t="s">
        <v>427</v>
      </c>
      <c r="D68" s="37"/>
      <c r="E68" s="37"/>
      <c r="F68" s="37"/>
      <c r="G68" s="198"/>
      <c r="H68" s="3099">
        <f ca="1">+H67+H63</f>
        <v>154580</v>
      </c>
      <c r="I68" s="3099"/>
      <c r="J68" s="766" t="s">
        <v>1078</v>
      </c>
      <c r="K68" s="5"/>
      <c r="L68" s="5"/>
      <c r="M68" s="25"/>
      <c r="N68" s="25"/>
      <c r="O68" s="3099">
        <f ca="1">+O66+O63</f>
        <v>154580</v>
      </c>
      <c r="P68" s="2332"/>
      <c r="Q68" s="784"/>
    </row>
    <row r="69" spans="2:17" x14ac:dyDescent="0.25">
      <c r="B69" s="783"/>
      <c r="C69" s="801"/>
      <c r="G69" s="189"/>
      <c r="H69" s="802"/>
      <c r="I69" s="802"/>
      <c r="J69" s="803"/>
      <c r="K69" s="4"/>
      <c r="L69" s="4"/>
      <c r="M69" s="18"/>
      <c r="N69" s="18"/>
      <c r="O69" s="802"/>
      <c r="P69" s="802"/>
      <c r="Q69" s="784"/>
    </row>
    <row r="70" spans="2:17" ht="15.75" thickBot="1" x14ac:dyDescent="0.3">
      <c r="B70" s="804"/>
      <c r="C70" s="524"/>
      <c r="D70" s="524"/>
      <c r="E70" s="524"/>
      <c r="F70" s="524"/>
      <c r="G70" s="776"/>
      <c r="H70" s="776"/>
      <c r="I70" s="527"/>
      <c r="J70" s="527"/>
      <c r="K70" s="527"/>
      <c r="L70" s="527"/>
      <c r="M70" s="528"/>
      <c r="N70" s="528"/>
      <c r="O70" s="528"/>
      <c r="P70" s="528"/>
      <c r="Q70" s="805"/>
    </row>
    <row r="71" spans="2:17" ht="15.75" thickTop="1" x14ac:dyDescent="0.25"/>
    <row r="99" spans="1:17" x14ac:dyDescent="0.25">
      <c r="A99" s="3"/>
      <c r="B99" s="200"/>
      <c r="C99" s="11"/>
      <c r="D99" s="11"/>
      <c r="E99" s="11"/>
      <c r="F99" s="11"/>
      <c r="G99" s="24"/>
      <c r="H99" s="24"/>
      <c r="I99" s="3"/>
      <c r="J99" s="3"/>
      <c r="K99" s="3"/>
      <c r="L99" s="3"/>
      <c r="M99" s="22"/>
      <c r="N99" s="22"/>
      <c r="O99" s="22"/>
      <c r="P99" s="22"/>
      <c r="Q99" s="3"/>
    </row>
    <row r="100" spans="1:17" x14ac:dyDescent="0.25">
      <c r="A100" s="1844" t="s">
        <v>20</v>
      </c>
      <c r="B100" s="1845"/>
      <c r="C100" s="1845"/>
      <c r="D100" s="1845"/>
      <c r="E100" s="1845"/>
      <c r="F100" s="1845"/>
      <c r="G100" s="1845"/>
      <c r="H100" s="1845"/>
      <c r="I100" s="1845"/>
      <c r="J100" s="1845"/>
      <c r="K100" s="1845"/>
      <c r="L100" s="1845"/>
      <c r="M100" s="1845"/>
      <c r="N100" s="1845"/>
      <c r="O100" s="1845"/>
      <c r="P100" s="1845"/>
      <c r="Q100" s="1846"/>
    </row>
    <row r="101" spans="1:17" x14ac:dyDescent="0.25">
      <c r="A101" s="1847" t="s">
        <v>1079</v>
      </c>
      <c r="B101" s="1848"/>
      <c r="C101" s="1848"/>
      <c r="D101" s="1848"/>
      <c r="E101" s="1848"/>
      <c r="F101" s="1848"/>
      <c r="G101" s="1848"/>
      <c r="H101" s="1848"/>
      <c r="I101" s="1848"/>
      <c r="J101" s="1848"/>
      <c r="K101" s="1848"/>
      <c r="L101" s="1848"/>
      <c r="M101" s="1848"/>
      <c r="N101" s="1848"/>
      <c r="O101" s="1848"/>
      <c r="P101" s="1848"/>
      <c r="Q101" s="1849"/>
    </row>
    <row r="103" spans="1:17" x14ac:dyDescent="0.25">
      <c r="C103" s="3201" t="s">
        <v>1046</v>
      </c>
      <c r="D103" s="3202"/>
      <c r="E103" s="3202"/>
      <c r="F103" s="3202"/>
      <c r="G103" s="3202"/>
      <c r="H103" s="3202"/>
      <c r="I103" s="3202"/>
      <c r="J103" s="3201" t="s">
        <v>975</v>
      </c>
      <c r="K103" s="3203"/>
      <c r="L103" s="3204" t="s">
        <v>394</v>
      </c>
      <c r="M103" s="3205"/>
      <c r="N103" s="3205"/>
      <c r="O103" s="3205"/>
      <c r="P103" s="3206"/>
    </row>
    <row r="104" spans="1:17" x14ac:dyDescent="0.25">
      <c r="C104" s="806" t="s">
        <v>456</v>
      </c>
      <c r="D104" s="807"/>
      <c r="E104" s="807"/>
      <c r="F104" s="807"/>
      <c r="G104" s="807"/>
      <c r="H104" s="807"/>
      <c r="I104" s="807"/>
      <c r="J104" s="3207">
        <v>50000</v>
      </c>
      <c r="K104" s="3208"/>
      <c r="L104" s="3191" t="s">
        <v>407</v>
      </c>
      <c r="M104" s="3192"/>
      <c r="N104" s="3192"/>
      <c r="O104" s="3192"/>
      <c r="P104" s="3193"/>
    </row>
    <row r="105" spans="1:17" x14ac:dyDescent="0.25">
      <c r="C105" s="751" t="s">
        <v>1080</v>
      </c>
      <c r="D105" s="752"/>
      <c r="E105" s="752"/>
      <c r="F105" s="752"/>
      <c r="G105" s="752"/>
      <c r="H105" s="752"/>
      <c r="I105" s="752"/>
      <c r="J105" s="3175">
        <v>1000</v>
      </c>
      <c r="K105" s="3176"/>
      <c r="L105" s="3177" t="s">
        <v>407</v>
      </c>
      <c r="M105" s="3178"/>
      <c r="N105" s="3178"/>
      <c r="O105" s="3178"/>
      <c r="P105" s="3179"/>
    </row>
    <row r="106" spans="1:17" x14ac:dyDescent="0.25">
      <c r="C106" s="751" t="s">
        <v>1081</v>
      </c>
      <c r="D106" s="752"/>
      <c r="E106" s="752"/>
      <c r="F106" s="752"/>
      <c r="G106" s="752"/>
      <c r="H106" s="752"/>
      <c r="I106" s="752"/>
      <c r="J106" s="3175">
        <v>30000</v>
      </c>
      <c r="K106" s="3176"/>
      <c r="L106" s="3177" t="s">
        <v>417</v>
      </c>
      <c r="M106" s="3178"/>
      <c r="N106" s="3178"/>
      <c r="O106" s="3178"/>
      <c r="P106" s="3179"/>
    </row>
    <row r="107" spans="1:17" x14ac:dyDescent="0.25">
      <c r="C107" s="751" t="s">
        <v>492</v>
      </c>
      <c r="D107" s="752"/>
      <c r="E107" s="752"/>
      <c r="F107" s="752"/>
      <c r="G107" s="752"/>
      <c r="H107" s="752"/>
      <c r="I107" s="752"/>
      <c r="J107" s="3175">
        <v>145000</v>
      </c>
      <c r="K107" s="3176"/>
      <c r="L107" s="3177" t="s">
        <v>417</v>
      </c>
      <c r="M107" s="3178"/>
      <c r="N107" s="3178"/>
      <c r="O107" s="3178"/>
      <c r="P107" s="3179"/>
    </row>
    <row r="108" spans="1:17" x14ac:dyDescent="0.25">
      <c r="C108" s="751" t="s">
        <v>1082</v>
      </c>
      <c r="D108" s="752"/>
      <c r="E108" s="752"/>
      <c r="F108" s="752"/>
      <c r="G108" s="752"/>
      <c r="H108" s="752"/>
      <c r="I108" s="752"/>
      <c r="J108" s="3175">
        <v>250000</v>
      </c>
      <c r="K108" s="3176"/>
      <c r="L108" s="3177" t="s">
        <v>1053</v>
      </c>
      <c r="M108" s="3178"/>
      <c r="N108" s="3178"/>
      <c r="O108" s="3178"/>
      <c r="P108" s="3179"/>
    </row>
    <row r="109" spans="1:17" x14ac:dyDescent="0.25">
      <c r="C109" s="751" t="s">
        <v>24</v>
      </c>
      <c r="D109" s="752"/>
      <c r="E109" s="752"/>
      <c r="F109" s="752"/>
      <c r="G109" s="752"/>
      <c r="H109" s="752"/>
      <c r="I109" s="752"/>
      <c r="J109" s="3175">
        <v>5000</v>
      </c>
      <c r="K109" s="3176"/>
      <c r="L109" s="3177" t="s">
        <v>19</v>
      </c>
      <c r="M109" s="3178"/>
      <c r="N109" s="3178"/>
      <c r="O109" s="3178"/>
      <c r="P109" s="3179"/>
    </row>
    <row r="110" spans="1:17" x14ac:dyDescent="0.25">
      <c r="C110" s="751" t="s">
        <v>1083</v>
      </c>
      <c r="D110" s="752"/>
      <c r="E110" s="752"/>
      <c r="F110" s="752"/>
      <c r="G110" s="752"/>
      <c r="H110" s="752"/>
      <c r="I110" s="752"/>
      <c r="J110" s="3175">
        <v>15000</v>
      </c>
      <c r="K110" s="3176"/>
      <c r="L110" s="3177" t="s">
        <v>404</v>
      </c>
      <c r="M110" s="3178"/>
      <c r="N110" s="3178"/>
      <c r="O110" s="3178"/>
      <c r="P110" s="3179"/>
    </row>
    <row r="111" spans="1:17" x14ac:dyDescent="0.25">
      <c r="C111" s="751" t="s">
        <v>67</v>
      </c>
      <c r="D111" s="752"/>
      <c r="E111" s="752"/>
      <c r="F111" s="752"/>
      <c r="G111" s="752"/>
      <c r="H111" s="752"/>
      <c r="I111" s="752"/>
      <c r="J111" s="3175">
        <v>38700</v>
      </c>
      <c r="K111" s="3176"/>
      <c r="L111" s="3177" t="s">
        <v>397</v>
      </c>
      <c r="M111" s="3178"/>
      <c r="N111" s="3178"/>
      <c r="O111" s="3178"/>
      <c r="P111" s="3179"/>
    </row>
    <row r="112" spans="1:17" x14ac:dyDescent="0.25">
      <c r="C112" s="751" t="s">
        <v>1084</v>
      </c>
      <c r="D112" s="752"/>
      <c r="E112" s="752"/>
      <c r="F112" s="752"/>
      <c r="G112" s="752"/>
      <c r="H112" s="752"/>
      <c r="I112" s="752"/>
      <c r="J112" s="3175">
        <v>270000</v>
      </c>
      <c r="K112" s="3176"/>
      <c r="L112" s="3177" t="s">
        <v>1085</v>
      </c>
      <c r="M112" s="3178"/>
      <c r="N112" s="3178"/>
      <c r="O112" s="3178"/>
      <c r="P112" s="3179"/>
    </row>
    <row r="113" spans="3:16" x14ac:dyDescent="0.25">
      <c r="C113" s="751" t="s">
        <v>5</v>
      </c>
      <c r="D113" s="752"/>
      <c r="E113" s="752"/>
      <c r="F113" s="752"/>
      <c r="G113" s="752"/>
      <c r="H113" s="752"/>
      <c r="I113" s="752"/>
      <c r="J113" s="3175">
        <v>50000</v>
      </c>
      <c r="K113" s="3176"/>
      <c r="L113" s="3177" t="s">
        <v>19</v>
      </c>
      <c r="M113" s="3178"/>
      <c r="N113" s="3178"/>
      <c r="O113" s="3178"/>
      <c r="P113" s="3179"/>
    </row>
    <row r="114" spans="3:16" x14ac:dyDescent="0.25">
      <c r="C114" s="751" t="s">
        <v>10</v>
      </c>
      <c r="D114" s="752"/>
      <c r="E114" s="752"/>
      <c r="F114" s="752"/>
      <c r="G114" s="752"/>
      <c r="H114" s="752"/>
      <c r="I114" s="752"/>
      <c r="J114" s="3175">
        <v>18500</v>
      </c>
      <c r="K114" s="3176"/>
      <c r="L114" s="3177" t="s">
        <v>397</v>
      </c>
      <c r="M114" s="3178"/>
      <c r="N114" s="3178"/>
      <c r="O114" s="3178"/>
      <c r="P114" s="3179"/>
    </row>
    <row r="115" spans="3:16" x14ac:dyDescent="0.25">
      <c r="C115" s="751" t="s">
        <v>502</v>
      </c>
      <c r="D115" s="752"/>
      <c r="E115" s="752"/>
      <c r="F115" s="752"/>
      <c r="G115" s="752"/>
      <c r="H115" s="752"/>
      <c r="I115" s="752"/>
      <c r="J115" s="3175">
        <v>700000</v>
      </c>
      <c r="K115" s="3176"/>
      <c r="L115" s="3177" t="s">
        <v>1047</v>
      </c>
      <c r="M115" s="3178"/>
      <c r="N115" s="3178"/>
      <c r="O115" s="3178"/>
      <c r="P115" s="3179"/>
    </row>
    <row r="116" spans="3:16" x14ac:dyDescent="0.25">
      <c r="C116" s="751" t="s">
        <v>1086</v>
      </c>
      <c r="D116" s="752"/>
      <c r="E116" s="752"/>
      <c r="F116" s="752"/>
      <c r="G116" s="752"/>
      <c r="H116" s="752"/>
      <c r="I116" s="752"/>
      <c r="J116" s="3175">
        <v>42550</v>
      </c>
      <c r="K116" s="3176"/>
      <c r="L116" s="3177" t="s">
        <v>415</v>
      </c>
      <c r="M116" s="3178"/>
      <c r="N116" s="3178"/>
      <c r="O116" s="3178"/>
      <c r="P116" s="3179"/>
    </row>
    <row r="117" spans="3:16" x14ac:dyDescent="0.25">
      <c r="C117" s="751" t="s">
        <v>1087</v>
      </c>
      <c r="D117" s="752"/>
      <c r="E117" s="752"/>
      <c r="F117" s="752"/>
      <c r="G117" s="752"/>
      <c r="H117" s="752"/>
      <c r="I117" s="752"/>
      <c r="J117" s="3175">
        <v>40500</v>
      </c>
      <c r="K117" s="3176"/>
      <c r="L117" s="3177" t="s">
        <v>399</v>
      </c>
      <c r="M117" s="3178"/>
      <c r="N117" s="3178"/>
      <c r="O117" s="3178"/>
      <c r="P117" s="3179"/>
    </row>
    <row r="118" spans="3:16" x14ac:dyDescent="0.25">
      <c r="C118" s="751" t="s">
        <v>1088</v>
      </c>
      <c r="D118" s="752"/>
      <c r="E118" s="752"/>
      <c r="F118" s="752"/>
      <c r="G118" s="752"/>
      <c r="H118" s="752"/>
      <c r="I118" s="752"/>
      <c r="J118" s="3175">
        <f>350000+2700000-50000</f>
        <v>3000000</v>
      </c>
      <c r="K118" s="3176"/>
      <c r="L118" s="3177" t="s">
        <v>400</v>
      </c>
      <c r="M118" s="3178"/>
      <c r="N118" s="3178"/>
      <c r="O118" s="3178"/>
      <c r="P118" s="3179"/>
    </row>
    <row r="119" spans="3:16" x14ac:dyDescent="0.25">
      <c r="C119" s="751" t="s">
        <v>0</v>
      </c>
      <c r="D119" s="752"/>
      <c r="E119" s="752"/>
      <c r="F119" s="752"/>
      <c r="G119" s="752"/>
      <c r="H119" s="752"/>
      <c r="I119" s="752"/>
      <c r="J119" s="3175">
        <v>70000</v>
      </c>
      <c r="K119" s="3176"/>
      <c r="L119" s="3177" t="s">
        <v>403</v>
      </c>
      <c r="M119" s="3178"/>
      <c r="N119" s="3178"/>
      <c r="O119" s="3178"/>
      <c r="P119" s="3179"/>
    </row>
    <row r="120" spans="3:16" x14ac:dyDescent="0.25">
      <c r="C120" s="751" t="s">
        <v>1089</v>
      </c>
      <c r="D120" s="752"/>
      <c r="E120" s="752"/>
      <c r="F120" s="752"/>
      <c r="G120" s="752"/>
      <c r="H120" s="752"/>
      <c r="I120" s="752"/>
      <c r="J120" s="3175">
        <v>50000</v>
      </c>
      <c r="K120" s="3176"/>
      <c r="L120" s="3177" t="s">
        <v>53</v>
      </c>
      <c r="M120" s="3178"/>
      <c r="N120" s="3178"/>
      <c r="O120" s="3178"/>
      <c r="P120" s="3179"/>
    </row>
    <row r="121" spans="3:16" x14ac:dyDescent="0.25">
      <c r="C121" s="751" t="s">
        <v>1090</v>
      </c>
      <c r="D121" s="752"/>
      <c r="E121" s="752"/>
      <c r="F121" s="752"/>
      <c r="G121" s="752"/>
      <c r="H121" s="752"/>
      <c r="I121" s="752"/>
      <c r="J121" s="3175">
        <v>300000</v>
      </c>
      <c r="K121" s="3176"/>
      <c r="L121" s="3177" t="s">
        <v>415</v>
      </c>
      <c r="M121" s="3178"/>
      <c r="N121" s="3178"/>
      <c r="O121" s="3178"/>
      <c r="P121" s="3179"/>
    </row>
    <row r="122" spans="3:16" x14ac:dyDescent="0.25">
      <c r="C122" s="751" t="s">
        <v>1091</v>
      </c>
      <c r="D122" s="752"/>
      <c r="E122" s="752"/>
      <c r="F122" s="752"/>
      <c r="G122" s="752"/>
      <c r="H122" s="752"/>
      <c r="I122" s="752"/>
      <c r="J122" s="3175">
        <v>25000</v>
      </c>
      <c r="K122" s="3176"/>
      <c r="L122" s="3177" t="s">
        <v>1092</v>
      </c>
      <c r="M122" s="3178"/>
      <c r="N122" s="3178"/>
      <c r="O122" s="3178"/>
      <c r="P122" s="3179"/>
    </row>
    <row r="123" spans="3:16" x14ac:dyDescent="0.25">
      <c r="C123" s="751" t="s">
        <v>1093</v>
      </c>
      <c r="D123" s="752"/>
      <c r="E123" s="752"/>
      <c r="F123" s="752"/>
      <c r="G123" s="752"/>
      <c r="H123" s="752"/>
      <c r="I123" s="752"/>
      <c r="J123" s="3175">
        <v>18300</v>
      </c>
      <c r="K123" s="3176"/>
      <c r="L123" s="3177" t="s">
        <v>1094</v>
      </c>
      <c r="M123" s="3178"/>
      <c r="N123" s="3178"/>
      <c r="O123" s="3178"/>
      <c r="P123" s="3179"/>
    </row>
    <row r="124" spans="3:16" x14ac:dyDescent="0.25">
      <c r="C124" s="751" t="s">
        <v>1095</v>
      </c>
      <c r="D124" s="752"/>
      <c r="E124" s="752"/>
      <c r="F124" s="752"/>
      <c r="G124" s="752"/>
      <c r="H124" s="752"/>
      <c r="I124" s="752"/>
      <c r="J124" s="3175">
        <v>108000</v>
      </c>
      <c r="K124" s="3176"/>
      <c r="L124" s="3177" t="s">
        <v>1056</v>
      </c>
      <c r="M124" s="3178"/>
      <c r="N124" s="3178"/>
      <c r="O124" s="3178"/>
      <c r="P124" s="3179"/>
    </row>
    <row r="125" spans="3:16" x14ac:dyDescent="0.25">
      <c r="C125" s="751" t="s">
        <v>1096</v>
      </c>
      <c r="D125" s="752"/>
      <c r="E125" s="752"/>
      <c r="F125" s="752"/>
      <c r="G125" s="752"/>
      <c r="H125" s="752"/>
      <c r="I125" s="752"/>
      <c r="J125" s="3175">
        <v>5000</v>
      </c>
      <c r="K125" s="3176"/>
      <c r="L125" s="3177" t="s">
        <v>1092</v>
      </c>
      <c r="M125" s="3178"/>
      <c r="N125" s="3178"/>
      <c r="O125" s="3178"/>
      <c r="P125" s="3179"/>
    </row>
    <row r="126" spans="3:16" x14ac:dyDescent="0.25">
      <c r="C126" s="751" t="s">
        <v>1097</v>
      </c>
      <c r="D126" s="752"/>
      <c r="E126" s="752"/>
      <c r="F126" s="752"/>
      <c r="G126" s="752"/>
      <c r="H126" s="752"/>
      <c r="I126" s="752"/>
      <c r="J126" s="3175">
        <v>1100000</v>
      </c>
      <c r="K126" s="3176"/>
      <c r="L126" s="3177" t="s">
        <v>415</v>
      </c>
      <c r="M126" s="3178"/>
      <c r="N126" s="3178"/>
      <c r="O126" s="3178"/>
      <c r="P126" s="3179"/>
    </row>
    <row r="127" spans="3:16" x14ac:dyDescent="0.25">
      <c r="C127" s="751" t="s">
        <v>1098</v>
      </c>
      <c r="D127" s="752"/>
      <c r="E127" s="752"/>
      <c r="F127" s="752"/>
      <c r="G127" s="752"/>
      <c r="H127" s="752"/>
      <c r="I127" s="752"/>
      <c r="J127" s="3175">
        <v>74000</v>
      </c>
      <c r="K127" s="3176"/>
      <c r="L127" s="3177" t="s">
        <v>1092</v>
      </c>
      <c r="M127" s="3178"/>
      <c r="N127" s="3178"/>
      <c r="O127" s="3178"/>
      <c r="P127" s="3179"/>
    </row>
    <row r="128" spans="3:16" x14ac:dyDescent="0.25">
      <c r="C128" s="751" t="s">
        <v>4</v>
      </c>
      <c r="D128" s="752"/>
      <c r="E128" s="752"/>
      <c r="F128" s="752"/>
      <c r="G128" s="752"/>
      <c r="H128" s="752"/>
      <c r="I128" s="752"/>
      <c r="J128" s="3175">
        <v>500000</v>
      </c>
      <c r="K128" s="3176"/>
      <c r="L128" s="3177" t="s">
        <v>53</v>
      </c>
      <c r="M128" s="3178"/>
      <c r="N128" s="3178"/>
      <c r="O128" s="3178"/>
      <c r="P128" s="3179"/>
    </row>
    <row r="129" spans="3:16" x14ac:dyDescent="0.25">
      <c r="C129" s="751" t="s">
        <v>1099</v>
      </c>
      <c r="D129" s="752"/>
      <c r="E129" s="752"/>
      <c r="F129" s="752"/>
      <c r="G129" s="752"/>
      <c r="H129" s="752"/>
      <c r="I129" s="752"/>
      <c r="J129" s="3175">
        <v>80000</v>
      </c>
      <c r="K129" s="3176"/>
      <c r="L129" s="3177" t="s">
        <v>53</v>
      </c>
      <c r="M129" s="3178"/>
      <c r="N129" s="3178"/>
      <c r="O129" s="3178"/>
      <c r="P129" s="3179"/>
    </row>
    <row r="130" spans="3:16" x14ac:dyDescent="0.25">
      <c r="C130" s="751" t="s">
        <v>1100</v>
      </c>
      <c r="D130" s="752"/>
      <c r="E130" s="752"/>
      <c r="F130" s="752"/>
      <c r="G130" s="752"/>
      <c r="H130" s="752"/>
      <c r="I130" s="752"/>
      <c r="J130" s="3175">
        <v>24000</v>
      </c>
      <c r="K130" s="3176"/>
      <c r="L130" s="3177" t="s">
        <v>1056</v>
      </c>
      <c r="M130" s="3178"/>
      <c r="N130" s="3178"/>
      <c r="O130" s="3178"/>
      <c r="P130" s="3179"/>
    </row>
    <row r="131" spans="3:16" x14ac:dyDescent="0.25">
      <c r="C131" s="751" t="s">
        <v>1101</v>
      </c>
      <c r="D131" s="752"/>
      <c r="E131" s="752"/>
      <c r="F131" s="752"/>
      <c r="G131" s="752"/>
      <c r="H131" s="752"/>
      <c r="I131" s="752"/>
      <c r="J131" s="3175">
        <v>500</v>
      </c>
      <c r="K131" s="3176"/>
      <c r="L131" s="3177" t="s">
        <v>1050</v>
      </c>
      <c r="M131" s="3178"/>
      <c r="N131" s="3178"/>
      <c r="O131" s="3178"/>
      <c r="P131" s="3179"/>
    </row>
    <row r="132" spans="3:16" x14ac:dyDescent="0.25">
      <c r="C132" s="751" t="s">
        <v>493</v>
      </c>
      <c r="D132" s="752"/>
      <c r="E132" s="752"/>
      <c r="F132" s="752"/>
      <c r="G132" s="752"/>
      <c r="H132" s="752"/>
      <c r="I132" s="752"/>
      <c r="J132" s="3175">
        <v>10500</v>
      </c>
      <c r="K132" s="3176"/>
      <c r="L132" s="3177" t="s">
        <v>1056</v>
      </c>
      <c r="M132" s="3178"/>
      <c r="N132" s="3178"/>
      <c r="O132" s="3178"/>
      <c r="P132" s="3179"/>
    </row>
    <row r="133" spans="3:16" x14ac:dyDescent="0.25">
      <c r="C133" s="751" t="s">
        <v>1102</v>
      </c>
      <c r="D133" s="752"/>
      <c r="E133" s="752"/>
      <c r="F133" s="752"/>
      <c r="G133" s="752"/>
      <c r="H133" s="752"/>
      <c r="I133" s="752"/>
      <c r="J133" s="3175">
        <v>4000</v>
      </c>
      <c r="K133" s="3176"/>
      <c r="L133" s="3177" t="s">
        <v>1103</v>
      </c>
      <c r="M133" s="3178"/>
      <c r="N133" s="3178"/>
      <c r="O133" s="3178"/>
      <c r="P133" s="3179"/>
    </row>
    <row r="134" spans="3:16" x14ac:dyDescent="0.25">
      <c r="C134" s="751" t="s">
        <v>2</v>
      </c>
      <c r="D134" s="752"/>
      <c r="E134" s="752"/>
      <c r="F134" s="752"/>
      <c r="G134" s="752"/>
      <c r="H134" s="752"/>
      <c r="I134" s="752"/>
      <c r="J134" s="3175">
        <v>45700</v>
      </c>
      <c r="K134" s="3176"/>
      <c r="L134" s="3177" t="s">
        <v>404</v>
      </c>
      <c r="M134" s="3178"/>
      <c r="N134" s="3178"/>
      <c r="O134" s="3178"/>
      <c r="P134" s="3179"/>
    </row>
    <row r="135" spans="3:16" x14ac:dyDescent="0.25">
      <c r="C135" s="751" t="s">
        <v>1104</v>
      </c>
      <c r="D135" s="752"/>
      <c r="E135" s="752"/>
      <c r="F135" s="752"/>
      <c r="G135" s="752"/>
      <c r="H135" s="752"/>
      <c r="I135" s="752"/>
      <c r="J135" s="3175">
        <v>17300</v>
      </c>
      <c r="K135" s="3176"/>
      <c r="L135" s="3177" t="s">
        <v>399</v>
      </c>
      <c r="M135" s="3178"/>
      <c r="N135" s="3178"/>
      <c r="O135" s="3178"/>
      <c r="P135" s="3179"/>
    </row>
    <row r="136" spans="3:16" x14ac:dyDescent="0.25">
      <c r="C136" s="751" t="s">
        <v>26</v>
      </c>
      <c r="D136" s="752"/>
      <c r="E136" s="752"/>
      <c r="F136" s="752"/>
      <c r="G136" s="752"/>
      <c r="H136" s="752"/>
      <c r="I136" s="752"/>
      <c r="J136" s="3175">
        <v>200000</v>
      </c>
      <c r="K136" s="3176"/>
      <c r="L136" s="3177" t="s">
        <v>53</v>
      </c>
      <c r="M136" s="3178"/>
      <c r="N136" s="3178"/>
      <c r="O136" s="3178"/>
      <c r="P136" s="3179"/>
    </row>
    <row r="137" spans="3:16" x14ac:dyDescent="0.25">
      <c r="C137" s="751" t="s">
        <v>297</v>
      </c>
      <c r="D137" s="752"/>
      <c r="E137" s="752"/>
      <c r="F137" s="752"/>
      <c r="G137" s="752"/>
      <c r="H137" s="752"/>
      <c r="I137" s="752"/>
      <c r="J137" s="3175">
        <v>98500</v>
      </c>
      <c r="K137" s="3176"/>
      <c r="L137" s="3177" t="s">
        <v>415</v>
      </c>
      <c r="M137" s="3178"/>
      <c r="N137" s="3178"/>
      <c r="O137" s="3178"/>
      <c r="P137" s="3179"/>
    </row>
    <row r="138" spans="3:16" x14ac:dyDescent="0.25">
      <c r="C138" s="751" t="s">
        <v>288</v>
      </c>
      <c r="D138" s="752"/>
      <c r="E138" s="752"/>
      <c r="F138" s="752"/>
      <c r="G138" s="752"/>
      <c r="H138" s="752"/>
      <c r="I138" s="752"/>
      <c r="J138" s="3175">
        <v>87550</v>
      </c>
      <c r="K138" s="3176"/>
      <c r="L138" s="3177" t="s">
        <v>399</v>
      </c>
      <c r="M138" s="3178"/>
      <c r="N138" s="3178"/>
      <c r="O138" s="3178"/>
      <c r="P138" s="3179"/>
    </row>
    <row r="139" spans="3:16" x14ac:dyDescent="0.25">
      <c r="C139" s="753" t="s">
        <v>3</v>
      </c>
      <c r="D139" s="754"/>
      <c r="E139" s="754"/>
      <c r="F139" s="754"/>
      <c r="G139" s="754"/>
      <c r="H139" s="754"/>
      <c r="I139" s="754"/>
      <c r="J139" s="3196">
        <v>4898500</v>
      </c>
      <c r="K139" s="3197"/>
      <c r="L139" s="3198" t="s">
        <v>1055</v>
      </c>
      <c r="M139" s="3199"/>
      <c r="N139" s="3199"/>
      <c r="O139" s="3199"/>
      <c r="P139" s="3200"/>
    </row>
    <row r="148" spans="1:17" s="4" customFormat="1" x14ac:dyDescent="0.25">
      <c r="B148" s="189"/>
      <c r="C148" s="12"/>
      <c r="D148" s="12"/>
      <c r="E148" s="12"/>
      <c r="F148" s="12"/>
      <c r="G148" s="51"/>
      <c r="H148" s="51"/>
      <c r="M148" s="18"/>
      <c r="N148" s="18"/>
      <c r="O148" s="18"/>
      <c r="P148" s="18"/>
    </row>
    <row r="149" spans="1:17" ht="15.75" thickBot="1" x14ac:dyDescent="0.3">
      <c r="A149" s="4"/>
      <c r="B149" s="189"/>
      <c r="G149" s="51"/>
      <c r="H149" s="51"/>
      <c r="I149" s="4"/>
      <c r="J149" s="4"/>
      <c r="K149" s="4"/>
      <c r="L149" s="4"/>
      <c r="M149" s="18"/>
      <c r="N149" s="18"/>
      <c r="O149" s="18"/>
      <c r="P149" s="18"/>
      <c r="Q149" s="4"/>
    </row>
    <row r="150" spans="1:17" ht="15.75" thickTop="1" x14ac:dyDescent="0.25">
      <c r="C150" s="755"/>
      <c r="D150" s="756"/>
      <c r="E150" s="756"/>
      <c r="F150" s="756"/>
      <c r="G150" s="757"/>
      <c r="H150" s="757"/>
      <c r="I150" s="758"/>
      <c r="J150" s="758"/>
      <c r="K150" s="758"/>
      <c r="L150" s="758"/>
      <c r="M150" s="759"/>
      <c r="N150" s="760"/>
    </row>
    <row r="151" spans="1:17" x14ac:dyDescent="0.25">
      <c r="C151" s="761"/>
      <c r="D151" s="3111" t="s">
        <v>1079</v>
      </c>
      <c r="E151" s="3111"/>
      <c r="F151" s="3111"/>
      <c r="G151" s="3111"/>
      <c r="H151" s="3111"/>
      <c r="I151" s="3111"/>
      <c r="J151" s="3111"/>
      <c r="K151" s="3111"/>
      <c r="L151" s="3111"/>
      <c r="M151" s="3111"/>
      <c r="N151" s="762"/>
    </row>
    <row r="152" spans="1:17" x14ac:dyDescent="0.25">
      <c r="C152" s="761"/>
      <c r="D152" s="3124" t="s">
        <v>413</v>
      </c>
      <c r="E152" s="3124"/>
      <c r="F152" s="3124"/>
      <c r="G152" s="3124"/>
      <c r="H152" s="3124"/>
      <c r="I152" s="3124"/>
      <c r="J152" s="3124"/>
      <c r="K152" s="3124"/>
      <c r="L152" s="3124"/>
      <c r="M152" s="3124"/>
      <c r="N152" s="762"/>
    </row>
    <row r="153" spans="1:17" x14ac:dyDescent="0.25">
      <c r="C153" s="761"/>
      <c r="D153" s="3112" t="s">
        <v>1059</v>
      </c>
      <c r="E153" s="3112"/>
      <c r="F153" s="3112"/>
      <c r="G153" s="3112"/>
      <c r="H153" s="3112"/>
      <c r="I153" s="3112"/>
      <c r="J153" s="3112"/>
      <c r="K153" s="3112"/>
      <c r="L153" s="3112"/>
      <c r="M153" s="3112"/>
      <c r="N153" s="762"/>
    </row>
    <row r="154" spans="1:17" x14ac:dyDescent="0.25">
      <c r="C154" s="761"/>
      <c r="D154" s="3115" t="s">
        <v>497</v>
      </c>
      <c r="E154" s="3115"/>
      <c r="F154" s="3115"/>
      <c r="G154" s="3115"/>
      <c r="H154" s="3115"/>
      <c r="I154" s="3115"/>
      <c r="J154" s="3115"/>
      <c r="K154" s="3115"/>
      <c r="L154" s="3115"/>
      <c r="M154" s="3115"/>
      <c r="N154" s="762"/>
    </row>
    <row r="155" spans="1:17" x14ac:dyDescent="0.25">
      <c r="C155" s="763"/>
      <c r="D155" s="764"/>
      <c r="E155" s="764"/>
      <c r="F155" s="173"/>
      <c r="G155" s="189"/>
      <c r="H155" s="189"/>
      <c r="I155" s="4"/>
      <c r="J155" s="4"/>
      <c r="K155" s="4"/>
      <c r="L155" s="4"/>
      <c r="M155" s="18"/>
      <c r="N155" s="762"/>
    </row>
    <row r="156" spans="1:17" x14ac:dyDescent="0.25">
      <c r="C156" s="761"/>
      <c r="D156" s="765" t="s">
        <v>1060</v>
      </c>
      <c r="E156" s="4"/>
      <c r="F156" s="173"/>
      <c r="G156" s="189"/>
      <c r="H156" s="189"/>
      <c r="I156" s="4"/>
      <c r="J156" s="4"/>
      <c r="K156" s="4"/>
      <c r="L156" s="3108">
        <f ca="1">+SUMIF($L$103:$P$139,D156,$J$103:$K$139)</f>
        <v>4898500</v>
      </c>
      <c r="M156" s="3108"/>
      <c r="N156" s="762"/>
    </row>
    <row r="157" spans="1:17" x14ac:dyDescent="0.25">
      <c r="C157" s="761"/>
      <c r="D157" s="765" t="s">
        <v>400</v>
      </c>
      <c r="E157" s="4"/>
      <c r="G157" s="189"/>
      <c r="H157" s="189"/>
      <c r="I157" s="4"/>
      <c r="J157" s="4"/>
      <c r="K157" s="4"/>
      <c r="L157" s="3108">
        <f ca="1">-+SUMIF($L$103:$P$139,D157,$J$103:$K$139)</f>
        <v>-3000000</v>
      </c>
      <c r="M157" s="3108"/>
      <c r="N157" s="762"/>
    </row>
    <row r="158" spans="1:17" x14ac:dyDescent="0.25">
      <c r="C158" s="761"/>
      <c r="D158" s="766" t="s">
        <v>414</v>
      </c>
      <c r="E158" s="228"/>
      <c r="F158" s="227"/>
      <c r="G158" s="767"/>
      <c r="H158" s="767"/>
      <c r="I158" s="228"/>
      <c r="J158" s="5"/>
      <c r="K158" s="5"/>
      <c r="L158" s="3113">
        <f ca="1">+SUM(L156:M157)</f>
        <v>1898500</v>
      </c>
      <c r="M158" s="3114"/>
      <c r="N158" s="762"/>
    </row>
    <row r="159" spans="1:17" x14ac:dyDescent="0.25">
      <c r="C159" s="761"/>
      <c r="D159" s="765"/>
      <c r="E159" s="4"/>
      <c r="G159" s="189"/>
      <c r="H159" s="189"/>
      <c r="I159" s="4"/>
      <c r="J159" s="4"/>
      <c r="K159" s="4"/>
      <c r="L159" s="3108"/>
      <c r="M159" s="3108"/>
      <c r="N159" s="762"/>
    </row>
    <row r="160" spans="1:17" x14ac:dyDescent="0.25">
      <c r="C160" s="761"/>
      <c r="D160" s="765" t="s">
        <v>415</v>
      </c>
      <c r="E160" s="4"/>
      <c r="G160" s="189"/>
      <c r="H160" s="189"/>
      <c r="I160" s="4"/>
      <c r="J160" s="4"/>
      <c r="K160" s="4"/>
      <c r="L160" s="3108">
        <f ca="1">-+SUMIF($L$103:$P$139,D160,$J$103:$K$139)</f>
        <v>-1541050</v>
      </c>
      <c r="M160" s="3108"/>
      <c r="N160" s="762"/>
    </row>
    <row r="161" spans="2:17" x14ac:dyDescent="0.25">
      <c r="C161" s="761"/>
      <c r="D161" s="765" t="s">
        <v>417</v>
      </c>
      <c r="E161" s="4"/>
      <c r="G161" s="189"/>
      <c r="H161" s="189"/>
      <c r="I161" s="4"/>
      <c r="J161" s="4"/>
      <c r="K161" s="4"/>
      <c r="L161" s="3108">
        <f ca="1">-+SUMIF($L$103:$P$139,D161,$J$103:$K$139)</f>
        <v>-175000</v>
      </c>
      <c r="M161" s="3108"/>
      <c r="N161" s="762"/>
    </row>
    <row r="162" spans="2:17" x14ac:dyDescent="0.25">
      <c r="C162" s="761"/>
      <c r="D162" s="765" t="s">
        <v>1094</v>
      </c>
      <c r="E162" s="4"/>
      <c r="G162" s="189"/>
      <c r="H162" s="189"/>
      <c r="I162" s="4"/>
      <c r="J162" s="4"/>
      <c r="K162" s="4"/>
      <c r="L162" s="3108">
        <f ca="1">-+SUMIF($L$103:$P$139,D162,$J$103:$K$139)</f>
        <v>-18300</v>
      </c>
      <c r="M162" s="3108"/>
      <c r="N162" s="762"/>
    </row>
    <row r="163" spans="2:17" x14ac:dyDescent="0.25">
      <c r="C163" s="761"/>
      <c r="D163" s="766" t="s">
        <v>1061</v>
      </c>
      <c r="E163" s="228"/>
      <c r="F163" s="227"/>
      <c r="G163" s="767"/>
      <c r="H163" s="767"/>
      <c r="I163" s="228"/>
      <c r="J163" s="5"/>
      <c r="K163" s="5"/>
      <c r="L163" s="3113">
        <f ca="1">+SUM(L158:M162)</f>
        <v>164150</v>
      </c>
      <c r="M163" s="3114"/>
      <c r="N163" s="762"/>
    </row>
    <row r="164" spans="2:17" x14ac:dyDescent="0.25">
      <c r="C164" s="761"/>
      <c r="D164" s="765"/>
      <c r="E164" s="4"/>
      <c r="G164" s="189"/>
      <c r="H164" s="189"/>
      <c r="I164" s="4"/>
      <c r="J164" s="4"/>
      <c r="K164" s="4"/>
      <c r="L164" s="3108"/>
      <c r="M164" s="3108"/>
      <c r="N164" s="762"/>
    </row>
    <row r="165" spans="2:17" x14ac:dyDescent="0.25">
      <c r="C165" s="761"/>
      <c r="D165" s="765" t="s">
        <v>1056</v>
      </c>
      <c r="E165" s="4"/>
      <c r="G165" s="189"/>
      <c r="H165" s="189"/>
      <c r="I165" s="4"/>
      <c r="J165" s="4"/>
      <c r="K165" s="4"/>
      <c r="L165" s="3108"/>
      <c r="M165" s="3108"/>
      <c r="N165" s="762"/>
    </row>
    <row r="166" spans="2:17" x14ac:dyDescent="0.25">
      <c r="C166" s="761"/>
      <c r="D166" s="768" t="s">
        <v>420</v>
      </c>
      <c r="E166" s="4"/>
      <c r="G166" s="189"/>
      <c r="H166" s="189"/>
      <c r="I166" s="4"/>
      <c r="J166" s="4"/>
      <c r="K166" s="4"/>
      <c r="L166" s="3108">
        <f>+J130</f>
        <v>24000</v>
      </c>
      <c r="M166" s="3108"/>
      <c r="N166" s="762"/>
    </row>
    <row r="167" spans="2:17" x14ac:dyDescent="0.25">
      <c r="C167" s="761"/>
      <c r="D167" s="768" t="s">
        <v>419</v>
      </c>
      <c r="E167" s="4"/>
      <c r="G167" s="189"/>
      <c r="H167" s="189"/>
      <c r="I167" s="4"/>
      <c r="J167" s="4"/>
      <c r="K167" s="4"/>
      <c r="L167" s="3108">
        <f>-J132-J124</f>
        <v>-118500</v>
      </c>
      <c r="M167" s="3108"/>
      <c r="N167" s="762"/>
    </row>
    <row r="168" spans="2:17" ht="15.75" thickBot="1" x14ac:dyDescent="0.3">
      <c r="C168" s="761"/>
      <c r="D168" s="769" t="s">
        <v>1062</v>
      </c>
      <c r="E168" s="770"/>
      <c r="F168" s="771"/>
      <c r="G168" s="772"/>
      <c r="H168" s="772"/>
      <c r="I168" s="770"/>
      <c r="J168" s="773"/>
      <c r="K168" s="773"/>
      <c r="L168" s="3109">
        <f ca="1">+SUM(L163:M167)</f>
        <v>69650</v>
      </c>
      <c r="M168" s="3110"/>
      <c r="N168" s="762"/>
    </row>
    <row r="169" spans="2:17" ht="16.5" thickTop="1" thickBot="1" x14ac:dyDescent="0.3">
      <c r="C169" s="774"/>
      <c r="D169" s="775"/>
      <c r="E169" s="775"/>
      <c r="F169" s="524"/>
      <c r="G169" s="776"/>
      <c r="H169" s="776"/>
      <c r="I169" s="527"/>
      <c r="J169" s="527"/>
      <c r="K169" s="527"/>
      <c r="L169" s="527"/>
      <c r="M169" s="528"/>
      <c r="N169" s="777"/>
    </row>
    <row r="170" spans="2:17" ht="15.75" thickTop="1" x14ac:dyDescent="0.25"/>
    <row r="173" spans="2:17" ht="15.75" thickBot="1" x14ac:dyDescent="0.3"/>
    <row r="174" spans="2:17" ht="15.75" thickTop="1" x14ac:dyDescent="0.25">
      <c r="B174" s="778"/>
      <c r="C174" s="779"/>
      <c r="D174" s="779"/>
      <c r="E174" s="779"/>
      <c r="F174" s="779"/>
      <c r="G174" s="780"/>
      <c r="H174" s="780"/>
      <c r="I174" s="781"/>
      <c r="J174" s="781"/>
      <c r="K174" s="781"/>
      <c r="L174" s="758"/>
      <c r="M174" s="759"/>
      <c r="N174" s="759"/>
      <c r="O174" s="759"/>
      <c r="P174" s="759"/>
      <c r="Q174" s="782"/>
    </row>
    <row r="175" spans="2:17" x14ac:dyDescent="0.25">
      <c r="B175" s="783"/>
      <c r="C175" s="3111" t="s">
        <v>1079</v>
      </c>
      <c r="D175" s="3111"/>
      <c r="E175" s="3111"/>
      <c r="F175" s="3111"/>
      <c r="G175" s="3111"/>
      <c r="H175" s="3111"/>
      <c r="I175" s="3111"/>
      <c r="J175" s="3111"/>
      <c r="K175" s="3111"/>
      <c r="L175" s="3111"/>
      <c r="M175" s="3111"/>
      <c r="N175" s="3111"/>
      <c r="O175" s="3111"/>
      <c r="P175" s="3111"/>
      <c r="Q175" s="784"/>
    </row>
    <row r="176" spans="2:17" x14ac:dyDescent="0.25">
      <c r="B176" s="783"/>
      <c r="C176" s="3111" t="s">
        <v>422</v>
      </c>
      <c r="D176" s="3111"/>
      <c r="E176" s="3111"/>
      <c r="F176" s="3111"/>
      <c r="G176" s="3111"/>
      <c r="H176" s="3111"/>
      <c r="I176" s="3111"/>
      <c r="J176" s="3111"/>
      <c r="K176" s="3111"/>
      <c r="L176" s="3111"/>
      <c r="M176" s="3111"/>
      <c r="N176" s="3111"/>
      <c r="O176" s="3111"/>
      <c r="P176" s="3111"/>
      <c r="Q176" s="784"/>
    </row>
    <row r="177" spans="2:17" x14ac:dyDescent="0.25">
      <c r="B177" s="783"/>
      <c r="C177" s="3112" t="s">
        <v>1064</v>
      </c>
      <c r="D177" s="3112"/>
      <c r="E177" s="3112"/>
      <c r="F177" s="3112"/>
      <c r="G177" s="3112"/>
      <c r="H177" s="3112"/>
      <c r="I177" s="3112"/>
      <c r="J177" s="3112"/>
      <c r="K177" s="3112"/>
      <c r="L177" s="3112"/>
      <c r="M177" s="3112"/>
      <c r="N177" s="3112"/>
      <c r="O177" s="3112"/>
      <c r="P177" s="3112"/>
      <c r="Q177" s="784"/>
    </row>
    <row r="178" spans="2:17" x14ac:dyDescent="0.25">
      <c r="B178" s="783"/>
      <c r="C178" s="3107" t="s">
        <v>497</v>
      </c>
      <c r="D178" s="3107"/>
      <c r="E178" s="3107"/>
      <c r="F178" s="3107"/>
      <c r="G178" s="3107"/>
      <c r="H178" s="3107"/>
      <c r="I178" s="3107"/>
      <c r="J178" s="3107"/>
      <c r="K178" s="3107"/>
      <c r="L178" s="3107"/>
      <c r="M178" s="3107"/>
      <c r="N178" s="3107"/>
      <c r="O178" s="3107"/>
      <c r="P178" s="3107"/>
      <c r="Q178" s="784"/>
    </row>
    <row r="179" spans="2:17" x14ac:dyDescent="0.25">
      <c r="B179" s="783"/>
      <c r="C179" s="785"/>
      <c r="D179" s="765"/>
      <c r="E179" s="765"/>
      <c r="F179" s="765"/>
      <c r="G179" s="38"/>
      <c r="H179" s="38"/>
      <c r="I179" s="317"/>
      <c r="J179" s="317"/>
      <c r="K179" s="317"/>
      <c r="L179" s="4"/>
      <c r="M179" s="18"/>
      <c r="N179" s="18"/>
      <c r="O179" s="18"/>
      <c r="P179" s="18"/>
      <c r="Q179" s="784"/>
    </row>
    <row r="180" spans="2:17" x14ac:dyDescent="0.25">
      <c r="B180" s="783"/>
      <c r="C180" s="786" t="s">
        <v>1065</v>
      </c>
      <c r="D180" s="787"/>
      <c r="E180" s="788"/>
      <c r="F180" s="788"/>
      <c r="G180" s="321"/>
      <c r="H180" s="321"/>
      <c r="I180" s="788"/>
      <c r="J180" s="789" t="s">
        <v>1066</v>
      </c>
      <c r="K180" s="787"/>
      <c r="L180" s="1"/>
      <c r="M180" s="140"/>
      <c r="N180" s="140"/>
      <c r="O180" s="140"/>
      <c r="P180" s="277"/>
      <c r="Q180" s="784"/>
    </row>
    <row r="181" spans="2:17" x14ac:dyDescent="0.25">
      <c r="B181" s="783"/>
      <c r="C181" s="790" t="s">
        <v>1067</v>
      </c>
      <c r="D181" s="765"/>
      <c r="E181" s="317"/>
      <c r="F181" s="317"/>
      <c r="G181" s="38"/>
      <c r="H181" s="38"/>
      <c r="I181" s="317"/>
      <c r="J181" s="791" t="s">
        <v>1068</v>
      </c>
      <c r="K181" s="765"/>
      <c r="L181" s="4"/>
      <c r="M181" s="18"/>
      <c r="N181" s="18"/>
      <c r="O181" s="18"/>
      <c r="P181" s="505"/>
      <c r="Q181" s="784"/>
    </row>
    <row r="182" spans="2:17" x14ac:dyDescent="0.25">
      <c r="B182" s="783"/>
      <c r="C182" s="792" t="s">
        <v>397</v>
      </c>
      <c r="D182" s="793"/>
      <c r="E182" s="317"/>
      <c r="F182" s="317"/>
      <c r="G182" s="38"/>
      <c r="H182" s="3100">
        <f ca="1">+SUMIF($L$103:$P$139,C182,$J$103:$K$139)</f>
        <v>57200</v>
      </c>
      <c r="I182" s="3100"/>
      <c r="J182" s="794" t="s">
        <v>404</v>
      </c>
      <c r="K182" s="793"/>
      <c r="L182" s="4"/>
      <c r="M182" s="18"/>
      <c r="N182" s="18"/>
      <c r="O182" s="3100">
        <f ca="1">+SUMIF($L$103:$P$139,J182,$J$103:$K$139)-J131</f>
        <v>60200</v>
      </c>
      <c r="P182" s="3101"/>
      <c r="Q182" s="784"/>
    </row>
    <row r="183" spans="2:17" x14ac:dyDescent="0.25">
      <c r="B183" s="783"/>
      <c r="C183" s="792" t="s">
        <v>1085</v>
      </c>
      <c r="D183" s="793"/>
      <c r="E183" s="317"/>
      <c r="F183" s="317"/>
      <c r="G183" s="38"/>
      <c r="H183" s="3100">
        <f ca="1">+SUMIF($L$103:$P$139,C183,$J$103:$K$139)-J133</f>
        <v>266000</v>
      </c>
      <c r="I183" s="3100"/>
      <c r="J183" s="794" t="s">
        <v>399</v>
      </c>
      <c r="K183" s="795"/>
      <c r="L183" s="4"/>
      <c r="M183" s="18"/>
      <c r="N183" s="18"/>
      <c r="O183" s="3100">
        <f ca="1">+SUMIF($L$103:$P$139,J183,$J$103:$K$139)</f>
        <v>145350</v>
      </c>
      <c r="P183" s="3101"/>
      <c r="Q183" s="784"/>
    </row>
    <row r="184" spans="2:17" ht="17.25" x14ac:dyDescent="0.25">
      <c r="B184" s="783"/>
      <c r="C184" s="792" t="s">
        <v>1070</v>
      </c>
      <c r="D184" s="793"/>
      <c r="E184" s="317"/>
      <c r="F184" s="317"/>
      <c r="G184" s="38"/>
      <c r="H184" s="3100">
        <f ca="1">+SUMIF($L$103:$P$139,C184,$J$103:$K$139)</f>
        <v>70000</v>
      </c>
      <c r="I184" s="3100"/>
      <c r="J184" s="794" t="s">
        <v>1092</v>
      </c>
      <c r="K184" s="795"/>
      <c r="L184" s="4"/>
      <c r="M184" s="18"/>
      <c r="N184" s="18"/>
      <c r="O184" s="3102">
        <f ca="1">+SUMIF($L$103:$P$139,J184,$J$103:$K$139)</f>
        <v>104000</v>
      </c>
      <c r="P184" s="3103"/>
      <c r="Q184" s="784"/>
    </row>
    <row r="185" spans="2:17" ht="17.25" x14ac:dyDescent="0.25">
      <c r="B185" s="783"/>
      <c r="C185" s="792" t="s">
        <v>407</v>
      </c>
      <c r="D185" s="793"/>
      <c r="E185" s="317"/>
      <c r="F185" s="317"/>
      <c r="G185" s="38"/>
      <c r="H185" s="3100">
        <f ca="1">+SUMIF($L$103:$P$139,C185,$J$103:$K$139)</f>
        <v>51000</v>
      </c>
      <c r="I185" s="3100"/>
      <c r="J185" s="791" t="s">
        <v>1072</v>
      </c>
      <c r="K185" s="765"/>
      <c r="L185" s="4"/>
      <c r="M185" s="18"/>
      <c r="N185" s="18"/>
      <c r="O185" s="3147">
        <f ca="1">+SUM(O182:P184)</f>
        <v>309550</v>
      </c>
      <c r="P185" s="3148"/>
      <c r="Q185" s="784"/>
    </row>
    <row r="186" spans="2:17" ht="17.25" x14ac:dyDescent="0.25">
      <c r="B186" s="783"/>
      <c r="C186" s="792" t="s">
        <v>423</v>
      </c>
      <c r="D186" s="793"/>
      <c r="E186" s="317"/>
      <c r="F186" s="317"/>
      <c r="G186" s="38"/>
      <c r="H186" s="3102">
        <f ca="1">+SUMIF($L$103:$P$139,C186,$J$103:$K$139)</f>
        <v>55000</v>
      </c>
      <c r="I186" s="3102"/>
      <c r="J186" s="8"/>
      <c r="K186" s="4"/>
      <c r="L186" s="4"/>
      <c r="M186" s="4"/>
      <c r="N186" s="4"/>
      <c r="O186" s="4"/>
      <c r="P186" s="500"/>
      <c r="Q186" s="784"/>
    </row>
    <row r="187" spans="2:17" x14ac:dyDescent="0.25">
      <c r="B187" s="783"/>
      <c r="C187" s="796" t="s">
        <v>1073</v>
      </c>
      <c r="D187" s="793"/>
      <c r="E187" s="317"/>
      <c r="F187" s="317"/>
      <c r="G187" s="38"/>
      <c r="H187" s="3097">
        <f ca="1">+SUM(H182:I186)</f>
        <v>499200</v>
      </c>
      <c r="I187" s="3097"/>
      <c r="J187" s="797" t="s">
        <v>450</v>
      </c>
      <c r="K187" s="798"/>
      <c r="L187" s="4"/>
      <c r="M187" s="18"/>
      <c r="N187" s="18"/>
      <c r="O187" s="3097">
        <f ca="1">+O185</f>
        <v>309550</v>
      </c>
      <c r="P187" s="3098"/>
      <c r="Q187" s="784"/>
    </row>
    <row r="188" spans="2:17" x14ac:dyDescent="0.25">
      <c r="B188" s="783"/>
      <c r="C188" s="8"/>
      <c r="D188" s="4"/>
      <c r="E188" s="4"/>
      <c r="F188" s="4"/>
      <c r="G188" s="4"/>
      <c r="H188" s="4"/>
      <c r="I188" s="4"/>
      <c r="J188" s="158"/>
      <c r="K188" s="808"/>
      <c r="L188" s="3"/>
      <c r="M188" s="22"/>
      <c r="N188" s="22"/>
      <c r="O188" s="3194"/>
      <c r="P188" s="3195"/>
      <c r="Q188" s="784"/>
    </row>
    <row r="189" spans="2:17" x14ac:dyDescent="0.25">
      <c r="B189" s="783"/>
      <c r="C189" s="790" t="s">
        <v>1074</v>
      </c>
      <c r="D189" s="765"/>
      <c r="E189" s="317"/>
      <c r="F189" s="317"/>
      <c r="G189" s="38"/>
      <c r="H189" s="3100"/>
      <c r="I189" s="3100"/>
      <c r="J189" s="789" t="s">
        <v>1075</v>
      </c>
      <c r="K189" s="1"/>
      <c r="L189" s="1"/>
      <c r="M189" s="1"/>
      <c r="N189" s="1"/>
      <c r="O189" s="1"/>
      <c r="P189" s="157"/>
      <c r="Q189" s="784"/>
    </row>
    <row r="190" spans="2:17" ht="17.25" x14ac:dyDescent="0.25">
      <c r="B190" s="783"/>
      <c r="C190" s="792" t="s">
        <v>401</v>
      </c>
      <c r="D190" s="793"/>
      <c r="E190" s="317"/>
      <c r="F190" s="317"/>
      <c r="G190" s="38"/>
      <c r="H190" s="3102">
        <f ca="1">+SUMIF($L$103:$P$139,C190,$J$103:$K$139)-J108</f>
        <v>580000</v>
      </c>
      <c r="I190" s="3102"/>
      <c r="J190" s="799" t="s">
        <v>1076</v>
      </c>
      <c r="K190" s="4"/>
      <c r="L190" s="4"/>
      <c r="M190" s="4"/>
      <c r="N190" s="4"/>
      <c r="O190" s="3097">
        <f ca="1">+SUMIF($L$103:$P$139,"PN",$J$103:$K$139)+L168</f>
        <v>769650</v>
      </c>
      <c r="P190" s="3098"/>
      <c r="Q190" s="784"/>
    </row>
    <row r="191" spans="2:17" x14ac:dyDescent="0.25">
      <c r="B191" s="783"/>
      <c r="C191" s="796" t="s">
        <v>1077</v>
      </c>
      <c r="D191" s="793"/>
      <c r="E191" s="317"/>
      <c r="F191" s="317"/>
      <c r="G191" s="38"/>
      <c r="H191" s="3097">
        <f ca="1">+H190</f>
        <v>580000</v>
      </c>
      <c r="I191" s="3097"/>
      <c r="J191" s="8"/>
      <c r="K191" s="765"/>
      <c r="L191" s="4"/>
      <c r="M191" s="18"/>
      <c r="N191" s="18"/>
      <c r="O191" s="3100"/>
      <c r="P191" s="3101"/>
      <c r="Q191" s="784"/>
    </row>
    <row r="192" spans="2:17" x14ac:dyDescent="0.25">
      <c r="B192" s="783"/>
      <c r="C192" s="800" t="s">
        <v>427</v>
      </c>
      <c r="D192" s="37"/>
      <c r="E192" s="37"/>
      <c r="F192" s="37"/>
      <c r="G192" s="198"/>
      <c r="H192" s="3099">
        <f ca="1">+H191+H187</f>
        <v>1079200</v>
      </c>
      <c r="I192" s="3099"/>
      <c r="J192" s="766" t="s">
        <v>1078</v>
      </c>
      <c r="K192" s="5"/>
      <c r="L192" s="5"/>
      <c r="M192" s="25"/>
      <c r="N192" s="25"/>
      <c r="O192" s="3099">
        <f ca="1">+O190+O187</f>
        <v>1079200</v>
      </c>
      <c r="P192" s="2332"/>
      <c r="Q192" s="784"/>
    </row>
    <row r="193" spans="1:17" ht="15.75" thickBot="1" x14ac:dyDescent="0.3">
      <c r="B193" s="804"/>
      <c r="C193" s="524"/>
      <c r="D193" s="524"/>
      <c r="E193" s="524"/>
      <c r="F193" s="524"/>
      <c r="G193" s="776"/>
      <c r="H193" s="776"/>
      <c r="I193" s="527"/>
      <c r="J193" s="527"/>
      <c r="K193" s="527"/>
      <c r="L193" s="527"/>
      <c r="M193" s="528"/>
      <c r="N193" s="528"/>
      <c r="O193" s="528"/>
      <c r="P193" s="528"/>
      <c r="Q193" s="805"/>
    </row>
    <row r="194" spans="1:17" ht="15.75" thickTop="1" x14ac:dyDescent="0.25"/>
    <row r="197" spans="1:17" s="4" customFormat="1" x14ac:dyDescent="0.25">
      <c r="B197" s="189"/>
      <c r="C197" s="12"/>
      <c r="D197" s="12"/>
      <c r="E197" s="12"/>
      <c r="F197" s="12"/>
      <c r="G197" s="51"/>
      <c r="H197" s="51"/>
      <c r="M197" s="18"/>
      <c r="N197" s="18"/>
      <c r="O197" s="18"/>
      <c r="P197" s="18"/>
    </row>
    <row r="198" spans="1:17" x14ac:dyDescent="0.25">
      <c r="A198" s="3"/>
      <c r="B198" s="200"/>
      <c r="C198" s="11"/>
      <c r="D198" s="11"/>
      <c r="E198" s="11"/>
      <c r="F198" s="11"/>
      <c r="G198" s="24"/>
      <c r="H198" s="24"/>
      <c r="I198" s="3"/>
      <c r="J198" s="3"/>
      <c r="K198" s="3"/>
      <c r="L198" s="3"/>
      <c r="M198" s="22"/>
      <c r="N198" s="22"/>
      <c r="O198" s="22"/>
      <c r="P198" s="22"/>
      <c r="Q198" s="3"/>
    </row>
    <row r="199" spans="1:17" x14ac:dyDescent="0.25">
      <c r="A199" s="1844" t="s">
        <v>20</v>
      </c>
      <c r="B199" s="1845"/>
      <c r="C199" s="1845"/>
      <c r="D199" s="1845"/>
      <c r="E199" s="1845"/>
      <c r="F199" s="1845"/>
      <c r="G199" s="1845"/>
      <c r="H199" s="1845"/>
      <c r="I199" s="1845"/>
      <c r="J199" s="1845"/>
      <c r="K199" s="1845"/>
      <c r="L199" s="1845"/>
      <c r="M199" s="1845"/>
      <c r="N199" s="1845"/>
      <c r="O199" s="1845"/>
      <c r="P199" s="1845"/>
      <c r="Q199" s="1846"/>
    </row>
    <row r="200" spans="1:17" x14ac:dyDescent="0.25">
      <c r="A200" s="1847" t="s">
        <v>1105</v>
      </c>
      <c r="B200" s="1848"/>
      <c r="C200" s="1848"/>
      <c r="D200" s="1848"/>
      <c r="E200" s="1848"/>
      <c r="F200" s="1848"/>
      <c r="G200" s="1848"/>
      <c r="H200" s="1848"/>
      <c r="I200" s="1848"/>
      <c r="J200" s="1848"/>
      <c r="K200" s="1848"/>
      <c r="L200" s="1848"/>
      <c r="M200" s="1848"/>
      <c r="N200" s="1848"/>
      <c r="O200" s="1848"/>
      <c r="P200" s="1848"/>
      <c r="Q200" s="1849"/>
    </row>
    <row r="201" spans="1:17" x14ac:dyDescent="0.25">
      <c r="A201" s="4"/>
      <c r="B201" s="189"/>
      <c r="G201" s="51"/>
      <c r="H201" s="51"/>
      <c r="I201" s="4"/>
      <c r="J201" s="4"/>
      <c r="K201" s="4"/>
      <c r="L201" s="4"/>
      <c r="M201" s="18"/>
      <c r="N201" s="18"/>
      <c r="O201" s="18"/>
      <c r="P201" s="18"/>
      <c r="Q201" s="4"/>
    </row>
    <row r="202" spans="1:17" ht="30.75" customHeight="1" x14ac:dyDescent="0.25">
      <c r="C202" s="3180" t="s">
        <v>1046</v>
      </c>
      <c r="D202" s="3181"/>
      <c r="E202" s="3181"/>
      <c r="F202" s="3181"/>
      <c r="G202" s="3182"/>
      <c r="H202" s="3180" t="s">
        <v>1106</v>
      </c>
      <c r="I202" s="3182"/>
      <c r="J202" s="3180" t="s">
        <v>1107</v>
      </c>
      <c r="K202" s="3182"/>
      <c r="L202" s="3183" t="s">
        <v>394</v>
      </c>
      <c r="M202" s="3184"/>
      <c r="N202" s="3184"/>
      <c r="O202" s="3184"/>
      <c r="P202" s="3185"/>
    </row>
    <row r="203" spans="1:17" x14ac:dyDescent="0.25">
      <c r="C203" s="3186" t="s">
        <v>1108</v>
      </c>
      <c r="D203" s="3187"/>
      <c r="E203" s="3187"/>
      <c r="F203" s="3187"/>
      <c r="G203" s="3188"/>
      <c r="H203" s="3189">
        <v>79868</v>
      </c>
      <c r="I203" s="3190"/>
      <c r="J203" s="3175">
        <v>0</v>
      </c>
      <c r="K203" s="3176"/>
      <c r="L203" s="3191" t="s">
        <v>1109</v>
      </c>
      <c r="M203" s="3192"/>
      <c r="N203" s="3192"/>
      <c r="O203" s="3192"/>
      <c r="P203" s="3193"/>
    </row>
    <row r="204" spans="1:17" x14ac:dyDescent="0.25">
      <c r="C204" s="3172" t="s">
        <v>1110</v>
      </c>
      <c r="D204" s="3173"/>
      <c r="E204" s="3173"/>
      <c r="F204" s="3173"/>
      <c r="G204" s="3174"/>
      <c r="H204" s="3175">
        <v>0</v>
      </c>
      <c r="I204" s="3176"/>
      <c r="J204" s="3175">
        <v>41820</v>
      </c>
      <c r="K204" s="3176"/>
      <c r="L204" s="3177" t="s">
        <v>370</v>
      </c>
      <c r="M204" s="3178"/>
      <c r="N204" s="3178"/>
      <c r="O204" s="3178"/>
      <c r="P204" s="3179"/>
    </row>
    <row r="205" spans="1:17" x14ac:dyDescent="0.25">
      <c r="C205" s="3172" t="s">
        <v>1111</v>
      </c>
      <c r="D205" s="3173"/>
      <c r="E205" s="3173"/>
      <c r="F205" s="3173"/>
      <c r="G205" s="3174"/>
      <c r="H205" s="3175">
        <v>0</v>
      </c>
      <c r="I205" s="3176"/>
      <c r="J205" s="3175">
        <v>29520</v>
      </c>
      <c r="K205" s="3176"/>
      <c r="L205" s="3177" t="s">
        <v>370</v>
      </c>
      <c r="M205" s="3178"/>
      <c r="N205" s="3178"/>
      <c r="O205" s="3178"/>
      <c r="P205" s="3179"/>
    </row>
    <row r="206" spans="1:17" x14ac:dyDescent="0.25">
      <c r="C206" s="3172" t="s">
        <v>1112</v>
      </c>
      <c r="D206" s="3173"/>
      <c r="E206" s="3173"/>
      <c r="F206" s="3173"/>
      <c r="G206" s="3174"/>
      <c r="H206" s="3175">
        <v>0</v>
      </c>
      <c r="I206" s="3176"/>
      <c r="J206" s="3175">
        <v>19680</v>
      </c>
      <c r="K206" s="3176"/>
      <c r="L206" s="3177" t="s">
        <v>370</v>
      </c>
      <c r="M206" s="3178"/>
      <c r="N206" s="3178"/>
      <c r="O206" s="3178"/>
      <c r="P206" s="3179"/>
    </row>
    <row r="207" spans="1:17" x14ac:dyDescent="0.25">
      <c r="C207" s="3172" t="s">
        <v>1113</v>
      </c>
      <c r="D207" s="3173"/>
      <c r="E207" s="3173"/>
      <c r="F207" s="3173"/>
      <c r="G207" s="3174"/>
      <c r="H207" s="3175">
        <v>13940</v>
      </c>
      <c r="I207" s="3176"/>
      <c r="J207" s="3175">
        <v>0</v>
      </c>
      <c r="K207" s="3176"/>
      <c r="L207" s="3177" t="s">
        <v>1114</v>
      </c>
      <c r="M207" s="3178"/>
      <c r="N207" s="3178"/>
      <c r="O207" s="3178"/>
      <c r="P207" s="3179"/>
    </row>
    <row r="208" spans="1:17" x14ac:dyDescent="0.25">
      <c r="C208" s="3172" t="s">
        <v>1115</v>
      </c>
      <c r="D208" s="3173"/>
      <c r="E208" s="3173"/>
      <c r="F208" s="3173"/>
      <c r="G208" s="3174"/>
      <c r="H208" s="3175">
        <v>9840</v>
      </c>
      <c r="I208" s="3176"/>
      <c r="J208" s="3175">
        <v>0</v>
      </c>
      <c r="K208" s="3176"/>
      <c r="L208" s="3177" t="s">
        <v>1114</v>
      </c>
      <c r="M208" s="3178"/>
      <c r="N208" s="3178"/>
      <c r="O208" s="3178"/>
      <c r="P208" s="3179"/>
    </row>
    <row r="209" spans="3:16" x14ac:dyDescent="0.25">
      <c r="C209" s="3172" t="s">
        <v>1116</v>
      </c>
      <c r="D209" s="3173"/>
      <c r="E209" s="3173"/>
      <c r="F209" s="3173"/>
      <c r="G209" s="3174"/>
      <c r="H209" s="3175">
        <v>6560</v>
      </c>
      <c r="I209" s="3176"/>
      <c r="J209" s="3175">
        <v>0</v>
      </c>
      <c r="K209" s="3176"/>
      <c r="L209" s="3177" t="s">
        <v>1109</v>
      </c>
      <c r="M209" s="3178"/>
      <c r="N209" s="3178"/>
      <c r="O209" s="3178"/>
      <c r="P209" s="3179"/>
    </row>
    <row r="210" spans="3:16" x14ac:dyDescent="0.25">
      <c r="C210" s="3172" t="s">
        <v>1117</v>
      </c>
      <c r="D210" s="3173"/>
      <c r="E210" s="3173"/>
      <c r="F210" s="3173"/>
      <c r="G210" s="3174"/>
      <c r="H210" s="3175">
        <v>68060</v>
      </c>
      <c r="I210" s="3176"/>
      <c r="J210" s="3175">
        <v>0</v>
      </c>
      <c r="K210" s="3176"/>
      <c r="L210" s="3177" t="s">
        <v>1060</v>
      </c>
      <c r="M210" s="3178"/>
      <c r="N210" s="3178"/>
      <c r="O210" s="3178"/>
      <c r="P210" s="3179"/>
    </row>
    <row r="211" spans="3:16" x14ac:dyDescent="0.25">
      <c r="C211" s="3172" t="s">
        <v>435</v>
      </c>
      <c r="D211" s="3173"/>
      <c r="E211" s="3173"/>
      <c r="F211" s="3173"/>
      <c r="G211" s="3174"/>
      <c r="H211" s="3175">
        <v>0</v>
      </c>
      <c r="I211" s="3176"/>
      <c r="J211" s="3175">
        <v>600000</v>
      </c>
      <c r="K211" s="3176"/>
      <c r="L211" s="3177" t="s">
        <v>370</v>
      </c>
      <c r="M211" s="3178"/>
      <c r="N211" s="3178"/>
      <c r="O211" s="3178"/>
      <c r="P211" s="3179"/>
    </row>
    <row r="212" spans="3:16" x14ac:dyDescent="0.25">
      <c r="C212" s="3172" t="s">
        <v>1118</v>
      </c>
      <c r="D212" s="3173"/>
      <c r="E212" s="3173"/>
      <c r="F212" s="3173"/>
      <c r="G212" s="3174"/>
      <c r="H212" s="3175">
        <v>66010</v>
      </c>
      <c r="I212" s="3176"/>
      <c r="J212" s="3175">
        <v>0</v>
      </c>
      <c r="K212" s="3176"/>
      <c r="L212" s="3177" t="s">
        <v>1114</v>
      </c>
      <c r="M212" s="3178"/>
      <c r="N212" s="3178"/>
      <c r="O212" s="3178"/>
      <c r="P212" s="3179"/>
    </row>
    <row r="213" spans="3:16" x14ac:dyDescent="0.25">
      <c r="C213" s="3172" t="s">
        <v>1119</v>
      </c>
      <c r="D213" s="3173"/>
      <c r="E213" s="3173"/>
      <c r="F213" s="3173"/>
      <c r="G213" s="3174"/>
      <c r="H213" s="3175">
        <v>0</v>
      </c>
      <c r="I213" s="3176"/>
      <c r="J213" s="3175">
        <v>33005</v>
      </c>
      <c r="K213" s="3176"/>
      <c r="L213" s="3177" t="s">
        <v>370</v>
      </c>
      <c r="M213" s="3178"/>
      <c r="N213" s="3178"/>
      <c r="O213" s="3178"/>
      <c r="P213" s="3179"/>
    </row>
    <row r="214" spans="3:16" x14ac:dyDescent="0.25">
      <c r="C214" s="3172" t="s">
        <v>1120</v>
      </c>
      <c r="D214" s="3173"/>
      <c r="E214" s="3173"/>
      <c r="F214" s="3173"/>
      <c r="G214" s="3174"/>
      <c r="H214" s="3175">
        <v>117260</v>
      </c>
      <c r="I214" s="3176"/>
      <c r="J214" s="3175">
        <v>0</v>
      </c>
      <c r="K214" s="3176"/>
      <c r="L214" s="3177" t="s">
        <v>370</v>
      </c>
      <c r="M214" s="3178"/>
      <c r="N214" s="3178"/>
      <c r="O214" s="3178"/>
      <c r="P214" s="3179"/>
    </row>
    <row r="215" spans="3:16" x14ac:dyDescent="0.25">
      <c r="C215" s="3172" t="s">
        <v>1121</v>
      </c>
      <c r="D215" s="3173"/>
      <c r="E215" s="3173"/>
      <c r="F215" s="3173"/>
      <c r="G215" s="3174"/>
      <c r="H215" s="3175">
        <v>471500</v>
      </c>
      <c r="I215" s="3176"/>
      <c r="J215" s="3175">
        <v>0</v>
      </c>
      <c r="K215" s="3176"/>
      <c r="L215" s="3177" t="s">
        <v>400</v>
      </c>
      <c r="M215" s="3178"/>
      <c r="N215" s="3178"/>
      <c r="O215" s="3178"/>
      <c r="P215" s="3179"/>
    </row>
    <row r="216" spans="3:16" x14ac:dyDescent="0.25">
      <c r="C216" s="3172" t="s">
        <v>1122</v>
      </c>
      <c r="D216" s="3173"/>
      <c r="E216" s="3173"/>
      <c r="F216" s="3173"/>
      <c r="G216" s="3174"/>
      <c r="H216" s="3175">
        <v>71340</v>
      </c>
      <c r="I216" s="3176"/>
      <c r="J216" s="3175">
        <v>0</v>
      </c>
      <c r="K216" s="3176"/>
      <c r="L216" s="3177" t="s">
        <v>1123</v>
      </c>
      <c r="M216" s="3178"/>
      <c r="N216" s="3178"/>
      <c r="O216" s="3178"/>
      <c r="P216" s="3179"/>
    </row>
    <row r="217" spans="3:16" x14ac:dyDescent="0.25">
      <c r="C217" s="3172" t="s">
        <v>1772</v>
      </c>
      <c r="D217" s="3173"/>
      <c r="E217" s="3173"/>
      <c r="F217" s="3173"/>
      <c r="G217" s="3174"/>
      <c r="H217" s="3175">
        <v>0</v>
      </c>
      <c r="I217" s="3176"/>
      <c r="J217" s="3175">
        <v>45920</v>
      </c>
      <c r="K217" s="3176"/>
      <c r="L217" s="3177" t="s">
        <v>1124</v>
      </c>
      <c r="M217" s="3178"/>
      <c r="N217" s="3178"/>
      <c r="O217" s="3178"/>
      <c r="P217" s="3179"/>
    </row>
    <row r="218" spans="3:16" x14ac:dyDescent="0.25">
      <c r="C218" s="3172" t="s">
        <v>0</v>
      </c>
      <c r="D218" s="3173"/>
      <c r="E218" s="3173"/>
      <c r="F218" s="3173"/>
      <c r="G218" s="3174"/>
      <c r="H218" s="3175">
        <v>195160</v>
      </c>
      <c r="I218" s="3176"/>
      <c r="J218" s="3175">
        <v>0</v>
      </c>
      <c r="K218" s="3176"/>
      <c r="L218" s="3177" t="s">
        <v>370</v>
      </c>
      <c r="M218" s="3178"/>
      <c r="N218" s="3178"/>
      <c r="O218" s="3178"/>
      <c r="P218" s="3179"/>
    </row>
    <row r="219" spans="3:16" x14ac:dyDescent="0.25">
      <c r="C219" s="3172" t="s">
        <v>187</v>
      </c>
      <c r="D219" s="3173"/>
      <c r="E219" s="3173"/>
      <c r="F219" s="3173"/>
      <c r="G219" s="3174"/>
      <c r="H219" s="3175">
        <v>985000</v>
      </c>
      <c r="I219" s="3176"/>
      <c r="J219" s="3175">
        <v>0</v>
      </c>
      <c r="K219" s="3176"/>
      <c r="L219" s="3177" t="s">
        <v>370</v>
      </c>
      <c r="M219" s="3178"/>
      <c r="N219" s="3178"/>
      <c r="O219" s="3178"/>
      <c r="P219" s="3179"/>
    </row>
    <row r="220" spans="3:16" x14ac:dyDescent="0.25">
      <c r="C220" s="3172" t="s">
        <v>1089</v>
      </c>
      <c r="D220" s="3173"/>
      <c r="E220" s="3173"/>
      <c r="F220" s="3173"/>
      <c r="G220" s="3174"/>
      <c r="H220" s="3175">
        <v>118900</v>
      </c>
      <c r="I220" s="3176"/>
      <c r="J220" s="3175">
        <v>0</v>
      </c>
      <c r="K220" s="3176"/>
      <c r="L220" s="3177" t="s">
        <v>370</v>
      </c>
      <c r="M220" s="3178"/>
      <c r="N220" s="3178"/>
      <c r="O220" s="3178"/>
      <c r="P220" s="3179"/>
    </row>
    <row r="221" spans="3:16" x14ac:dyDescent="0.25">
      <c r="C221" s="3172" t="s">
        <v>1125</v>
      </c>
      <c r="D221" s="3173"/>
      <c r="E221" s="3173"/>
      <c r="F221" s="3173"/>
      <c r="G221" s="3174"/>
      <c r="H221" s="3175">
        <v>10086</v>
      </c>
      <c r="I221" s="3176"/>
      <c r="J221" s="3175">
        <v>0</v>
      </c>
      <c r="K221" s="3176"/>
      <c r="L221" s="3177" t="s">
        <v>1114</v>
      </c>
      <c r="M221" s="3178"/>
      <c r="N221" s="3178"/>
      <c r="O221" s="3178"/>
      <c r="P221" s="3179"/>
    </row>
    <row r="222" spans="3:16" x14ac:dyDescent="0.25">
      <c r="C222" s="3172" t="s">
        <v>1126</v>
      </c>
      <c r="D222" s="3173"/>
      <c r="E222" s="3173"/>
      <c r="F222" s="3173"/>
      <c r="G222" s="3174"/>
      <c r="H222" s="3175">
        <v>122999.99999999999</v>
      </c>
      <c r="I222" s="3176"/>
      <c r="J222" s="3175">
        <v>0</v>
      </c>
      <c r="K222" s="3176"/>
      <c r="L222" s="3177" t="s">
        <v>1109</v>
      </c>
      <c r="M222" s="3178"/>
      <c r="N222" s="3178"/>
      <c r="O222" s="3178"/>
      <c r="P222" s="3179"/>
    </row>
    <row r="223" spans="3:16" x14ac:dyDescent="0.25">
      <c r="C223" s="3172" t="s">
        <v>1127</v>
      </c>
      <c r="D223" s="3173"/>
      <c r="E223" s="3173"/>
      <c r="F223" s="3173"/>
      <c r="G223" s="3174"/>
      <c r="H223" s="3175">
        <v>34440</v>
      </c>
      <c r="I223" s="3176"/>
      <c r="J223" s="3175">
        <v>0</v>
      </c>
      <c r="K223" s="3176"/>
      <c r="L223" s="3177" t="s">
        <v>1114</v>
      </c>
      <c r="M223" s="3178"/>
      <c r="N223" s="3178"/>
      <c r="O223" s="3178"/>
      <c r="P223" s="3179"/>
    </row>
    <row r="224" spans="3:16" x14ac:dyDescent="0.25">
      <c r="C224" s="3172" t="s">
        <v>1128</v>
      </c>
      <c r="D224" s="3173"/>
      <c r="E224" s="3173"/>
      <c r="F224" s="3173"/>
      <c r="G224" s="3174"/>
      <c r="H224" s="3175">
        <v>62319.999999999993</v>
      </c>
      <c r="I224" s="3176"/>
      <c r="J224" s="3175">
        <v>0</v>
      </c>
      <c r="K224" s="3176"/>
      <c r="L224" s="3177" t="s">
        <v>1109</v>
      </c>
      <c r="M224" s="3178"/>
      <c r="N224" s="3178"/>
      <c r="O224" s="3178"/>
      <c r="P224" s="3179"/>
    </row>
    <row r="225" spans="3:16" x14ac:dyDescent="0.25">
      <c r="C225" s="3172" t="s">
        <v>1097</v>
      </c>
      <c r="D225" s="3173"/>
      <c r="E225" s="3173"/>
      <c r="F225" s="3173"/>
      <c r="G225" s="3174"/>
      <c r="H225" s="3175">
        <v>194340</v>
      </c>
      <c r="I225" s="3176"/>
      <c r="J225" s="3175">
        <v>0</v>
      </c>
      <c r="K225" s="3176"/>
      <c r="L225" s="3177" t="s">
        <v>1109</v>
      </c>
      <c r="M225" s="3178"/>
      <c r="N225" s="3178"/>
      <c r="O225" s="3178"/>
      <c r="P225" s="3179"/>
    </row>
    <row r="226" spans="3:16" x14ac:dyDescent="0.25">
      <c r="C226" s="3172" t="s">
        <v>1129</v>
      </c>
      <c r="D226" s="3173"/>
      <c r="E226" s="3173"/>
      <c r="F226" s="3173"/>
      <c r="G226" s="3174"/>
      <c r="H226" s="3175">
        <v>72980</v>
      </c>
      <c r="I226" s="3176"/>
      <c r="J226" s="3175">
        <v>0</v>
      </c>
      <c r="K226" s="3176"/>
      <c r="L226" s="3177" t="s">
        <v>370</v>
      </c>
      <c r="M226" s="3178"/>
      <c r="N226" s="3178"/>
      <c r="O226" s="3178"/>
      <c r="P226" s="3179"/>
    </row>
    <row r="227" spans="3:16" x14ac:dyDescent="0.25">
      <c r="C227" s="3172" t="s">
        <v>1130</v>
      </c>
      <c r="D227" s="3173"/>
      <c r="E227" s="3173"/>
      <c r="F227" s="3173"/>
      <c r="G227" s="3174"/>
      <c r="H227" s="3175">
        <v>0</v>
      </c>
      <c r="I227" s="3176"/>
      <c r="J227" s="3175">
        <v>20500</v>
      </c>
      <c r="K227" s="3176"/>
      <c r="L227" s="3177" t="s">
        <v>1124</v>
      </c>
      <c r="M227" s="3178"/>
      <c r="N227" s="3178"/>
      <c r="O227" s="3178"/>
      <c r="P227" s="3179"/>
    </row>
    <row r="228" spans="3:16" x14ac:dyDescent="0.25">
      <c r="C228" s="3172" t="s">
        <v>1131</v>
      </c>
      <c r="D228" s="3173"/>
      <c r="E228" s="3173"/>
      <c r="F228" s="3173"/>
      <c r="G228" s="3174"/>
      <c r="H228" s="3175">
        <f>125460+21894</f>
        <v>147354</v>
      </c>
      <c r="I228" s="3176"/>
      <c r="J228" s="3175">
        <v>0</v>
      </c>
      <c r="K228" s="3176"/>
      <c r="L228" s="3177" t="s">
        <v>370</v>
      </c>
      <c r="M228" s="3178"/>
      <c r="N228" s="3178"/>
      <c r="O228" s="3178"/>
      <c r="P228" s="3179"/>
    </row>
    <row r="229" spans="3:16" x14ac:dyDescent="0.25">
      <c r="C229" s="3172" t="s">
        <v>1335</v>
      </c>
      <c r="D229" s="3173"/>
      <c r="E229" s="3173"/>
      <c r="F229" s="3173"/>
      <c r="G229" s="3174"/>
      <c r="H229" s="3175">
        <v>36900</v>
      </c>
      <c r="I229" s="3176"/>
      <c r="J229" s="3175">
        <v>0</v>
      </c>
      <c r="K229" s="3176"/>
      <c r="L229" s="3177" t="s">
        <v>1114</v>
      </c>
      <c r="M229" s="3178"/>
      <c r="N229" s="3178"/>
      <c r="O229" s="3178"/>
      <c r="P229" s="3179"/>
    </row>
    <row r="230" spans="3:16" x14ac:dyDescent="0.25">
      <c r="C230" s="3172" t="s">
        <v>1132</v>
      </c>
      <c r="D230" s="3173"/>
      <c r="E230" s="3173"/>
      <c r="F230" s="3173"/>
      <c r="G230" s="3174"/>
      <c r="H230" s="3175">
        <v>262400</v>
      </c>
      <c r="I230" s="3176"/>
      <c r="J230" s="3175">
        <v>0</v>
      </c>
      <c r="K230" s="3176"/>
      <c r="L230" s="3177" t="s">
        <v>370</v>
      </c>
      <c r="M230" s="3178"/>
      <c r="N230" s="3178"/>
      <c r="O230" s="3178"/>
      <c r="P230" s="3179"/>
    </row>
    <row r="231" spans="3:16" x14ac:dyDescent="0.25">
      <c r="C231" s="3172" t="s">
        <v>1133</v>
      </c>
      <c r="D231" s="3173"/>
      <c r="E231" s="3173"/>
      <c r="F231" s="3173"/>
      <c r="G231" s="3174"/>
      <c r="H231" s="3175">
        <v>0</v>
      </c>
      <c r="I231" s="3176"/>
      <c r="J231" s="3175">
        <v>160720</v>
      </c>
      <c r="K231" s="3176"/>
      <c r="L231" s="3177" t="s">
        <v>370</v>
      </c>
      <c r="M231" s="3178"/>
      <c r="N231" s="3178"/>
      <c r="O231" s="3178"/>
      <c r="P231" s="3179"/>
    </row>
    <row r="232" spans="3:16" x14ac:dyDescent="0.25">
      <c r="C232" s="3172" t="s">
        <v>1134</v>
      </c>
      <c r="D232" s="3173"/>
      <c r="E232" s="3173"/>
      <c r="F232" s="3173"/>
      <c r="G232" s="3174"/>
      <c r="H232" s="3175">
        <v>0</v>
      </c>
      <c r="I232" s="3176"/>
      <c r="J232" s="3175">
        <v>46000</v>
      </c>
      <c r="K232" s="3176"/>
      <c r="L232" s="3177" t="s">
        <v>370</v>
      </c>
      <c r="M232" s="3178"/>
      <c r="N232" s="3178"/>
      <c r="O232" s="3178"/>
      <c r="P232" s="3179"/>
    </row>
    <row r="233" spans="3:16" x14ac:dyDescent="0.25">
      <c r="C233" s="3172" t="s">
        <v>1135</v>
      </c>
      <c r="D233" s="3173"/>
      <c r="E233" s="3173"/>
      <c r="F233" s="3173"/>
      <c r="G233" s="3174"/>
      <c r="H233" s="3175">
        <v>0</v>
      </c>
      <c r="I233" s="3176"/>
      <c r="J233" s="3175">
        <v>49200</v>
      </c>
      <c r="K233" s="3176"/>
      <c r="L233" s="3177" t="s">
        <v>370</v>
      </c>
      <c r="M233" s="3178"/>
      <c r="N233" s="3178"/>
      <c r="O233" s="3178"/>
      <c r="P233" s="3179"/>
    </row>
    <row r="234" spans="3:16" x14ac:dyDescent="0.25">
      <c r="C234" s="3172" t="s">
        <v>1136</v>
      </c>
      <c r="D234" s="3173"/>
      <c r="E234" s="3173"/>
      <c r="F234" s="3173"/>
      <c r="G234" s="3174"/>
      <c r="H234" s="3175">
        <v>0</v>
      </c>
      <c r="I234" s="3176"/>
      <c r="J234" s="3175">
        <v>36080</v>
      </c>
      <c r="K234" s="3176"/>
      <c r="L234" s="3177" t="s">
        <v>370</v>
      </c>
      <c r="M234" s="3178"/>
      <c r="N234" s="3178"/>
      <c r="O234" s="3178"/>
      <c r="P234" s="3179"/>
    </row>
    <row r="235" spans="3:16" x14ac:dyDescent="0.25">
      <c r="C235" s="3172" t="s">
        <v>1137</v>
      </c>
      <c r="D235" s="3173"/>
      <c r="E235" s="3173"/>
      <c r="F235" s="3173"/>
      <c r="G235" s="3174"/>
      <c r="H235" s="3175">
        <v>0</v>
      </c>
      <c r="I235" s="3176"/>
      <c r="J235" s="3175">
        <v>376544</v>
      </c>
      <c r="K235" s="3176"/>
      <c r="L235" s="3177" t="s">
        <v>370</v>
      </c>
      <c r="M235" s="3178"/>
      <c r="N235" s="3178"/>
      <c r="O235" s="3178"/>
      <c r="P235" s="3179"/>
    </row>
    <row r="236" spans="3:16" x14ac:dyDescent="0.25">
      <c r="C236" s="3172" t="s">
        <v>279</v>
      </c>
      <c r="D236" s="3173"/>
      <c r="E236" s="3173"/>
      <c r="F236" s="3173"/>
      <c r="G236" s="3174"/>
      <c r="H236" s="3175">
        <v>32266.999999999996</v>
      </c>
      <c r="I236" s="3176"/>
      <c r="J236" s="3175">
        <v>0</v>
      </c>
      <c r="K236" s="3176"/>
      <c r="L236" s="3177" t="s">
        <v>370</v>
      </c>
      <c r="M236" s="3178"/>
      <c r="N236" s="3178"/>
      <c r="O236" s="3178"/>
      <c r="P236" s="3179"/>
    </row>
    <row r="237" spans="3:16" x14ac:dyDescent="0.25">
      <c r="C237" s="3172" t="s">
        <v>1138</v>
      </c>
      <c r="D237" s="3173"/>
      <c r="E237" s="3173"/>
      <c r="F237" s="3173"/>
      <c r="G237" s="3174"/>
      <c r="H237" s="3175">
        <v>63959.999999999993</v>
      </c>
      <c r="I237" s="3176"/>
      <c r="J237" s="3175">
        <v>0</v>
      </c>
      <c r="K237" s="3176"/>
      <c r="L237" s="3177" t="s">
        <v>1114</v>
      </c>
      <c r="M237" s="3178"/>
      <c r="N237" s="3178"/>
      <c r="O237" s="3178"/>
      <c r="P237" s="3179"/>
    </row>
    <row r="238" spans="3:16" x14ac:dyDescent="0.25">
      <c r="C238" s="3172" t="s">
        <v>1139</v>
      </c>
      <c r="D238" s="3173"/>
      <c r="E238" s="3173"/>
      <c r="F238" s="3173"/>
      <c r="G238" s="3174"/>
      <c r="H238" s="3175">
        <v>0</v>
      </c>
      <c r="I238" s="3176"/>
      <c r="J238" s="3175">
        <v>143500</v>
      </c>
      <c r="K238" s="3176"/>
      <c r="L238" s="3177" t="s">
        <v>370</v>
      </c>
      <c r="M238" s="3178"/>
      <c r="N238" s="3178"/>
      <c r="O238" s="3178"/>
      <c r="P238" s="3179"/>
    </row>
    <row r="239" spans="3:16" x14ac:dyDescent="0.25">
      <c r="C239" s="3172" t="s">
        <v>1140</v>
      </c>
      <c r="D239" s="3173"/>
      <c r="E239" s="3173"/>
      <c r="F239" s="3173"/>
      <c r="G239" s="3174"/>
      <c r="H239" s="3175">
        <v>287000</v>
      </c>
      <c r="I239" s="3176"/>
      <c r="J239" s="3175">
        <v>0</v>
      </c>
      <c r="K239" s="3176"/>
      <c r="L239" s="3177" t="s">
        <v>1114</v>
      </c>
      <c r="M239" s="3178"/>
      <c r="N239" s="3178"/>
      <c r="O239" s="3178"/>
      <c r="P239" s="3179"/>
    </row>
    <row r="240" spans="3:16" x14ac:dyDescent="0.25">
      <c r="C240" s="3172" t="s">
        <v>1141</v>
      </c>
      <c r="D240" s="3173"/>
      <c r="E240" s="3173"/>
      <c r="F240" s="3173"/>
      <c r="G240" s="3174"/>
      <c r="H240" s="3175">
        <v>215804</v>
      </c>
      <c r="I240" s="3176"/>
      <c r="J240" s="3175">
        <v>0</v>
      </c>
      <c r="K240" s="3176"/>
      <c r="L240" s="3177" t="s">
        <v>370</v>
      </c>
      <c r="M240" s="3178"/>
      <c r="N240" s="3178"/>
      <c r="O240" s="3178"/>
      <c r="P240" s="3179"/>
    </row>
    <row r="241" spans="1:17" x14ac:dyDescent="0.25">
      <c r="C241" s="3172" t="s">
        <v>1142</v>
      </c>
      <c r="D241" s="3173"/>
      <c r="E241" s="3173"/>
      <c r="F241" s="3173"/>
      <c r="G241" s="3174"/>
      <c r="H241" s="3175">
        <v>0</v>
      </c>
      <c r="I241" s="3176"/>
      <c r="J241" s="3175">
        <v>55800</v>
      </c>
      <c r="K241" s="3176"/>
      <c r="L241" s="3177" t="s">
        <v>1123</v>
      </c>
      <c r="M241" s="3178"/>
      <c r="N241" s="3178"/>
      <c r="O241" s="3178"/>
      <c r="P241" s="3179"/>
    </row>
    <row r="242" spans="1:17" x14ac:dyDescent="0.25">
      <c r="C242" s="3156" t="s">
        <v>3</v>
      </c>
      <c r="D242" s="3157"/>
      <c r="E242" s="3157"/>
      <c r="F242" s="3157"/>
      <c r="G242" s="3158"/>
      <c r="H242" s="3159">
        <v>0</v>
      </c>
      <c r="I242" s="3160"/>
      <c r="J242" s="3159">
        <v>2088000</v>
      </c>
      <c r="K242" s="3160"/>
      <c r="L242" s="3161" t="s">
        <v>1060</v>
      </c>
      <c r="M242" s="3162"/>
      <c r="N242" s="3162"/>
      <c r="O242" s="3162"/>
      <c r="P242" s="3163"/>
    </row>
    <row r="243" spans="1:17" x14ac:dyDescent="0.25">
      <c r="C243" s="3164" t="s">
        <v>305</v>
      </c>
      <c r="D243" s="3165"/>
      <c r="E243" s="3165"/>
      <c r="F243" s="3165"/>
      <c r="G243" s="3166"/>
      <c r="H243" s="3167">
        <f>+SUM(H203:I242)</f>
        <v>3746289</v>
      </c>
      <c r="I243" s="3168"/>
      <c r="J243" s="3167">
        <f>+SUM(J203:K242)</f>
        <v>3746289</v>
      </c>
      <c r="K243" s="3168"/>
      <c r="L243" s="3169"/>
      <c r="M243" s="3170"/>
      <c r="N243" s="3170"/>
      <c r="O243" s="3170"/>
      <c r="P243" s="3171"/>
    </row>
    <row r="246" spans="1:17" s="4" customFormat="1" x14ac:dyDescent="0.25">
      <c r="B246" s="189"/>
      <c r="C246" s="12"/>
      <c r="D246" s="12"/>
      <c r="E246" s="12"/>
      <c r="F246" s="12"/>
      <c r="G246" s="51"/>
      <c r="H246" s="51"/>
      <c r="M246" s="18"/>
      <c r="N246" s="18"/>
      <c r="O246" s="18"/>
      <c r="P246" s="18"/>
    </row>
    <row r="247" spans="1:17" x14ac:dyDescent="0.25">
      <c r="A247" s="4"/>
      <c r="B247" s="189"/>
      <c r="G247" s="51"/>
      <c r="H247" s="51"/>
      <c r="I247" s="4"/>
      <c r="J247" s="4"/>
      <c r="K247" s="4"/>
      <c r="L247" s="4"/>
      <c r="M247" s="18"/>
      <c r="N247" s="18"/>
      <c r="O247" s="18"/>
      <c r="P247" s="18"/>
      <c r="Q247" s="4"/>
    </row>
    <row r="248" spans="1:17" ht="15.75" thickBot="1" x14ac:dyDescent="0.3"/>
    <row r="249" spans="1:17" ht="15.75" thickTop="1" x14ac:dyDescent="0.25">
      <c r="C249" s="755"/>
      <c r="D249" s="756"/>
      <c r="E249" s="756"/>
      <c r="F249" s="756"/>
      <c r="G249" s="757"/>
      <c r="H249" s="757"/>
      <c r="I249" s="758"/>
      <c r="J249" s="758"/>
      <c r="K249" s="758"/>
      <c r="L249" s="758"/>
      <c r="M249" s="759"/>
      <c r="N249" s="760"/>
    </row>
    <row r="250" spans="1:17" x14ac:dyDescent="0.25">
      <c r="C250" s="761"/>
      <c r="D250" s="3111" t="s">
        <v>1105</v>
      </c>
      <c r="E250" s="3111"/>
      <c r="F250" s="3111"/>
      <c r="G250" s="3111"/>
      <c r="H250" s="3111"/>
      <c r="I250" s="3111"/>
      <c r="J250" s="3111"/>
      <c r="K250" s="3111"/>
      <c r="L250" s="3111"/>
      <c r="M250" s="3111"/>
      <c r="N250" s="762"/>
    </row>
    <row r="251" spans="1:17" x14ac:dyDescent="0.25">
      <c r="C251" s="761"/>
      <c r="D251" s="3124" t="s">
        <v>413</v>
      </c>
      <c r="E251" s="3124"/>
      <c r="F251" s="3124"/>
      <c r="G251" s="3124"/>
      <c r="H251" s="3124"/>
      <c r="I251" s="3124"/>
      <c r="J251" s="3124"/>
      <c r="K251" s="3124"/>
      <c r="L251" s="3124"/>
      <c r="M251" s="3124"/>
      <c r="N251" s="762"/>
    </row>
    <row r="252" spans="1:17" x14ac:dyDescent="0.25">
      <c r="C252" s="761"/>
      <c r="D252" s="3112" t="s">
        <v>1143</v>
      </c>
      <c r="E252" s="3112"/>
      <c r="F252" s="3112"/>
      <c r="G252" s="3112"/>
      <c r="H252" s="3112"/>
      <c r="I252" s="3112"/>
      <c r="J252" s="3112"/>
      <c r="K252" s="3112"/>
      <c r="L252" s="3112"/>
      <c r="M252" s="3112"/>
      <c r="N252" s="762"/>
    </row>
    <row r="253" spans="1:17" x14ac:dyDescent="0.25">
      <c r="C253" s="761"/>
      <c r="D253" s="3115" t="s">
        <v>497</v>
      </c>
      <c r="E253" s="3115"/>
      <c r="F253" s="3115"/>
      <c r="G253" s="3115"/>
      <c r="H253" s="3115"/>
      <c r="I253" s="3115"/>
      <c r="J253" s="3115"/>
      <c r="K253" s="3115"/>
      <c r="L253" s="3115"/>
      <c r="M253" s="3115"/>
      <c r="N253" s="762"/>
    </row>
    <row r="254" spans="1:17" x14ac:dyDescent="0.25">
      <c r="C254" s="763"/>
      <c r="D254" s="764"/>
      <c r="E254" s="764"/>
      <c r="F254" s="173"/>
      <c r="G254" s="189"/>
      <c r="H254" s="189"/>
      <c r="I254" s="4"/>
      <c r="J254" s="4"/>
      <c r="K254" s="4"/>
      <c r="L254" s="4"/>
      <c r="M254" s="18"/>
      <c r="N254" s="762"/>
    </row>
    <row r="255" spans="1:17" x14ac:dyDescent="0.25">
      <c r="C255" s="761"/>
      <c r="D255" s="765" t="s">
        <v>1060</v>
      </c>
      <c r="E255" s="4"/>
      <c r="F255" s="173"/>
      <c r="G255" s="189"/>
      <c r="H255" s="189"/>
      <c r="I255" s="4"/>
      <c r="J255" s="4"/>
      <c r="K255" s="4"/>
      <c r="L255" s="3108">
        <f ca="1">+SUMIF($L$202:$P$242,D255,$J$202:$K$242)-SUMIF($L$202:$P$242,D255,$H$202:$I$242)</f>
        <v>2019940</v>
      </c>
      <c r="M255" s="3108"/>
      <c r="N255" s="762"/>
    </row>
    <row r="256" spans="1:17" x14ac:dyDescent="0.25">
      <c r="C256" s="761"/>
      <c r="D256" s="765" t="s">
        <v>400</v>
      </c>
      <c r="E256" s="4"/>
      <c r="G256" s="189"/>
      <c r="H256" s="189"/>
      <c r="I256" s="4"/>
      <c r="J256" s="4"/>
      <c r="K256" s="4"/>
      <c r="L256" s="3108">
        <f ca="1">+SUMIF($L$202:$P$242,D256,$J$202:$K$242)-SUMIF($L$202:$P$242,D256,$H$202:$I$242)</f>
        <v>-471500</v>
      </c>
      <c r="M256" s="3108"/>
      <c r="N256" s="762"/>
    </row>
    <row r="257" spans="3:14" x14ac:dyDescent="0.25">
      <c r="C257" s="761"/>
      <c r="D257" s="766" t="s">
        <v>414</v>
      </c>
      <c r="E257" s="228"/>
      <c r="F257" s="227"/>
      <c r="G257" s="767"/>
      <c r="H257" s="767"/>
      <c r="I257" s="228"/>
      <c r="J257" s="5"/>
      <c r="K257" s="5"/>
      <c r="L257" s="3113">
        <f ca="1">+SUM(L255:M256)</f>
        <v>1548440</v>
      </c>
      <c r="M257" s="3114"/>
      <c r="N257" s="762"/>
    </row>
    <row r="258" spans="3:14" x14ac:dyDescent="0.25">
      <c r="C258" s="761"/>
      <c r="D258" s="765"/>
      <c r="E258" s="4"/>
      <c r="G258" s="189"/>
      <c r="H258" s="189"/>
      <c r="I258" s="4"/>
      <c r="J258" s="4"/>
      <c r="K258" s="4"/>
      <c r="L258" s="3108"/>
      <c r="M258" s="3108"/>
      <c r="N258" s="762"/>
    </row>
    <row r="259" spans="3:14" x14ac:dyDescent="0.25">
      <c r="C259" s="761"/>
      <c r="D259" s="765" t="s">
        <v>1114</v>
      </c>
      <c r="E259" s="4"/>
      <c r="G259" s="189"/>
      <c r="H259" s="189"/>
      <c r="I259" s="4"/>
      <c r="J259" s="4"/>
      <c r="K259" s="4"/>
      <c r="L259" s="3108">
        <f ca="1">+SUMIF($L$202:$P$242,D259,$J$202:$K$242)-SUMIF($L$202:$P$242,D259,$H$202:$I$242)</f>
        <v>-522176</v>
      </c>
      <c r="M259" s="3108"/>
      <c r="N259" s="762"/>
    </row>
    <row r="260" spans="3:14" x14ac:dyDescent="0.25">
      <c r="C260" s="761"/>
      <c r="D260" s="765" t="s">
        <v>1109</v>
      </c>
      <c r="E260" s="4"/>
      <c r="G260" s="189"/>
      <c r="H260" s="189"/>
      <c r="I260" s="4"/>
      <c r="J260" s="4"/>
      <c r="K260" s="4"/>
      <c r="L260" s="3108">
        <f ca="1">+SUMIF($L$202:$P$242,D260,$J$202:$K$242)-SUMIF($L$202:$P$242,D260,$H$202:$I$242)</f>
        <v>-466088</v>
      </c>
      <c r="M260" s="3108"/>
      <c r="N260" s="762"/>
    </row>
    <row r="261" spans="3:14" x14ac:dyDescent="0.25">
      <c r="C261" s="761"/>
      <c r="D261" s="765" t="s">
        <v>1144</v>
      </c>
      <c r="E261" s="4"/>
      <c r="G261" s="189"/>
      <c r="H261" s="189"/>
      <c r="I261" s="4"/>
      <c r="J261" s="4"/>
      <c r="K261" s="4"/>
      <c r="L261" s="3108">
        <f ca="1">+SUMIF($L$202:$P$242,D261,$J$202:$K$242)-SUMIF($L$202:$P$242,D261,$H$202:$I$242)</f>
        <v>-15540</v>
      </c>
      <c r="M261" s="3108"/>
      <c r="N261" s="762"/>
    </row>
    <row r="262" spans="3:14" x14ac:dyDescent="0.25">
      <c r="C262" s="761"/>
      <c r="D262" s="766" t="s">
        <v>1061</v>
      </c>
      <c r="E262" s="228"/>
      <c r="F262" s="227"/>
      <c r="G262" s="767"/>
      <c r="H262" s="767"/>
      <c r="I262" s="228"/>
      <c r="J262" s="5"/>
      <c r="K262" s="5"/>
      <c r="L262" s="3113">
        <f ca="1">+SUM(L257:M261)</f>
        <v>544636</v>
      </c>
      <c r="M262" s="3114"/>
      <c r="N262" s="762"/>
    </row>
    <row r="263" spans="3:14" x14ac:dyDescent="0.25">
      <c r="C263" s="761"/>
      <c r="D263" s="765"/>
      <c r="E263" s="4"/>
      <c r="G263" s="189"/>
      <c r="H263" s="189"/>
      <c r="I263" s="4"/>
      <c r="J263" s="4"/>
      <c r="K263" s="4"/>
      <c r="L263" s="3108"/>
      <c r="M263" s="3108"/>
      <c r="N263" s="762"/>
    </row>
    <row r="264" spans="3:14" x14ac:dyDescent="0.25">
      <c r="C264" s="761"/>
      <c r="D264" s="765" t="s">
        <v>1056</v>
      </c>
      <c r="E264" s="4"/>
      <c r="G264" s="189"/>
      <c r="H264" s="189"/>
      <c r="I264" s="4"/>
      <c r="J264" s="4"/>
      <c r="K264" s="4"/>
      <c r="L264" s="3108"/>
      <c r="M264" s="3108"/>
      <c r="N264" s="762"/>
    </row>
    <row r="265" spans="3:14" x14ac:dyDescent="0.25">
      <c r="C265" s="761"/>
      <c r="D265" s="768" t="s">
        <v>420</v>
      </c>
      <c r="E265" s="4"/>
      <c r="G265" s="189"/>
      <c r="H265" s="189"/>
      <c r="I265" s="4"/>
      <c r="J265" s="4"/>
      <c r="K265" s="4"/>
      <c r="L265" s="3108">
        <f ca="1">+SUMIF($L$202:$P$242,"Resultados Financieros Positivos",$J$202:$K$242)-SUMIF($L$202:$P$242,"Resultados Financieros Positivos",$H$202:$I$242)</f>
        <v>66420</v>
      </c>
      <c r="M265" s="3108"/>
      <c r="N265" s="762"/>
    </row>
    <row r="266" spans="3:14" x14ac:dyDescent="0.25">
      <c r="C266" s="761"/>
      <c r="D266" s="768"/>
      <c r="E266" s="4"/>
      <c r="G266" s="189"/>
      <c r="H266" s="189"/>
      <c r="I266" s="4"/>
      <c r="J266" s="4"/>
      <c r="K266" s="4"/>
      <c r="L266" s="3108"/>
      <c r="M266" s="3108"/>
      <c r="N266" s="762"/>
    </row>
    <row r="267" spans="3:14" ht="15.75" thickBot="1" x14ac:dyDescent="0.3">
      <c r="C267" s="761"/>
      <c r="D267" s="769" t="s">
        <v>1062</v>
      </c>
      <c r="E267" s="770"/>
      <c r="F267" s="771"/>
      <c r="G267" s="772"/>
      <c r="H267" s="772"/>
      <c r="I267" s="770"/>
      <c r="J267" s="773"/>
      <c r="K267" s="773"/>
      <c r="L267" s="3109">
        <f ca="1">+SUM(L262:M266)</f>
        <v>611056</v>
      </c>
      <c r="M267" s="3110"/>
      <c r="N267" s="762"/>
    </row>
    <row r="268" spans="3:14" ht="16.5" thickTop="1" thickBot="1" x14ac:dyDescent="0.3">
      <c r="C268" s="774"/>
      <c r="D268" s="775"/>
      <c r="E268" s="775"/>
      <c r="F268" s="524"/>
      <c r="G268" s="776"/>
      <c r="H268" s="776"/>
      <c r="I268" s="527"/>
      <c r="J268" s="527"/>
      <c r="K268" s="527"/>
      <c r="L268" s="527"/>
      <c r="M268" s="528"/>
      <c r="N268" s="777"/>
    </row>
    <row r="269" spans="3:14" ht="15.75" thickTop="1" x14ac:dyDescent="0.25"/>
    <row r="296" spans="1:17" s="4" customFormat="1" x14ac:dyDescent="0.25">
      <c r="B296" s="189"/>
      <c r="C296" s="12"/>
      <c r="D296" s="12"/>
      <c r="E296" s="12"/>
      <c r="F296" s="12"/>
      <c r="G296" s="51"/>
      <c r="H296" s="51"/>
      <c r="M296" s="18"/>
      <c r="N296" s="18"/>
      <c r="O296" s="18"/>
      <c r="P296" s="18"/>
    </row>
    <row r="297" spans="1:17" x14ac:dyDescent="0.25">
      <c r="A297" s="3"/>
      <c r="B297" s="200"/>
      <c r="C297" s="11"/>
      <c r="D297" s="11"/>
      <c r="E297" s="11"/>
      <c r="F297" s="11"/>
      <c r="G297" s="24"/>
      <c r="H297" s="24"/>
      <c r="I297" s="3"/>
      <c r="J297" s="3"/>
      <c r="K297" s="3"/>
      <c r="L297" s="3"/>
      <c r="M297" s="22"/>
      <c r="N297" s="22"/>
      <c r="O297" s="22"/>
      <c r="P297" s="22"/>
      <c r="Q297" s="3"/>
    </row>
    <row r="298" spans="1:17" s="4" customFormat="1" x14ac:dyDescent="0.25">
      <c r="A298" s="1844" t="s">
        <v>20</v>
      </c>
      <c r="B298" s="1845"/>
      <c r="C298" s="1845"/>
      <c r="D298" s="1845"/>
      <c r="E298" s="1845"/>
      <c r="F298" s="1845"/>
      <c r="G298" s="1845"/>
      <c r="H298" s="1845"/>
      <c r="I298" s="1845"/>
      <c r="J298" s="1845"/>
      <c r="K298" s="1845"/>
      <c r="L298" s="1845"/>
      <c r="M298" s="1845"/>
      <c r="N298" s="1845"/>
      <c r="O298" s="1845"/>
      <c r="P298" s="1845"/>
      <c r="Q298" s="1846"/>
    </row>
    <row r="299" spans="1:17" s="4" customFormat="1" x14ac:dyDescent="0.25">
      <c r="A299" s="1847" t="s">
        <v>1145</v>
      </c>
      <c r="B299" s="1848"/>
      <c r="C299" s="1848"/>
      <c r="D299" s="1848"/>
      <c r="E299" s="1848"/>
      <c r="F299" s="1848"/>
      <c r="G299" s="1848"/>
      <c r="H299" s="1848"/>
      <c r="I299" s="1848"/>
      <c r="J299" s="1848"/>
      <c r="K299" s="1848"/>
      <c r="L299" s="1848"/>
      <c r="M299" s="1848"/>
      <c r="N299" s="1848"/>
      <c r="O299" s="1848"/>
      <c r="P299" s="1848"/>
      <c r="Q299" s="1849"/>
    </row>
    <row r="300" spans="1:17" x14ac:dyDescent="0.25">
      <c r="A300" s="4"/>
      <c r="B300" s="189"/>
      <c r="C300" s="11"/>
      <c r="D300" s="11"/>
      <c r="E300" s="11"/>
      <c r="F300" s="11"/>
      <c r="G300" s="24"/>
      <c r="H300" s="24"/>
      <c r="I300" s="3"/>
      <c r="J300" s="3"/>
      <c r="K300" s="3"/>
      <c r="L300" s="3"/>
      <c r="M300" s="22"/>
      <c r="N300" s="22"/>
      <c r="O300" s="22"/>
      <c r="P300" s="22"/>
      <c r="Q300" s="4"/>
    </row>
    <row r="301" spans="1:17" ht="30" customHeight="1" x14ac:dyDescent="0.25">
      <c r="C301" s="3180" t="s">
        <v>1046</v>
      </c>
      <c r="D301" s="3181"/>
      <c r="E301" s="3181"/>
      <c r="F301" s="3181"/>
      <c r="G301" s="3182"/>
      <c r="H301" s="3180" t="s">
        <v>1106</v>
      </c>
      <c r="I301" s="3182"/>
      <c r="J301" s="3180" t="s">
        <v>1107</v>
      </c>
      <c r="K301" s="3182"/>
      <c r="L301" s="3183" t="s">
        <v>394</v>
      </c>
      <c r="M301" s="3184"/>
      <c r="N301" s="3184"/>
      <c r="O301" s="3184"/>
      <c r="P301" s="3185"/>
    </row>
    <row r="302" spans="1:17" x14ac:dyDescent="0.25">
      <c r="C302" s="3172" t="s">
        <v>1146</v>
      </c>
      <c r="D302" s="3173"/>
      <c r="E302" s="3173"/>
      <c r="F302" s="3173"/>
      <c r="G302" s="3174"/>
      <c r="H302" s="3175">
        <v>0</v>
      </c>
      <c r="I302" s="3176"/>
      <c r="J302" s="3175">
        <v>70395</v>
      </c>
      <c r="K302" s="3176"/>
      <c r="L302" s="3177" t="s">
        <v>1147</v>
      </c>
      <c r="M302" s="3178"/>
      <c r="N302" s="3178"/>
      <c r="O302" s="3178"/>
      <c r="P302" s="3179"/>
    </row>
    <row r="303" spans="1:17" x14ac:dyDescent="0.25">
      <c r="C303" s="3172" t="s">
        <v>815</v>
      </c>
      <c r="D303" s="3173"/>
      <c r="E303" s="3173"/>
      <c r="F303" s="3173"/>
      <c r="G303" s="3174"/>
      <c r="H303" s="3175">
        <v>81492</v>
      </c>
      <c r="I303" s="3176"/>
      <c r="J303" s="3175"/>
      <c r="K303" s="3176"/>
      <c r="L303" s="3177" t="s">
        <v>1148</v>
      </c>
      <c r="M303" s="3178"/>
      <c r="N303" s="3178"/>
      <c r="O303" s="3178"/>
      <c r="P303" s="3179"/>
    </row>
    <row r="304" spans="1:17" x14ac:dyDescent="0.25">
      <c r="C304" s="3172" t="s">
        <v>1149</v>
      </c>
      <c r="D304" s="3173"/>
      <c r="E304" s="3173"/>
      <c r="F304" s="3173"/>
      <c r="G304" s="3174"/>
      <c r="H304" s="3175">
        <v>0</v>
      </c>
      <c r="I304" s="3176"/>
      <c r="J304" s="3175">
        <v>8100</v>
      </c>
      <c r="K304" s="3176"/>
      <c r="L304" s="3177" t="s">
        <v>401</v>
      </c>
      <c r="M304" s="3178"/>
      <c r="N304" s="3178"/>
      <c r="O304" s="3178"/>
      <c r="P304" s="3179"/>
    </row>
    <row r="305" spans="3:16" x14ac:dyDescent="0.25">
      <c r="C305" s="3172" t="s">
        <v>1150</v>
      </c>
      <c r="D305" s="3173"/>
      <c r="E305" s="3173"/>
      <c r="F305" s="3173"/>
      <c r="G305" s="3174"/>
      <c r="H305" s="3175">
        <v>0</v>
      </c>
      <c r="I305" s="3176"/>
      <c r="J305" s="3175">
        <v>42000</v>
      </c>
      <c r="K305" s="3176"/>
      <c r="L305" s="3177" t="s">
        <v>1151</v>
      </c>
      <c r="M305" s="3178"/>
      <c r="N305" s="3178"/>
      <c r="O305" s="3178"/>
      <c r="P305" s="3179"/>
    </row>
    <row r="306" spans="3:16" x14ac:dyDescent="0.25">
      <c r="C306" s="3172" t="s">
        <v>1152</v>
      </c>
      <c r="D306" s="3173"/>
      <c r="E306" s="3173"/>
      <c r="F306" s="3173"/>
      <c r="G306" s="3174"/>
      <c r="H306" s="3175">
        <v>0</v>
      </c>
      <c r="I306" s="3176"/>
      <c r="J306" s="3175">
        <v>178800</v>
      </c>
      <c r="K306" s="3176"/>
      <c r="L306" s="3177" t="s">
        <v>1151</v>
      </c>
      <c r="M306" s="3178"/>
      <c r="N306" s="3178"/>
      <c r="O306" s="3178"/>
      <c r="P306" s="3179"/>
    </row>
    <row r="307" spans="3:16" x14ac:dyDescent="0.25">
      <c r="C307" s="3172" t="s">
        <v>1153</v>
      </c>
      <c r="D307" s="3173"/>
      <c r="E307" s="3173"/>
      <c r="F307" s="3173"/>
      <c r="G307" s="3174"/>
      <c r="H307" s="3175">
        <v>0</v>
      </c>
      <c r="I307" s="3176"/>
      <c r="J307" s="3175">
        <v>60000</v>
      </c>
      <c r="K307" s="3176"/>
      <c r="L307" s="3177" t="s">
        <v>401</v>
      </c>
      <c r="M307" s="3178"/>
      <c r="N307" s="3178"/>
      <c r="O307" s="3178"/>
      <c r="P307" s="3179"/>
    </row>
    <row r="308" spans="3:16" x14ac:dyDescent="0.25">
      <c r="C308" s="3172" t="s">
        <v>23</v>
      </c>
      <c r="D308" s="3173"/>
      <c r="E308" s="3173"/>
      <c r="F308" s="3173"/>
      <c r="G308" s="3174"/>
      <c r="H308" s="3175">
        <v>455550</v>
      </c>
      <c r="I308" s="3176"/>
      <c r="J308" s="3175">
        <v>0</v>
      </c>
      <c r="K308" s="3176"/>
      <c r="L308" s="3177" t="s">
        <v>397</v>
      </c>
      <c r="M308" s="3178"/>
      <c r="N308" s="3178"/>
      <c r="O308" s="3178"/>
      <c r="P308" s="3179"/>
    </row>
    <row r="309" spans="3:16" x14ac:dyDescent="0.25">
      <c r="C309" s="3172" t="s">
        <v>435</v>
      </c>
      <c r="D309" s="3173"/>
      <c r="E309" s="3173"/>
      <c r="F309" s="3173"/>
      <c r="G309" s="3174"/>
      <c r="H309" s="3175">
        <v>0</v>
      </c>
      <c r="I309" s="3176"/>
      <c r="J309" s="3175">
        <v>500000</v>
      </c>
      <c r="K309" s="3176"/>
      <c r="L309" s="3177" t="s">
        <v>1047</v>
      </c>
      <c r="M309" s="3178"/>
      <c r="N309" s="3178"/>
      <c r="O309" s="3178"/>
      <c r="P309" s="3179"/>
    </row>
    <row r="310" spans="3:16" x14ac:dyDescent="0.25">
      <c r="C310" s="3172" t="s">
        <v>1154</v>
      </c>
      <c r="D310" s="3173"/>
      <c r="E310" s="3173"/>
      <c r="F310" s="3173"/>
      <c r="G310" s="3174"/>
      <c r="H310" s="3175">
        <v>85762</v>
      </c>
      <c r="I310" s="3176"/>
      <c r="J310" s="3175">
        <v>0</v>
      </c>
      <c r="K310" s="3176"/>
      <c r="L310" s="3177" t="s">
        <v>1148</v>
      </c>
      <c r="M310" s="3178"/>
      <c r="N310" s="3178"/>
      <c r="O310" s="3178"/>
      <c r="P310" s="3179"/>
    </row>
    <row r="311" spans="3:16" x14ac:dyDescent="0.25">
      <c r="C311" s="3172" t="s">
        <v>1119</v>
      </c>
      <c r="D311" s="3173"/>
      <c r="E311" s="3173"/>
      <c r="F311" s="3173"/>
      <c r="G311" s="3174"/>
      <c r="H311" s="3175">
        <v>0</v>
      </c>
      <c r="I311" s="3176"/>
      <c r="J311" s="3175">
        <v>5250</v>
      </c>
      <c r="K311" s="3176"/>
      <c r="L311" s="3177" t="s">
        <v>399</v>
      </c>
      <c r="M311" s="3178"/>
      <c r="N311" s="3178"/>
      <c r="O311" s="3178"/>
      <c r="P311" s="3179"/>
    </row>
    <row r="312" spans="3:16" x14ac:dyDescent="0.25">
      <c r="C312" s="3172" t="s">
        <v>1120</v>
      </c>
      <c r="D312" s="3173"/>
      <c r="E312" s="3173"/>
      <c r="F312" s="3173"/>
      <c r="G312" s="3174"/>
      <c r="H312" s="3175">
        <v>145402</v>
      </c>
      <c r="I312" s="3176"/>
      <c r="J312" s="3175">
        <v>0</v>
      </c>
      <c r="K312" s="3176"/>
      <c r="L312" s="3177" t="s">
        <v>1070</v>
      </c>
      <c r="M312" s="3178"/>
      <c r="N312" s="3178"/>
      <c r="O312" s="3178"/>
      <c r="P312" s="3179"/>
    </row>
    <row r="313" spans="3:16" x14ac:dyDescent="0.25">
      <c r="C313" s="3172" t="s">
        <v>1121</v>
      </c>
      <c r="D313" s="3173"/>
      <c r="E313" s="3173"/>
      <c r="F313" s="3173"/>
      <c r="G313" s="3174"/>
      <c r="H313" s="3175">
        <v>3150000</v>
      </c>
      <c r="I313" s="3176"/>
      <c r="J313" s="3175">
        <v>0</v>
      </c>
      <c r="K313" s="3176"/>
      <c r="L313" s="3177" t="s">
        <v>1148</v>
      </c>
      <c r="M313" s="3178"/>
      <c r="N313" s="3178"/>
      <c r="O313" s="3178"/>
      <c r="P313" s="3179"/>
    </row>
    <row r="314" spans="3:16" x14ac:dyDescent="0.25">
      <c r="C314" s="3172" t="s">
        <v>2412</v>
      </c>
      <c r="D314" s="3173"/>
      <c r="E314" s="3173"/>
      <c r="F314" s="3173"/>
      <c r="G314" s="3174"/>
      <c r="H314" s="3175">
        <v>0</v>
      </c>
      <c r="I314" s="3176"/>
      <c r="J314" s="3175">
        <v>7398</v>
      </c>
      <c r="K314" s="3176"/>
      <c r="L314" s="3177" t="s">
        <v>1148</v>
      </c>
      <c r="M314" s="3178"/>
      <c r="N314" s="3178"/>
      <c r="O314" s="3178"/>
      <c r="P314" s="3179"/>
    </row>
    <row r="315" spans="3:16" x14ac:dyDescent="0.25">
      <c r="C315" s="3172" t="s">
        <v>2413</v>
      </c>
      <c r="D315" s="3173"/>
      <c r="E315" s="3173"/>
      <c r="F315" s="3173"/>
      <c r="G315" s="3174"/>
      <c r="H315" s="3175">
        <v>58000</v>
      </c>
      <c r="I315" s="3176"/>
      <c r="J315" s="3175">
        <v>0</v>
      </c>
      <c r="K315" s="3176"/>
      <c r="L315" s="3177" t="s">
        <v>1148</v>
      </c>
      <c r="M315" s="3178"/>
      <c r="N315" s="3178"/>
      <c r="O315" s="3178"/>
      <c r="P315" s="3179"/>
    </row>
    <row r="316" spans="3:16" x14ac:dyDescent="0.25">
      <c r="C316" s="3172" t="s">
        <v>0</v>
      </c>
      <c r="D316" s="3173"/>
      <c r="E316" s="3173"/>
      <c r="F316" s="3173"/>
      <c r="G316" s="3174"/>
      <c r="H316" s="3175">
        <v>241998</v>
      </c>
      <c r="I316" s="3176"/>
      <c r="J316" s="3175">
        <v>0</v>
      </c>
      <c r="K316" s="3176"/>
      <c r="L316" s="3177" t="s">
        <v>1070</v>
      </c>
      <c r="M316" s="3178"/>
      <c r="N316" s="3178"/>
      <c r="O316" s="3178"/>
      <c r="P316" s="3179"/>
    </row>
    <row r="317" spans="3:16" x14ac:dyDescent="0.25">
      <c r="C317" s="3172" t="s">
        <v>1089</v>
      </c>
      <c r="D317" s="3173"/>
      <c r="E317" s="3173"/>
      <c r="F317" s="3173"/>
      <c r="G317" s="3174"/>
      <c r="H317" s="3175">
        <v>24300</v>
      </c>
      <c r="I317" s="3176"/>
      <c r="J317" s="3175">
        <v>0</v>
      </c>
      <c r="K317" s="3176"/>
      <c r="L317" s="3177" t="s">
        <v>401</v>
      </c>
      <c r="M317" s="3178"/>
      <c r="N317" s="3178"/>
      <c r="O317" s="3178"/>
      <c r="P317" s="3179"/>
    </row>
    <row r="318" spans="3:16" x14ac:dyDescent="0.25">
      <c r="C318" s="3172" t="s">
        <v>1126</v>
      </c>
      <c r="D318" s="3173"/>
      <c r="E318" s="3173"/>
      <c r="F318" s="3173"/>
      <c r="G318" s="3174"/>
      <c r="H318" s="3175">
        <v>71028</v>
      </c>
      <c r="I318" s="3176"/>
      <c r="J318" s="3175">
        <v>0</v>
      </c>
      <c r="K318" s="3176"/>
      <c r="L318" s="3177" t="s">
        <v>1148</v>
      </c>
      <c r="M318" s="3178"/>
      <c r="N318" s="3178"/>
      <c r="O318" s="3178"/>
      <c r="P318" s="3179"/>
    </row>
    <row r="319" spans="3:16" x14ac:dyDescent="0.25">
      <c r="C319" s="3172" t="s">
        <v>1081</v>
      </c>
      <c r="D319" s="3173"/>
      <c r="E319" s="3173"/>
      <c r="F319" s="3173"/>
      <c r="G319" s="3174"/>
      <c r="H319" s="3175">
        <v>90000</v>
      </c>
      <c r="I319" s="3176"/>
      <c r="J319" s="3175">
        <v>0</v>
      </c>
      <c r="K319" s="3176"/>
      <c r="L319" s="3177" t="s">
        <v>1148</v>
      </c>
      <c r="M319" s="3178"/>
      <c r="N319" s="3178"/>
      <c r="O319" s="3178"/>
      <c r="P319" s="3179"/>
    </row>
    <row r="320" spans="3:16" x14ac:dyDescent="0.25">
      <c r="C320" s="3172" t="s">
        <v>1127</v>
      </c>
      <c r="D320" s="3173"/>
      <c r="E320" s="3173"/>
      <c r="F320" s="3173"/>
      <c r="G320" s="3174"/>
      <c r="H320" s="3175">
        <v>42706</v>
      </c>
      <c r="I320" s="3176"/>
      <c r="J320" s="3175">
        <v>0</v>
      </c>
      <c r="K320" s="3176"/>
      <c r="L320" s="3177" t="s">
        <v>1148</v>
      </c>
      <c r="M320" s="3178"/>
      <c r="N320" s="3178"/>
      <c r="O320" s="3178"/>
      <c r="P320" s="3179"/>
    </row>
    <row r="321" spans="3:16" x14ac:dyDescent="0.25">
      <c r="C321" s="3172" t="s">
        <v>1129</v>
      </c>
      <c r="D321" s="3173"/>
      <c r="E321" s="3173"/>
      <c r="F321" s="3173"/>
      <c r="G321" s="3174"/>
      <c r="H321" s="3175">
        <v>90495</v>
      </c>
      <c r="I321" s="3176"/>
      <c r="J321" s="3175">
        <v>0</v>
      </c>
      <c r="K321" s="3176"/>
      <c r="L321" s="3177" t="s">
        <v>406</v>
      </c>
      <c r="M321" s="3178"/>
      <c r="N321" s="3178"/>
      <c r="O321" s="3178"/>
      <c r="P321" s="3179"/>
    </row>
    <row r="322" spans="3:16" x14ac:dyDescent="0.25">
      <c r="C322" s="3172" t="s">
        <v>1155</v>
      </c>
      <c r="D322" s="3173"/>
      <c r="E322" s="3173"/>
      <c r="F322" s="3173"/>
      <c r="G322" s="3174"/>
      <c r="H322" s="3175">
        <v>210000</v>
      </c>
      <c r="I322" s="3176"/>
      <c r="J322" s="3175">
        <v>0</v>
      </c>
      <c r="K322" s="3176"/>
      <c r="L322" s="3177" t="s">
        <v>1151</v>
      </c>
      <c r="M322" s="3178"/>
      <c r="N322" s="3178"/>
      <c r="O322" s="3178"/>
      <c r="P322" s="3179"/>
    </row>
    <row r="323" spans="3:16" x14ac:dyDescent="0.25">
      <c r="C323" s="3172" t="s">
        <v>1156</v>
      </c>
      <c r="D323" s="3173"/>
      <c r="E323" s="3173"/>
      <c r="F323" s="3173"/>
      <c r="G323" s="3174"/>
      <c r="H323" s="3175">
        <v>298000</v>
      </c>
      <c r="I323" s="3176"/>
      <c r="J323" s="3175">
        <v>0</v>
      </c>
      <c r="K323" s="3176"/>
      <c r="L323" s="3177" t="s">
        <v>1151</v>
      </c>
      <c r="M323" s="3178"/>
      <c r="N323" s="3178"/>
      <c r="O323" s="3178"/>
      <c r="P323" s="3179"/>
    </row>
    <row r="324" spans="3:16" x14ac:dyDescent="0.25">
      <c r="C324" s="3172" t="s">
        <v>5</v>
      </c>
      <c r="D324" s="3173"/>
      <c r="E324" s="3173"/>
      <c r="F324" s="3173"/>
      <c r="G324" s="3174"/>
      <c r="H324" s="3175">
        <v>812000</v>
      </c>
      <c r="I324" s="3176"/>
      <c r="J324" s="3175">
        <v>0</v>
      </c>
      <c r="K324" s="3176"/>
      <c r="L324" s="3177" t="s">
        <v>423</v>
      </c>
      <c r="M324" s="3178"/>
      <c r="N324" s="3178"/>
      <c r="O324" s="3178"/>
      <c r="P324" s="3179"/>
    </row>
    <row r="325" spans="3:16" x14ac:dyDescent="0.25">
      <c r="C325" s="3172" t="s">
        <v>1157</v>
      </c>
      <c r="D325" s="3173"/>
      <c r="E325" s="3173"/>
      <c r="F325" s="3173"/>
      <c r="G325" s="3174"/>
      <c r="H325" s="3175">
        <v>260117</v>
      </c>
      <c r="I325" s="3176"/>
      <c r="J325" s="3175">
        <v>0</v>
      </c>
      <c r="K325" s="3176"/>
      <c r="L325" s="3177" t="s">
        <v>681</v>
      </c>
      <c r="M325" s="3178"/>
      <c r="N325" s="3178"/>
      <c r="O325" s="3178"/>
      <c r="P325" s="3179"/>
    </row>
    <row r="326" spans="3:16" x14ac:dyDescent="0.25">
      <c r="C326" s="3172" t="s">
        <v>1133</v>
      </c>
      <c r="D326" s="3173"/>
      <c r="E326" s="3173"/>
      <c r="F326" s="3173"/>
      <c r="G326" s="3174"/>
      <c r="H326" s="3175">
        <v>0</v>
      </c>
      <c r="I326" s="3176"/>
      <c r="J326" s="3175">
        <v>699293</v>
      </c>
      <c r="K326" s="3176"/>
      <c r="L326" s="3177" t="s">
        <v>406</v>
      </c>
      <c r="M326" s="3178"/>
      <c r="N326" s="3178"/>
      <c r="O326" s="3178"/>
      <c r="P326" s="3179"/>
    </row>
    <row r="327" spans="3:16" x14ac:dyDescent="0.25">
      <c r="C327" s="3172" t="s">
        <v>2</v>
      </c>
      <c r="D327" s="3173"/>
      <c r="E327" s="3173"/>
      <c r="F327" s="3173"/>
      <c r="G327" s="3174"/>
      <c r="H327" s="3175">
        <v>0</v>
      </c>
      <c r="I327" s="3176"/>
      <c r="J327" s="3175">
        <v>44739</v>
      </c>
      <c r="K327" s="3176"/>
      <c r="L327" s="3177" t="s">
        <v>404</v>
      </c>
      <c r="M327" s="3178"/>
      <c r="N327" s="3178"/>
      <c r="O327" s="3178"/>
      <c r="P327" s="3179"/>
    </row>
    <row r="328" spans="3:16" x14ac:dyDescent="0.25">
      <c r="C328" s="3172" t="s">
        <v>521</v>
      </c>
      <c r="D328" s="3173"/>
      <c r="E328" s="3173"/>
      <c r="F328" s="3173"/>
      <c r="G328" s="3174"/>
      <c r="H328" s="3175">
        <v>0</v>
      </c>
      <c r="I328" s="3176"/>
      <c r="J328" s="3175">
        <v>36605</v>
      </c>
      <c r="K328" s="3176"/>
      <c r="L328" s="3177" t="s">
        <v>1047</v>
      </c>
      <c r="M328" s="3178"/>
      <c r="N328" s="3178"/>
      <c r="O328" s="3178"/>
      <c r="P328" s="3179"/>
    </row>
    <row r="329" spans="3:16" x14ac:dyDescent="0.25">
      <c r="C329" s="3172" t="s">
        <v>1158</v>
      </c>
      <c r="D329" s="3173"/>
      <c r="E329" s="3173"/>
      <c r="F329" s="3173"/>
      <c r="G329" s="3174"/>
      <c r="H329" s="3175">
        <v>0</v>
      </c>
      <c r="I329" s="3176"/>
      <c r="J329" s="3175">
        <v>89000</v>
      </c>
      <c r="K329" s="3176"/>
      <c r="L329" s="3177" t="s">
        <v>1148</v>
      </c>
      <c r="M329" s="3178"/>
      <c r="N329" s="3178"/>
      <c r="O329" s="3178"/>
      <c r="P329" s="3179"/>
    </row>
    <row r="330" spans="3:16" x14ac:dyDescent="0.25">
      <c r="C330" s="3172" t="s">
        <v>26</v>
      </c>
      <c r="D330" s="3173"/>
      <c r="E330" s="3173"/>
      <c r="F330" s="3173"/>
      <c r="G330" s="3174"/>
      <c r="H330" s="3175">
        <v>150000</v>
      </c>
      <c r="I330" s="3176"/>
      <c r="J330" s="3175">
        <v>0</v>
      </c>
      <c r="K330" s="3176"/>
      <c r="L330" s="3177" t="s">
        <v>401</v>
      </c>
      <c r="M330" s="3178"/>
      <c r="N330" s="3178"/>
      <c r="O330" s="3178"/>
      <c r="P330" s="3179"/>
    </row>
    <row r="331" spans="3:16" x14ac:dyDescent="0.25">
      <c r="C331" s="3172" t="s">
        <v>1159</v>
      </c>
      <c r="D331" s="3173"/>
      <c r="E331" s="3173"/>
      <c r="F331" s="3173"/>
      <c r="G331" s="3174"/>
      <c r="H331" s="3175">
        <v>148000</v>
      </c>
      <c r="I331" s="3176"/>
      <c r="J331" s="3175">
        <v>0</v>
      </c>
      <c r="K331" s="3176"/>
      <c r="L331" s="3177" t="s">
        <v>1148</v>
      </c>
      <c r="M331" s="3178"/>
      <c r="N331" s="3178"/>
      <c r="O331" s="3178"/>
      <c r="P331" s="3179"/>
    </row>
    <row r="332" spans="3:16" x14ac:dyDescent="0.25">
      <c r="C332" s="3172" t="s">
        <v>297</v>
      </c>
      <c r="D332" s="3173"/>
      <c r="E332" s="3173"/>
      <c r="F332" s="3173"/>
      <c r="G332" s="3174"/>
      <c r="H332" s="3175">
        <v>355880</v>
      </c>
      <c r="I332" s="3176"/>
      <c r="J332" s="3175">
        <v>0</v>
      </c>
      <c r="K332" s="3176"/>
      <c r="L332" s="3177" t="s">
        <v>1148</v>
      </c>
      <c r="M332" s="3178"/>
      <c r="N332" s="3178"/>
      <c r="O332" s="3178"/>
      <c r="P332" s="3179"/>
    </row>
    <row r="333" spans="3:16" x14ac:dyDescent="0.25">
      <c r="C333" s="3172" t="s">
        <v>1139</v>
      </c>
      <c r="D333" s="3173"/>
      <c r="E333" s="3173"/>
      <c r="F333" s="3173"/>
      <c r="G333" s="3174"/>
      <c r="H333" s="3175">
        <v>0</v>
      </c>
      <c r="I333" s="3176"/>
      <c r="J333" s="3175">
        <v>571747</v>
      </c>
      <c r="K333" s="3176"/>
      <c r="L333" s="3177" t="s">
        <v>399</v>
      </c>
      <c r="M333" s="3178"/>
      <c r="N333" s="3178"/>
      <c r="O333" s="3178"/>
      <c r="P333" s="3179"/>
    </row>
    <row r="334" spans="3:16" x14ac:dyDescent="0.25">
      <c r="C334" s="3172" t="s">
        <v>1141</v>
      </c>
      <c r="D334" s="3173"/>
      <c r="E334" s="3173"/>
      <c r="F334" s="3173"/>
      <c r="G334" s="3174"/>
      <c r="H334" s="3175">
        <v>267597</v>
      </c>
      <c r="I334" s="3176"/>
      <c r="J334" s="3175">
        <v>0</v>
      </c>
      <c r="K334" s="3176"/>
      <c r="L334" s="3177" t="s">
        <v>397</v>
      </c>
      <c r="M334" s="3178"/>
      <c r="N334" s="3178"/>
      <c r="O334" s="3178"/>
      <c r="P334" s="3179"/>
    </row>
    <row r="335" spans="3:16" x14ac:dyDescent="0.25">
      <c r="C335" s="3156" t="s">
        <v>3</v>
      </c>
      <c r="D335" s="3157"/>
      <c r="E335" s="3157"/>
      <c r="F335" s="3157"/>
      <c r="G335" s="3158"/>
      <c r="H335" s="3159">
        <v>0</v>
      </c>
      <c r="I335" s="3160"/>
      <c r="J335" s="3159">
        <v>4725000</v>
      </c>
      <c r="K335" s="3160"/>
      <c r="L335" s="3161" t="s">
        <v>1148</v>
      </c>
      <c r="M335" s="3162"/>
      <c r="N335" s="3162"/>
      <c r="O335" s="3162"/>
      <c r="P335" s="3163"/>
    </row>
    <row r="336" spans="3:16" x14ac:dyDescent="0.25">
      <c r="C336" s="3164" t="s">
        <v>1160</v>
      </c>
      <c r="D336" s="3165"/>
      <c r="E336" s="3165"/>
      <c r="F336" s="3165"/>
      <c r="G336" s="3166"/>
      <c r="H336" s="3167">
        <v>7038327</v>
      </c>
      <c r="I336" s="3168"/>
      <c r="J336" s="3167">
        <v>7038327</v>
      </c>
      <c r="K336" s="3168"/>
      <c r="L336" s="3169"/>
      <c r="M336" s="3170"/>
      <c r="N336" s="3170"/>
      <c r="O336" s="3170"/>
      <c r="P336" s="3171"/>
    </row>
    <row r="345" spans="1:17" s="4" customFormat="1" x14ac:dyDescent="0.25">
      <c r="B345" s="189"/>
      <c r="C345" s="12"/>
      <c r="D345" s="12"/>
      <c r="E345" s="12"/>
      <c r="F345" s="12"/>
      <c r="G345" s="51"/>
      <c r="H345" s="51"/>
      <c r="M345" s="18"/>
      <c r="N345" s="18"/>
      <c r="O345" s="18"/>
      <c r="P345" s="18"/>
    </row>
    <row r="346" spans="1:17" x14ac:dyDescent="0.25">
      <c r="A346" s="4"/>
      <c r="B346" s="189"/>
      <c r="G346" s="51"/>
      <c r="H346" s="51"/>
      <c r="I346" s="4"/>
      <c r="J346" s="4"/>
      <c r="K346" s="4"/>
      <c r="L346" s="4"/>
      <c r="M346" s="18"/>
      <c r="N346" s="18"/>
      <c r="O346" s="18"/>
      <c r="P346" s="18"/>
      <c r="Q346" s="4"/>
    </row>
    <row r="347" spans="1:17" ht="15.75" thickBot="1" x14ac:dyDescent="0.3"/>
    <row r="348" spans="1:17" ht="15.75" thickTop="1" x14ac:dyDescent="0.25">
      <c r="B348" s="778"/>
      <c r="C348" s="779"/>
      <c r="D348" s="779"/>
      <c r="E348" s="779"/>
      <c r="F348" s="779"/>
      <c r="G348" s="780"/>
      <c r="H348" s="780"/>
      <c r="I348" s="781"/>
      <c r="J348" s="781"/>
      <c r="K348" s="781"/>
      <c r="L348" s="758"/>
      <c r="M348" s="759"/>
      <c r="N348" s="759"/>
      <c r="O348" s="759"/>
      <c r="P348" s="759"/>
      <c r="Q348" s="782"/>
    </row>
    <row r="349" spans="1:17" x14ac:dyDescent="0.25">
      <c r="B349" s="783"/>
      <c r="C349" s="3111" t="s">
        <v>1145</v>
      </c>
      <c r="D349" s="3111"/>
      <c r="E349" s="3111"/>
      <c r="F349" s="3111"/>
      <c r="G349" s="3111"/>
      <c r="H349" s="3111"/>
      <c r="I349" s="3111"/>
      <c r="J349" s="3111"/>
      <c r="K349" s="3111"/>
      <c r="L349" s="3111"/>
      <c r="M349" s="3111"/>
      <c r="N349" s="3111"/>
      <c r="O349" s="3111"/>
      <c r="P349" s="3111"/>
      <c r="Q349" s="784"/>
    </row>
    <row r="350" spans="1:17" x14ac:dyDescent="0.25">
      <c r="B350" s="783"/>
      <c r="C350" s="3111" t="s">
        <v>422</v>
      </c>
      <c r="D350" s="3111"/>
      <c r="E350" s="3111"/>
      <c r="F350" s="3111"/>
      <c r="G350" s="3111"/>
      <c r="H350" s="3111"/>
      <c r="I350" s="3111"/>
      <c r="J350" s="3111"/>
      <c r="K350" s="3111"/>
      <c r="L350" s="3111"/>
      <c r="M350" s="3111"/>
      <c r="N350" s="3111"/>
      <c r="O350" s="3111"/>
      <c r="P350" s="3111"/>
      <c r="Q350" s="784"/>
    </row>
    <row r="351" spans="1:17" x14ac:dyDescent="0.25">
      <c r="B351" s="783"/>
      <c r="C351" s="3112" t="s">
        <v>1161</v>
      </c>
      <c r="D351" s="3112"/>
      <c r="E351" s="3112"/>
      <c r="F351" s="3112"/>
      <c r="G351" s="3112"/>
      <c r="H351" s="3112"/>
      <c r="I351" s="3112"/>
      <c r="J351" s="3112"/>
      <c r="K351" s="3112"/>
      <c r="L351" s="3112"/>
      <c r="M351" s="3112"/>
      <c r="N351" s="3112"/>
      <c r="O351" s="3112"/>
      <c r="P351" s="3112"/>
      <c r="Q351" s="784"/>
    </row>
    <row r="352" spans="1:17" x14ac:dyDescent="0.25">
      <c r="B352" s="783"/>
      <c r="C352" s="3107" t="s">
        <v>497</v>
      </c>
      <c r="D352" s="3107"/>
      <c r="E352" s="3107"/>
      <c r="F352" s="3107"/>
      <c r="G352" s="3107"/>
      <c r="H352" s="3107"/>
      <c r="I352" s="3107"/>
      <c r="J352" s="3107"/>
      <c r="K352" s="3107"/>
      <c r="L352" s="3107"/>
      <c r="M352" s="3107"/>
      <c r="N352" s="3107"/>
      <c r="O352" s="3107"/>
      <c r="P352" s="3107"/>
      <c r="Q352" s="784"/>
    </row>
    <row r="353" spans="2:17" x14ac:dyDescent="0.25">
      <c r="B353" s="783"/>
      <c r="C353" s="785"/>
      <c r="D353" s="765"/>
      <c r="E353" s="765"/>
      <c r="F353" s="765"/>
      <c r="G353" s="38"/>
      <c r="H353" s="38"/>
      <c r="I353" s="317"/>
      <c r="J353" s="317"/>
      <c r="K353" s="317"/>
      <c r="L353" s="4"/>
      <c r="M353" s="18"/>
      <c r="N353" s="18"/>
      <c r="O353" s="18"/>
      <c r="P353" s="18"/>
      <c r="Q353" s="784"/>
    </row>
    <row r="354" spans="2:17" x14ac:dyDescent="0.25">
      <c r="B354" s="783"/>
      <c r="C354" s="786" t="s">
        <v>1065</v>
      </c>
      <c r="D354" s="787"/>
      <c r="E354" s="788"/>
      <c r="F354" s="788"/>
      <c r="G354" s="321"/>
      <c r="H354" s="321"/>
      <c r="I354" s="322"/>
      <c r="J354" s="789" t="s">
        <v>1066</v>
      </c>
      <c r="K354" s="787"/>
      <c r="L354" s="1"/>
      <c r="M354" s="140"/>
      <c r="N354" s="140"/>
      <c r="O354" s="140"/>
      <c r="P354" s="277"/>
      <c r="Q354" s="784"/>
    </row>
    <row r="355" spans="2:17" x14ac:dyDescent="0.25">
      <c r="B355" s="783"/>
      <c r="C355" s="790" t="s">
        <v>1067</v>
      </c>
      <c r="D355" s="765"/>
      <c r="E355" s="317"/>
      <c r="F355" s="317"/>
      <c r="G355" s="38"/>
      <c r="H355" s="38"/>
      <c r="I355" s="809"/>
      <c r="J355" s="791" t="s">
        <v>1068</v>
      </c>
      <c r="K355" s="765"/>
      <c r="L355" s="4"/>
      <c r="M355" s="18"/>
      <c r="N355" s="18"/>
      <c r="O355" s="18"/>
      <c r="P355" s="505"/>
      <c r="Q355" s="784"/>
    </row>
    <row r="356" spans="2:17" x14ac:dyDescent="0.25">
      <c r="B356" s="783"/>
      <c r="C356" s="792" t="s">
        <v>397</v>
      </c>
      <c r="D356" s="793"/>
      <c r="E356" s="317"/>
      <c r="F356" s="317"/>
      <c r="G356" s="38"/>
      <c r="H356" s="3100">
        <f ca="1">+SUMIF($L$302:$P$335,C356,$H$302:$I$335)-SUMIF($L$302:$P$335,C356,$J$302:$K$335)</f>
        <v>723147</v>
      </c>
      <c r="I356" s="3101"/>
      <c r="J356" s="794" t="s">
        <v>404</v>
      </c>
      <c r="K356" s="793"/>
      <c r="L356" s="4"/>
      <c r="M356" s="18"/>
      <c r="N356" s="18"/>
      <c r="O356" s="3100">
        <f ca="1">-SUMIF($L$302:$P$335,J356,$H$302:$I$335)+SUMIF($L$302:$P$335,J356,$J$302:$K$335)</f>
        <v>44739</v>
      </c>
      <c r="P356" s="3101"/>
      <c r="Q356" s="784"/>
    </row>
    <row r="357" spans="2:17" x14ac:dyDescent="0.25">
      <c r="B357" s="783"/>
      <c r="C357" s="792" t="s">
        <v>1070</v>
      </c>
      <c r="D357" s="793"/>
      <c r="E357" s="317"/>
      <c r="F357" s="317"/>
      <c r="G357" s="38"/>
      <c r="H357" s="3100">
        <f ca="1">+SUMIF($L$302:$P$335,C357,$H$302:$I$335)-SUMIF($L$302:$P$335,C357,$J$302:$K$335)</f>
        <v>387400</v>
      </c>
      <c r="I357" s="3101"/>
      <c r="J357" s="794" t="s">
        <v>399</v>
      </c>
      <c r="K357" s="795"/>
      <c r="L357" s="4"/>
      <c r="M357" s="18"/>
      <c r="N357" s="18"/>
      <c r="O357" s="3100">
        <f t="shared" ref="O357:O358" ca="1" si="0">-SUMIF($L$302:$P$335,J357,$H$302:$I$335)+SUMIF($L$302:$P$335,J357,$J$302:$K$335)</f>
        <v>576997</v>
      </c>
      <c r="P357" s="3101"/>
      <c r="Q357" s="784"/>
    </row>
    <row r="358" spans="2:17" ht="17.25" x14ac:dyDescent="0.25">
      <c r="B358" s="783"/>
      <c r="C358" s="792" t="s">
        <v>423</v>
      </c>
      <c r="D358" s="793"/>
      <c r="E358" s="317"/>
      <c r="F358" s="317"/>
      <c r="G358" s="38"/>
      <c r="H358" s="3102">
        <f ca="1">+SUMIF($L$302:$P$335,C358,$H$302:$I$335)-SUMIF($L$302:$P$335,C358,$J$302:$K$335)</f>
        <v>812000</v>
      </c>
      <c r="I358" s="3103"/>
      <c r="J358" s="794" t="s">
        <v>406</v>
      </c>
      <c r="K358" s="795"/>
      <c r="L358" s="4"/>
      <c r="M358" s="18"/>
      <c r="N358" s="18"/>
      <c r="O358" s="3102">
        <f t="shared" ca="1" si="0"/>
        <v>608798</v>
      </c>
      <c r="P358" s="3103"/>
      <c r="Q358" s="784"/>
    </row>
    <row r="359" spans="2:17" x14ac:dyDescent="0.25">
      <c r="B359" s="783"/>
      <c r="C359" s="796" t="s">
        <v>1073</v>
      </c>
      <c r="D359" s="793"/>
      <c r="E359" s="317"/>
      <c r="F359" s="317"/>
      <c r="G359" s="38"/>
      <c r="H359" s="3097">
        <f ca="1">+SUM(H356:I358)</f>
        <v>1922547</v>
      </c>
      <c r="I359" s="3098"/>
      <c r="J359" s="791" t="s">
        <v>1072</v>
      </c>
      <c r="K359" s="765"/>
      <c r="L359" s="4"/>
      <c r="M359" s="18"/>
      <c r="N359" s="18"/>
      <c r="O359" s="3097">
        <f ca="1">+SUM(O356:P358)</f>
        <v>1230534</v>
      </c>
      <c r="P359" s="3098"/>
      <c r="Q359" s="784"/>
    </row>
    <row r="360" spans="2:17" ht="17.25" x14ac:dyDescent="0.25">
      <c r="B360" s="783"/>
      <c r="C360" s="796"/>
      <c r="D360" s="793"/>
      <c r="E360" s="317"/>
      <c r="F360" s="317"/>
      <c r="G360" s="38"/>
      <c r="H360" s="802"/>
      <c r="I360" s="810"/>
      <c r="J360" s="791"/>
      <c r="K360" s="765"/>
      <c r="L360" s="4"/>
      <c r="M360" s="18"/>
      <c r="N360" s="18"/>
      <c r="O360" s="811"/>
      <c r="P360" s="812"/>
      <c r="Q360" s="784"/>
    </row>
    <row r="361" spans="2:17" ht="17.25" x14ac:dyDescent="0.25">
      <c r="B361" s="783"/>
      <c r="C361" s="796"/>
      <c r="D361" s="793"/>
      <c r="E361" s="317"/>
      <c r="F361" s="317"/>
      <c r="G361" s="38"/>
      <c r="H361" s="802"/>
      <c r="I361" s="810"/>
      <c r="J361" s="791" t="s">
        <v>1068</v>
      </c>
      <c r="K361" s="765"/>
      <c r="L361" s="4"/>
      <c r="M361" s="18"/>
      <c r="N361" s="18"/>
      <c r="O361" s="811"/>
      <c r="P361" s="812"/>
      <c r="Q361" s="784"/>
    </row>
    <row r="362" spans="2:17" ht="17.25" x14ac:dyDescent="0.25">
      <c r="B362" s="783"/>
      <c r="C362" s="790" t="s">
        <v>1074</v>
      </c>
      <c r="G362" s="51"/>
      <c r="H362" s="51"/>
      <c r="I362" s="500"/>
      <c r="J362" s="794" t="s">
        <v>1147</v>
      </c>
      <c r="K362" s="4"/>
      <c r="L362" s="4"/>
      <c r="M362" s="4"/>
      <c r="N362" s="4"/>
      <c r="O362" s="3102">
        <f t="shared" ref="O362" ca="1" si="1">-SUMIF($L$302:$P$335,J362,$H$302:$I$335)+SUMIF($L$302:$P$335,J362,$J$302:$K$335)</f>
        <v>70395</v>
      </c>
      <c r="P362" s="3103"/>
      <c r="Q362" s="784"/>
    </row>
    <row r="363" spans="2:17" x14ac:dyDescent="0.25">
      <c r="B363" s="783"/>
      <c r="C363" s="792" t="s">
        <v>401</v>
      </c>
      <c r="D363" s="4"/>
      <c r="E363" s="4"/>
      <c r="F363" s="4"/>
      <c r="G363" s="4"/>
      <c r="H363" s="3100">
        <f ca="1">+SUMIF($L$302:$P$335,C363,$H$302:$I$335)-SUMIF($L$302:$P$335,C363,$J$302:$K$335)</f>
        <v>106200</v>
      </c>
      <c r="I363" s="3101"/>
      <c r="J363" s="791" t="s">
        <v>1162</v>
      </c>
      <c r="K363" s="4"/>
      <c r="L363" s="4"/>
      <c r="M363" s="4"/>
      <c r="N363" s="4"/>
      <c r="O363" s="3097">
        <f ca="1">+O362</f>
        <v>70395</v>
      </c>
      <c r="P363" s="3098"/>
      <c r="Q363" s="784"/>
    </row>
    <row r="364" spans="2:17" ht="17.25" x14ac:dyDescent="0.25">
      <c r="B364" s="783"/>
      <c r="C364" s="792" t="s">
        <v>794</v>
      </c>
      <c r="D364" s="765"/>
      <c r="E364" s="317"/>
      <c r="F364" s="317"/>
      <c r="G364" s="38"/>
      <c r="H364" s="3100">
        <f ca="1">+SUMIF($L$302:$P$335,C364,$H$302:$I$335)-SUMIF($L$302:$P$335,C364,$J$302:$K$335)</f>
        <v>287200</v>
      </c>
      <c r="I364" s="3101"/>
      <c r="J364" s="8"/>
      <c r="K364" s="4"/>
      <c r="L364" s="4"/>
      <c r="M364" s="4"/>
      <c r="N364" s="4"/>
      <c r="O364" s="3102" t="s">
        <v>655</v>
      </c>
      <c r="P364" s="3103"/>
      <c r="Q364" s="784"/>
    </row>
    <row r="365" spans="2:17" ht="17.25" x14ac:dyDescent="0.25">
      <c r="B365" s="783"/>
      <c r="C365" s="792" t="s">
        <v>681</v>
      </c>
      <c r="D365" s="793"/>
      <c r="E365" s="317"/>
      <c r="F365" s="317"/>
      <c r="G365" s="38"/>
      <c r="H365" s="3102">
        <f ca="1">+SUMIF($L$302:$P$335,C365,$H$302:$I$335)-SUMIF($L$302:$P$335,C365,$J$302:$K$335)</f>
        <v>260117</v>
      </c>
      <c r="I365" s="3103"/>
      <c r="J365" s="813" t="s">
        <v>450</v>
      </c>
      <c r="K365" s="808"/>
      <c r="L365" s="3"/>
      <c r="M365" s="22"/>
      <c r="N365" s="22"/>
      <c r="O365" s="3104">
        <f ca="1">+O359+O363</f>
        <v>1300929</v>
      </c>
      <c r="P365" s="3105"/>
      <c r="Q365" s="784"/>
    </row>
    <row r="366" spans="2:17" x14ac:dyDescent="0.25">
      <c r="B366" s="783"/>
      <c r="C366" s="796" t="s">
        <v>1077</v>
      </c>
      <c r="D366" s="793"/>
      <c r="E366" s="317"/>
      <c r="F366" s="317"/>
      <c r="G366" s="38"/>
      <c r="H366" s="3097">
        <f ca="1">+SUM(H363:I365)</f>
        <v>653517</v>
      </c>
      <c r="I366" s="3098"/>
      <c r="J366" s="789" t="s">
        <v>1075</v>
      </c>
      <c r="K366" s="1"/>
      <c r="L366" s="1"/>
      <c r="M366" s="1"/>
      <c r="N366" s="1"/>
      <c r="O366" s="1"/>
      <c r="P366" s="157"/>
      <c r="Q366" s="784"/>
    </row>
    <row r="367" spans="2:17" x14ac:dyDescent="0.25">
      <c r="B367" s="783"/>
      <c r="C367" s="8"/>
      <c r="D367" s="4"/>
      <c r="E367" s="4"/>
      <c r="F367" s="4"/>
      <c r="G367" s="4"/>
      <c r="H367" s="4"/>
      <c r="I367" s="500"/>
      <c r="J367" s="799" t="s">
        <v>1076</v>
      </c>
      <c r="K367" s="4"/>
      <c r="L367" s="4"/>
      <c r="M367" s="4"/>
      <c r="N367" s="4"/>
      <c r="O367" s="3097">
        <f ca="1">-SUMIF($L$302:$P$335,"PN",$H$302:$I$335)+SUMIF($L$302:$P$335,"PN",$J$302:$K$335)-SUMIF($L$302:$P$335,"RNA",$H$302:$I$335)+SUMIF($L$302:$P$335,"RNA",$J$302:$K$335)</f>
        <v>1275135</v>
      </c>
      <c r="P367" s="3098"/>
      <c r="Q367" s="784"/>
    </row>
    <row r="368" spans="2:17" x14ac:dyDescent="0.25">
      <c r="B368" s="783"/>
      <c r="C368" s="158"/>
      <c r="D368" s="3"/>
      <c r="E368" s="3"/>
      <c r="F368" s="3"/>
      <c r="G368" s="3"/>
      <c r="H368" s="3"/>
      <c r="I368" s="354"/>
      <c r="J368" s="8"/>
      <c r="K368" s="765"/>
      <c r="L368" s="4"/>
      <c r="M368" s="18"/>
      <c r="N368" s="18"/>
      <c r="O368" s="3100"/>
      <c r="P368" s="3101"/>
      <c r="Q368" s="784"/>
    </row>
    <row r="369" spans="2:17" x14ac:dyDescent="0.25">
      <c r="B369" s="783"/>
      <c r="C369" s="800" t="s">
        <v>427</v>
      </c>
      <c r="D369" s="37"/>
      <c r="E369" s="37"/>
      <c r="F369" s="37"/>
      <c r="G369" s="198"/>
      <c r="H369" s="3099">
        <f ca="1">+H366+H359</f>
        <v>2576064</v>
      </c>
      <c r="I369" s="3099"/>
      <c r="J369" s="766" t="s">
        <v>1078</v>
      </c>
      <c r="K369" s="5"/>
      <c r="L369" s="5"/>
      <c r="M369" s="25"/>
      <c r="N369" s="25"/>
      <c r="O369" s="3099">
        <f ca="1">+O367+O365</f>
        <v>2576064</v>
      </c>
      <c r="P369" s="2332"/>
      <c r="Q369" s="784"/>
    </row>
    <row r="370" spans="2:17" ht="15.75" thickBot="1" x14ac:dyDescent="0.3">
      <c r="B370" s="804"/>
      <c r="C370" s="524"/>
      <c r="D370" s="524"/>
      <c r="E370" s="524"/>
      <c r="F370" s="524"/>
      <c r="G370" s="776"/>
      <c r="H370" s="776"/>
      <c r="I370" s="527"/>
      <c r="J370" s="527"/>
      <c r="K370" s="527"/>
      <c r="L370" s="527"/>
      <c r="M370" s="528"/>
      <c r="N370" s="528"/>
      <c r="O370" s="528"/>
      <c r="P370" s="528"/>
      <c r="Q370" s="805"/>
    </row>
    <row r="371" spans="2:17" ht="15.75" thickTop="1" x14ac:dyDescent="0.25"/>
    <row r="394" spans="1:17" s="4" customFormat="1" x14ac:dyDescent="0.25">
      <c r="B394" s="189"/>
      <c r="C394" s="12"/>
      <c r="D394" s="12"/>
      <c r="E394" s="12"/>
      <c r="F394" s="12"/>
      <c r="G394" s="51"/>
      <c r="H394" s="51"/>
      <c r="M394" s="18"/>
      <c r="N394" s="18"/>
      <c r="O394" s="18"/>
      <c r="P394" s="18"/>
    </row>
    <row r="395" spans="1:17" x14ac:dyDescent="0.25">
      <c r="A395" s="2274" t="s">
        <v>1163</v>
      </c>
      <c r="B395" s="3155"/>
      <c r="C395" s="3155"/>
      <c r="D395" s="3155"/>
      <c r="E395" s="3155"/>
      <c r="F395" s="3155"/>
      <c r="G395" s="3155"/>
      <c r="H395" s="3155"/>
      <c r="I395" s="3155"/>
      <c r="J395" s="3155"/>
      <c r="K395" s="3155"/>
      <c r="L395" s="3155"/>
      <c r="M395" s="3155"/>
      <c r="N395" s="3155"/>
      <c r="O395" s="3155"/>
      <c r="P395" s="3155"/>
      <c r="Q395" s="2246"/>
    </row>
    <row r="396" spans="1:17" x14ac:dyDescent="0.25">
      <c r="A396" s="3050"/>
      <c r="B396" s="3050"/>
      <c r="C396" s="3050"/>
      <c r="D396" s="3050"/>
      <c r="E396" s="3050"/>
      <c r="F396" s="3050"/>
      <c r="G396" s="3050"/>
      <c r="H396" s="3050"/>
      <c r="I396" s="3050"/>
      <c r="J396" s="3050"/>
      <c r="K396" s="3050"/>
      <c r="L396" s="3050"/>
      <c r="M396" s="3050"/>
      <c r="N396" s="3050"/>
      <c r="O396" s="3050"/>
      <c r="P396" s="3050"/>
      <c r="Q396" s="3050"/>
    </row>
    <row r="397" spans="1:17" ht="24.75" customHeight="1" x14ac:dyDescent="0.25">
      <c r="C397" s="3141" t="s">
        <v>1046</v>
      </c>
      <c r="D397" s="3142"/>
      <c r="E397" s="3142"/>
      <c r="F397" s="3142"/>
      <c r="G397" s="3143"/>
      <c r="H397" s="3141" t="s">
        <v>1164</v>
      </c>
      <c r="I397" s="3143"/>
      <c r="J397" s="3141" t="s">
        <v>1165</v>
      </c>
      <c r="K397" s="3143"/>
      <c r="L397" s="3144" t="s">
        <v>394</v>
      </c>
      <c r="M397" s="3145"/>
      <c r="N397" s="3145"/>
      <c r="O397" s="3145"/>
      <c r="P397" s="3146"/>
    </row>
    <row r="398" spans="1:17" s="815" customFormat="1" ht="12.75" x14ac:dyDescent="0.2">
      <c r="B398" s="814"/>
      <c r="C398" s="3149" t="s">
        <v>1166</v>
      </c>
      <c r="D398" s="3150"/>
      <c r="E398" s="3150"/>
      <c r="F398" s="3150"/>
      <c r="G398" s="3151"/>
      <c r="H398" s="3128">
        <v>0</v>
      </c>
      <c r="I398" s="3129"/>
      <c r="J398" s="3128">
        <v>355550</v>
      </c>
      <c r="K398" s="3129"/>
      <c r="L398" s="3130" t="s">
        <v>1047</v>
      </c>
      <c r="M398" s="3131"/>
      <c r="N398" s="3131"/>
      <c r="O398" s="3131"/>
      <c r="P398" s="3132"/>
    </row>
    <row r="399" spans="1:17" s="815" customFormat="1" ht="12.75" x14ac:dyDescent="0.2">
      <c r="B399" s="814"/>
      <c r="C399" s="3149" t="s">
        <v>1167</v>
      </c>
      <c r="D399" s="3150"/>
      <c r="E399" s="3150"/>
      <c r="F399" s="3150"/>
      <c r="G399" s="3151"/>
      <c r="H399" s="3128">
        <v>0</v>
      </c>
      <c r="I399" s="3129"/>
      <c r="J399" s="3128">
        <v>23140</v>
      </c>
      <c r="K399" s="3129"/>
      <c r="L399" s="3130" t="s">
        <v>1168</v>
      </c>
      <c r="M399" s="3131"/>
      <c r="N399" s="3131"/>
      <c r="O399" s="3131"/>
      <c r="P399" s="3132"/>
    </row>
    <row r="400" spans="1:17" s="815" customFormat="1" ht="12.75" x14ac:dyDescent="0.2">
      <c r="B400" s="814"/>
      <c r="C400" s="3149" t="s">
        <v>1110</v>
      </c>
      <c r="D400" s="3150"/>
      <c r="E400" s="3150"/>
      <c r="F400" s="3150"/>
      <c r="G400" s="3151"/>
      <c r="H400" s="3128">
        <v>0</v>
      </c>
      <c r="I400" s="3129"/>
      <c r="J400" s="3128">
        <v>11700</v>
      </c>
      <c r="K400" s="3129"/>
      <c r="L400" s="3130" t="s">
        <v>401</v>
      </c>
      <c r="M400" s="3131"/>
      <c r="N400" s="3131"/>
      <c r="O400" s="3131"/>
      <c r="P400" s="3132"/>
    </row>
    <row r="401" spans="2:16" s="815" customFormat="1" ht="12.75" x14ac:dyDescent="0.2">
      <c r="B401" s="814"/>
      <c r="C401" s="3149" t="s">
        <v>1169</v>
      </c>
      <c r="D401" s="3150"/>
      <c r="E401" s="3150"/>
      <c r="F401" s="3150"/>
      <c r="G401" s="3151"/>
      <c r="H401" s="3128">
        <v>0</v>
      </c>
      <c r="I401" s="3129"/>
      <c r="J401" s="3128">
        <v>4875</v>
      </c>
      <c r="K401" s="3129"/>
      <c r="L401" s="3130" t="s">
        <v>794</v>
      </c>
      <c r="M401" s="3131"/>
      <c r="N401" s="3131"/>
      <c r="O401" s="3131"/>
      <c r="P401" s="3132"/>
    </row>
    <row r="402" spans="2:16" s="815" customFormat="1" ht="12.75" x14ac:dyDescent="0.2">
      <c r="B402" s="814"/>
      <c r="C402" s="3149" t="s">
        <v>1170</v>
      </c>
      <c r="D402" s="3150"/>
      <c r="E402" s="3150"/>
      <c r="F402" s="3150"/>
      <c r="G402" s="3151"/>
      <c r="H402" s="3128">
        <v>0</v>
      </c>
      <c r="I402" s="3129"/>
      <c r="J402" s="3128">
        <v>15600</v>
      </c>
      <c r="K402" s="3129"/>
      <c r="L402" s="3130" t="s">
        <v>401</v>
      </c>
      <c r="M402" s="3131"/>
      <c r="N402" s="3131"/>
      <c r="O402" s="3131"/>
      <c r="P402" s="3132"/>
    </row>
    <row r="403" spans="2:16" s="815" customFormat="1" ht="12.75" x14ac:dyDescent="0.2">
      <c r="B403" s="814"/>
      <c r="C403" s="3149" t="s">
        <v>1113</v>
      </c>
      <c r="D403" s="3150"/>
      <c r="E403" s="3150"/>
      <c r="F403" s="3150"/>
      <c r="G403" s="3151"/>
      <c r="H403" s="3128">
        <v>9750</v>
      </c>
      <c r="I403" s="3129"/>
      <c r="J403" s="3128">
        <v>0</v>
      </c>
      <c r="K403" s="3129"/>
      <c r="L403" s="3130" t="s">
        <v>415</v>
      </c>
      <c r="M403" s="3131"/>
      <c r="N403" s="3131"/>
      <c r="O403" s="3131"/>
      <c r="P403" s="3132"/>
    </row>
    <row r="404" spans="2:16" s="815" customFormat="1" ht="12.75" x14ac:dyDescent="0.2">
      <c r="B404" s="814"/>
      <c r="C404" s="3149" t="s">
        <v>1171</v>
      </c>
      <c r="D404" s="3150"/>
      <c r="E404" s="3150"/>
      <c r="F404" s="3150"/>
      <c r="G404" s="3151"/>
      <c r="H404" s="3128">
        <v>1332.5</v>
      </c>
      <c r="I404" s="3129"/>
      <c r="J404" s="3128">
        <v>0</v>
      </c>
      <c r="K404" s="3129"/>
      <c r="L404" s="3130" t="s">
        <v>417</v>
      </c>
      <c r="M404" s="3131"/>
      <c r="N404" s="3131"/>
      <c r="O404" s="3131"/>
      <c r="P404" s="3132"/>
    </row>
    <row r="405" spans="2:16" s="815" customFormat="1" ht="12.75" x14ac:dyDescent="0.2">
      <c r="B405" s="814"/>
      <c r="C405" s="3149" t="s">
        <v>1172</v>
      </c>
      <c r="D405" s="3150"/>
      <c r="E405" s="3150"/>
      <c r="F405" s="3150"/>
      <c r="G405" s="3151"/>
      <c r="H405" s="3128">
        <v>7800</v>
      </c>
      <c r="I405" s="3129"/>
      <c r="J405" s="3128">
        <v>0</v>
      </c>
      <c r="K405" s="3129"/>
      <c r="L405" s="3130" t="s">
        <v>417</v>
      </c>
      <c r="M405" s="3131"/>
      <c r="N405" s="3131"/>
      <c r="O405" s="3131"/>
      <c r="P405" s="3132"/>
    </row>
    <row r="406" spans="2:16" s="815" customFormat="1" ht="12.75" x14ac:dyDescent="0.2">
      <c r="B406" s="814"/>
      <c r="C406" s="3149" t="s">
        <v>1173</v>
      </c>
      <c r="D406" s="3150"/>
      <c r="E406" s="3150"/>
      <c r="F406" s="3150"/>
      <c r="G406" s="3151"/>
      <c r="H406" s="3128">
        <v>0</v>
      </c>
      <c r="I406" s="3129"/>
      <c r="J406" s="3128">
        <v>14625</v>
      </c>
      <c r="K406" s="3129"/>
      <c r="L406" s="3130" t="s">
        <v>404</v>
      </c>
      <c r="M406" s="3131"/>
      <c r="N406" s="3131"/>
      <c r="O406" s="3131"/>
      <c r="P406" s="3132"/>
    </row>
    <row r="407" spans="2:16" s="815" customFormat="1" ht="12.75" x14ac:dyDescent="0.2">
      <c r="B407" s="814"/>
      <c r="C407" s="3149" t="s">
        <v>1174</v>
      </c>
      <c r="D407" s="3150"/>
      <c r="E407" s="3150"/>
      <c r="F407" s="3150"/>
      <c r="G407" s="3151"/>
      <c r="H407" s="3128">
        <v>3640</v>
      </c>
      <c r="I407" s="3129"/>
      <c r="J407" s="3128">
        <v>0</v>
      </c>
      <c r="K407" s="3129"/>
      <c r="L407" s="3130" t="s">
        <v>423</v>
      </c>
      <c r="M407" s="3131"/>
      <c r="N407" s="3131"/>
      <c r="O407" s="3131"/>
      <c r="P407" s="3132"/>
    </row>
    <row r="408" spans="2:16" s="815" customFormat="1" ht="12.75" x14ac:dyDescent="0.2">
      <c r="B408" s="814"/>
      <c r="C408" s="3149" t="s">
        <v>1175</v>
      </c>
      <c r="D408" s="3150"/>
      <c r="E408" s="3150"/>
      <c r="F408" s="3150"/>
      <c r="G408" s="3151"/>
      <c r="H408" s="3128">
        <v>44525</v>
      </c>
      <c r="I408" s="3129"/>
      <c r="J408" s="3128">
        <v>0</v>
      </c>
      <c r="K408" s="3129"/>
      <c r="L408" s="3130" t="s">
        <v>397</v>
      </c>
      <c r="M408" s="3131"/>
      <c r="N408" s="3131"/>
      <c r="O408" s="3131"/>
      <c r="P408" s="3132"/>
    </row>
    <row r="409" spans="2:16" s="815" customFormat="1" ht="12.75" x14ac:dyDescent="0.2">
      <c r="B409" s="814"/>
      <c r="C409" s="3149" t="s">
        <v>1176</v>
      </c>
      <c r="D409" s="3150"/>
      <c r="E409" s="3150"/>
      <c r="F409" s="3150"/>
      <c r="G409" s="3151"/>
      <c r="H409" s="3128">
        <v>3575</v>
      </c>
      <c r="I409" s="3129"/>
      <c r="J409" s="3128">
        <v>0</v>
      </c>
      <c r="K409" s="3129"/>
      <c r="L409" s="3130" t="s">
        <v>1055</v>
      </c>
      <c r="M409" s="3131"/>
      <c r="N409" s="3131"/>
      <c r="O409" s="3131"/>
      <c r="P409" s="3132"/>
    </row>
    <row r="410" spans="2:16" s="815" customFormat="1" ht="12.75" x14ac:dyDescent="0.2">
      <c r="B410" s="814"/>
      <c r="C410" s="3149" t="s">
        <v>1177</v>
      </c>
      <c r="D410" s="3150"/>
      <c r="E410" s="3150"/>
      <c r="F410" s="3150"/>
      <c r="G410" s="3151"/>
      <c r="H410" s="3128">
        <v>6370</v>
      </c>
      <c r="I410" s="3129"/>
      <c r="J410" s="3128">
        <v>0</v>
      </c>
      <c r="K410" s="3129"/>
      <c r="L410" s="3130" t="s">
        <v>397</v>
      </c>
      <c r="M410" s="3131"/>
      <c r="N410" s="3131"/>
      <c r="O410" s="3131"/>
      <c r="P410" s="3132"/>
    </row>
    <row r="411" spans="2:16" s="815" customFormat="1" ht="12.75" x14ac:dyDescent="0.2">
      <c r="B411" s="814"/>
      <c r="C411" s="3149" t="s">
        <v>1086</v>
      </c>
      <c r="D411" s="3150"/>
      <c r="E411" s="3150"/>
      <c r="F411" s="3150"/>
      <c r="G411" s="3151"/>
      <c r="H411" s="3128">
        <v>7475</v>
      </c>
      <c r="I411" s="3129"/>
      <c r="J411" s="3128">
        <v>0</v>
      </c>
      <c r="K411" s="3129"/>
      <c r="L411" s="3130" t="s">
        <v>415</v>
      </c>
      <c r="M411" s="3131"/>
      <c r="N411" s="3131"/>
      <c r="O411" s="3131"/>
      <c r="P411" s="3132"/>
    </row>
    <row r="412" spans="2:16" s="815" customFormat="1" ht="12.75" x14ac:dyDescent="0.2">
      <c r="B412" s="814"/>
      <c r="C412" s="3149" t="s">
        <v>1178</v>
      </c>
      <c r="D412" s="3150"/>
      <c r="E412" s="3150"/>
      <c r="F412" s="3150"/>
      <c r="G412" s="3151"/>
      <c r="H412" s="3128">
        <v>0</v>
      </c>
      <c r="I412" s="3129"/>
      <c r="J412" s="3128">
        <v>10725</v>
      </c>
      <c r="K412" s="3129"/>
      <c r="L412" s="3130" t="s">
        <v>399</v>
      </c>
      <c r="M412" s="3131"/>
      <c r="N412" s="3131"/>
      <c r="O412" s="3131"/>
      <c r="P412" s="3132"/>
    </row>
    <row r="413" spans="2:16" s="815" customFormat="1" ht="12.75" x14ac:dyDescent="0.2">
      <c r="B413" s="814"/>
      <c r="C413" s="3149" t="s">
        <v>1179</v>
      </c>
      <c r="D413" s="3150"/>
      <c r="E413" s="3150"/>
      <c r="F413" s="3150"/>
      <c r="G413" s="3151"/>
      <c r="H413" s="3128">
        <v>48522.5</v>
      </c>
      <c r="I413" s="3129"/>
      <c r="J413" s="3128">
        <v>0</v>
      </c>
      <c r="K413" s="3129"/>
      <c r="L413" s="3130" t="s">
        <v>400</v>
      </c>
      <c r="M413" s="3131"/>
      <c r="N413" s="3131"/>
      <c r="O413" s="3131"/>
      <c r="P413" s="3132"/>
    </row>
    <row r="414" spans="2:16" s="815" customFormat="1" ht="12.75" x14ac:dyDescent="0.2">
      <c r="B414" s="814"/>
      <c r="C414" s="3149" t="s">
        <v>292</v>
      </c>
      <c r="D414" s="3150"/>
      <c r="E414" s="3150"/>
      <c r="F414" s="3150"/>
      <c r="G414" s="3151"/>
      <c r="H414" s="3128">
        <v>47580</v>
      </c>
      <c r="I414" s="3129"/>
      <c r="J414" s="3128">
        <v>0</v>
      </c>
      <c r="K414" s="3129"/>
      <c r="L414" s="3130" t="s">
        <v>403</v>
      </c>
      <c r="M414" s="3131"/>
      <c r="N414" s="3131"/>
      <c r="O414" s="3131"/>
      <c r="P414" s="3132"/>
    </row>
    <row r="415" spans="2:16" s="815" customFormat="1" ht="12.75" x14ac:dyDescent="0.2">
      <c r="B415" s="814"/>
      <c r="C415" s="3149" t="s">
        <v>1180</v>
      </c>
      <c r="D415" s="3150"/>
      <c r="E415" s="3150"/>
      <c r="F415" s="3150"/>
      <c r="G415" s="3151"/>
      <c r="H415" s="3128">
        <v>3900</v>
      </c>
      <c r="I415" s="3129"/>
      <c r="J415" s="3128">
        <v>0</v>
      </c>
      <c r="K415" s="3129"/>
      <c r="L415" s="3130" t="s">
        <v>1055</v>
      </c>
      <c r="M415" s="3131"/>
      <c r="N415" s="3131"/>
      <c r="O415" s="3131"/>
      <c r="P415" s="3132"/>
    </row>
    <row r="416" spans="2:16" s="815" customFormat="1" ht="12.75" x14ac:dyDescent="0.2">
      <c r="B416" s="814"/>
      <c r="C416" s="3149" t="s">
        <v>1181</v>
      </c>
      <c r="D416" s="3150"/>
      <c r="E416" s="3150"/>
      <c r="F416" s="3150"/>
      <c r="G416" s="3151"/>
      <c r="H416" s="3128">
        <v>0</v>
      </c>
      <c r="I416" s="3129"/>
      <c r="J416" s="3128">
        <v>3900</v>
      </c>
      <c r="K416" s="3129"/>
      <c r="L416" s="3130" t="s">
        <v>1056</v>
      </c>
      <c r="M416" s="3131"/>
      <c r="N416" s="3131"/>
      <c r="O416" s="3131"/>
      <c r="P416" s="3132"/>
    </row>
    <row r="417" spans="2:16" s="815" customFormat="1" ht="12.75" x14ac:dyDescent="0.2">
      <c r="B417" s="814"/>
      <c r="C417" s="3149" t="s">
        <v>1182</v>
      </c>
      <c r="D417" s="3150"/>
      <c r="E417" s="3150"/>
      <c r="F417" s="3150"/>
      <c r="G417" s="3151"/>
      <c r="H417" s="3128">
        <v>0</v>
      </c>
      <c r="I417" s="3129"/>
      <c r="J417" s="3128">
        <v>2925</v>
      </c>
      <c r="K417" s="3129"/>
      <c r="L417" s="3130" t="s">
        <v>1183</v>
      </c>
      <c r="M417" s="3131"/>
      <c r="N417" s="3131"/>
      <c r="O417" s="3131"/>
      <c r="P417" s="3132"/>
    </row>
    <row r="418" spans="2:16" s="815" customFormat="1" ht="12.75" x14ac:dyDescent="0.2">
      <c r="B418" s="814"/>
      <c r="C418" s="3149" t="s">
        <v>1184</v>
      </c>
      <c r="D418" s="3150"/>
      <c r="E418" s="3150"/>
      <c r="F418" s="3150"/>
      <c r="G418" s="3151"/>
      <c r="H418" s="3128">
        <v>13650</v>
      </c>
      <c r="I418" s="3129"/>
      <c r="J418" s="3128">
        <v>0</v>
      </c>
      <c r="K418" s="3129"/>
      <c r="L418" s="3130" t="s">
        <v>403</v>
      </c>
      <c r="M418" s="3131"/>
      <c r="N418" s="3131"/>
      <c r="O418" s="3131"/>
      <c r="P418" s="3132"/>
    </row>
    <row r="419" spans="2:16" s="815" customFormat="1" ht="12.75" x14ac:dyDescent="0.2">
      <c r="B419" s="814"/>
      <c r="C419" s="3149" t="s">
        <v>1185</v>
      </c>
      <c r="D419" s="3150"/>
      <c r="E419" s="3150"/>
      <c r="F419" s="3150"/>
      <c r="G419" s="3151"/>
      <c r="H419" s="3128">
        <v>0</v>
      </c>
      <c r="I419" s="3129"/>
      <c r="J419" s="3128">
        <v>20800</v>
      </c>
      <c r="K419" s="3129"/>
      <c r="L419" s="3130" t="s">
        <v>404</v>
      </c>
      <c r="M419" s="3131"/>
      <c r="N419" s="3131"/>
      <c r="O419" s="3131"/>
      <c r="P419" s="3132"/>
    </row>
    <row r="420" spans="2:16" s="815" customFormat="1" ht="12.75" x14ac:dyDescent="0.2">
      <c r="B420" s="814"/>
      <c r="C420" s="3149" t="s">
        <v>405</v>
      </c>
      <c r="D420" s="3150"/>
      <c r="E420" s="3150"/>
      <c r="F420" s="3150"/>
      <c r="G420" s="3151"/>
      <c r="H420" s="3128">
        <v>650000</v>
      </c>
      <c r="I420" s="3129"/>
      <c r="J420" s="3128">
        <v>0</v>
      </c>
      <c r="K420" s="3129"/>
      <c r="L420" s="3130" t="s">
        <v>401</v>
      </c>
      <c r="M420" s="3131"/>
      <c r="N420" s="3131"/>
      <c r="O420" s="3131"/>
      <c r="P420" s="3132"/>
    </row>
    <row r="421" spans="2:16" s="815" customFormat="1" ht="12.75" x14ac:dyDescent="0.2">
      <c r="B421" s="814"/>
      <c r="C421" s="3149" t="s">
        <v>1186</v>
      </c>
      <c r="D421" s="3150"/>
      <c r="E421" s="3150"/>
      <c r="F421" s="3150"/>
      <c r="G421" s="3151"/>
      <c r="H421" s="3128">
        <v>11700</v>
      </c>
      <c r="I421" s="3129"/>
      <c r="J421" s="3128">
        <v>0</v>
      </c>
      <c r="K421" s="3129"/>
      <c r="L421" s="3130" t="s">
        <v>397</v>
      </c>
      <c r="M421" s="3131"/>
      <c r="N421" s="3131"/>
      <c r="O421" s="3131"/>
      <c r="P421" s="3132"/>
    </row>
    <row r="422" spans="2:16" s="815" customFormat="1" ht="12.75" x14ac:dyDescent="0.2">
      <c r="B422" s="814"/>
      <c r="C422" s="3149" t="s">
        <v>1187</v>
      </c>
      <c r="D422" s="3150"/>
      <c r="E422" s="3150"/>
      <c r="F422" s="3150"/>
      <c r="G422" s="3151"/>
      <c r="H422" s="3128">
        <v>172250</v>
      </c>
      <c r="I422" s="3129"/>
      <c r="J422" s="3128">
        <v>0</v>
      </c>
      <c r="K422" s="3129"/>
      <c r="L422" s="3130" t="s">
        <v>794</v>
      </c>
      <c r="M422" s="3131"/>
      <c r="N422" s="3131"/>
      <c r="O422" s="3131"/>
      <c r="P422" s="3132"/>
    </row>
    <row r="423" spans="2:16" s="815" customFormat="1" ht="12.75" x14ac:dyDescent="0.2">
      <c r="B423" s="814"/>
      <c r="C423" s="3149" t="s">
        <v>1188</v>
      </c>
      <c r="D423" s="3150"/>
      <c r="E423" s="3150"/>
      <c r="F423" s="3150"/>
      <c r="G423" s="3151"/>
      <c r="H423" s="3128">
        <v>11700</v>
      </c>
      <c r="I423" s="3129"/>
      <c r="J423" s="3128">
        <v>0</v>
      </c>
      <c r="K423" s="3129"/>
      <c r="L423" s="3130" t="s">
        <v>415</v>
      </c>
      <c r="M423" s="3131"/>
      <c r="N423" s="3131"/>
      <c r="O423" s="3131"/>
      <c r="P423" s="3132"/>
    </row>
    <row r="424" spans="2:16" s="815" customFormat="1" ht="12.75" x14ac:dyDescent="0.2">
      <c r="B424" s="814"/>
      <c r="C424" s="3149" t="s">
        <v>1125</v>
      </c>
      <c r="D424" s="3150"/>
      <c r="E424" s="3150"/>
      <c r="F424" s="3150"/>
      <c r="G424" s="3151"/>
      <c r="H424" s="3128">
        <v>1462.5</v>
      </c>
      <c r="I424" s="3129"/>
      <c r="J424" s="3128">
        <v>0</v>
      </c>
      <c r="K424" s="3129"/>
      <c r="L424" s="3130" t="s">
        <v>415</v>
      </c>
      <c r="M424" s="3131"/>
      <c r="N424" s="3131"/>
      <c r="O424" s="3131"/>
      <c r="P424" s="3132"/>
    </row>
    <row r="425" spans="2:16" s="815" customFormat="1" ht="12.75" x14ac:dyDescent="0.2">
      <c r="B425" s="814"/>
      <c r="C425" s="3149" t="s">
        <v>1189</v>
      </c>
      <c r="D425" s="3150"/>
      <c r="E425" s="3150"/>
      <c r="F425" s="3150"/>
      <c r="G425" s="3151"/>
      <c r="H425" s="3128">
        <v>5785</v>
      </c>
      <c r="I425" s="3129"/>
      <c r="J425" s="3128">
        <v>0</v>
      </c>
      <c r="K425" s="3129"/>
      <c r="L425" s="3130" t="s">
        <v>415</v>
      </c>
      <c r="M425" s="3131"/>
      <c r="N425" s="3131"/>
      <c r="O425" s="3131"/>
      <c r="P425" s="3132"/>
    </row>
    <row r="426" spans="2:16" s="815" customFormat="1" ht="12.75" x14ac:dyDescent="0.2">
      <c r="B426" s="814"/>
      <c r="C426" s="3149" t="s">
        <v>1127</v>
      </c>
      <c r="D426" s="3150"/>
      <c r="E426" s="3150"/>
      <c r="F426" s="3150"/>
      <c r="G426" s="3151"/>
      <c r="H426" s="3128">
        <v>3055</v>
      </c>
      <c r="I426" s="3129"/>
      <c r="J426" s="3128">
        <v>0</v>
      </c>
      <c r="K426" s="3129"/>
      <c r="L426" s="3130" t="s">
        <v>415</v>
      </c>
      <c r="M426" s="3131"/>
      <c r="N426" s="3131"/>
      <c r="O426" s="3131"/>
      <c r="P426" s="3132"/>
    </row>
    <row r="427" spans="2:16" s="815" customFormat="1" ht="12.75" x14ac:dyDescent="0.2">
      <c r="B427" s="814"/>
      <c r="C427" s="3149" t="s">
        <v>1190</v>
      </c>
      <c r="D427" s="3150"/>
      <c r="E427" s="3150"/>
      <c r="F427" s="3150"/>
      <c r="G427" s="3151"/>
      <c r="H427" s="3128">
        <v>0</v>
      </c>
      <c r="I427" s="3129"/>
      <c r="J427" s="3128">
        <v>877.5</v>
      </c>
      <c r="K427" s="3129"/>
      <c r="L427" s="3130" t="s">
        <v>1085</v>
      </c>
      <c r="M427" s="3131"/>
      <c r="N427" s="3131"/>
      <c r="O427" s="3131"/>
      <c r="P427" s="3132"/>
    </row>
    <row r="428" spans="2:16" s="815" customFormat="1" ht="12.75" x14ac:dyDescent="0.2">
      <c r="B428" s="814"/>
      <c r="C428" s="3149" t="s">
        <v>1191</v>
      </c>
      <c r="D428" s="3150"/>
      <c r="E428" s="3150"/>
      <c r="F428" s="3150"/>
      <c r="G428" s="3151"/>
      <c r="H428" s="3128">
        <v>16770</v>
      </c>
      <c r="I428" s="3129"/>
      <c r="J428" s="3128">
        <v>0</v>
      </c>
      <c r="K428" s="3129"/>
      <c r="L428" s="3130" t="s">
        <v>406</v>
      </c>
      <c r="M428" s="3131"/>
      <c r="N428" s="3131"/>
      <c r="O428" s="3131"/>
      <c r="P428" s="3132"/>
    </row>
    <row r="429" spans="2:16" s="815" customFormat="1" ht="12.75" x14ac:dyDescent="0.2">
      <c r="B429" s="814"/>
      <c r="C429" s="3149" t="s">
        <v>1192</v>
      </c>
      <c r="D429" s="3150"/>
      <c r="E429" s="3150"/>
      <c r="F429" s="3150"/>
      <c r="G429" s="3151"/>
      <c r="H429" s="3128">
        <v>2275</v>
      </c>
      <c r="I429" s="3129"/>
      <c r="J429" s="3128">
        <v>0</v>
      </c>
      <c r="K429" s="3129"/>
      <c r="L429" s="3130" t="s">
        <v>1056</v>
      </c>
      <c r="M429" s="3131"/>
      <c r="N429" s="3131"/>
      <c r="O429" s="3131"/>
      <c r="P429" s="3132"/>
    </row>
    <row r="430" spans="2:16" s="815" customFormat="1" ht="12.75" x14ac:dyDescent="0.2">
      <c r="B430" s="814"/>
      <c r="C430" s="3149" t="s">
        <v>1193</v>
      </c>
      <c r="D430" s="3150"/>
      <c r="E430" s="3150"/>
      <c r="F430" s="3150"/>
      <c r="G430" s="3151"/>
      <c r="H430" s="3128">
        <v>0</v>
      </c>
      <c r="I430" s="3129"/>
      <c r="J430" s="3128">
        <v>14300</v>
      </c>
      <c r="K430" s="3129"/>
      <c r="L430" s="3130" t="s">
        <v>1056</v>
      </c>
      <c r="M430" s="3131"/>
      <c r="N430" s="3131"/>
      <c r="O430" s="3131"/>
      <c r="P430" s="3132"/>
    </row>
    <row r="431" spans="2:16" s="815" customFormat="1" ht="12.75" x14ac:dyDescent="0.2">
      <c r="B431" s="814"/>
      <c r="C431" s="3149" t="s">
        <v>1194</v>
      </c>
      <c r="D431" s="3150"/>
      <c r="E431" s="3150"/>
      <c r="F431" s="3150"/>
      <c r="G431" s="3151"/>
      <c r="H431" s="3128">
        <v>10400</v>
      </c>
      <c r="I431" s="3129"/>
      <c r="J431" s="3128">
        <v>0</v>
      </c>
      <c r="K431" s="3129"/>
      <c r="L431" s="3130" t="s">
        <v>681</v>
      </c>
      <c r="M431" s="3131"/>
      <c r="N431" s="3131"/>
      <c r="O431" s="3131"/>
      <c r="P431" s="3132"/>
    </row>
    <row r="432" spans="2:16" s="815" customFormat="1" ht="12.75" x14ac:dyDescent="0.2">
      <c r="B432" s="814"/>
      <c r="C432" s="3149" t="s">
        <v>1195</v>
      </c>
      <c r="D432" s="3150"/>
      <c r="E432" s="3150"/>
      <c r="F432" s="3150"/>
      <c r="G432" s="3151"/>
      <c r="H432" s="3128">
        <v>0</v>
      </c>
      <c r="I432" s="3129"/>
      <c r="J432" s="3128">
        <v>5525</v>
      </c>
      <c r="K432" s="3129"/>
      <c r="L432" s="3130" t="s">
        <v>399</v>
      </c>
      <c r="M432" s="3131"/>
      <c r="N432" s="3131"/>
      <c r="O432" s="3131"/>
      <c r="P432" s="3132"/>
    </row>
    <row r="433" spans="2:16" s="815" customFormat="1" ht="12.75" x14ac:dyDescent="0.2">
      <c r="B433" s="814"/>
      <c r="C433" s="3149" t="s">
        <v>1196</v>
      </c>
      <c r="D433" s="3150"/>
      <c r="E433" s="3150"/>
      <c r="F433" s="3150"/>
      <c r="G433" s="3151"/>
      <c r="H433" s="3128">
        <v>7865</v>
      </c>
      <c r="I433" s="3129"/>
      <c r="J433" s="3128">
        <v>0</v>
      </c>
      <c r="K433" s="3129"/>
      <c r="L433" s="3130" t="s">
        <v>415</v>
      </c>
      <c r="M433" s="3131"/>
      <c r="N433" s="3131"/>
      <c r="O433" s="3131"/>
      <c r="P433" s="3132"/>
    </row>
    <row r="434" spans="2:16" s="815" customFormat="1" ht="12.75" x14ac:dyDescent="0.2">
      <c r="B434" s="814"/>
      <c r="C434" s="3149" t="s">
        <v>5</v>
      </c>
      <c r="D434" s="3150"/>
      <c r="E434" s="3150"/>
      <c r="F434" s="3150"/>
      <c r="G434" s="3151"/>
      <c r="H434" s="3128">
        <v>37700</v>
      </c>
      <c r="I434" s="3129"/>
      <c r="J434" s="3128">
        <v>0</v>
      </c>
      <c r="K434" s="3129"/>
      <c r="L434" s="3130" t="s">
        <v>423</v>
      </c>
      <c r="M434" s="3131"/>
      <c r="N434" s="3131"/>
      <c r="O434" s="3131"/>
      <c r="P434" s="3132"/>
    </row>
    <row r="435" spans="2:16" s="815" customFormat="1" ht="12.75" x14ac:dyDescent="0.2">
      <c r="B435" s="814"/>
      <c r="C435" s="3149" t="s">
        <v>1197</v>
      </c>
      <c r="D435" s="3150"/>
      <c r="E435" s="3150"/>
      <c r="F435" s="3150"/>
      <c r="G435" s="3151"/>
      <c r="H435" s="3128">
        <v>21450</v>
      </c>
      <c r="I435" s="3129"/>
      <c r="J435" s="3128">
        <v>0</v>
      </c>
      <c r="K435" s="3129"/>
      <c r="L435" s="3130" t="s">
        <v>1085</v>
      </c>
      <c r="M435" s="3131"/>
      <c r="N435" s="3131"/>
      <c r="O435" s="3131"/>
      <c r="P435" s="3132"/>
    </row>
    <row r="436" spans="2:16" s="815" customFormat="1" ht="12.75" x14ac:dyDescent="0.2">
      <c r="B436" s="814"/>
      <c r="C436" s="3149" t="s">
        <v>1198</v>
      </c>
      <c r="D436" s="3150"/>
      <c r="E436" s="3150"/>
      <c r="F436" s="3150"/>
      <c r="G436" s="3151"/>
      <c r="H436" s="3128">
        <v>0</v>
      </c>
      <c r="I436" s="3129"/>
      <c r="J436" s="3128">
        <v>162500</v>
      </c>
      <c r="K436" s="3129"/>
      <c r="L436" s="3130" t="s">
        <v>406</v>
      </c>
      <c r="M436" s="3131"/>
      <c r="N436" s="3131"/>
      <c r="O436" s="3131"/>
      <c r="P436" s="3132"/>
    </row>
    <row r="437" spans="2:16" s="815" customFormat="1" ht="12.75" x14ac:dyDescent="0.2">
      <c r="B437" s="814"/>
      <c r="C437" s="3149" t="s">
        <v>1199</v>
      </c>
      <c r="D437" s="3150"/>
      <c r="E437" s="3150"/>
      <c r="F437" s="3150"/>
      <c r="G437" s="3151"/>
      <c r="H437" s="3128">
        <v>0</v>
      </c>
      <c r="I437" s="3129"/>
      <c r="J437" s="3128">
        <v>29250</v>
      </c>
      <c r="K437" s="3129"/>
      <c r="L437" s="3130" t="s">
        <v>1200</v>
      </c>
      <c r="M437" s="3131"/>
      <c r="N437" s="3131"/>
      <c r="O437" s="3131"/>
      <c r="P437" s="3132"/>
    </row>
    <row r="438" spans="2:16" s="815" customFormat="1" ht="12.75" x14ac:dyDescent="0.2">
      <c r="B438" s="814"/>
      <c r="C438" s="3149" t="s">
        <v>548</v>
      </c>
      <c r="D438" s="3150"/>
      <c r="E438" s="3150"/>
      <c r="F438" s="3150"/>
      <c r="G438" s="3151"/>
      <c r="H438" s="3128">
        <v>0</v>
      </c>
      <c r="I438" s="3129"/>
      <c r="J438" s="3128">
        <v>162500</v>
      </c>
      <c r="K438" s="3129"/>
      <c r="L438" s="3130" t="s">
        <v>1047</v>
      </c>
      <c r="M438" s="3131"/>
      <c r="N438" s="3131"/>
      <c r="O438" s="3131"/>
      <c r="P438" s="3132"/>
    </row>
    <row r="439" spans="2:16" s="815" customFormat="1" ht="12.75" x14ac:dyDescent="0.2">
      <c r="B439" s="814"/>
      <c r="C439" s="3149" t="s">
        <v>2</v>
      </c>
      <c r="D439" s="3150"/>
      <c r="E439" s="3150"/>
      <c r="F439" s="3150"/>
      <c r="G439" s="3151"/>
      <c r="H439" s="3128">
        <v>0</v>
      </c>
      <c r="I439" s="3129"/>
      <c r="J439" s="3128">
        <v>24570</v>
      </c>
      <c r="K439" s="3129"/>
      <c r="L439" s="3130" t="s">
        <v>404</v>
      </c>
      <c r="M439" s="3131"/>
      <c r="N439" s="3131"/>
      <c r="O439" s="3131"/>
      <c r="P439" s="3132"/>
    </row>
    <row r="440" spans="2:16" s="815" customFormat="1" ht="12.75" x14ac:dyDescent="0.2">
      <c r="B440" s="814"/>
      <c r="C440" s="3149" t="s">
        <v>1201</v>
      </c>
      <c r="D440" s="3150"/>
      <c r="E440" s="3150"/>
      <c r="F440" s="3150"/>
      <c r="G440" s="3151"/>
      <c r="H440" s="3128">
        <v>14300</v>
      </c>
      <c r="I440" s="3129"/>
      <c r="J440" s="3128">
        <v>0</v>
      </c>
      <c r="K440" s="3129"/>
      <c r="L440" s="3130" t="s">
        <v>417</v>
      </c>
      <c r="M440" s="3131"/>
      <c r="N440" s="3131"/>
      <c r="O440" s="3131"/>
      <c r="P440" s="3132"/>
    </row>
    <row r="441" spans="2:16" s="815" customFormat="1" ht="12.75" x14ac:dyDescent="0.2">
      <c r="B441" s="814"/>
      <c r="C441" s="3149" t="s">
        <v>487</v>
      </c>
      <c r="D441" s="3150"/>
      <c r="E441" s="3150"/>
      <c r="F441" s="3150"/>
      <c r="G441" s="3151"/>
      <c r="H441" s="3128">
        <v>0</v>
      </c>
      <c r="I441" s="3129"/>
      <c r="J441" s="3128">
        <v>42250</v>
      </c>
      <c r="K441" s="3129"/>
      <c r="L441" s="3130" t="s">
        <v>1047</v>
      </c>
      <c r="M441" s="3131"/>
      <c r="N441" s="3131"/>
      <c r="O441" s="3131"/>
      <c r="P441" s="3132"/>
    </row>
    <row r="442" spans="2:16" s="815" customFormat="1" ht="12.75" x14ac:dyDescent="0.2">
      <c r="B442" s="814"/>
      <c r="C442" s="3149" t="s">
        <v>1148</v>
      </c>
      <c r="D442" s="3150"/>
      <c r="E442" s="3150"/>
      <c r="F442" s="3150"/>
      <c r="G442" s="3151"/>
      <c r="H442" s="3128">
        <v>6500</v>
      </c>
      <c r="I442" s="3129"/>
      <c r="J442" s="3128"/>
      <c r="K442" s="3129"/>
      <c r="L442" s="3130" t="s">
        <v>1047</v>
      </c>
      <c r="M442" s="3131"/>
      <c r="N442" s="3131"/>
      <c r="O442" s="3131"/>
      <c r="P442" s="3132"/>
    </row>
    <row r="443" spans="2:16" s="815" customFormat="1" ht="12.75" x14ac:dyDescent="0.2">
      <c r="B443" s="814"/>
      <c r="C443" s="3149" t="s">
        <v>1202</v>
      </c>
      <c r="D443" s="3150"/>
      <c r="E443" s="3150"/>
      <c r="F443" s="3150"/>
      <c r="G443" s="3151"/>
      <c r="H443" s="3128">
        <v>0</v>
      </c>
      <c r="I443" s="3129"/>
      <c r="J443" s="3128">
        <v>24342.5</v>
      </c>
      <c r="K443" s="3129"/>
      <c r="L443" s="3130" t="s">
        <v>1144</v>
      </c>
      <c r="M443" s="3131"/>
      <c r="N443" s="3131"/>
      <c r="O443" s="3131"/>
      <c r="P443" s="3132"/>
    </row>
    <row r="444" spans="2:16" s="815" customFormat="1" ht="12.75" x14ac:dyDescent="0.2">
      <c r="B444" s="814"/>
      <c r="C444" s="3149" t="s">
        <v>25</v>
      </c>
      <c r="D444" s="3150"/>
      <c r="E444" s="3150"/>
      <c r="F444" s="3150"/>
      <c r="G444" s="3151"/>
      <c r="H444" s="3128">
        <v>78487.5</v>
      </c>
      <c r="I444" s="3129"/>
      <c r="J444" s="3128">
        <v>0</v>
      </c>
      <c r="K444" s="3129"/>
      <c r="L444" s="3130" t="s">
        <v>401</v>
      </c>
      <c r="M444" s="3131"/>
      <c r="N444" s="3131"/>
      <c r="O444" s="3131"/>
      <c r="P444" s="3132"/>
    </row>
    <row r="445" spans="2:16" s="815" customFormat="1" ht="12.75" x14ac:dyDescent="0.2">
      <c r="B445" s="814"/>
      <c r="C445" s="3149" t="s">
        <v>1203</v>
      </c>
      <c r="D445" s="3150"/>
      <c r="E445" s="3150"/>
      <c r="F445" s="3150"/>
      <c r="G445" s="3151"/>
      <c r="H445" s="3128">
        <v>5200</v>
      </c>
      <c r="I445" s="3129"/>
      <c r="J445" s="3128">
        <v>0</v>
      </c>
      <c r="K445" s="3129"/>
      <c r="L445" s="3130" t="s">
        <v>417</v>
      </c>
      <c r="M445" s="3131"/>
      <c r="N445" s="3131"/>
      <c r="O445" s="3131"/>
      <c r="P445" s="3132"/>
    </row>
    <row r="446" spans="2:16" s="815" customFormat="1" ht="12.75" x14ac:dyDescent="0.2">
      <c r="B446" s="814"/>
      <c r="C446" s="3149" t="s">
        <v>1204</v>
      </c>
      <c r="D446" s="3150"/>
      <c r="E446" s="3150"/>
      <c r="F446" s="3150"/>
      <c r="G446" s="3151"/>
      <c r="H446" s="3128">
        <v>31200</v>
      </c>
      <c r="I446" s="3129"/>
      <c r="J446" s="3128">
        <v>0</v>
      </c>
      <c r="K446" s="3129"/>
      <c r="L446" s="3130" t="s">
        <v>407</v>
      </c>
      <c r="M446" s="3131"/>
      <c r="N446" s="3131"/>
      <c r="O446" s="3131"/>
      <c r="P446" s="3132"/>
    </row>
    <row r="447" spans="2:16" s="815" customFormat="1" ht="12.75" x14ac:dyDescent="0.2">
      <c r="B447" s="814"/>
      <c r="C447" s="3149" t="s">
        <v>297</v>
      </c>
      <c r="D447" s="3150"/>
      <c r="E447" s="3150"/>
      <c r="F447" s="3150"/>
      <c r="G447" s="3151"/>
      <c r="H447" s="3128">
        <f>22685+11700</f>
        <v>34385</v>
      </c>
      <c r="I447" s="3129"/>
      <c r="J447" s="3128">
        <v>0</v>
      </c>
      <c r="K447" s="3129"/>
      <c r="L447" s="3130" t="s">
        <v>415</v>
      </c>
      <c r="M447" s="3131"/>
      <c r="N447" s="3131"/>
      <c r="O447" s="3131"/>
      <c r="P447" s="3132"/>
    </row>
    <row r="448" spans="2:16" s="815" customFormat="1" ht="12.75" x14ac:dyDescent="0.2">
      <c r="B448" s="814"/>
      <c r="C448" s="3149" t="s">
        <v>1205</v>
      </c>
      <c r="D448" s="3150"/>
      <c r="E448" s="3150"/>
      <c r="F448" s="3150"/>
      <c r="G448" s="3151"/>
      <c r="H448" s="3128">
        <v>97500</v>
      </c>
      <c r="I448" s="3129"/>
      <c r="J448" s="3128">
        <v>0</v>
      </c>
      <c r="K448" s="3129"/>
      <c r="L448" s="3130" t="s">
        <v>401</v>
      </c>
      <c r="M448" s="3131"/>
      <c r="N448" s="3131"/>
      <c r="O448" s="3131"/>
      <c r="P448" s="3132"/>
    </row>
    <row r="449" spans="1:17" s="815" customFormat="1" ht="12.75" x14ac:dyDescent="0.2">
      <c r="B449" s="814"/>
      <c r="C449" s="3149" t="s">
        <v>227</v>
      </c>
      <c r="D449" s="3150"/>
      <c r="E449" s="3150"/>
      <c r="F449" s="3150"/>
      <c r="G449" s="3151"/>
      <c r="H449" s="3128">
        <v>5850</v>
      </c>
      <c r="I449" s="3129"/>
      <c r="J449" s="3128">
        <v>0</v>
      </c>
      <c r="K449" s="3129"/>
      <c r="L449" s="3130" t="s">
        <v>397</v>
      </c>
      <c r="M449" s="3131"/>
      <c r="N449" s="3131"/>
      <c r="O449" s="3131"/>
      <c r="P449" s="3132"/>
    </row>
    <row r="450" spans="1:17" s="815" customFormat="1" ht="12.75" x14ac:dyDescent="0.2">
      <c r="B450" s="814"/>
      <c r="C450" s="3152" t="s">
        <v>1206</v>
      </c>
      <c r="D450" s="3153"/>
      <c r="E450" s="3153"/>
      <c r="F450" s="3153"/>
      <c r="G450" s="3154"/>
      <c r="H450" s="3136">
        <v>0</v>
      </c>
      <c r="I450" s="3137"/>
      <c r="J450" s="3136">
        <v>494000</v>
      </c>
      <c r="K450" s="3137"/>
      <c r="L450" s="3138" t="s">
        <v>1055</v>
      </c>
      <c r="M450" s="3139"/>
      <c r="N450" s="3139"/>
      <c r="O450" s="3139"/>
      <c r="P450" s="3140"/>
    </row>
    <row r="451" spans="1:17" s="815" customFormat="1" ht="12.75" x14ac:dyDescent="0.2">
      <c r="B451" s="814"/>
      <c r="C451" s="3116" t="s">
        <v>1160</v>
      </c>
      <c r="D451" s="3117"/>
      <c r="E451" s="3117"/>
      <c r="F451" s="3117"/>
      <c r="G451" s="3118"/>
      <c r="H451" s="3119">
        <v>1423955</v>
      </c>
      <c r="I451" s="3120"/>
      <c r="J451" s="3119">
        <v>1423955</v>
      </c>
      <c r="K451" s="3120"/>
      <c r="L451" s="3121"/>
      <c r="M451" s="3122"/>
      <c r="N451" s="3122"/>
      <c r="O451" s="3122"/>
      <c r="P451" s="3123"/>
    </row>
    <row r="452" spans="1:17" s="815" customFormat="1" ht="12.75" x14ac:dyDescent="0.2">
      <c r="B452" s="814"/>
      <c r="C452" s="1373"/>
      <c r="D452" s="1373"/>
      <c r="E452" s="1373"/>
      <c r="F452" s="1373"/>
      <c r="G452" s="1373"/>
      <c r="H452" s="1374"/>
      <c r="I452" s="1374"/>
      <c r="J452" s="1374"/>
      <c r="K452" s="1374"/>
      <c r="L452" s="1375"/>
      <c r="M452" s="1375"/>
      <c r="N452" s="1375"/>
      <c r="O452" s="1375"/>
      <c r="P452" s="1375"/>
    </row>
    <row r="453" spans="1:17" ht="15.75" thickBot="1" x14ac:dyDescent="0.3">
      <c r="A453" s="4"/>
      <c r="B453" s="189"/>
      <c r="G453" s="51"/>
      <c r="H453" s="51"/>
      <c r="I453" s="4"/>
      <c r="J453" s="4"/>
      <c r="K453" s="4"/>
      <c r="L453" s="4"/>
      <c r="M453" s="18"/>
      <c r="N453" s="18"/>
      <c r="O453" s="18"/>
      <c r="P453" s="18"/>
      <c r="Q453" s="4"/>
    </row>
    <row r="454" spans="1:17" ht="15.75" thickTop="1" x14ac:dyDescent="0.25">
      <c r="C454" s="755"/>
      <c r="D454" s="756"/>
      <c r="E454" s="756"/>
      <c r="F454" s="756"/>
      <c r="G454" s="757"/>
      <c r="H454" s="757"/>
      <c r="I454" s="758"/>
      <c r="J454" s="758"/>
      <c r="K454" s="758"/>
      <c r="L454" s="758"/>
      <c r="M454" s="759"/>
      <c r="N454" s="760"/>
    </row>
    <row r="455" spans="1:17" x14ac:dyDescent="0.25">
      <c r="C455" s="761"/>
      <c r="D455" s="3111" t="s">
        <v>1207</v>
      </c>
      <c r="E455" s="3111"/>
      <c r="F455" s="3111"/>
      <c r="G455" s="3111"/>
      <c r="H455" s="3111"/>
      <c r="I455" s="3111"/>
      <c r="J455" s="3111"/>
      <c r="K455" s="3111"/>
      <c r="L455" s="3111"/>
      <c r="M455" s="3111"/>
      <c r="N455" s="762"/>
    </row>
    <row r="456" spans="1:17" x14ac:dyDescent="0.25">
      <c r="C456" s="761"/>
      <c r="D456" s="3124" t="s">
        <v>413</v>
      </c>
      <c r="E456" s="3124"/>
      <c r="F456" s="3124"/>
      <c r="G456" s="3124"/>
      <c r="H456" s="3124"/>
      <c r="I456" s="3124"/>
      <c r="J456" s="3124"/>
      <c r="K456" s="3124"/>
      <c r="L456" s="3124"/>
      <c r="M456" s="3124"/>
      <c r="N456" s="762"/>
    </row>
    <row r="457" spans="1:17" x14ac:dyDescent="0.25">
      <c r="C457" s="761"/>
      <c r="D457" s="3112" t="s">
        <v>1059</v>
      </c>
      <c r="E457" s="3112"/>
      <c r="F457" s="3112"/>
      <c r="G457" s="3112"/>
      <c r="H457" s="3112"/>
      <c r="I457" s="3112"/>
      <c r="J457" s="3112"/>
      <c r="K457" s="3112"/>
      <c r="L457" s="3112"/>
      <c r="M457" s="3112"/>
      <c r="N457" s="762"/>
    </row>
    <row r="458" spans="1:17" x14ac:dyDescent="0.25">
      <c r="C458" s="761"/>
      <c r="D458" s="3115" t="s">
        <v>497</v>
      </c>
      <c r="E458" s="3115"/>
      <c r="F458" s="3115"/>
      <c r="G458" s="3115"/>
      <c r="H458" s="3115"/>
      <c r="I458" s="3115"/>
      <c r="J458" s="3115"/>
      <c r="K458" s="3115"/>
      <c r="L458" s="3115"/>
      <c r="M458" s="3115"/>
      <c r="N458" s="762"/>
    </row>
    <row r="459" spans="1:17" x14ac:dyDescent="0.25">
      <c r="C459" s="763"/>
      <c r="D459" s="764"/>
      <c r="E459" s="764"/>
      <c r="F459" s="173"/>
      <c r="G459" s="189"/>
      <c r="H459" s="189"/>
      <c r="I459" s="4"/>
      <c r="J459" s="4"/>
      <c r="K459" s="4"/>
      <c r="L459" s="4"/>
      <c r="M459" s="18"/>
      <c r="N459" s="762"/>
    </row>
    <row r="460" spans="1:17" x14ac:dyDescent="0.25">
      <c r="C460" s="761"/>
      <c r="D460" s="765" t="s">
        <v>1060</v>
      </c>
      <c r="E460" s="4"/>
      <c r="F460" s="173"/>
      <c r="G460" s="189"/>
      <c r="H460" s="189"/>
      <c r="I460" s="4"/>
      <c r="J460" s="4"/>
      <c r="K460" s="4"/>
      <c r="L460" s="3108">
        <f ca="1">+SUMIF($L$398:$P$450,D460,$J$398:$K$450)-SUMIF($L$398:$P$450,D460,$H$398:$I$450)</f>
        <v>486525</v>
      </c>
      <c r="M460" s="3108"/>
      <c r="N460" s="762"/>
    </row>
    <row r="461" spans="1:17" x14ac:dyDescent="0.25">
      <c r="C461" s="761"/>
      <c r="D461" s="765" t="s">
        <v>400</v>
      </c>
      <c r="E461" s="4"/>
      <c r="G461" s="189"/>
      <c r="H461" s="189"/>
      <c r="I461" s="4"/>
      <c r="J461" s="4"/>
      <c r="K461" s="4"/>
      <c r="L461" s="3108">
        <f ca="1">+SUMIF($L$398:$P$450,D461,$J$398:$K$450)-SUMIF($L$398:$P$450,D461,$H$398:$I$450)</f>
        <v>-48522.5</v>
      </c>
      <c r="M461" s="3108"/>
      <c r="N461" s="762"/>
    </row>
    <row r="462" spans="1:17" x14ac:dyDescent="0.25">
      <c r="C462" s="761"/>
      <c r="D462" s="766" t="s">
        <v>414</v>
      </c>
      <c r="E462" s="228"/>
      <c r="F462" s="227"/>
      <c r="G462" s="767"/>
      <c r="H462" s="767"/>
      <c r="I462" s="228"/>
      <c r="J462" s="5"/>
      <c r="K462" s="5"/>
      <c r="L462" s="3113">
        <f ca="1">+SUM(L460:M461)</f>
        <v>438002.5</v>
      </c>
      <c r="M462" s="3114"/>
      <c r="N462" s="762"/>
    </row>
    <row r="463" spans="1:17" x14ac:dyDescent="0.25">
      <c r="C463" s="761"/>
      <c r="D463" s="765"/>
      <c r="E463" s="4"/>
      <c r="G463" s="189"/>
      <c r="H463" s="189"/>
      <c r="I463" s="4"/>
      <c r="J463" s="4"/>
      <c r="K463" s="4"/>
      <c r="L463" s="3108"/>
      <c r="M463" s="3108"/>
      <c r="N463" s="762"/>
    </row>
    <row r="464" spans="1:17" x14ac:dyDescent="0.25">
      <c r="C464" s="761"/>
      <c r="D464" s="765" t="s">
        <v>415</v>
      </c>
      <c r="E464" s="4"/>
      <c r="G464" s="189"/>
      <c r="H464" s="189"/>
      <c r="I464" s="4"/>
      <c r="J464" s="4"/>
      <c r="K464" s="4"/>
      <c r="L464" s="3108">
        <f t="shared" ref="L464:L466" ca="1" si="2">+SUMIF($L$398:$P$450,D464,$J$398:$K$450)-SUMIF($L$398:$P$450,D464,$H$398:$I$450)</f>
        <v>-81477.5</v>
      </c>
      <c r="M464" s="3108"/>
      <c r="N464" s="762"/>
    </row>
    <row r="465" spans="2:17" x14ac:dyDescent="0.25">
      <c r="C465" s="761"/>
      <c r="D465" s="765" t="s">
        <v>417</v>
      </c>
      <c r="E465" s="4"/>
      <c r="G465" s="189"/>
      <c r="H465" s="189"/>
      <c r="I465" s="4"/>
      <c r="J465" s="4"/>
      <c r="K465" s="4"/>
      <c r="L465" s="3108">
        <f t="shared" ca="1" si="2"/>
        <v>-28632.5</v>
      </c>
      <c r="M465" s="3108"/>
      <c r="N465" s="762"/>
    </row>
    <row r="466" spans="2:17" x14ac:dyDescent="0.25">
      <c r="C466" s="761"/>
      <c r="D466" s="765" t="s">
        <v>1094</v>
      </c>
      <c r="E466" s="4"/>
      <c r="G466" s="189"/>
      <c r="H466" s="189"/>
      <c r="I466" s="4"/>
      <c r="J466" s="4"/>
      <c r="K466" s="4"/>
      <c r="L466" s="3108">
        <f t="shared" ca="1" si="2"/>
        <v>24342.5</v>
      </c>
      <c r="M466" s="3108"/>
      <c r="N466" s="762"/>
    </row>
    <row r="467" spans="2:17" x14ac:dyDescent="0.25">
      <c r="C467" s="761"/>
      <c r="D467" s="766" t="s">
        <v>1061</v>
      </c>
      <c r="E467" s="228"/>
      <c r="F467" s="227"/>
      <c r="G467" s="767"/>
      <c r="H467" s="767"/>
      <c r="I467" s="228"/>
      <c r="J467" s="5"/>
      <c r="K467" s="5"/>
      <c r="L467" s="3113">
        <f ca="1">+SUM(L462:M466)</f>
        <v>352235</v>
      </c>
      <c r="M467" s="3114"/>
      <c r="N467" s="762"/>
    </row>
    <row r="468" spans="2:17" x14ac:dyDescent="0.25">
      <c r="C468" s="761"/>
      <c r="D468" s="765"/>
      <c r="E468" s="4"/>
      <c r="G468" s="189"/>
      <c r="H468" s="189"/>
      <c r="I468" s="4"/>
      <c r="J468" s="4"/>
      <c r="K468" s="4"/>
      <c r="L468" s="3108"/>
      <c r="M468" s="3108"/>
      <c r="N468" s="762"/>
    </row>
    <row r="469" spans="2:17" x14ac:dyDescent="0.25">
      <c r="C469" s="761"/>
      <c r="D469" s="765" t="s">
        <v>1056</v>
      </c>
      <c r="E469" s="4"/>
      <c r="G469" s="189"/>
      <c r="H469" s="189"/>
      <c r="I469" s="4"/>
      <c r="J469" s="4"/>
      <c r="K469" s="4"/>
      <c r="L469" s="3108"/>
      <c r="M469" s="3108"/>
      <c r="N469" s="762"/>
    </row>
    <row r="470" spans="2:17" x14ac:dyDescent="0.25">
      <c r="C470" s="761"/>
      <c r="D470" s="768" t="s">
        <v>420</v>
      </c>
      <c r="E470" s="4"/>
      <c r="G470" s="189"/>
      <c r="H470" s="189"/>
      <c r="I470" s="4"/>
      <c r="J470" s="4"/>
      <c r="K470" s="4"/>
      <c r="L470" s="3108">
        <f ca="1">+SUMIF($L$398:$P$450,D469,$J$398:$K$450)</f>
        <v>18200</v>
      </c>
      <c r="M470" s="3108"/>
      <c r="N470" s="762"/>
    </row>
    <row r="471" spans="2:17" x14ac:dyDescent="0.25">
      <c r="C471" s="761"/>
      <c r="D471" s="768" t="s">
        <v>419</v>
      </c>
      <c r="E471" s="4"/>
      <c r="G471" s="189"/>
      <c r="H471" s="189"/>
      <c r="I471" s="4"/>
      <c r="J471" s="4"/>
      <c r="K471" s="4"/>
      <c r="L471" s="3108">
        <f ca="1">-SUMIF($L$398:$P$450,D469,$H$398:$I$450)</f>
        <v>-2275</v>
      </c>
      <c r="M471" s="3108"/>
      <c r="N471" s="762"/>
    </row>
    <row r="472" spans="2:17" x14ac:dyDescent="0.25">
      <c r="C472" s="761"/>
      <c r="D472" s="816" t="s">
        <v>1183</v>
      </c>
      <c r="E472" s="4"/>
      <c r="G472" s="189"/>
      <c r="H472" s="189"/>
      <c r="I472" s="4"/>
      <c r="J472" s="4"/>
      <c r="K472" s="4"/>
      <c r="L472" s="3108">
        <f ca="1">+SUMIF($L$398:$P$450,D472,$J$398:$K$450)</f>
        <v>2925</v>
      </c>
      <c r="M472" s="3108"/>
      <c r="N472" s="762"/>
    </row>
    <row r="473" spans="2:17" x14ac:dyDescent="0.25">
      <c r="C473" s="761"/>
      <c r="D473" s="768"/>
      <c r="E473" s="4"/>
      <c r="G473" s="189"/>
      <c r="H473" s="189"/>
      <c r="I473" s="4"/>
      <c r="J473" s="4"/>
      <c r="K473" s="4"/>
      <c r="L473" s="817"/>
      <c r="M473" s="817"/>
      <c r="N473" s="762"/>
    </row>
    <row r="474" spans="2:17" ht="15.75" thickBot="1" x14ac:dyDescent="0.3">
      <c r="C474" s="761"/>
      <c r="D474" s="769" t="s">
        <v>1062</v>
      </c>
      <c r="E474" s="770"/>
      <c r="F474" s="771"/>
      <c r="G474" s="772"/>
      <c r="H474" s="772"/>
      <c r="I474" s="770"/>
      <c r="J474" s="773"/>
      <c r="K474" s="773"/>
      <c r="L474" s="3109">
        <f ca="1">+SUM(L467:M472)</f>
        <v>371085</v>
      </c>
      <c r="M474" s="3110"/>
      <c r="N474" s="762"/>
    </row>
    <row r="475" spans="2:17" ht="16.5" thickTop="1" thickBot="1" x14ac:dyDescent="0.3">
      <c r="C475" s="774"/>
      <c r="D475" s="775"/>
      <c r="E475" s="775"/>
      <c r="F475" s="524"/>
      <c r="G475" s="776"/>
      <c r="H475" s="776"/>
      <c r="I475" s="527"/>
      <c r="J475" s="527"/>
      <c r="K475" s="527"/>
      <c r="L475" s="527"/>
      <c r="M475" s="528"/>
      <c r="N475" s="777"/>
    </row>
    <row r="476" spans="2:17" ht="16.5" thickTop="1" thickBot="1" x14ac:dyDescent="0.3"/>
    <row r="477" spans="2:17" ht="15.75" thickTop="1" x14ac:dyDescent="0.25">
      <c r="B477" s="778"/>
      <c r="C477" s="779"/>
      <c r="D477" s="779"/>
      <c r="E477" s="779"/>
      <c r="F477" s="779"/>
      <c r="G477" s="780"/>
      <c r="H477" s="780"/>
      <c r="I477" s="781"/>
      <c r="J477" s="781"/>
      <c r="K477" s="781"/>
      <c r="L477" s="758"/>
      <c r="M477" s="759"/>
      <c r="N477" s="759"/>
      <c r="O477" s="759"/>
      <c r="P477" s="759"/>
      <c r="Q477" s="782"/>
    </row>
    <row r="478" spans="2:17" x14ac:dyDescent="0.25">
      <c r="B478" s="783"/>
      <c r="C478" s="3111" t="s">
        <v>1207</v>
      </c>
      <c r="D478" s="3111"/>
      <c r="E478" s="3111"/>
      <c r="F478" s="3111"/>
      <c r="G478" s="3111"/>
      <c r="H478" s="3111"/>
      <c r="I478" s="3111"/>
      <c r="J478" s="3111"/>
      <c r="K478" s="3111"/>
      <c r="L478" s="3111"/>
      <c r="M478" s="3111"/>
      <c r="N478" s="3111"/>
      <c r="O478" s="3111"/>
      <c r="P478" s="3111"/>
      <c r="Q478" s="784"/>
    </row>
    <row r="479" spans="2:17" x14ac:dyDescent="0.25">
      <c r="B479" s="783"/>
      <c r="C479" s="3111" t="s">
        <v>422</v>
      </c>
      <c r="D479" s="3111"/>
      <c r="E479" s="3111"/>
      <c r="F479" s="3111"/>
      <c r="G479" s="3111"/>
      <c r="H479" s="3111"/>
      <c r="I479" s="3111"/>
      <c r="J479" s="3111"/>
      <c r="K479" s="3111"/>
      <c r="L479" s="3111"/>
      <c r="M479" s="3111"/>
      <c r="N479" s="3111"/>
      <c r="O479" s="3111"/>
      <c r="P479" s="3111"/>
      <c r="Q479" s="784"/>
    </row>
    <row r="480" spans="2:17" x14ac:dyDescent="0.25">
      <c r="B480" s="783"/>
      <c r="C480" s="3112" t="s">
        <v>1064</v>
      </c>
      <c r="D480" s="3112"/>
      <c r="E480" s="3112"/>
      <c r="F480" s="3112"/>
      <c r="G480" s="3112"/>
      <c r="H480" s="3112"/>
      <c r="I480" s="3112"/>
      <c r="J480" s="3112"/>
      <c r="K480" s="3112"/>
      <c r="L480" s="3112"/>
      <c r="M480" s="3112"/>
      <c r="N480" s="3112"/>
      <c r="O480" s="3112"/>
      <c r="P480" s="3112"/>
      <c r="Q480" s="784"/>
    </row>
    <row r="481" spans="2:17" x14ac:dyDescent="0.25">
      <c r="B481" s="783"/>
      <c r="C481" s="3107" t="s">
        <v>497</v>
      </c>
      <c r="D481" s="3107"/>
      <c r="E481" s="3107"/>
      <c r="F481" s="3107"/>
      <c r="G481" s="3107"/>
      <c r="H481" s="3107"/>
      <c r="I481" s="3107"/>
      <c r="J481" s="3107"/>
      <c r="K481" s="3107"/>
      <c r="L481" s="3107"/>
      <c r="M481" s="3107"/>
      <c r="N481" s="3107"/>
      <c r="O481" s="3107"/>
      <c r="P481" s="3107"/>
      <c r="Q481" s="784"/>
    </row>
    <row r="482" spans="2:17" x14ac:dyDescent="0.25">
      <c r="B482" s="783"/>
      <c r="C482" s="785"/>
      <c r="D482" s="765"/>
      <c r="E482" s="765"/>
      <c r="F482" s="765"/>
      <c r="G482" s="38"/>
      <c r="H482" s="38"/>
      <c r="I482" s="317"/>
      <c r="J482" s="317"/>
      <c r="K482" s="317"/>
      <c r="L482" s="4"/>
      <c r="M482" s="18"/>
      <c r="N482" s="18"/>
      <c r="O482" s="18"/>
      <c r="P482" s="18"/>
      <c r="Q482" s="784"/>
    </row>
    <row r="483" spans="2:17" x14ac:dyDescent="0.25">
      <c r="B483" s="783"/>
      <c r="C483" s="786" t="s">
        <v>1065</v>
      </c>
      <c r="D483" s="787"/>
      <c r="E483" s="788"/>
      <c r="F483" s="788"/>
      <c r="G483" s="321"/>
      <c r="H483" s="321"/>
      <c r="I483" s="788"/>
      <c r="J483" s="789" t="s">
        <v>1066</v>
      </c>
      <c r="K483" s="787"/>
      <c r="L483" s="1"/>
      <c r="M483" s="140"/>
      <c r="N483" s="140"/>
      <c r="O483" s="140"/>
      <c r="P483" s="277"/>
      <c r="Q483" s="784"/>
    </row>
    <row r="484" spans="2:17" x14ac:dyDescent="0.25">
      <c r="B484" s="783"/>
      <c r="C484" s="790" t="s">
        <v>1067</v>
      </c>
      <c r="D484" s="765"/>
      <c r="E484" s="317"/>
      <c r="F484" s="317"/>
      <c r="G484" s="38"/>
      <c r="H484" s="38"/>
      <c r="I484" s="317"/>
      <c r="J484" s="791" t="s">
        <v>1068</v>
      </c>
      <c r="K484" s="765"/>
      <c r="L484" s="4"/>
      <c r="M484" s="18"/>
      <c r="N484" s="18"/>
      <c r="O484" s="18"/>
      <c r="P484" s="505"/>
      <c r="Q484" s="784"/>
    </row>
    <row r="485" spans="2:17" x14ac:dyDescent="0.25">
      <c r="B485" s="783"/>
      <c r="C485" s="792" t="s">
        <v>397</v>
      </c>
      <c r="D485" s="793"/>
      <c r="E485" s="317"/>
      <c r="F485" s="317"/>
      <c r="G485" s="38"/>
      <c r="H485" s="3100">
        <f ca="1">-SUMIF($L$398:$P$450,C485,$J$398:$K$450)+SUMIF($L$398:$P$450,C485,$H$398:$I$450)</f>
        <v>68445</v>
      </c>
      <c r="I485" s="3100"/>
      <c r="J485" s="794" t="s">
        <v>404</v>
      </c>
      <c r="K485" s="793"/>
      <c r="L485" s="4"/>
      <c r="M485" s="18"/>
      <c r="N485" s="18"/>
      <c r="O485" s="3100">
        <f ca="1">+SUMIF($L$398:$P$450,J485,$J$398:$K$450)-SUMIF($L$398:$P$450,J485,$H$398:$I$450)</f>
        <v>59995</v>
      </c>
      <c r="P485" s="3101"/>
      <c r="Q485" s="784"/>
    </row>
    <row r="486" spans="2:17" x14ac:dyDescent="0.25">
      <c r="B486" s="783"/>
      <c r="C486" s="792" t="s">
        <v>1085</v>
      </c>
      <c r="D486" s="793"/>
      <c r="E486" s="317"/>
      <c r="F486" s="317"/>
      <c r="G486" s="38"/>
      <c r="H486" s="3100">
        <f t="shared" ref="H486:H489" ca="1" si="3">-SUMIF($L$398:$P$450,C486,$J$398:$K$450)+SUMIF($L$398:$P$450,C486,$H$398:$I$450)</f>
        <v>20572.5</v>
      </c>
      <c r="I486" s="3100"/>
      <c r="J486" s="794" t="s">
        <v>399</v>
      </c>
      <c r="K486" s="795"/>
      <c r="L486" s="4"/>
      <c r="M486" s="18"/>
      <c r="N486" s="18"/>
      <c r="O486" s="3100">
        <f t="shared" ref="O486:O489" ca="1" si="4">+SUMIF($L$398:$P$450,J486,$J$398:$K$450)-SUMIF($L$398:$P$450,J486,$H$398:$I$450)</f>
        <v>16250</v>
      </c>
      <c r="P486" s="3101"/>
      <c r="Q486" s="784"/>
    </row>
    <row r="487" spans="2:17" x14ac:dyDescent="0.25">
      <c r="B487" s="783"/>
      <c r="C487" s="792" t="s">
        <v>1070</v>
      </c>
      <c r="D487" s="793"/>
      <c r="E487" s="317"/>
      <c r="F487" s="317"/>
      <c r="G487" s="38"/>
      <c r="H487" s="3100">
        <f t="shared" ca="1" si="3"/>
        <v>61230</v>
      </c>
      <c r="I487" s="3100"/>
      <c r="J487" s="794" t="s">
        <v>406</v>
      </c>
      <c r="K487" s="4"/>
      <c r="L487" s="4"/>
      <c r="M487" s="4"/>
      <c r="N487" s="4"/>
      <c r="O487" s="3100">
        <f t="shared" ca="1" si="4"/>
        <v>145730</v>
      </c>
      <c r="P487" s="3101"/>
      <c r="Q487" s="784"/>
    </row>
    <row r="488" spans="2:17" x14ac:dyDescent="0.25">
      <c r="B488" s="783"/>
      <c r="C488" s="792" t="s">
        <v>407</v>
      </c>
      <c r="D488" s="793"/>
      <c r="E488" s="317"/>
      <c r="F488" s="317"/>
      <c r="G488" s="38"/>
      <c r="H488" s="3100">
        <f t="shared" ca="1" si="3"/>
        <v>31200</v>
      </c>
      <c r="I488" s="3100"/>
      <c r="J488" s="794" t="s">
        <v>1092</v>
      </c>
      <c r="K488" s="795"/>
      <c r="L488" s="4"/>
      <c r="M488" s="18"/>
      <c r="N488" s="18"/>
      <c r="O488" s="3100">
        <f t="shared" ca="1" si="4"/>
        <v>23140</v>
      </c>
      <c r="P488" s="3101"/>
      <c r="Q488" s="784"/>
    </row>
    <row r="489" spans="2:17" ht="17.25" x14ac:dyDescent="0.25">
      <c r="B489" s="783"/>
      <c r="C489" s="792" t="s">
        <v>423</v>
      </c>
      <c r="D489" s="793"/>
      <c r="E489" s="317"/>
      <c r="F489" s="317"/>
      <c r="G489" s="38"/>
      <c r="H489" s="3102">
        <f t="shared" ca="1" si="3"/>
        <v>41340</v>
      </c>
      <c r="I489" s="3102"/>
      <c r="J489" s="794" t="s">
        <v>1200</v>
      </c>
      <c r="K489" s="4"/>
      <c r="L489" s="4"/>
      <c r="M489" s="4"/>
      <c r="N489" s="4"/>
      <c r="O489" s="3102">
        <f t="shared" ca="1" si="4"/>
        <v>29250</v>
      </c>
      <c r="P489" s="3103"/>
      <c r="Q489" s="784"/>
    </row>
    <row r="490" spans="2:17" x14ac:dyDescent="0.25">
      <c r="B490" s="783"/>
      <c r="C490" s="796" t="s">
        <v>1073</v>
      </c>
      <c r="D490" s="793"/>
      <c r="E490" s="317"/>
      <c r="F490" s="317"/>
      <c r="G490" s="38"/>
      <c r="H490" s="3097">
        <f ca="1">+SUM(H485:I489)</f>
        <v>222787.5</v>
      </c>
      <c r="I490" s="3097"/>
      <c r="J490" s="791" t="s">
        <v>1072</v>
      </c>
      <c r="K490" s="765"/>
      <c r="L490" s="4"/>
      <c r="M490" s="18"/>
      <c r="N490" s="18"/>
      <c r="O490" s="3097">
        <f ca="1">+SUM(O485:P489)</f>
        <v>274365</v>
      </c>
      <c r="P490" s="3098"/>
      <c r="Q490" s="784"/>
    </row>
    <row r="491" spans="2:17" ht="17.25" x14ac:dyDescent="0.25">
      <c r="B491" s="783"/>
      <c r="C491" s="8"/>
      <c r="D491" s="4"/>
      <c r="E491" s="4"/>
      <c r="F491" s="4"/>
      <c r="G491" s="4"/>
      <c r="H491" s="4"/>
      <c r="I491" s="4"/>
      <c r="J491" s="8"/>
      <c r="K491" s="4"/>
      <c r="L491" s="4"/>
      <c r="M491" s="4"/>
      <c r="N491" s="4"/>
      <c r="O491" s="3147"/>
      <c r="P491" s="3148"/>
      <c r="Q491" s="784"/>
    </row>
    <row r="492" spans="2:17" x14ac:dyDescent="0.25">
      <c r="B492" s="783"/>
      <c r="C492" s="790" t="s">
        <v>1074</v>
      </c>
      <c r="D492" s="765"/>
      <c r="E492" s="317"/>
      <c r="F492" s="317"/>
      <c r="G492" s="38"/>
      <c r="H492" s="3100"/>
      <c r="I492" s="3100"/>
      <c r="J492" s="797" t="s">
        <v>450</v>
      </c>
      <c r="K492" s="798"/>
      <c r="L492" s="4"/>
      <c r="M492" s="18"/>
      <c r="N492" s="18"/>
      <c r="O492" s="3097">
        <f ca="1">+O490</f>
        <v>274365</v>
      </c>
      <c r="P492" s="3098"/>
      <c r="Q492" s="784"/>
    </row>
    <row r="493" spans="2:17" x14ac:dyDescent="0.25">
      <c r="B493" s="783"/>
      <c r="C493" s="792" t="s">
        <v>401</v>
      </c>
      <c r="D493" s="793"/>
      <c r="E493" s="317"/>
      <c r="F493" s="317"/>
      <c r="G493" s="38"/>
      <c r="H493" s="3100">
        <f t="shared" ref="H493:H495" ca="1" si="5">-SUMIF($L$398:$P$450,C493,$J$398:$K$450)+SUMIF($L$398:$P$450,C493,$H$398:$I$450)</f>
        <v>798687.5</v>
      </c>
      <c r="I493" s="3100"/>
      <c r="J493" s="158"/>
      <c r="K493" s="3"/>
      <c r="L493" s="3"/>
      <c r="M493" s="3"/>
      <c r="N493" s="3"/>
      <c r="O493" s="3"/>
      <c r="P493" s="354"/>
      <c r="Q493" s="784"/>
    </row>
    <row r="494" spans="2:17" x14ac:dyDescent="0.25">
      <c r="B494" s="783"/>
      <c r="C494" s="792" t="s">
        <v>794</v>
      </c>
      <c r="D494" s="793"/>
      <c r="E494" s="317"/>
      <c r="F494" s="317"/>
      <c r="G494" s="38"/>
      <c r="H494" s="3100">
        <f t="shared" ca="1" si="5"/>
        <v>167375</v>
      </c>
      <c r="I494" s="3100"/>
      <c r="J494" s="789" t="s">
        <v>1075</v>
      </c>
      <c r="K494" s="1"/>
      <c r="L494" s="1"/>
      <c r="M494" s="1"/>
      <c r="N494" s="1"/>
      <c r="O494" s="1"/>
      <c r="P494" s="157"/>
      <c r="Q494" s="784"/>
    </row>
    <row r="495" spans="2:17" ht="17.25" x14ac:dyDescent="0.25">
      <c r="B495" s="783"/>
      <c r="C495" s="792" t="s">
        <v>681</v>
      </c>
      <c r="D495" s="793"/>
      <c r="E495" s="317"/>
      <c r="F495" s="317"/>
      <c r="G495" s="38"/>
      <c r="H495" s="3102">
        <f t="shared" ca="1" si="5"/>
        <v>10400</v>
      </c>
      <c r="I495" s="3102"/>
      <c r="J495" s="799" t="s">
        <v>1076</v>
      </c>
      <c r="K495" s="4"/>
      <c r="L495" s="4"/>
      <c r="M495" s="4"/>
      <c r="N495" s="4"/>
      <c r="O495" s="3097">
        <f ca="1">+SUMIF($L$398:$P$450,"PN",$J$398:$K$450)-SUMIF($L$398:$P$450,"PN",$H$398:$I$450)+L474</f>
        <v>924885</v>
      </c>
      <c r="P495" s="3098"/>
      <c r="Q495" s="784"/>
    </row>
    <row r="496" spans="2:17" x14ac:dyDescent="0.25">
      <c r="B496" s="783"/>
      <c r="C496" s="796" t="s">
        <v>1077</v>
      </c>
      <c r="D496" s="793"/>
      <c r="E496" s="317"/>
      <c r="F496" s="317"/>
      <c r="G496" s="38"/>
      <c r="H496" s="3097">
        <f ca="1">+SUM(H493:I495)</f>
        <v>976462.5</v>
      </c>
      <c r="I496" s="3097"/>
      <c r="J496" s="8"/>
      <c r="K496" s="765"/>
      <c r="L496" s="4"/>
      <c r="M496" s="18"/>
      <c r="N496" s="18"/>
      <c r="O496" s="3100"/>
      <c r="P496" s="3101"/>
      <c r="Q496" s="784"/>
    </row>
    <row r="497" spans="1:17" x14ac:dyDescent="0.25">
      <c r="B497" s="783"/>
      <c r="C497" s="800" t="s">
        <v>427</v>
      </c>
      <c r="D497" s="37"/>
      <c r="E497" s="37"/>
      <c r="F497" s="37"/>
      <c r="G497" s="198"/>
      <c r="H497" s="3099">
        <f ca="1">+H496+H490</f>
        <v>1199250</v>
      </c>
      <c r="I497" s="3099"/>
      <c r="J497" s="766" t="s">
        <v>1078</v>
      </c>
      <c r="K497" s="5"/>
      <c r="L497" s="5"/>
      <c r="M497" s="25"/>
      <c r="N497" s="25"/>
      <c r="O497" s="3099">
        <f ca="1">+O495+O492</f>
        <v>1199250</v>
      </c>
      <c r="P497" s="2332"/>
      <c r="Q497" s="784"/>
    </row>
    <row r="498" spans="1:17" ht="15.75" thickBot="1" x14ac:dyDescent="0.3">
      <c r="B498" s="804"/>
      <c r="C498" s="524"/>
      <c r="D498" s="524"/>
      <c r="E498" s="524"/>
      <c r="F498" s="524"/>
      <c r="G498" s="776"/>
      <c r="H498" s="776"/>
      <c r="I498" s="527"/>
      <c r="J498" s="527"/>
      <c r="K498" s="527"/>
      <c r="L498" s="527"/>
      <c r="M498" s="528"/>
      <c r="N498" s="528"/>
      <c r="O498" s="528"/>
      <c r="P498" s="528"/>
      <c r="Q498" s="805"/>
    </row>
    <row r="499" spans="1:17" ht="15.75" thickTop="1" x14ac:dyDescent="0.25"/>
    <row r="500" spans="1:17" s="4" customFormat="1" x14ac:dyDescent="0.25">
      <c r="B500" s="189"/>
      <c r="C500" s="12"/>
      <c r="D500" s="12"/>
      <c r="E500" s="12"/>
      <c r="F500" s="12"/>
      <c r="G500" s="51"/>
      <c r="H500" s="51"/>
      <c r="M500" s="18"/>
      <c r="N500" s="18"/>
      <c r="O500" s="18"/>
      <c r="P500" s="18"/>
    </row>
    <row r="501" spans="1:17" x14ac:dyDescent="0.25">
      <c r="A501" s="3"/>
      <c r="B501" s="200"/>
      <c r="C501" s="11"/>
      <c r="D501" s="11"/>
      <c r="E501" s="11"/>
      <c r="F501" s="11"/>
      <c r="G501" s="24"/>
      <c r="H501" s="24"/>
      <c r="I501" s="3"/>
      <c r="J501" s="3"/>
      <c r="K501" s="3"/>
      <c r="L501" s="3"/>
      <c r="M501" s="22"/>
      <c r="N501" s="22"/>
      <c r="O501" s="22"/>
      <c r="P501" s="22"/>
      <c r="Q501" s="3"/>
    </row>
    <row r="502" spans="1:17" x14ac:dyDescent="0.25">
      <c r="A502" s="1844" t="s">
        <v>20</v>
      </c>
      <c r="B502" s="1845"/>
      <c r="C502" s="1845"/>
      <c r="D502" s="1845"/>
      <c r="E502" s="1845"/>
      <c r="F502" s="1845"/>
      <c r="G502" s="1845"/>
      <c r="H502" s="1845"/>
      <c r="I502" s="1845"/>
      <c r="J502" s="1845"/>
      <c r="K502" s="1845"/>
      <c r="L502" s="1845"/>
      <c r="M502" s="1845"/>
      <c r="N502" s="1845"/>
      <c r="O502" s="1845"/>
      <c r="P502" s="1845"/>
      <c r="Q502" s="1846"/>
    </row>
    <row r="503" spans="1:17" x14ac:dyDescent="0.25">
      <c r="A503" s="1847" t="s">
        <v>1208</v>
      </c>
      <c r="B503" s="1848"/>
      <c r="C503" s="1848"/>
      <c r="D503" s="1848"/>
      <c r="E503" s="1848"/>
      <c r="F503" s="1848"/>
      <c r="G503" s="1848"/>
      <c r="H503" s="1848"/>
      <c r="I503" s="1848"/>
      <c r="J503" s="1848"/>
      <c r="K503" s="1848"/>
      <c r="L503" s="1848"/>
      <c r="M503" s="1848"/>
      <c r="N503" s="1848"/>
      <c r="O503" s="1848"/>
      <c r="P503" s="1848"/>
      <c r="Q503" s="1849"/>
    </row>
    <row r="505" spans="1:17" x14ac:dyDescent="0.25">
      <c r="C505" s="3141" t="s">
        <v>1046</v>
      </c>
      <c r="D505" s="3142"/>
      <c r="E505" s="3142"/>
      <c r="F505" s="3142"/>
      <c r="G505" s="3143"/>
      <c r="H505" s="3141" t="s">
        <v>1209</v>
      </c>
      <c r="I505" s="3143"/>
      <c r="J505" s="3141" t="s">
        <v>1210</v>
      </c>
      <c r="K505" s="3143"/>
      <c r="L505" s="3144" t="s">
        <v>394</v>
      </c>
      <c r="M505" s="3145"/>
      <c r="N505" s="3145"/>
      <c r="O505" s="3145"/>
      <c r="P505" s="3146"/>
    </row>
    <row r="506" spans="1:17" ht="12.75" customHeight="1" x14ac:dyDescent="0.2">
      <c r="C506" s="3125" t="s">
        <v>1166</v>
      </c>
      <c r="D506" s="3126"/>
      <c r="E506" s="3126"/>
      <c r="F506" s="3126"/>
      <c r="G506" s="3127"/>
      <c r="H506" s="3128"/>
      <c r="I506" s="3129"/>
      <c r="J506" s="3128">
        <v>850000</v>
      </c>
      <c r="K506" s="3129"/>
      <c r="L506" s="3130" t="s">
        <v>1047</v>
      </c>
      <c r="M506" s="3131"/>
      <c r="N506" s="3131"/>
      <c r="O506" s="3131"/>
      <c r="P506" s="3132"/>
    </row>
    <row r="507" spans="1:17" ht="12.75" customHeight="1" x14ac:dyDescent="0.2">
      <c r="C507" s="3125" t="s">
        <v>1167</v>
      </c>
      <c r="D507" s="3126"/>
      <c r="E507" s="3126"/>
      <c r="F507" s="3126"/>
      <c r="G507" s="3127"/>
      <c r="H507" s="3128"/>
      <c r="I507" s="3129"/>
      <c r="J507" s="3128">
        <v>38200</v>
      </c>
      <c r="K507" s="3129"/>
      <c r="L507" s="3130" t="s">
        <v>1168</v>
      </c>
      <c r="M507" s="3131"/>
      <c r="N507" s="3131"/>
      <c r="O507" s="3131"/>
      <c r="P507" s="3132"/>
    </row>
    <row r="508" spans="1:17" ht="12.75" customHeight="1" x14ac:dyDescent="0.2">
      <c r="C508" s="3125" t="s">
        <v>1108</v>
      </c>
      <c r="D508" s="3126"/>
      <c r="E508" s="3126"/>
      <c r="F508" s="3126"/>
      <c r="G508" s="3127"/>
      <c r="H508" s="3128">
        <v>60000</v>
      </c>
      <c r="I508" s="3129"/>
      <c r="J508" s="3128"/>
      <c r="K508" s="3129"/>
      <c r="L508" s="3130" t="s">
        <v>1109</v>
      </c>
      <c r="M508" s="3131"/>
      <c r="N508" s="3131"/>
      <c r="O508" s="3131"/>
      <c r="P508" s="3132"/>
    </row>
    <row r="509" spans="1:17" ht="12.75" customHeight="1" x14ac:dyDescent="0.2">
      <c r="C509" s="3125" t="s">
        <v>1080</v>
      </c>
      <c r="D509" s="3126"/>
      <c r="E509" s="3126"/>
      <c r="F509" s="3126"/>
      <c r="G509" s="3127"/>
      <c r="H509" s="3128">
        <v>7200</v>
      </c>
      <c r="I509" s="3129"/>
      <c r="J509" s="3128"/>
      <c r="K509" s="3129"/>
      <c r="L509" s="3130" t="s">
        <v>407</v>
      </c>
      <c r="M509" s="3131"/>
      <c r="N509" s="3131"/>
      <c r="O509" s="3131"/>
      <c r="P509" s="3132"/>
    </row>
    <row r="510" spans="1:17" ht="12.75" customHeight="1" x14ac:dyDescent="0.2">
      <c r="C510" s="3125" t="s">
        <v>1110</v>
      </c>
      <c r="D510" s="3126"/>
      <c r="E510" s="3126"/>
      <c r="F510" s="3126"/>
      <c r="G510" s="3127"/>
      <c r="H510" s="3128"/>
      <c r="I510" s="3129"/>
      <c r="J510" s="3128">
        <v>48000</v>
      </c>
      <c r="K510" s="3129"/>
      <c r="L510" s="3130" t="s">
        <v>53</v>
      </c>
      <c r="M510" s="3131"/>
      <c r="N510" s="3131"/>
      <c r="O510" s="3131"/>
      <c r="P510" s="3132"/>
    </row>
    <row r="511" spans="1:17" ht="12.75" customHeight="1" x14ac:dyDescent="0.2">
      <c r="C511" s="3125" t="s">
        <v>1211</v>
      </c>
      <c r="D511" s="3126"/>
      <c r="E511" s="3126"/>
      <c r="F511" s="3126"/>
      <c r="G511" s="3127"/>
      <c r="H511" s="3128"/>
      <c r="I511" s="3129"/>
      <c r="J511" s="3128">
        <v>7500</v>
      </c>
      <c r="K511" s="3129"/>
      <c r="L511" s="3130" t="s">
        <v>794</v>
      </c>
      <c r="M511" s="3131"/>
      <c r="N511" s="3131"/>
      <c r="O511" s="3131"/>
      <c r="P511" s="3132"/>
    </row>
    <row r="512" spans="1:17" ht="12.75" customHeight="1" x14ac:dyDescent="0.2">
      <c r="C512" s="3125" t="s">
        <v>1212</v>
      </c>
      <c r="D512" s="3126"/>
      <c r="E512" s="3126"/>
      <c r="F512" s="3126"/>
      <c r="G512" s="3127"/>
      <c r="H512" s="3128"/>
      <c r="I512" s="3129"/>
      <c r="J512" s="3128">
        <v>24000</v>
      </c>
      <c r="K512" s="3129"/>
      <c r="L512" s="3130" t="s">
        <v>53</v>
      </c>
      <c r="M512" s="3131"/>
      <c r="N512" s="3131"/>
      <c r="O512" s="3131"/>
      <c r="P512" s="3132"/>
    </row>
    <row r="513" spans="3:16" ht="12.75" customHeight="1" x14ac:dyDescent="0.2">
      <c r="C513" s="3125" t="s">
        <v>1113</v>
      </c>
      <c r="D513" s="3126"/>
      <c r="E513" s="3126"/>
      <c r="F513" s="3126"/>
      <c r="G513" s="3127"/>
      <c r="H513" s="3128">
        <v>16000</v>
      </c>
      <c r="I513" s="3129"/>
      <c r="J513" s="3128"/>
      <c r="K513" s="3129"/>
      <c r="L513" s="3130" t="s">
        <v>1114</v>
      </c>
      <c r="M513" s="3131"/>
      <c r="N513" s="3131"/>
      <c r="O513" s="3131"/>
      <c r="P513" s="3132"/>
    </row>
    <row r="514" spans="3:16" ht="12.75" customHeight="1" x14ac:dyDescent="0.2">
      <c r="C514" s="3125" t="s">
        <v>1213</v>
      </c>
      <c r="D514" s="3126"/>
      <c r="E514" s="3126"/>
      <c r="F514" s="3126"/>
      <c r="G514" s="3127"/>
      <c r="H514" s="3128">
        <v>3750</v>
      </c>
      <c r="I514" s="3129"/>
      <c r="J514" s="3128"/>
      <c r="K514" s="3129"/>
      <c r="L514" s="3130" t="s">
        <v>1109</v>
      </c>
      <c r="M514" s="3131"/>
      <c r="N514" s="3131"/>
      <c r="O514" s="3131"/>
      <c r="P514" s="3132"/>
    </row>
    <row r="515" spans="3:16" ht="12.75" customHeight="1" x14ac:dyDescent="0.2">
      <c r="C515" s="3125" t="s">
        <v>1214</v>
      </c>
      <c r="D515" s="3126"/>
      <c r="E515" s="3126"/>
      <c r="F515" s="3126"/>
      <c r="G515" s="3127"/>
      <c r="H515" s="3128">
        <v>12000</v>
      </c>
      <c r="I515" s="3129"/>
      <c r="J515" s="3128"/>
      <c r="K515" s="3129"/>
      <c r="L515" s="3130" t="s">
        <v>1109</v>
      </c>
      <c r="M515" s="3131"/>
      <c r="N515" s="3131"/>
      <c r="O515" s="3131"/>
      <c r="P515" s="3132"/>
    </row>
    <row r="516" spans="3:16" ht="12.75" customHeight="1" x14ac:dyDescent="0.2">
      <c r="C516" s="3125" t="s">
        <v>1173</v>
      </c>
      <c r="D516" s="3126"/>
      <c r="E516" s="3126"/>
      <c r="F516" s="3126"/>
      <c r="G516" s="3127"/>
      <c r="H516" s="3128"/>
      <c r="I516" s="3129"/>
      <c r="J516" s="3128">
        <v>23000</v>
      </c>
      <c r="K516" s="3129"/>
      <c r="L516" s="3130" t="s">
        <v>404</v>
      </c>
      <c r="M516" s="3131"/>
      <c r="N516" s="3131"/>
      <c r="O516" s="3131"/>
      <c r="P516" s="3132"/>
    </row>
    <row r="517" spans="3:16" ht="12.75" customHeight="1" x14ac:dyDescent="0.2">
      <c r="C517" s="3125" t="s">
        <v>1215</v>
      </c>
      <c r="D517" s="3126"/>
      <c r="E517" s="3126"/>
      <c r="F517" s="3126"/>
      <c r="G517" s="3127"/>
      <c r="H517" s="3128">
        <v>5600</v>
      </c>
      <c r="I517" s="3129"/>
      <c r="J517" s="3128"/>
      <c r="K517" s="3129"/>
      <c r="L517" s="3130" t="s">
        <v>19</v>
      </c>
      <c r="M517" s="3131"/>
      <c r="N517" s="3131"/>
      <c r="O517" s="3131"/>
      <c r="P517" s="3132"/>
    </row>
    <row r="518" spans="3:16" ht="12.75" customHeight="1" x14ac:dyDescent="0.2">
      <c r="C518" s="3125" t="s">
        <v>1216</v>
      </c>
      <c r="D518" s="3126"/>
      <c r="E518" s="3126"/>
      <c r="F518" s="3126"/>
      <c r="G518" s="3127"/>
      <c r="H518" s="3128">
        <v>38500</v>
      </c>
      <c r="I518" s="3129"/>
      <c r="J518" s="3128"/>
      <c r="K518" s="3129"/>
      <c r="L518" s="3130" t="s">
        <v>397</v>
      </c>
      <c r="M518" s="3131"/>
      <c r="N518" s="3131"/>
      <c r="O518" s="3131"/>
      <c r="P518" s="3132"/>
    </row>
    <row r="519" spans="3:16" ht="12.75" customHeight="1" x14ac:dyDescent="0.2">
      <c r="C519" s="3125" t="s">
        <v>1177</v>
      </c>
      <c r="D519" s="3126"/>
      <c r="E519" s="3126"/>
      <c r="F519" s="3126"/>
      <c r="G519" s="3127"/>
      <c r="H519" s="3128">
        <v>12000</v>
      </c>
      <c r="I519" s="3129"/>
      <c r="J519" s="3128"/>
      <c r="K519" s="3129"/>
      <c r="L519" s="3130" t="s">
        <v>397</v>
      </c>
      <c r="M519" s="3131"/>
      <c r="N519" s="3131"/>
      <c r="O519" s="3131"/>
      <c r="P519" s="3132"/>
    </row>
    <row r="520" spans="3:16" ht="12.75" customHeight="1" x14ac:dyDescent="0.2">
      <c r="C520" s="3125" t="s">
        <v>1086</v>
      </c>
      <c r="D520" s="3126"/>
      <c r="E520" s="3126"/>
      <c r="F520" s="3126"/>
      <c r="G520" s="3127"/>
      <c r="H520" s="3128">
        <v>11500</v>
      </c>
      <c r="I520" s="3129"/>
      <c r="J520" s="3128"/>
      <c r="K520" s="3129"/>
      <c r="L520" s="3130" t="s">
        <v>1114</v>
      </c>
      <c r="M520" s="3131"/>
      <c r="N520" s="3131"/>
      <c r="O520" s="3131"/>
      <c r="P520" s="3132"/>
    </row>
    <row r="521" spans="3:16" ht="12.75" customHeight="1" x14ac:dyDescent="0.2">
      <c r="C521" s="3125" t="s">
        <v>1178</v>
      </c>
      <c r="D521" s="3126"/>
      <c r="E521" s="3126"/>
      <c r="F521" s="3126"/>
      <c r="G521" s="3127"/>
      <c r="H521" s="3128"/>
      <c r="I521" s="3129"/>
      <c r="J521" s="3128">
        <v>15000</v>
      </c>
      <c r="K521" s="3129"/>
      <c r="L521" s="3130" t="s">
        <v>399</v>
      </c>
      <c r="M521" s="3131"/>
      <c r="N521" s="3131"/>
      <c r="O521" s="3131"/>
      <c r="P521" s="3132"/>
    </row>
    <row r="522" spans="3:16" ht="12.75" customHeight="1" x14ac:dyDescent="0.2">
      <c r="C522" s="3125" t="s">
        <v>1339</v>
      </c>
      <c r="D522" s="3126"/>
      <c r="E522" s="3126"/>
      <c r="F522" s="3126"/>
      <c r="G522" s="3127"/>
      <c r="H522" s="3128">
        <v>6300</v>
      </c>
      <c r="I522" s="3129"/>
      <c r="J522" s="3128"/>
      <c r="K522" s="3129"/>
      <c r="L522" s="3130" t="s">
        <v>1109</v>
      </c>
      <c r="M522" s="3131"/>
      <c r="N522" s="3131"/>
      <c r="O522" s="3131"/>
      <c r="P522" s="3132"/>
    </row>
    <row r="523" spans="3:16" ht="12.75" customHeight="1" x14ac:dyDescent="0.2">
      <c r="C523" s="3125" t="s">
        <v>1217</v>
      </c>
      <c r="D523" s="3126"/>
      <c r="E523" s="3126"/>
      <c r="F523" s="3126"/>
      <c r="G523" s="3127"/>
      <c r="H523" s="3128">
        <v>3500</v>
      </c>
      <c r="I523" s="3129"/>
      <c r="J523" s="3128"/>
      <c r="K523" s="3129"/>
      <c r="L523" s="3130" t="s">
        <v>1218</v>
      </c>
      <c r="M523" s="3131"/>
      <c r="N523" s="3131"/>
      <c r="O523" s="3131"/>
      <c r="P523" s="3132"/>
    </row>
    <row r="524" spans="3:16" ht="12.75" customHeight="1" x14ac:dyDescent="0.2">
      <c r="C524" s="3125" t="s">
        <v>1179</v>
      </c>
      <c r="D524" s="3126"/>
      <c r="E524" s="3126"/>
      <c r="F524" s="3126"/>
      <c r="G524" s="3127"/>
      <c r="H524" s="3128">
        <v>75000</v>
      </c>
      <c r="I524" s="3129"/>
      <c r="J524" s="3128"/>
      <c r="K524" s="3129"/>
      <c r="L524" s="3130" t="s">
        <v>400</v>
      </c>
      <c r="M524" s="3131"/>
      <c r="N524" s="3131"/>
      <c r="O524" s="3131"/>
      <c r="P524" s="3132"/>
    </row>
    <row r="525" spans="3:16" ht="12.75" customHeight="1" x14ac:dyDescent="0.2">
      <c r="C525" s="3125" t="s">
        <v>292</v>
      </c>
      <c r="D525" s="3126"/>
      <c r="E525" s="3126"/>
      <c r="F525" s="3126"/>
      <c r="G525" s="3127"/>
      <c r="H525" s="3128">
        <v>145000</v>
      </c>
      <c r="I525" s="3129"/>
      <c r="J525" s="3128"/>
      <c r="K525" s="3129"/>
      <c r="L525" s="3130" t="s">
        <v>403</v>
      </c>
      <c r="M525" s="3131"/>
      <c r="N525" s="3131"/>
      <c r="O525" s="3131"/>
      <c r="P525" s="3132"/>
    </row>
    <row r="526" spans="3:16" ht="12.75" customHeight="1" x14ac:dyDescent="0.2">
      <c r="C526" s="3125" t="s">
        <v>1180</v>
      </c>
      <c r="D526" s="3126"/>
      <c r="E526" s="3126"/>
      <c r="F526" s="3126"/>
      <c r="G526" s="3127"/>
      <c r="H526" s="3128">
        <v>7500</v>
      </c>
      <c r="I526" s="3129"/>
      <c r="J526" s="3128"/>
      <c r="K526" s="3129"/>
      <c r="L526" s="3130" t="s">
        <v>1060</v>
      </c>
      <c r="M526" s="3131"/>
      <c r="N526" s="3131"/>
      <c r="O526" s="3131"/>
      <c r="P526" s="3132"/>
    </row>
    <row r="527" spans="3:16" ht="12.75" customHeight="1" x14ac:dyDescent="0.2">
      <c r="C527" s="3125" t="s">
        <v>1184</v>
      </c>
      <c r="D527" s="3126"/>
      <c r="E527" s="3126"/>
      <c r="F527" s="3126"/>
      <c r="G527" s="3127"/>
      <c r="H527" s="3128">
        <v>13800</v>
      </c>
      <c r="I527" s="3129"/>
      <c r="J527" s="3128"/>
      <c r="K527" s="3129"/>
      <c r="L527" s="3130" t="s">
        <v>403</v>
      </c>
      <c r="M527" s="3131"/>
      <c r="N527" s="3131"/>
      <c r="O527" s="3131"/>
      <c r="P527" s="3132"/>
    </row>
    <row r="528" spans="3:16" ht="12.75" customHeight="1" x14ac:dyDescent="0.2">
      <c r="C528" s="3125" t="s">
        <v>1185</v>
      </c>
      <c r="D528" s="3126"/>
      <c r="E528" s="3126"/>
      <c r="F528" s="3126"/>
      <c r="G528" s="3127"/>
      <c r="H528" s="3128"/>
      <c r="I528" s="3129"/>
      <c r="J528" s="3128">
        <v>25000</v>
      </c>
      <c r="K528" s="3129"/>
      <c r="L528" s="3130" t="s">
        <v>404</v>
      </c>
      <c r="M528" s="3131"/>
      <c r="N528" s="3131"/>
      <c r="O528" s="3131"/>
      <c r="P528" s="3132"/>
    </row>
    <row r="529" spans="3:16" ht="12.75" customHeight="1" x14ac:dyDescent="0.2">
      <c r="C529" s="3125" t="s">
        <v>405</v>
      </c>
      <c r="D529" s="3126"/>
      <c r="E529" s="3126"/>
      <c r="F529" s="3126"/>
      <c r="G529" s="3127"/>
      <c r="H529" s="3128">
        <v>800000</v>
      </c>
      <c r="I529" s="3129"/>
      <c r="J529" s="3128"/>
      <c r="K529" s="3129"/>
      <c r="L529" s="3130" t="s">
        <v>53</v>
      </c>
      <c r="M529" s="3131"/>
      <c r="N529" s="3131"/>
      <c r="O529" s="3131"/>
      <c r="P529" s="3132"/>
    </row>
    <row r="530" spans="3:16" ht="12.75" customHeight="1" x14ac:dyDescent="0.2">
      <c r="C530" s="3125" t="s">
        <v>1125</v>
      </c>
      <c r="D530" s="3126"/>
      <c r="E530" s="3126"/>
      <c r="F530" s="3126"/>
      <c r="G530" s="3127"/>
      <c r="H530" s="3128">
        <v>1050</v>
      </c>
      <c r="I530" s="3129"/>
      <c r="J530" s="3128"/>
      <c r="K530" s="3129"/>
      <c r="L530" s="3130" t="s">
        <v>1114</v>
      </c>
      <c r="M530" s="3131"/>
      <c r="N530" s="3131"/>
      <c r="O530" s="3131"/>
      <c r="P530" s="3132"/>
    </row>
    <row r="531" spans="3:16" ht="12.75" customHeight="1" x14ac:dyDescent="0.2">
      <c r="C531" s="3125" t="s">
        <v>1219</v>
      </c>
      <c r="D531" s="3126"/>
      <c r="E531" s="3126"/>
      <c r="F531" s="3126"/>
      <c r="G531" s="3127"/>
      <c r="H531" s="3128">
        <v>11300</v>
      </c>
      <c r="I531" s="3129"/>
      <c r="J531" s="3128"/>
      <c r="K531" s="3129"/>
      <c r="L531" s="3130" t="s">
        <v>1114</v>
      </c>
      <c r="M531" s="3131"/>
      <c r="N531" s="3131"/>
      <c r="O531" s="3131"/>
      <c r="P531" s="3132"/>
    </row>
    <row r="532" spans="3:16" ht="12.75" customHeight="1" x14ac:dyDescent="0.2">
      <c r="C532" s="3125" t="s">
        <v>1220</v>
      </c>
      <c r="D532" s="3126"/>
      <c r="E532" s="3126"/>
      <c r="F532" s="3126"/>
      <c r="G532" s="3127"/>
      <c r="H532" s="3128">
        <v>3500</v>
      </c>
      <c r="I532" s="3129"/>
      <c r="J532" s="3128"/>
      <c r="K532" s="3129"/>
      <c r="L532" s="3130" t="s">
        <v>1109</v>
      </c>
      <c r="M532" s="3131"/>
      <c r="N532" s="3131"/>
      <c r="O532" s="3131"/>
      <c r="P532" s="3132"/>
    </row>
    <row r="533" spans="3:16" ht="12.75" customHeight="1" x14ac:dyDescent="0.2">
      <c r="C533" s="3125" t="s">
        <v>1190</v>
      </c>
      <c r="D533" s="3126"/>
      <c r="E533" s="3126"/>
      <c r="F533" s="3126"/>
      <c r="G533" s="3127"/>
      <c r="H533" s="3128"/>
      <c r="I533" s="3129"/>
      <c r="J533" s="3128">
        <v>1350</v>
      </c>
      <c r="K533" s="3129"/>
      <c r="L533" s="3130" t="s">
        <v>1085</v>
      </c>
      <c r="M533" s="3131"/>
      <c r="N533" s="3131"/>
      <c r="O533" s="3131"/>
      <c r="P533" s="3132"/>
    </row>
    <row r="534" spans="3:16" ht="12.75" customHeight="1" x14ac:dyDescent="0.2">
      <c r="C534" s="3125" t="s">
        <v>1191</v>
      </c>
      <c r="D534" s="3126"/>
      <c r="E534" s="3126"/>
      <c r="F534" s="3126"/>
      <c r="G534" s="3127"/>
      <c r="H534" s="3128">
        <v>70000</v>
      </c>
      <c r="I534" s="3129"/>
      <c r="J534" s="3128"/>
      <c r="K534" s="3129"/>
      <c r="L534" s="3130" t="s">
        <v>1221</v>
      </c>
      <c r="M534" s="3131"/>
      <c r="N534" s="3131"/>
      <c r="O534" s="3131"/>
      <c r="P534" s="3132"/>
    </row>
    <row r="535" spans="3:16" ht="12.75" customHeight="1" x14ac:dyDescent="0.2">
      <c r="C535" s="3125" t="s">
        <v>490</v>
      </c>
      <c r="D535" s="3126"/>
      <c r="E535" s="3126"/>
      <c r="F535" s="3126"/>
      <c r="G535" s="3127"/>
      <c r="H535" s="3128"/>
      <c r="I535" s="3129"/>
      <c r="J535" s="3128">
        <v>21000</v>
      </c>
      <c r="K535" s="3129"/>
      <c r="L535" s="3130" t="s">
        <v>1218</v>
      </c>
      <c r="M535" s="3131"/>
      <c r="N535" s="3131"/>
      <c r="O535" s="3131"/>
      <c r="P535" s="3132"/>
    </row>
    <row r="536" spans="3:16" ht="12.75" customHeight="1" x14ac:dyDescent="0.2">
      <c r="C536" s="3125" t="s">
        <v>1195</v>
      </c>
      <c r="D536" s="3126"/>
      <c r="E536" s="3126"/>
      <c r="F536" s="3126"/>
      <c r="G536" s="3127"/>
      <c r="H536" s="3128"/>
      <c r="I536" s="3129"/>
      <c r="J536" s="3128">
        <v>8500</v>
      </c>
      <c r="K536" s="3129"/>
      <c r="L536" s="3130" t="s">
        <v>399</v>
      </c>
      <c r="M536" s="3131"/>
      <c r="N536" s="3131"/>
      <c r="O536" s="3131"/>
      <c r="P536" s="3132"/>
    </row>
    <row r="537" spans="3:16" ht="12.75" customHeight="1" x14ac:dyDescent="0.2">
      <c r="C537" s="3125" t="s">
        <v>1222</v>
      </c>
      <c r="D537" s="3126"/>
      <c r="E537" s="3126"/>
      <c r="F537" s="3126"/>
      <c r="G537" s="3127"/>
      <c r="H537" s="3128">
        <v>75000</v>
      </c>
      <c r="I537" s="3129"/>
      <c r="J537" s="3128"/>
      <c r="K537" s="3129"/>
      <c r="L537" s="3130" t="s">
        <v>794</v>
      </c>
      <c r="M537" s="3131"/>
      <c r="N537" s="3131"/>
      <c r="O537" s="3131"/>
      <c r="P537" s="3132"/>
    </row>
    <row r="538" spans="3:16" ht="12.75" customHeight="1" x14ac:dyDescent="0.2">
      <c r="C538" s="3125" t="s">
        <v>1223</v>
      </c>
      <c r="D538" s="3126"/>
      <c r="E538" s="3126"/>
      <c r="F538" s="3126"/>
      <c r="G538" s="3127"/>
      <c r="H538" s="3128">
        <v>12000</v>
      </c>
      <c r="I538" s="3129"/>
      <c r="J538" s="3128"/>
      <c r="K538" s="3129"/>
      <c r="L538" s="3130" t="s">
        <v>1109</v>
      </c>
      <c r="M538" s="3131"/>
      <c r="N538" s="3131"/>
      <c r="O538" s="3131"/>
      <c r="P538" s="3132"/>
    </row>
    <row r="539" spans="3:16" ht="12.75" customHeight="1" x14ac:dyDescent="0.2">
      <c r="C539" s="3125" t="s">
        <v>1224</v>
      </c>
      <c r="D539" s="3126"/>
      <c r="E539" s="3126"/>
      <c r="F539" s="3126"/>
      <c r="G539" s="3127"/>
      <c r="H539" s="3128">
        <v>7100</v>
      </c>
      <c r="I539" s="3129"/>
      <c r="J539" s="3128"/>
      <c r="K539" s="3129"/>
      <c r="L539" s="3130" t="s">
        <v>1109</v>
      </c>
      <c r="M539" s="3131"/>
      <c r="N539" s="3131"/>
      <c r="O539" s="3131"/>
      <c r="P539" s="3132"/>
    </row>
    <row r="540" spans="3:16" ht="12.75" customHeight="1" x14ac:dyDescent="0.2">
      <c r="C540" s="3125" t="s">
        <v>5</v>
      </c>
      <c r="D540" s="3126"/>
      <c r="E540" s="3126"/>
      <c r="F540" s="3126"/>
      <c r="G540" s="3127"/>
      <c r="H540" s="3128">
        <v>63000</v>
      </c>
      <c r="I540" s="3129"/>
      <c r="J540" s="3128"/>
      <c r="K540" s="3129"/>
      <c r="L540" s="3130" t="s">
        <v>19</v>
      </c>
      <c r="M540" s="3131"/>
      <c r="N540" s="3131"/>
      <c r="O540" s="3131"/>
      <c r="P540" s="3132"/>
    </row>
    <row r="541" spans="3:16" ht="12.75" customHeight="1" x14ac:dyDescent="0.2">
      <c r="C541" s="3125" t="s">
        <v>1225</v>
      </c>
      <c r="D541" s="3126"/>
      <c r="E541" s="3126"/>
      <c r="F541" s="3126"/>
      <c r="G541" s="3127"/>
      <c r="H541" s="3128">
        <v>30000</v>
      </c>
      <c r="I541" s="3129"/>
      <c r="J541" s="3128"/>
      <c r="K541" s="3129"/>
      <c r="L541" s="3130" t="s">
        <v>1085</v>
      </c>
      <c r="M541" s="3131"/>
      <c r="N541" s="3131"/>
      <c r="O541" s="3131"/>
      <c r="P541" s="3132"/>
    </row>
    <row r="542" spans="3:16" ht="12.75" customHeight="1" x14ac:dyDescent="0.2">
      <c r="C542" s="3125" t="s">
        <v>1198</v>
      </c>
      <c r="D542" s="3126"/>
      <c r="E542" s="3126"/>
      <c r="F542" s="3126"/>
      <c r="G542" s="3127"/>
      <c r="H542" s="3128"/>
      <c r="I542" s="3129"/>
      <c r="J542" s="3128">
        <v>200000</v>
      </c>
      <c r="K542" s="3129"/>
      <c r="L542" s="3130" t="s">
        <v>1221</v>
      </c>
      <c r="M542" s="3131"/>
      <c r="N542" s="3131"/>
      <c r="O542" s="3131"/>
      <c r="P542" s="3132"/>
    </row>
    <row r="543" spans="3:16" ht="12.75" customHeight="1" x14ac:dyDescent="0.2">
      <c r="C543" s="3125" t="s">
        <v>1199</v>
      </c>
      <c r="D543" s="3126"/>
      <c r="E543" s="3126"/>
      <c r="F543" s="3126"/>
      <c r="G543" s="3127"/>
      <c r="H543" s="3128"/>
      <c r="I543" s="3129"/>
      <c r="J543" s="3128">
        <v>45000</v>
      </c>
      <c r="K543" s="3129"/>
      <c r="L543" s="3130" t="s">
        <v>1200</v>
      </c>
      <c r="M543" s="3131"/>
      <c r="N543" s="3131"/>
      <c r="O543" s="3131"/>
      <c r="P543" s="3132"/>
    </row>
    <row r="544" spans="3:16" ht="12.75" customHeight="1" x14ac:dyDescent="0.2">
      <c r="C544" s="3125" t="s">
        <v>1226</v>
      </c>
      <c r="D544" s="3126"/>
      <c r="E544" s="3126"/>
      <c r="F544" s="3126"/>
      <c r="G544" s="3127"/>
      <c r="H544" s="3128"/>
      <c r="I544" s="3129"/>
      <c r="J544" s="3128">
        <v>6300</v>
      </c>
      <c r="K544" s="3129"/>
      <c r="L544" s="3130" t="s">
        <v>19</v>
      </c>
      <c r="M544" s="3131"/>
      <c r="N544" s="3131"/>
      <c r="O544" s="3131"/>
      <c r="P544" s="3132"/>
    </row>
    <row r="545" spans="1:17" ht="12.75" customHeight="1" x14ac:dyDescent="0.2">
      <c r="C545" s="3125" t="s">
        <v>548</v>
      </c>
      <c r="D545" s="3126"/>
      <c r="E545" s="3126"/>
      <c r="F545" s="3126"/>
      <c r="G545" s="3127"/>
      <c r="H545" s="3128"/>
      <c r="I545" s="3129"/>
      <c r="J545" s="3128">
        <v>150000</v>
      </c>
      <c r="K545" s="3129"/>
      <c r="L545" s="3130" t="s">
        <v>1047</v>
      </c>
      <c r="M545" s="3131"/>
      <c r="N545" s="3131"/>
      <c r="O545" s="3131"/>
      <c r="P545" s="3132"/>
    </row>
    <row r="546" spans="1:17" ht="12.75" customHeight="1" x14ac:dyDescent="0.2">
      <c r="C546" s="3125" t="s">
        <v>2</v>
      </c>
      <c r="D546" s="3126"/>
      <c r="E546" s="3126"/>
      <c r="F546" s="3126"/>
      <c r="G546" s="3127"/>
      <c r="H546" s="3128"/>
      <c r="I546" s="3129"/>
      <c r="J546" s="3128">
        <v>37800</v>
      </c>
      <c r="K546" s="3129"/>
      <c r="L546" s="3130" t="s">
        <v>1069</v>
      </c>
      <c r="M546" s="3131"/>
      <c r="N546" s="3131"/>
      <c r="O546" s="3131"/>
      <c r="P546" s="3132"/>
    </row>
    <row r="547" spans="1:17" ht="12.75" customHeight="1" x14ac:dyDescent="0.2">
      <c r="C547" s="3125" t="s">
        <v>1201</v>
      </c>
      <c r="D547" s="3126"/>
      <c r="E547" s="3126"/>
      <c r="F547" s="3126"/>
      <c r="G547" s="3127"/>
      <c r="H547" s="3128">
        <v>22000</v>
      </c>
      <c r="I547" s="3129"/>
      <c r="J547" s="3128"/>
      <c r="K547" s="3129"/>
      <c r="L547" s="3130" t="s">
        <v>1109</v>
      </c>
      <c r="M547" s="3131"/>
      <c r="N547" s="3131"/>
      <c r="O547" s="3131"/>
      <c r="P547" s="3132"/>
    </row>
    <row r="548" spans="1:17" ht="12.75" customHeight="1" x14ac:dyDescent="0.2">
      <c r="C548" s="3125" t="s">
        <v>487</v>
      </c>
      <c r="D548" s="3126"/>
      <c r="E548" s="3126"/>
      <c r="F548" s="3126"/>
      <c r="G548" s="3127"/>
      <c r="H548" s="3128"/>
      <c r="I548" s="3129"/>
      <c r="J548" s="3128">
        <v>55000</v>
      </c>
      <c r="K548" s="3129"/>
      <c r="L548" s="3130" t="s">
        <v>1047</v>
      </c>
      <c r="M548" s="3131"/>
      <c r="N548" s="3131"/>
      <c r="O548" s="3131"/>
      <c r="P548" s="3132"/>
    </row>
    <row r="549" spans="1:17" ht="12.75" customHeight="1" x14ac:dyDescent="0.2">
      <c r="C549" s="3125" t="s">
        <v>1202</v>
      </c>
      <c r="D549" s="3126"/>
      <c r="E549" s="3126"/>
      <c r="F549" s="3126"/>
      <c r="G549" s="3127"/>
      <c r="H549" s="3128"/>
      <c r="I549" s="3129"/>
      <c r="J549" s="3128">
        <v>37450</v>
      </c>
      <c r="K549" s="3129"/>
      <c r="L549" s="3130" t="s">
        <v>1094</v>
      </c>
      <c r="M549" s="3131"/>
      <c r="N549" s="3131"/>
      <c r="O549" s="3131"/>
      <c r="P549" s="3132"/>
    </row>
    <row r="550" spans="1:17" ht="12.75" customHeight="1" x14ac:dyDescent="0.2">
      <c r="C550" s="3125" t="s">
        <v>26</v>
      </c>
      <c r="D550" s="3126"/>
      <c r="E550" s="3126"/>
      <c r="F550" s="3126"/>
      <c r="G550" s="3127"/>
      <c r="H550" s="3128">
        <v>120000</v>
      </c>
      <c r="I550" s="3129"/>
      <c r="J550" s="3128"/>
      <c r="K550" s="3129"/>
      <c r="L550" s="3130" t="s">
        <v>53</v>
      </c>
      <c r="M550" s="3131"/>
      <c r="N550" s="3131"/>
      <c r="O550" s="3131"/>
      <c r="P550" s="3132"/>
    </row>
    <row r="551" spans="1:17" ht="12.75" customHeight="1" x14ac:dyDescent="0.2">
      <c r="C551" s="3125" t="s">
        <v>1227</v>
      </c>
      <c r="D551" s="3126"/>
      <c r="E551" s="3126"/>
      <c r="F551" s="3126"/>
      <c r="G551" s="3127"/>
      <c r="H551" s="3128">
        <v>18000</v>
      </c>
      <c r="I551" s="3129"/>
      <c r="J551" s="3128"/>
      <c r="K551" s="3129"/>
      <c r="L551" s="3130" t="s">
        <v>1114</v>
      </c>
      <c r="M551" s="3131"/>
      <c r="N551" s="3131"/>
      <c r="O551" s="3131"/>
      <c r="P551" s="3132"/>
    </row>
    <row r="552" spans="1:17" ht="12.75" customHeight="1" x14ac:dyDescent="0.2">
      <c r="C552" s="3125" t="s">
        <v>297</v>
      </c>
      <c r="D552" s="3126"/>
      <c r="E552" s="3126"/>
      <c r="F552" s="3126"/>
      <c r="G552" s="3127"/>
      <c r="H552" s="3128">
        <f>50000+19500</f>
        <v>69500</v>
      </c>
      <c r="I552" s="3129"/>
      <c r="J552" s="3128"/>
      <c r="K552" s="3129"/>
      <c r="L552" s="3130" t="s">
        <v>1114</v>
      </c>
      <c r="M552" s="3131"/>
      <c r="N552" s="3131"/>
      <c r="O552" s="3131"/>
      <c r="P552" s="3132"/>
    </row>
    <row r="553" spans="1:17" ht="12.75" customHeight="1" x14ac:dyDescent="0.2">
      <c r="C553" s="3125" t="s">
        <v>1205</v>
      </c>
      <c r="D553" s="3126"/>
      <c r="E553" s="3126"/>
      <c r="F553" s="3126"/>
      <c r="G553" s="3127"/>
      <c r="H553" s="3128">
        <v>100000</v>
      </c>
      <c r="I553" s="3129"/>
      <c r="J553" s="3128"/>
      <c r="K553" s="3129"/>
      <c r="L553" s="3130" t="s">
        <v>53</v>
      </c>
      <c r="M553" s="3131"/>
      <c r="N553" s="3131"/>
      <c r="O553" s="3131"/>
      <c r="P553" s="3132"/>
    </row>
    <row r="554" spans="1:17" ht="12.75" customHeight="1" x14ac:dyDescent="0.2">
      <c r="C554" s="3125" t="s">
        <v>227</v>
      </c>
      <c r="D554" s="3126"/>
      <c r="E554" s="3126"/>
      <c r="F554" s="3126"/>
      <c r="G554" s="3127"/>
      <c r="H554" s="3128">
        <v>8000</v>
      </c>
      <c r="I554" s="3129"/>
      <c r="J554" s="3128"/>
      <c r="K554" s="3129"/>
      <c r="L554" s="3130" t="s">
        <v>397</v>
      </c>
      <c r="M554" s="3131"/>
      <c r="N554" s="3131"/>
      <c r="O554" s="3131"/>
      <c r="P554" s="3132"/>
    </row>
    <row r="555" spans="1:17" ht="12.75" customHeight="1" x14ac:dyDescent="0.2">
      <c r="C555" s="3133" t="s">
        <v>1206</v>
      </c>
      <c r="D555" s="3134"/>
      <c r="E555" s="3134"/>
      <c r="F555" s="3134"/>
      <c r="G555" s="3135"/>
      <c r="H555" s="3136"/>
      <c r="I555" s="3137"/>
      <c r="J555" s="3136">
        <v>235000</v>
      </c>
      <c r="K555" s="3137"/>
      <c r="L555" s="3138" t="s">
        <v>1060</v>
      </c>
      <c r="M555" s="3139"/>
      <c r="N555" s="3139"/>
      <c r="O555" s="3139"/>
      <c r="P555" s="3140"/>
    </row>
    <row r="556" spans="1:17" ht="12.75" customHeight="1" x14ac:dyDescent="0.2">
      <c r="C556" s="3116" t="s">
        <v>1160</v>
      </c>
      <c r="D556" s="3117"/>
      <c r="E556" s="3117"/>
      <c r="F556" s="3117"/>
      <c r="G556" s="3118"/>
      <c r="H556" s="3119">
        <f>SUM(H506:H555)</f>
        <v>1828100</v>
      </c>
      <c r="I556" s="3120"/>
      <c r="J556" s="3119">
        <f>SUM(J506:J555)</f>
        <v>1828100</v>
      </c>
      <c r="K556" s="3120"/>
      <c r="L556" s="3121"/>
      <c r="M556" s="3122"/>
      <c r="N556" s="3122"/>
      <c r="O556" s="3122"/>
      <c r="P556" s="3123"/>
    </row>
    <row r="557" spans="1:17" ht="12.75" customHeight="1" x14ac:dyDescent="0.25"/>
    <row r="558" spans="1:17" s="4" customFormat="1" x14ac:dyDescent="0.25">
      <c r="B558" s="189"/>
      <c r="C558" s="12"/>
      <c r="D558" s="12"/>
      <c r="E558" s="12"/>
      <c r="F558" s="12"/>
      <c r="G558" s="51"/>
      <c r="H558" s="51"/>
      <c r="M558" s="18"/>
      <c r="N558" s="18"/>
      <c r="O558" s="18"/>
      <c r="P558" s="18"/>
    </row>
    <row r="559" spans="1:17" ht="15.75" thickBot="1" x14ac:dyDescent="0.3">
      <c r="A559" s="4"/>
      <c r="B559" s="189"/>
      <c r="G559" s="51"/>
      <c r="H559" s="51"/>
      <c r="I559" s="4"/>
      <c r="J559" s="4"/>
      <c r="K559" s="4"/>
      <c r="L559" s="4"/>
      <c r="M559" s="18"/>
      <c r="N559" s="18"/>
      <c r="O559" s="18"/>
      <c r="P559" s="18"/>
      <c r="Q559" s="4"/>
    </row>
    <row r="560" spans="1:17" ht="15.75" thickTop="1" x14ac:dyDescent="0.25">
      <c r="C560" s="755"/>
      <c r="D560" s="756"/>
      <c r="E560" s="756"/>
      <c r="F560" s="756"/>
      <c r="G560" s="757"/>
      <c r="H560" s="757"/>
      <c r="I560" s="758"/>
      <c r="J560" s="758"/>
      <c r="K560" s="758"/>
      <c r="L560" s="758"/>
      <c r="M560" s="759"/>
      <c r="N560" s="760"/>
    </row>
    <row r="561" spans="3:14" x14ac:dyDescent="0.25">
      <c r="C561" s="761"/>
      <c r="D561" s="3111" t="s">
        <v>1208</v>
      </c>
      <c r="E561" s="3111"/>
      <c r="F561" s="3111"/>
      <c r="G561" s="3111"/>
      <c r="H561" s="3111"/>
      <c r="I561" s="3111"/>
      <c r="J561" s="3111"/>
      <c r="K561" s="3111"/>
      <c r="L561" s="3111"/>
      <c r="M561" s="3111"/>
      <c r="N561" s="762"/>
    </row>
    <row r="562" spans="3:14" x14ac:dyDescent="0.25">
      <c r="C562" s="761"/>
      <c r="D562" s="3124" t="s">
        <v>413</v>
      </c>
      <c r="E562" s="3124"/>
      <c r="F562" s="3124"/>
      <c r="G562" s="3124"/>
      <c r="H562" s="3124"/>
      <c r="I562" s="3124"/>
      <c r="J562" s="3124"/>
      <c r="K562" s="3124"/>
      <c r="L562" s="3124"/>
      <c r="M562" s="3124"/>
      <c r="N562" s="762"/>
    </row>
    <row r="563" spans="3:14" x14ac:dyDescent="0.25">
      <c r="C563" s="761"/>
      <c r="D563" s="3112" t="s">
        <v>1059</v>
      </c>
      <c r="E563" s="3112"/>
      <c r="F563" s="3112"/>
      <c r="G563" s="3112"/>
      <c r="H563" s="3112"/>
      <c r="I563" s="3112"/>
      <c r="J563" s="3112"/>
      <c r="K563" s="3112"/>
      <c r="L563" s="3112"/>
      <c r="M563" s="3112"/>
      <c r="N563" s="762"/>
    </row>
    <row r="564" spans="3:14" x14ac:dyDescent="0.25">
      <c r="C564" s="761"/>
      <c r="D564" s="3115" t="s">
        <v>497</v>
      </c>
      <c r="E564" s="3115"/>
      <c r="F564" s="3115"/>
      <c r="G564" s="3115"/>
      <c r="H564" s="3115"/>
      <c r="I564" s="3115"/>
      <c r="J564" s="3115"/>
      <c r="K564" s="3115"/>
      <c r="L564" s="3115"/>
      <c r="M564" s="3115"/>
      <c r="N564" s="762"/>
    </row>
    <row r="565" spans="3:14" x14ac:dyDescent="0.25">
      <c r="C565" s="763"/>
      <c r="D565" s="764"/>
      <c r="E565" s="764"/>
      <c r="F565" s="173"/>
      <c r="G565" s="189"/>
      <c r="H565" s="189"/>
      <c r="I565" s="4"/>
      <c r="J565" s="4"/>
      <c r="K565" s="4"/>
      <c r="L565" s="4"/>
      <c r="M565" s="18"/>
      <c r="N565" s="762"/>
    </row>
    <row r="566" spans="3:14" x14ac:dyDescent="0.25">
      <c r="C566" s="761"/>
      <c r="D566" s="765" t="s">
        <v>1060</v>
      </c>
      <c r="E566" s="4"/>
      <c r="F566" s="173"/>
      <c r="G566" s="189"/>
      <c r="H566" s="189"/>
      <c r="I566" s="4"/>
      <c r="J566" s="4"/>
      <c r="K566" s="4"/>
      <c r="L566" s="3108">
        <f ca="1">+SUMIF($L$506:$P$555,D566,$J$506:$K$555)-SUMIF($L$506:$P$555,D566,$H$506:$I$555)</f>
        <v>227500</v>
      </c>
      <c r="M566" s="3108"/>
      <c r="N566" s="762"/>
    </row>
    <row r="567" spans="3:14" x14ac:dyDescent="0.25">
      <c r="C567" s="761"/>
      <c r="D567" s="765" t="s">
        <v>400</v>
      </c>
      <c r="E567" s="4"/>
      <c r="G567" s="189"/>
      <c r="H567" s="189"/>
      <c r="I567" s="4"/>
      <c r="J567" s="4"/>
      <c r="K567" s="4"/>
      <c r="L567" s="3108">
        <f ca="1">+SUMIF($L$506:$P$555,D567,$J$506:$K$555)-SUMIF($L$506:$P$555,D567,$H$506:$I$555)</f>
        <v>-75000</v>
      </c>
      <c r="M567" s="3108"/>
      <c r="N567" s="762"/>
    </row>
    <row r="568" spans="3:14" x14ac:dyDescent="0.25">
      <c r="C568" s="761"/>
      <c r="D568" s="766" t="s">
        <v>414</v>
      </c>
      <c r="E568" s="228"/>
      <c r="F568" s="227"/>
      <c r="G568" s="767"/>
      <c r="H568" s="767"/>
      <c r="I568" s="228"/>
      <c r="J568" s="5"/>
      <c r="K568" s="5"/>
      <c r="L568" s="3113">
        <f ca="1">+SUM(L566:M567)</f>
        <v>152500</v>
      </c>
      <c r="M568" s="3114"/>
      <c r="N568" s="762"/>
    </row>
    <row r="569" spans="3:14" x14ac:dyDescent="0.25">
      <c r="C569" s="761"/>
      <c r="D569" s="765"/>
      <c r="E569" s="4"/>
      <c r="G569" s="189"/>
      <c r="H569" s="189"/>
      <c r="I569" s="4"/>
      <c r="J569" s="4"/>
      <c r="K569" s="4"/>
      <c r="L569" s="3108"/>
      <c r="M569" s="3108"/>
      <c r="N569" s="762"/>
    </row>
    <row r="570" spans="3:14" x14ac:dyDescent="0.25">
      <c r="C570" s="761"/>
      <c r="D570" s="765" t="s">
        <v>1114</v>
      </c>
      <c r="E570" s="4"/>
      <c r="G570" s="189"/>
      <c r="H570" s="189"/>
      <c r="I570" s="4"/>
      <c r="J570" s="4"/>
      <c r="K570" s="4"/>
      <c r="L570" s="3108">
        <f ca="1">+SUMIF($L$506:$P$555,D570,$J$506:$K$555)-SUMIF($L$506:$P$555,D570,$H$506:$I$555)</f>
        <v>-127350</v>
      </c>
      <c r="M570" s="3108"/>
      <c r="N570" s="762"/>
    </row>
    <row r="571" spans="3:14" x14ac:dyDescent="0.25">
      <c r="C571" s="761"/>
      <c r="D571" s="765" t="s">
        <v>1109</v>
      </c>
      <c r="E571" s="4"/>
      <c r="G571" s="189"/>
      <c r="H571" s="189"/>
      <c r="I571" s="4"/>
      <c r="J571" s="4"/>
      <c r="K571" s="4"/>
      <c r="L571" s="3108">
        <f ca="1">+SUMIF($L$506:$P$555,D571,$J$506:$K$555)-SUMIF($L$506:$P$555,D571,$H$506:$I$555)</f>
        <v>-126650</v>
      </c>
      <c r="M571" s="3108"/>
      <c r="N571" s="762"/>
    </row>
    <row r="572" spans="3:14" x14ac:dyDescent="0.25">
      <c r="C572" s="761"/>
      <c r="D572" s="765" t="s">
        <v>1094</v>
      </c>
      <c r="E572" s="4"/>
      <c r="G572" s="189"/>
      <c r="H572" s="189"/>
      <c r="I572" s="4"/>
      <c r="J572" s="4"/>
      <c r="K572" s="4"/>
      <c r="L572" s="3108">
        <f ca="1">+SUMIF($L$506:$P$555,D572,$J$506:$K$555)-SUMIF($L$506:$P$555,D572,$H$506:$I$555)</f>
        <v>37450</v>
      </c>
      <c r="M572" s="3108"/>
      <c r="N572" s="762"/>
    </row>
    <row r="573" spans="3:14" x14ac:dyDescent="0.25">
      <c r="C573" s="761"/>
      <c r="D573" s="766" t="s">
        <v>1061</v>
      </c>
      <c r="E573" s="228"/>
      <c r="F573" s="227"/>
      <c r="G573" s="767"/>
      <c r="H573" s="767"/>
      <c r="I573" s="228"/>
      <c r="J573" s="5"/>
      <c r="K573" s="5"/>
      <c r="L573" s="3113">
        <f ca="1">+SUM(L568:M572)</f>
        <v>-64050</v>
      </c>
      <c r="M573" s="3114"/>
      <c r="N573" s="762"/>
    </row>
    <row r="574" spans="3:14" x14ac:dyDescent="0.25">
      <c r="C574" s="761"/>
      <c r="D574" s="765"/>
      <c r="E574" s="4"/>
      <c r="G574" s="189"/>
      <c r="H574" s="189"/>
      <c r="I574" s="4"/>
      <c r="J574" s="4"/>
      <c r="K574" s="4"/>
      <c r="L574" s="3108"/>
      <c r="M574" s="3108"/>
      <c r="N574" s="762"/>
    </row>
    <row r="575" spans="3:14" x14ac:dyDescent="0.25">
      <c r="C575" s="761"/>
      <c r="D575" s="765" t="s">
        <v>1056</v>
      </c>
      <c r="E575" s="4"/>
      <c r="G575" s="189"/>
      <c r="H575" s="189"/>
      <c r="I575" s="4"/>
      <c r="J575" s="4"/>
      <c r="K575" s="4"/>
      <c r="L575" s="3108"/>
      <c r="M575" s="3108"/>
      <c r="N575" s="762"/>
    </row>
    <row r="576" spans="3:14" x14ac:dyDescent="0.25">
      <c r="C576" s="761"/>
      <c r="D576" s="768" t="s">
        <v>420</v>
      </c>
      <c r="E576" s="4"/>
      <c r="G576" s="189"/>
      <c r="H576" s="189"/>
      <c r="I576" s="4"/>
      <c r="J576" s="4"/>
      <c r="K576" s="4"/>
      <c r="L576" s="3108">
        <f ca="1">+SUMIF($L$506:$P$555,D575,$J$506:$K$555)</f>
        <v>21000</v>
      </c>
      <c r="M576" s="3108"/>
      <c r="N576" s="762"/>
    </row>
    <row r="577" spans="2:17" x14ac:dyDescent="0.25">
      <c r="C577" s="761"/>
      <c r="D577" s="768" t="s">
        <v>419</v>
      </c>
      <c r="E577" s="4"/>
      <c r="G577" s="189"/>
      <c r="H577" s="189"/>
      <c r="I577" s="4"/>
      <c r="J577" s="4"/>
      <c r="K577" s="4"/>
      <c r="L577" s="3108">
        <f ca="1">-SUMIF($L$506:$P$555,D575,$H$506:$I$555)</f>
        <v>-3500</v>
      </c>
      <c r="M577" s="3108"/>
      <c r="N577" s="762"/>
    </row>
    <row r="578" spans="2:17" x14ac:dyDescent="0.25">
      <c r="C578" s="761"/>
      <c r="D578" s="768"/>
      <c r="E578" s="4"/>
      <c r="G578" s="189"/>
      <c r="H578" s="189"/>
      <c r="I578" s="4"/>
      <c r="J578" s="4"/>
      <c r="K578" s="4"/>
      <c r="L578" s="817"/>
      <c r="M578" s="817"/>
      <c r="N578" s="762"/>
    </row>
    <row r="579" spans="2:17" ht="15.75" thickBot="1" x14ac:dyDescent="0.3">
      <c r="C579" s="761"/>
      <c r="D579" s="769" t="s">
        <v>1062</v>
      </c>
      <c r="E579" s="770"/>
      <c r="F579" s="771"/>
      <c r="G579" s="772"/>
      <c r="H579" s="772"/>
      <c r="I579" s="770"/>
      <c r="J579" s="773"/>
      <c r="K579" s="773"/>
      <c r="L579" s="3109">
        <f ca="1">+SUM(L573:M577)</f>
        <v>-46550</v>
      </c>
      <c r="M579" s="3110"/>
      <c r="N579" s="762"/>
    </row>
    <row r="580" spans="2:17" ht="16.5" thickTop="1" thickBot="1" x14ac:dyDescent="0.3">
      <c r="C580" s="774"/>
      <c r="D580" s="775"/>
      <c r="E580" s="775"/>
      <c r="F580" s="524"/>
      <c r="G580" s="776"/>
      <c r="H580" s="776"/>
      <c r="I580" s="527"/>
      <c r="J580" s="527"/>
      <c r="K580" s="527"/>
      <c r="L580" s="527"/>
      <c r="M580" s="528"/>
      <c r="N580" s="777"/>
    </row>
    <row r="581" spans="2:17" ht="15.75" thickTop="1" x14ac:dyDescent="0.25"/>
    <row r="582" spans="2:17" ht="15.75" thickBot="1" x14ac:dyDescent="0.3"/>
    <row r="583" spans="2:17" ht="15.75" thickTop="1" x14ac:dyDescent="0.25">
      <c r="B583" s="778"/>
      <c r="C583" s="779"/>
      <c r="D583" s="779"/>
      <c r="E583" s="779"/>
      <c r="F583" s="779"/>
      <c r="G583" s="780"/>
      <c r="H583" s="780"/>
      <c r="I583" s="781"/>
      <c r="J583" s="781"/>
      <c r="K583" s="781"/>
      <c r="L583" s="758"/>
      <c r="M583" s="759"/>
      <c r="N583" s="759"/>
      <c r="O583" s="759"/>
      <c r="P583" s="759"/>
      <c r="Q583" s="782"/>
    </row>
    <row r="584" spans="2:17" x14ac:dyDescent="0.25">
      <c r="B584" s="783"/>
      <c r="C584" s="3111" t="s">
        <v>1208</v>
      </c>
      <c r="D584" s="3111"/>
      <c r="E584" s="3111"/>
      <c r="F584" s="3111"/>
      <c r="G584" s="3111"/>
      <c r="H584" s="3111"/>
      <c r="I584" s="3111"/>
      <c r="J584" s="3111"/>
      <c r="K584" s="3111"/>
      <c r="L584" s="3111"/>
      <c r="M584" s="3111"/>
      <c r="N584" s="3111"/>
      <c r="O584" s="3111"/>
      <c r="P584" s="3111"/>
      <c r="Q584" s="784"/>
    </row>
    <row r="585" spans="2:17" x14ac:dyDescent="0.25">
      <c r="B585" s="783"/>
      <c r="C585" s="3111" t="s">
        <v>422</v>
      </c>
      <c r="D585" s="3111"/>
      <c r="E585" s="3111"/>
      <c r="F585" s="3111"/>
      <c r="G585" s="3111"/>
      <c r="H585" s="3111"/>
      <c r="I585" s="3111"/>
      <c r="J585" s="3111"/>
      <c r="K585" s="3111"/>
      <c r="L585" s="3111"/>
      <c r="M585" s="3111"/>
      <c r="N585" s="3111"/>
      <c r="O585" s="3111"/>
      <c r="P585" s="3111"/>
      <c r="Q585" s="784"/>
    </row>
    <row r="586" spans="2:17" x14ac:dyDescent="0.25">
      <c r="B586" s="783"/>
      <c r="C586" s="3112" t="s">
        <v>1064</v>
      </c>
      <c r="D586" s="3112"/>
      <c r="E586" s="3112"/>
      <c r="F586" s="3112"/>
      <c r="G586" s="3112"/>
      <c r="H586" s="3112"/>
      <c r="I586" s="3112"/>
      <c r="J586" s="3112"/>
      <c r="K586" s="3112"/>
      <c r="L586" s="3112"/>
      <c r="M586" s="3112"/>
      <c r="N586" s="3112"/>
      <c r="O586" s="3112"/>
      <c r="P586" s="3112"/>
      <c r="Q586" s="784"/>
    </row>
    <row r="587" spans="2:17" x14ac:dyDescent="0.25">
      <c r="B587" s="783"/>
      <c r="C587" s="3107" t="s">
        <v>497</v>
      </c>
      <c r="D587" s="3107"/>
      <c r="E587" s="3107"/>
      <c r="F587" s="3107"/>
      <c r="G587" s="3107"/>
      <c r="H587" s="3107"/>
      <c r="I587" s="3107"/>
      <c r="J587" s="3107"/>
      <c r="K587" s="3107"/>
      <c r="L587" s="3107"/>
      <c r="M587" s="3107"/>
      <c r="N587" s="3107"/>
      <c r="O587" s="3107"/>
      <c r="P587" s="3107"/>
      <c r="Q587" s="784"/>
    </row>
    <row r="588" spans="2:17" x14ac:dyDescent="0.25">
      <c r="B588" s="783"/>
      <c r="C588" s="785"/>
      <c r="D588" s="765"/>
      <c r="E588" s="765"/>
      <c r="F588" s="765"/>
      <c r="G588" s="38"/>
      <c r="H588" s="38"/>
      <c r="I588" s="317"/>
      <c r="J588" s="317"/>
      <c r="K588" s="317"/>
      <c r="L588" s="4"/>
      <c r="M588" s="18"/>
      <c r="N588" s="18"/>
      <c r="O588" s="18"/>
      <c r="P588" s="18"/>
      <c r="Q588" s="784"/>
    </row>
    <row r="589" spans="2:17" x14ac:dyDescent="0.25">
      <c r="B589" s="783"/>
      <c r="C589" s="786" t="s">
        <v>1065</v>
      </c>
      <c r="D589" s="787"/>
      <c r="E589" s="788"/>
      <c r="F589" s="788"/>
      <c r="G589" s="321"/>
      <c r="H589" s="321"/>
      <c r="I589" s="322"/>
      <c r="J589" s="789" t="s">
        <v>1066</v>
      </c>
      <c r="K589" s="787"/>
      <c r="L589" s="1"/>
      <c r="M589" s="140"/>
      <c r="N589" s="140"/>
      <c r="O589" s="140"/>
      <c r="P589" s="277"/>
      <c r="Q589" s="784"/>
    </row>
    <row r="590" spans="2:17" x14ac:dyDescent="0.25">
      <c r="B590" s="783"/>
      <c r="C590" s="790" t="s">
        <v>1067</v>
      </c>
      <c r="D590" s="765"/>
      <c r="E590" s="317"/>
      <c r="F590" s="317"/>
      <c r="G590" s="38"/>
      <c r="H590" s="38"/>
      <c r="I590" s="809"/>
      <c r="J590" s="791" t="s">
        <v>1068</v>
      </c>
      <c r="K590" s="765"/>
      <c r="L590" s="4"/>
      <c r="M590" s="18"/>
      <c r="N590" s="18"/>
      <c r="O590" s="18"/>
      <c r="P590" s="505"/>
      <c r="Q590" s="784"/>
    </row>
    <row r="591" spans="2:17" x14ac:dyDescent="0.25">
      <c r="B591" s="783"/>
      <c r="C591" s="792" t="s">
        <v>397</v>
      </c>
      <c r="D591" s="793"/>
      <c r="E591" s="317"/>
      <c r="F591" s="317"/>
      <c r="G591" s="38"/>
      <c r="H591" s="3100">
        <f ca="1">-SUMIF($L$506:$P$555,C591,$J$506:$K$555)+SUMIF($L$506:$P$555,C591,$H$506:$I$555)</f>
        <v>58500</v>
      </c>
      <c r="I591" s="3101"/>
      <c r="J591" s="794" t="s">
        <v>404</v>
      </c>
      <c r="K591" s="793"/>
      <c r="L591" s="4"/>
      <c r="M591" s="18"/>
      <c r="N591" s="18"/>
      <c r="O591" s="3100">
        <f ca="1">+SUMIF($L$506:$P$555,J591,$J$506:$K$555)-SUMIF($L$506:$P$555,J591,$H$506:$I$555)</f>
        <v>85800</v>
      </c>
      <c r="P591" s="3101"/>
      <c r="Q591" s="784"/>
    </row>
    <row r="592" spans="2:17" x14ac:dyDescent="0.25">
      <c r="B592" s="783"/>
      <c r="C592" s="792" t="s">
        <v>1085</v>
      </c>
      <c r="D592" s="793"/>
      <c r="E592" s="317"/>
      <c r="F592" s="317"/>
      <c r="G592" s="38"/>
      <c r="H592" s="3100">
        <f t="shared" ref="H592:H595" ca="1" si="6">-SUMIF($L$506:$P$555,C592,$J$506:$K$555)+SUMIF($L$506:$P$555,C592,$H$506:$I$555)</f>
        <v>28650</v>
      </c>
      <c r="I592" s="3101"/>
      <c r="J592" s="794" t="s">
        <v>399</v>
      </c>
      <c r="K592" s="795"/>
      <c r="L592" s="4"/>
      <c r="M592" s="18"/>
      <c r="N592" s="18"/>
      <c r="O592" s="3100">
        <f t="shared" ref="O592:O594" ca="1" si="7">+SUMIF($L$506:$P$555,J592,$J$506:$K$555)-SUMIF($L$506:$P$555,J592,$H$506:$I$555)</f>
        <v>23500</v>
      </c>
      <c r="P592" s="3101"/>
      <c r="Q592" s="784"/>
    </row>
    <row r="593" spans="2:17" x14ac:dyDescent="0.25">
      <c r="B593" s="783"/>
      <c r="C593" s="792" t="s">
        <v>1070</v>
      </c>
      <c r="D593" s="793"/>
      <c r="E593" s="317"/>
      <c r="F593" s="317"/>
      <c r="G593" s="38"/>
      <c r="H593" s="3100">
        <f t="shared" ca="1" si="6"/>
        <v>158800</v>
      </c>
      <c r="I593" s="3101"/>
      <c r="J593" s="794" t="s">
        <v>406</v>
      </c>
      <c r="K593" s="4"/>
      <c r="L593" s="4"/>
      <c r="M593" s="4"/>
      <c r="N593" s="4"/>
      <c r="O593" s="3100">
        <f t="shared" ca="1" si="7"/>
        <v>130000</v>
      </c>
      <c r="P593" s="3101"/>
      <c r="Q593" s="784"/>
    </row>
    <row r="594" spans="2:17" ht="17.25" x14ac:dyDescent="0.25">
      <c r="B594" s="783"/>
      <c r="C594" s="792" t="s">
        <v>407</v>
      </c>
      <c r="D594" s="793"/>
      <c r="E594" s="317"/>
      <c r="F594" s="317"/>
      <c r="G594" s="38"/>
      <c r="H594" s="3100">
        <f t="shared" ca="1" si="6"/>
        <v>7200</v>
      </c>
      <c r="I594" s="3101"/>
      <c r="J594" s="794" t="s">
        <v>1092</v>
      </c>
      <c r="K594" s="795"/>
      <c r="L594" s="4"/>
      <c r="M594" s="18"/>
      <c r="N594" s="18"/>
      <c r="O594" s="3102">
        <f t="shared" ca="1" si="7"/>
        <v>38200</v>
      </c>
      <c r="P594" s="3103"/>
      <c r="Q594" s="784"/>
    </row>
    <row r="595" spans="2:17" ht="17.25" x14ac:dyDescent="0.25">
      <c r="B595" s="783"/>
      <c r="C595" s="792" t="s">
        <v>423</v>
      </c>
      <c r="D595" s="793"/>
      <c r="E595" s="317"/>
      <c r="F595" s="317"/>
      <c r="G595" s="38"/>
      <c r="H595" s="3102">
        <f t="shared" ca="1" si="6"/>
        <v>62300</v>
      </c>
      <c r="I595" s="3103"/>
      <c r="J595" s="791" t="s">
        <v>1072</v>
      </c>
      <c r="K595" s="765"/>
      <c r="L595" s="4"/>
      <c r="M595" s="18"/>
      <c r="N595" s="18"/>
      <c r="O595" s="3097">
        <f ca="1">+SUM(O591:P594)</f>
        <v>277500</v>
      </c>
      <c r="P595" s="3098"/>
      <c r="Q595" s="784"/>
    </row>
    <row r="596" spans="2:17" x14ac:dyDescent="0.25">
      <c r="B596" s="783"/>
      <c r="C596" s="796" t="s">
        <v>1073</v>
      </c>
      <c r="D596" s="793"/>
      <c r="E596" s="317"/>
      <c r="F596" s="317"/>
      <c r="G596" s="38"/>
      <c r="H596" s="3097">
        <f ca="1">+SUM(H591:I595)</f>
        <v>315450</v>
      </c>
      <c r="I596" s="3098"/>
      <c r="J596" s="8"/>
      <c r="K596" s="4"/>
      <c r="L596" s="4"/>
      <c r="M596" s="4"/>
      <c r="N596" s="4"/>
      <c r="O596" s="4"/>
      <c r="P596" s="500"/>
      <c r="Q596" s="784"/>
    </row>
    <row r="597" spans="2:17" x14ac:dyDescent="0.25">
      <c r="B597" s="783"/>
      <c r="C597" s="796"/>
      <c r="D597" s="793"/>
      <c r="E597" s="317"/>
      <c r="F597" s="317"/>
      <c r="G597" s="38"/>
      <c r="H597" s="802"/>
      <c r="I597" s="810"/>
      <c r="J597" s="791" t="s">
        <v>1228</v>
      </c>
      <c r="K597" s="765"/>
      <c r="L597" s="4"/>
      <c r="M597" s="18"/>
      <c r="N597" s="18"/>
      <c r="O597" s="802"/>
      <c r="P597" s="810"/>
      <c r="Q597" s="784"/>
    </row>
    <row r="598" spans="2:17" ht="17.25" x14ac:dyDescent="0.25">
      <c r="B598" s="783"/>
      <c r="C598" s="790" t="s">
        <v>1074</v>
      </c>
      <c r="D598" s="765"/>
      <c r="E598" s="317"/>
      <c r="F598" s="317"/>
      <c r="G598" s="38"/>
      <c r="H598" s="3100"/>
      <c r="I598" s="3101"/>
      <c r="J598" s="794" t="s">
        <v>1200</v>
      </c>
      <c r="K598" s="765"/>
      <c r="L598" s="4"/>
      <c r="M598" s="18"/>
      <c r="N598" s="18"/>
      <c r="O598" s="3102">
        <f t="shared" ref="O598" ca="1" si="8">+SUMIF($L$506:$P$555,J598,$J$506:$K$555)-SUMIF($L$506:$P$555,J598,$H$506:$I$555)</f>
        <v>45000</v>
      </c>
      <c r="P598" s="3103"/>
      <c r="Q598" s="784"/>
    </row>
    <row r="599" spans="2:17" x14ac:dyDescent="0.25">
      <c r="B599" s="783"/>
      <c r="C599" s="792" t="s">
        <v>401</v>
      </c>
      <c r="D599" s="793"/>
      <c r="E599" s="317"/>
      <c r="F599" s="317"/>
      <c r="G599" s="38"/>
      <c r="H599" s="3100">
        <f ca="1">-SUMIF($L$506:$P$555,C599,$J$506:$K$555)+SUMIF($L$506:$P$555,C599,$H$506:$I$555)</f>
        <v>948000</v>
      </c>
      <c r="I599" s="3101"/>
      <c r="J599" s="791" t="s">
        <v>1162</v>
      </c>
      <c r="K599" s="4"/>
      <c r="L599" s="4"/>
      <c r="M599" s="4"/>
      <c r="N599" s="4"/>
      <c r="O599" s="3097">
        <f ca="1">+O598</f>
        <v>45000</v>
      </c>
      <c r="P599" s="3098"/>
      <c r="Q599" s="784"/>
    </row>
    <row r="600" spans="2:17" ht="17.25" x14ac:dyDescent="0.25">
      <c r="B600" s="783"/>
      <c r="C600" s="792" t="s">
        <v>794</v>
      </c>
      <c r="D600" s="793"/>
      <c r="E600" s="317"/>
      <c r="F600" s="317"/>
      <c r="G600" s="38"/>
      <c r="H600" s="3102">
        <f ca="1">-SUMIF($L$506:$P$555,C600,$J$506:$K$555)+SUMIF($L$506:$P$555,C600,$H$506:$I$555)</f>
        <v>67500</v>
      </c>
      <c r="I600" s="3103"/>
      <c r="J600" s="791"/>
      <c r="K600" s="4"/>
      <c r="L600" s="4"/>
      <c r="M600" s="4"/>
      <c r="N600" s="4"/>
      <c r="O600" s="3102" t="s">
        <v>655</v>
      </c>
      <c r="P600" s="3103"/>
      <c r="Q600" s="784"/>
    </row>
    <row r="601" spans="2:17" x14ac:dyDescent="0.25">
      <c r="B601" s="783"/>
      <c r="C601" s="796" t="s">
        <v>1077</v>
      </c>
      <c r="D601" s="793"/>
      <c r="E601" s="317"/>
      <c r="F601" s="317"/>
      <c r="G601" s="38"/>
      <c r="H601" s="3097">
        <f ca="1">+SUM(H599:I600)</f>
        <v>1015500</v>
      </c>
      <c r="I601" s="3098"/>
      <c r="J601" s="813" t="s">
        <v>450</v>
      </c>
      <c r="K601" s="3"/>
      <c r="L601" s="3"/>
      <c r="M601" s="3"/>
      <c r="N601" s="3"/>
      <c r="O601" s="3104">
        <f ca="1">+O599+O595</f>
        <v>322500</v>
      </c>
      <c r="P601" s="3105"/>
      <c r="Q601" s="784"/>
    </row>
    <row r="602" spans="2:17" x14ac:dyDescent="0.25">
      <c r="B602" s="783"/>
      <c r="C602" s="8"/>
      <c r="D602" s="4"/>
      <c r="E602" s="4"/>
      <c r="F602" s="4"/>
      <c r="G602" s="4"/>
      <c r="H602" s="4"/>
      <c r="I602" s="500"/>
      <c r="J602" s="789" t="s">
        <v>1075</v>
      </c>
      <c r="K602" s="1"/>
      <c r="L602" s="1"/>
      <c r="M602" s="1"/>
      <c r="N602" s="1"/>
      <c r="O602" s="1"/>
      <c r="P602" s="157"/>
      <c r="Q602" s="784"/>
    </row>
    <row r="603" spans="2:17" x14ac:dyDescent="0.25">
      <c r="B603" s="783"/>
      <c r="C603" s="158"/>
      <c r="D603" s="3"/>
      <c r="E603" s="3"/>
      <c r="F603" s="3"/>
      <c r="G603" s="3"/>
      <c r="H603" s="3"/>
      <c r="I603" s="354"/>
      <c r="J603" s="799" t="s">
        <v>1076</v>
      </c>
      <c r="K603" s="4"/>
      <c r="L603" s="4"/>
      <c r="M603" s="4"/>
      <c r="N603" s="4"/>
      <c r="O603" s="3097">
        <f ca="1">+SUMIF($L$506:$P$555,"PN",$J$506:$K$555)-SUMIF($L$506:$P$555,"PN",$H$506:$I$555)+L579</f>
        <v>1008450</v>
      </c>
      <c r="P603" s="3098"/>
      <c r="Q603" s="784"/>
    </row>
    <row r="604" spans="2:17" x14ac:dyDescent="0.25">
      <c r="B604" s="783"/>
      <c r="C604" s="800" t="s">
        <v>427</v>
      </c>
      <c r="D604" s="37"/>
      <c r="E604" s="37"/>
      <c r="F604" s="37"/>
      <c r="G604" s="198"/>
      <c r="H604" s="3099">
        <f ca="1">+H601+H596</f>
        <v>1330950</v>
      </c>
      <c r="I604" s="3099"/>
      <c r="J604" s="766" t="s">
        <v>1078</v>
      </c>
      <c r="K604" s="5"/>
      <c r="L604" s="5"/>
      <c r="M604" s="25"/>
      <c r="N604" s="25"/>
      <c r="O604" s="3099">
        <f ca="1">+O603+O601</f>
        <v>1330950</v>
      </c>
      <c r="P604" s="2332"/>
      <c r="Q604" s="784"/>
    </row>
    <row r="605" spans="2:17" ht="15.75" thickBot="1" x14ac:dyDescent="0.3">
      <c r="B605" s="804"/>
      <c r="C605" s="524"/>
      <c r="D605" s="524"/>
      <c r="E605" s="524"/>
      <c r="F605" s="524"/>
      <c r="G605" s="776"/>
      <c r="H605" s="776"/>
      <c r="I605" s="527"/>
      <c r="J605" s="527"/>
      <c r="K605" s="527"/>
      <c r="L605" s="527"/>
      <c r="M605" s="528"/>
      <c r="N605" s="528"/>
      <c r="O605" s="528"/>
      <c r="P605" s="528"/>
      <c r="Q605" s="805"/>
    </row>
    <row r="606" spans="2:17" ht="15.75" thickTop="1" x14ac:dyDescent="0.25"/>
    <row r="607" spans="2:17" s="4" customFormat="1" x14ac:dyDescent="0.25">
      <c r="B607" s="1320"/>
      <c r="C607" s="12"/>
      <c r="D607" s="12"/>
      <c r="E607" s="12"/>
      <c r="F607" s="12"/>
      <c r="G607" s="51"/>
      <c r="H607" s="51"/>
      <c r="M607" s="18"/>
      <c r="N607" s="18"/>
      <c r="O607" s="18"/>
      <c r="P607" s="18"/>
    </row>
    <row r="608" spans="2:17" s="4" customFormat="1" x14ac:dyDescent="0.25">
      <c r="B608" s="1320"/>
      <c r="C608" s="12"/>
      <c r="D608" s="12"/>
      <c r="E608" s="12"/>
      <c r="F608" s="12"/>
      <c r="G608" s="51"/>
      <c r="H608" s="51"/>
      <c r="M608" s="18"/>
      <c r="N608" s="18"/>
      <c r="O608" s="18"/>
      <c r="P608" s="18"/>
    </row>
    <row r="609" spans="1:17" s="4" customFormat="1" x14ac:dyDescent="0.25">
      <c r="A609" s="1844" t="s">
        <v>20</v>
      </c>
      <c r="B609" s="1845"/>
      <c r="C609" s="1845"/>
      <c r="D609" s="1845"/>
      <c r="E609" s="1845"/>
      <c r="F609" s="1845"/>
      <c r="G609" s="1845"/>
      <c r="H609" s="1845"/>
      <c r="I609" s="1845"/>
      <c r="J609" s="1845"/>
      <c r="K609" s="1845"/>
      <c r="L609" s="1845"/>
      <c r="M609" s="1845"/>
      <c r="N609" s="1845"/>
      <c r="O609" s="1845"/>
      <c r="P609" s="1845"/>
      <c r="Q609" s="1846"/>
    </row>
    <row r="610" spans="1:17" s="4" customFormat="1" x14ac:dyDescent="0.25">
      <c r="A610" s="1847" t="s">
        <v>2226</v>
      </c>
      <c r="B610" s="1848"/>
      <c r="C610" s="1848"/>
      <c r="D610" s="1848"/>
      <c r="E610" s="1848"/>
      <c r="F610" s="1848"/>
      <c r="G610" s="1848"/>
      <c r="H610" s="1848"/>
      <c r="I610" s="1848"/>
      <c r="J610" s="1848"/>
      <c r="K610" s="1848"/>
      <c r="L610" s="1848"/>
      <c r="M610" s="1848"/>
      <c r="N610" s="1848"/>
      <c r="O610" s="1848"/>
      <c r="P610" s="1848"/>
      <c r="Q610" s="1849"/>
    </row>
    <row r="611" spans="1:17" s="4" customFormat="1" x14ac:dyDescent="0.25">
      <c r="A611" s="2"/>
      <c r="B611" s="1318"/>
      <c r="C611" s="12"/>
      <c r="D611" s="12"/>
      <c r="E611" s="12"/>
      <c r="F611" s="12"/>
      <c r="G611" s="27"/>
      <c r="H611" s="27"/>
      <c r="I611" s="2"/>
      <c r="J611" s="2"/>
      <c r="K611" s="2"/>
      <c r="L611" s="2"/>
      <c r="M611" s="10"/>
      <c r="N611" s="10"/>
      <c r="O611" s="10"/>
      <c r="P611" s="10"/>
      <c r="Q611" s="2"/>
    </row>
    <row r="612" spans="1:17" s="4" customFormat="1" x14ac:dyDescent="0.25">
      <c r="A612" s="2"/>
      <c r="B612" s="1318"/>
      <c r="C612" s="468" t="s">
        <v>2227</v>
      </c>
      <c r="D612" s="12"/>
      <c r="E612" s="12"/>
      <c r="F612" s="12"/>
      <c r="G612" s="27"/>
      <c r="H612" s="27"/>
      <c r="I612" s="2"/>
      <c r="J612" s="2"/>
      <c r="K612" s="2"/>
      <c r="L612" s="2"/>
      <c r="M612" s="10"/>
      <c r="N612" s="10"/>
      <c r="O612" s="10"/>
      <c r="P612" s="10"/>
      <c r="Q612" s="2"/>
    </row>
    <row r="613" spans="1:17" s="4" customFormat="1" x14ac:dyDescent="0.25">
      <c r="A613" s="2"/>
      <c r="B613" s="1318"/>
      <c r="C613" s="12"/>
      <c r="D613" s="12"/>
      <c r="E613" s="12"/>
      <c r="F613" s="12"/>
      <c r="G613" s="27"/>
      <c r="H613" s="27"/>
      <c r="I613" s="2"/>
      <c r="J613" s="2"/>
      <c r="K613" s="2"/>
      <c r="L613" s="2"/>
      <c r="M613" s="10"/>
      <c r="N613" s="10"/>
      <c r="O613" s="10"/>
      <c r="P613" s="10"/>
      <c r="Q613" s="2"/>
    </row>
    <row r="614" spans="1:17" s="4" customFormat="1" ht="27.75" customHeight="1" x14ac:dyDescent="0.25">
      <c r="B614" s="1377"/>
      <c r="C614" s="3212" t="s">
        <v>2197</v>
      </c>
      <c r="D614" s="3212"/>
      <c r="E614" s="3212"/>
      <c r="F614" s="3212"/>
      <c r="G614" s="3212"/>
      <c r="H614" s="3212"/>
      <c r="I614" s="3212"/>
      <c r="J614" s="3212"/>
      <c r="K614" s="3212"/>
      <c r="L614" s="1378"/>
      <c r="M614" s="1378"/>
      <c r="N614" s="1378"/>
      <c r="O614" s="1378"/>
      <c r="P614" s="1419"/>
    </row>
    <row r="615" spans="1:17" s="4" customFormat="1" ht="15.75" x14ac:dyDescent="0.25">
      <c r="B615" s="1418">
        <v>1</v>
      </c>
      <c r="C615" s="3106" t="s">
        <v>2198</v>
      </c>
      <c r="D615" s="3106"/>
      <c r="E615" s="3106"/>
      <c r="F615" s="3106"/>
      <c r="G615" s="3106"/>
      <c r="H615" s="3106"/>
      <c r="I615" s="3106"/>
      <c r="J615" s="3106"/>
      <c r="K615" s="3106"/>
      <c r="L615" s="1379" t="s">
        <v>461</v>
      </c>
      <c r="M615" s="1376"/>
      <c r="N615" s="1376"/>
      <c r="O615" s="1376"/>
      <c r="P615" s="1040"/>
    </row>
    <row r="616" spans="1:17" s="4" customFormat="1" ht="15.75" x14ac:dyDescent="0.25">
      <c r="B616" s="1418">
        <f>+B615+1</f>
        <v>2</v>
      </c>
      <c r="C616" s="3106" t="s">
        <v>2199</v>
      </c>
      <c r="D616" s="3106"/>
      <c r="E616" s="3106"/>
      <c r="F616" s="3106"/>
      <c r="G616" s="3106"/>
      <c r="H616" s="3106"/>
      <c r="I616" s="3106"/>
      <c r="J616" s="3106"/>
      <c r="K616" s="3106"/>
      <c r="L616" s="1376"/>
      <c r="M616" s="1379" t="s">
        <v>461</v>
      </c>
      <c r="N616" s="1376"/>
      <c r="O616" s="1376"/>
      <c r="P616" s="1040"/>
    </row>
    <row r="617" spans="1:17" s="4" customFormat="1" ht="15.75" x14ac:dyDescent="0.25">
      <c r="B617" s="1418">
        <f t="shared" ref="B617:B642" si="9">+B616+1</f>
        <v>3</v>
      </c>
      <c r="C617" s="3106" t="s">
        <v>2200</v>
      </c>
      <c r="D617" s="3106"/>
      <c r="E617" s="3106"/>
      <c r="F617" s="3106"/>
      <c r="G617" s="3106"/>
      <c r="H617" s="3106"/>
      <c r="I617" s="3106"/>
      <c r="J617" s="3106"/>
      <c r="K617" s="3106"/>
      <c r="L617" s="1376"/>
      <c r="M617" s="1376"/>
      <c r="N617" s="1379" t="s">
        <v>461</v>
      </c>
      <c r="O617" s="1376"/>
      <c r="P617" s="1040"/>
    </row>
    <row r="618" spans="1:17" s="4" customFormat="1" ht="15.75" x14ac:dyDescent="0.25">
      <c r="B618" s="1418">
        <f t="shared" si="9"/>
        <v>4</v>
      </c>
      <c r="C618" s="3106" t="s">
        <v>2201</v>
      </c>
      <c r="D618" s="3106"/>
      <c r="E618" s="3106"/>
      <c r="F618" s="3106"/>
      <c r="G618" s="3106"/>
      <c r="H618" s="3106"/>
      <c r="I618" s="3106"/>
      <c r="J618" s="3106"/>
      <c r="K618" s="3106"/>
      <c r="L618" s="1376"/>
      <c r="M618" s="1379" t="s">
        <v>461</v>
      </c>
      <c r="N618" s="1376"/>
      <c r="O618" s="1376"/>
      <c r="P618" s="1040"/>
    </row>
    <row r="619" spans="1:17" s="4" customFormat="1" ht="15.75" x14ac:dyDescent="0.25">
      <c r="B619" s="1418">
        <f t="shared" si="9"/>
        <v>5</v>
      </c>
      <c r="C619" s="3106" t="s">
        <v>2202</v>
      </c>
      <c r="D619" s="3106"/>
      <c r="E619" s="3106"/>
      <c r="F619" s="3106"/>
      <c r="G619" s="3106"/>
      <c r="H619" s="3106"/>
      <c r="I619" s="3106"/>
      <c r="J619" s="3106"/>
      <c r="K619" s="3106"/>
      <c r="L619" s="1376"/>
      <c r="M619" s="1376"/>
      <c r="N619" s="1379" t="s">
        <v>461</v>
      </c>
      <c r="O619" s="1376"/>
      <c r="P619" s="1040"/>
    </row>
    <row r="620" spans="1:17" s="4" customFormat="1" ht="15.75" x14ac:dyDescent="0.25">
      <c r="B620" s="1418">
        <f t="shared" si="9"/>
        <v>6</v>
      </c>
      <c r="C620" s="3106" t="s">
        <v>2203</v>
      </c>
      <c r="D620" s="3106"/>
      <c r="E620" s="3106"/>
      <c r="F620" s="3106"/>
      <c r="G620" s="3106"/>
      <c r="H620" s="3106"/>
      <c r="I620" s="3106"/>
      <c r="J620" s="3106"/>
      <c r="K620" s="3106"/>
      <c r="L620" s="1376"/>
      <c r="M620" s="1376"/>
      <c r="N620" s="1379" t="s">
        <v>461</v>
      </c>
      <c r="O620" s="1376"/>
      <c r="P620" s="1040"/>
    </row>
    <row r="621" spans="1:17" s="4" customFormat="1" ht="15.75" x14ac:dyDescent="0.25">
      <c r="B621" s="1418">
        <f t="shared" si="9"/>
        <v>7</v>
      </c>
      <c r="C621" s="3106" t="s">
        <v>2204</v>
      </c>
      <c r="D621" s="3106"/>
      <c r="E621" s="3106"/>
      <c r="F621" s="3106"/>
      <c r="G621" s="3106"/>
      <c r="H621" s="3106"/>
      <c r="I621" s="3106"/>
      <c r="J621" s="3106"/>
      <c r="K621" s="3106"/>
      <c r="L621" s="1376"/>
      <c r="M621" s="1376"/>
      <c r="N621" s="1376"/>
      <c r="O621" s="1379" t="s">
        <v>461</v>
      </c>
      <c r="P621" s="1040"/>
    </row>
    <row r="622" spans="1:17" s="4" customFormat="1" ht="15.75" x14ac:dyDescent="0.25">
      <c r="B622" s="1418">
        <f t="shared" si="9"/>
        <v>8</v>
      </c>
      <c r="C622" s="3106" t="s">
        <v>2205</v>
      </c>
      <c r="D622" s="3106"/>
      <c r="E622" s="3106"/>
      <c r="F622" s="3106"/>
      <c r="G622" s="3106"/>
      <c r="H622" s="3106"/>
      <c r="I622" s="3106"/>
      <c r="J622" s="3106"/>
      <c r="K622" s="3106"/>
      <c r="L622" s="1376"/>
      <c r="M622" s="1379" t="s">
        <v>461</v>
      </c>
      <c r="N622" s="1376"/>
      <c r="O622" s="1376"/>
      <c r="P622" s="1040"/>
    </row>
    <row r="623" spans="1:17" s="4" customFormat="1" ht="15.75" x14ac:dyDescent="0.25">
      <c r="B623" s="1418">
        <f t="shared" si="9"/>
        <v>9</v>
      </c>
      <c r="C623" s="3106" t="s">
        <v>2206</v>
      </c>
      <c r="D623" s="3106"/>
      <c r="E623" s="3106"/>
      <c r="F623" s="3106"/>
      <c r="G623" s="3106"/>
      <c r="H623" s="3106"/>
      <c r="I623" s="3106"/>
      <c r="J623" s="3106"/>
      <c r="K623" s="3106"/>
      <c r="L623" s="1376"/>
      <c r="M623" s="1376"/>
      <c r="N623" s="1379" t="s">
        <v>461</v>
      </c>
      <c r="O623" s="1376"/>
      <c r="P623" s="1040"/>
    </row>
    <row r="624" spans="1:17" s="4" customFormat="1" ht="15.75" x14ac:dyDescent="0.25">
      <c r="B624" s="1418">
        <f t="shared" si="9"/>
        <v>10</v>
      </c>
      <c r="C624" s="3106" t="s">
        <v>2207</v>
      </c>
      <c r="D624" s="3106"/>
      <c r="E624" s="3106"/>
      <c r="F624" s="3106"/>
      <c r="G624" s="3106"/>
      <c r="H624" s="3106"/>
      <c r="I624" s="3106"/>
      <c r="J624" s="3106"/>
      <c r="K624" s="3106"/>
      <c r="L624" s="1376"/>
      <c r="M624" s="1379" t="s">
        <v>461</v>
      </c>
      <c r="N624" s="1376"/>
      <c r="O624" s="1376"/>
      <c r="P624" s="1040"/>
    </row>
    <row r="625" spans="2:16" s="4" customFormat="1" ht="15.75" x14ac:dyDescent="0.25">
      <c r="B625" s="1418">
        <f t="shared" si="9"/>
        <v>11</v>
      </c>
      <c r="C625" s="3106" t="s">
        <v>2208</v>
      </c>
      <c r="D625" s="3106"/>
      <c r="E625" s="3106"/>
      <c r="F625" s="3106"/>
      <c r="G625" s="3106"/>
      <c r="H625" s="3106"/>
      <c r="I625" s="3106"/>
      <c r="J625" s="3106"/>
      <c r="K625" s="3106"/>
      <c r="L625" s="1376"/>
      <c r="M625" s="1379" t="s">
        <v>461</v>
      </c>
      <c r="N625" s="1376"/>
      <c r="O625" s="1376"/>
      <c r="P625" s="1040"/>
    </row>
    <row r="626" spans="2:16" s="4" customFormat="1" ht="15.75" x14ac:dyDescent="0.25">
      <c r="B626" s="1418">
        <f t="shared" si="9"/>
        <v>12</v>
      </c>
      <c r="C626" s="3106" t="s">
        <v>2209</v>
      </c>
      <c r="D626" s="3106"/>
      <c r="E626" s="3106"/>
      <c r="F626" s="3106"/>
      <c r="G626" s="3106"/>
      <c r="H626" s="3106"/>
      <c r="I626" s="3106"/>
      <c r="J626" s="3106"/>
      <c r="K626" s="3106"/>
      <c r="L626" s="1376"/>
      <c r="M626" s="1376"/>
      <c r="N626" s="1376"/>
      <c r="O626" s="1379" t="s">
        <v>461</v>
      </c>
      <c r="P626" s="1040"/>
    </row>
    <row r="627" spans="2:16" s="4" customFormat="1" ht="15.75" x14ac:dyDescent="0.25">
      <c r="B627" s="1418">
        <f t="shared" si="9"/>
        <v>13</v>
      </c>
      <c r="C627" s="3106" t="s">
        <v>2210</v>
      </c>
      <c r="D627" s="3106"/>
      <c r="E627" s="3106"/>
      <c r="F627" s="3106"/>
      <c r="G627" s="3106"/>
      <c r="H627" s="3106"/>
      <c r="I627" s="3106"/>
      <c r="J627" s="3106"/>
      <c r="K627" s="3106"/>
      <c r="M627" s="1040"/>
      <c r="N627" s="1376"/>
      <c r="O627" s="1376"/>
      <c r="P627" s="1379" t="s">
        <v>461</v>
      </c>
    </row>
    <row r="628" spans="2:16" s="4" customFormat="1" ht="15.75" x14ac:dyDescent="0.25">
      <c r="B628" s="1418">
        <f t="shared" si="9"/>
        <v>14</v>
      </c>
      <c r="C628" s="3106" t="s">
        <v>2211</v>
      </c>
      <c r="D628" s="3106"/>
      <c r="E628" s="3106"/>
      <c r="F628" s="3106"/>
      <c r="G628" s="3106"/>
      <c r="H628" s="3106"/>
      <c r="I628" s="3106"/>
      <c r="J628" s="3106"/>
      <c r="K628" s="3106"/>
      <c r="L628" s="1376"/>
      <c r="M628" s="1376"/>
      <c r="N628" s="1376"/>
      <c r="O628" s="1379" t="s">
        <v>461</v>
      </c>
      <c r="P628" s="1040"/>
    </row>
    <row r="629" spans="2:16" s="4" customFormat="1" ht="15.75" x14ac:dyDescent="0.25">
      <c r="B629" s="1418">
        <f t="shared" si="9"/>
        <v>15</v>
      </c>
      <c r="C629" s="3106" t="s">
        <v>2212</v>
      </c>
      <c r="D629" s="3106"/>
      <c r="E629" s="3106"/>
      <c r="F629" s="3106"/>
      <c r="G629" s="3106"/>
      <c r="H629" s="3106"/>
      <c r="I629" s="3106"/>
      <c r="J629" s="3106"/>
      <c r="K629" s="3106"/>
      <c r="L629" s="1376"/>
      <c r="M629" s="1376"/>
      <c r="N629" s="1376"/>
      <c r="O629" s="1379" t="s">
        <v>461</v>
      </c>
      <c r="P629" s="1040"/>
    </row>
    <row r="630" spans="2:16" s="4" customFormat="1" ht="15.75" x14ac:dyDescent="0.25">
      <c r="B630" s="1418">
        <f t="shared" si="9"/>
        <v>16</v>
      </c>
      <c r="C630" s="3106" t="s">
        <v>2213</v>
      </c>
      <c r="D630" s="3106"/>
      <c r="E630" s="3106"/>
      <c r="F630" s="3106"/>
      <c r="G630" s="3106"/>
      <c r="H630" s="3106"/>
      <c r="I630" s="3106"/>
      <c r="J630" s="3106"/>
      <c r="K630" s="3106"/>
      <c r="L630" s="1376"/>
      <c r="M630" s="1379" t="s">
        <v>461</v>
      </c>
      <c r="N630" s="1376"/>
      <c r="O630" s="1376"/>
      <c r="P630" s="1040"/>
    </row>
    <row r="631" spans="2:16" s="4" customFormat="1" ht="15.75" x14ac:dyDescent="0.25">
      <c r="B631" s="1418">
        <f t="shared" si="9"/>
        <v>17</v>
      </c>
      <c r="C631" s="3106" t="s">
        <v>2214</v>
      </c>
      <c r="D631" s="3106"/>
      <c r="E631" s="3106"/>
      <c r="F631" s="3106"/>
      <c r="G631" s="3106"/>
      <c r="H631" s="3106"/>
      <c r="I631" s="3106"/>
      <c r="J631" s="3106"/>
      <c r="K631" s="3106"/>
      <c r="L631" s="1376"/>
      <c r="M631" s="1379" t="s">
        <v>461</v>
      </c>
      <c r="N631" s="1376"/>
      <c r="O631" s="1376"/>
      <c r="P631" s="1040"/>
    </row>
    <row r="632" spans="2:16" s="4" customFormat="1" ht="15.75" x14ac:dyDescent="0.25">
      <c r="B632" s="1418">
        <f t="shared" si="9"/>
        <v>18</v>
      </c>
      <c r="C632" s="3106" t="s">
        <v>2215</v>
      </c>
      <c r="D632" s="3106"/>
      <c r="E632" s="3106"/>
      <c r="F632" s="3106"/>
      <c r="G632" s="3106"/>
      <c r="H632" s="3106"/>
      <c r="I632" s="3106"/>
      <c r="J632" s="3106"/>
      <c r="K632" s="3106"/>
      <c r="L632" s="1376"/>
      <c r="M632" s="1376"/>
      <c r="N632" s="1376"/>
      <c r="O632" s="1379" t="s">
        <v>461</v>
      </c>
      <c r="P632" s="1040"/>
    </row>
    <row r="633" spans="2:16" s="4" customFormat="1" ht="15.75" x14ac:dyDescent="0.25">
      <c r="B633" s="1418">
        <f t="shared" si="9"/>
        <v>19</v>
      </c>
      <c r="C633" s="3106" t="s">
        <v>2216</v>
      </c>
      <c r="D633" s="3106"/>
      <c r="E633" s="3106"/>
      <c r="F633" s="3106"/>
      <c r="G633" s="3106"/>
      <c r="H633" s="3106"/>
      <c r="I633" s="3106"/>
      <c r="J633" s="3106"/>
      <c r="K633" s="3106"/>
      <c r="L633" s="1376"/>
      <c r="M633" s="1376"/>
      <c r="N633" s="1379" t="s">
        <v>461</v>
      </c>
      <c r="O633" s="1376"/>
      <c r="P633" s="1040"/>
    </row>
    <row r="634" spans="2:16" s="4" customFormat="1" ht="15.75" x14ac:dyDescent="0.25">
      <c r="B634" s="1418">
        <f t="shared" si="9"/>
        <v>20</v>
      </c>
      <c r="C634" s="3106" t="s">
        <v>2217</v>
      </c>
      <c r="D634" s="3106"/>
      <c r="E634" s="3106"/>
      <c r="F634" s="3106"/>
      <c r="G634" s="3106"/>
      <c r="H634" s="3106"/>
      <c r="I634" s="3106"/>
      <c r="J634" s="3106"/>
      <c r="K634" s="3106"/>
      <c r="L634" s="1376"/>
      <c r="M634" s="1379" t="s">
        <v>461</v>
      </c>
      <c r="N634" s="1376"/>
      <c r="O634" s="1376"/>
      <c r="P634" s="1040"/>
    </row>
    <row r="635" spans="2:16" s="4" customFormat="1" ht="15.75" x14ac:dyDescent="0.25">
      <c r="B635" s="1418">
        <f t="shared" si="9"/>
        <v>21</v>
      </c>
      <c r="C635" s="3106" t="s">
        <v>2218</v>
      </c>
      <c r="D635" s="3106"/>
      <c r="E635" s="3106"/>
      <c r="F635" s="3106"/>
      <c r="G635" s="3106"/>
      <c r="H635" s="3106"/>
      <c r="I635" s="3106"/>
      <c r="J635" s="3106"/>
      <c r="K635" s="3106"/>
      <c r="L635" s="1376"/>
      <c r="N635" s="1376"/>
      <c r="O635" s="1376"/>
      <c r="P635" s="1379" t="s">
        <v>461</v>
      </c>
    </row>
    <row r="636" spans="2:16" s="4" customFormat="1" ht="15.75" x14ac:dyDescent="0.25">
      <c r="B636" s="1418">
        <f t="shared" si="9"/>
        <v>22</v>
      </c>
      <c r="C636" s="3106" t="s">
        <v>2219</v>
      </c>
      <c r="D636" s="3106"/>
      <c r="E636" s="3106"/>
      <c r="F636" s="3106"/>
      <c r="G636" s="3106"/>
      <c r="H636" s="3106"/>
      <c r="I636" s="3106"/>
      <c r="J636" s="3106"/>
      <c r="K636" s="3106"/>
      <c r="L636" s="1376"/>
      <c r="M636" s="1376"/>
      <c r="N636" s="1379" t="s">
        <v>461</v>
      </c>
      <c r="O636" s="1376"/>
      <c r="P636" s="1040"/>
    </row>
    <row r="637" spans="2:16" s="4" customFormat="1" ht="15.75" x14ac:dyDescent="0.25">
      <c r="B637" s="1418">
        <f t="shared" si="9"/>
        <v>23</v>
      </c>
      <c r="C637" s="3106" t="s">
        <v>2220</v>
      </c>
      <c r="D637" s="3106"/>
      <c r="E637" s="3106"/>
      <c r="F637" s="3106"/>
      <c r="G637" s="3106"/>
      <c r="H637" s="3106"/>
      <c r="I637" s="3106"/>
      <c r="J637" s="3106"/>
      <c r="K637" s="3106"/>
      <c r="L637" s="1376"/>
      <c r="N637" s="1376"/>
      <c r="O637" s="1376"/>
      <c r="P637" s="1379" t="s">
        <v>461</v>
      </c>
    </row>
    <row r="638" spans="2:16" s="4" customFormat="1" ht="15.75" x14ac:dyDescent="0.25">
      <c r="B638" s="1418">
        <f t="shared" si="9"/>
        <v>24</v>
      </c>
      <c r="C638" s="3106" t="s">
        <v>2221</v>
      </c>
      <c r="D638" s="3106"/>
      <c r="E638" s="3106"/>
      <c r="F638" s="3106"/>
      <c r="G638" s="3106"/>
      <c r="H638" s="3106"/>
      <c r="I638" s="3106"/>
      <c r="J638" s="3106"/>
      <c r="K638" s="3106"/>
      <c r="L638" s="1376"/>
      <c r="M638" s="1379" t="s">
        <v>461</v>
      </c>
      <c r="N638" s="1376"/>
      <c r="O638" s="1376"/>
      <c r="P638" s="1040"/>
    </row>
    <row r="639" spans="2:16" s="4" customFormat="1" ht="15.75" x14ac:dyDescent="0.25">
      <c r="B639" s="1418">
        <f t="shared" si="9"/>
        <v>25</v>
      </c>
      <c r="C639" s="3106" t="s">
        <v>2222</v>
      </c>
      <c r="D639" s="3106"/>
      <c r="E639" s="3106"/>
      <c r="F639" s="3106"/>
      <c r="G639" s="3106"/>
      <c r="H639" s="3106"/>
      <c r="I639" s="3106"/>
      <c r="J639" s="3106"/>
      <c r="K639" s="3106"/>
      <c r="L639" s="1376"/>
      <c r="N639" s="1376"/>
      <c r="O639" s="1376"/>
      <c r="P639" s="1379" t="s">
        <v>461</v>
      </c>
    </row>
    <row r="640" spans="2:16" s="4" customFormat="1" ht="15.75" x14ac:dyDescent="0.25">
      <c r="B640" s="1418">
        <f t="shared" si="9"/>
        <v>26</v>
      </c>
      <c r="C640" s="3106" t="s">
        <v>2223</v>
      </c>
      <c r="D640" s="3106"/>
      <c r="E640" s="3106"/>
      <c r="F640" s="3106"/>
      <c r="G640" s="3106"/>
      <c r="H640" s="3106"/>
      <c r="I640" s="3106"/>
      <c r="J640" s="3106"/>
      <c r="K640" s="3106"/>
      <c r="L640" s="1379" t="s">
        <v>461</v>
      </c>
      <c r="M640" s="1376"/>
      <c r="N640" s="1376"/>
      <c r="O640" s="1376"/>
      <c r="P640" s="1040"/>
    </row>
    <row r="641" spans="1:17" s="4" customFormat="1" ht="15.75" x14ac:dyDescent="0.25">
      <c r="B641" s="1418">
        <f t="shared" si="9"/>
        <v>27</v>
      </c>
      <c r="C641" s="3106" t="s">
        <v>2224</v>
      </c>
      <c r="D641" s="3106"/>
      <c r="E641" s="3106"/>
      <c r="F641" s="3106"/>
      <c r="G641" s="3106"/>
      <c r="H641" s="3106"/>
      <c r="I641" s="3106"/>
      <c r="J641" s="3106"/>
      <c r="K641" s="3106"/>
      <c r="L641" s="1376"/>
      <c r="N641" s="1379"/>
      <c r="O641" s="1376"/>
      <c r="P641" s="1379" t="s">
        <v>461</v>
      </c>
    </row>
    <row r="642" spans="1:17" s="4" customFormat="1" ht="15.75" x14ac:dyDescent="0.25">
      <c r="B642" s="1418">
        <f t="shared" si="9"/>
        <v>28</v>
      </c>
      <c r="C642" s="3106" t="s">
        <v>2225</v>
      </c>
      <c r="D642" s="3106"/>
      <c r="E642" s="3106"/>
      <c r="F642" s="3106"/>
      <c r="G642" s="3106"/>
      <c r="H642" s="3106"/>
      <c r="I642" s="3106"/>
      <c r="J642" s="3106"/>
      <c r="K642" s="3106"/>
      <c r="L642" s="1376"/>
      <c r="M642" s="1376"/>
      <c r="N642" s="1379" t="s">
        <v>461</v>
      </c>
      <c r="O642" s="1376"/>
      <c r="P642" s="1040"/>
    </row>
    <row r="643" spans="1:17" s="4" customFormat="1" x14ac:dyDescent="0.25">
      <c r="B643" s="1320"/>
      <c r="C643" s="12"/>
      <c r="D643" s="12"/>
      <c r="E643" s="12"/>
      <c r="F643" s="12"/>
      <c r="G643" s="51"/>
      <c r="H643" s="51"/>
      <c r="M643" s="18"/>
      <c r="N643" s="18"/>
      <c r="O643" s="18"/>
      <c r="P643" s="18"/>
    </row>
    <row r="644" spans="1:17" s="4" customFormat="1" x14ac:dyDescent="0.25">
      <c r="B644" s="1320"/>
      <c r="C644" s="12"/>
      <c r="D644" s="12"/>
      <c r="E644" s="12"/>
      <c r="F644" s="12"/>
      <c r="G644" s="51"/>
      <c r="H644" s="51"/>
      <c r="M644" s="18"/>
      <c r="N644" s="18"/>
      <c r="O644" s="18"/>
      <c r="P644" s="18"/>
    </row>
    <row r="645" spans="1:17" s="4" customFormat="1" x14ac:dyDescent="0.25">
      <c r="B645" s="1320"/>
      <c r="C645" s="12"/>
      <c r="D645" s="12"/>
      <c r="E645" s="12"/>
      <c r="F645" s="12"/>
      <c r="G645" s="51"/>
      <c r="H645" s="51"/>
      <c r="M645" s="18"/>
      <c r="N645" s="18"/>
      <c r="O645" s="18"/>
      <c r="P645" s="18"/>
    </row>
    <row r="646" spans="1:17" s="4" customFormat="1" x14ac:dyDescent="0.25">
      <c r="B646" s="1320"/>
      <c r="C646" s="12"/>
      <c r="D646" s="12"/>
      <c r="E646" s="12"/>
      <c r="F646" s="12"/>
      <c r="G646" s="51"/>
      <c r="H646" s="51"/>
      <c r="M646" s="18"/>
      <c r="N646" s="18"/>
      <c r="O646" s="18"/>
      <c r="P646" s="18"/>
    </row>
    <row r="647" spans="1:17" s="4" customFormat="1" x14ac:dyDescent="0.25">
      <c r="B647" s="1320"/>
      <c r="C647" s="12"/>
      <c r="D647" s="12"/>
      <c r="E647" s="12"/>
      <c r="F647" s="12"/>
      <c r="G647" s="51"/>
      <c r="H647" s="51"/>
      <c r="M647" s="18"/>
      <c r="N647" s="18"/>
      <c r="O647" s="18"/>
      <c r="P647" s="18"/>
    </row>
    <row r="648" spans="1:17" s="4" customFormat="1" x14ac:dyDescent="0.25">
      <c r="B648" s="1320"/>
      <c r="C648" s="12"/>
      <c r="D648" s="12"/>
      <c r="E648" s="12"/>
      <c r="F648" s="12"/>
      <c r="G648" s="51"/>
      <c r="H648" s="51"/>
      <c r="M648" s="18"/>
      <c r="N648" s="18"/>
      <c r="O648" s="18"/>
      <c r="P648" s="18"/>
    </row>
    <row r="649" spans="1:17" s="4" customFormat="1" x14ac:dyDescent="0.25">
      <c r="B649" s="1320"/>
      <c r="C649" s="12"/>
      <c r="D649" s="12"/>
      <c r="E649" s="12"/>
      <c r="F649" s="12"/>
      <c r="G649" s="51"/>
      <c r="H649" s="51"/>
      <c r="M649" s="18"/>
      <c r="N649" s="18"/>
      <c r="O649" s="18"/>
      <c r="P649" s="18"/>
    </row>
    <row r="650" spans="1:17" s="4" customFormat="1" x14ac:dyDescent="0.25">
      <c r="B650" s="1320"/>
      <c r="C650" s="12"/>
      <c r="D650" s="12"/>
      <c r="E650" s="12"/>
      <c r="F650" s="12"/>
      <c r="G650" s="51"/>
      <c r="H650" s="51"/>
      <c r="M650" s="18"/>
      <c r="N650" s="18"/>
      <c r="O650" s="18"/>
      <c r="P650" s="18"/>
    </row>
    <row r="651" spans="1:17" s="4" customFormat="1" x14ac:dyDescent="0.25">
      <c r="B651" s="1320"/>
      <c r="C651" s="12"/>
      <c r="D651" s="12"/>
      <c r="E651" s="12"/>
      <c r="F651" s="12"/>
      <c r="G651" s="51"/>
      <c r="H651" s="51"/>
      <c r="M651" s="18"/>
      <c r="N651" s="18"/>
      <c r="O651" s="18"/>
      <c r="P651" s="18"/>
    </row>
    <row r="652" spans="1:17" s="4" customFormat="1" x14ac:dyDescent="0.25">
      <c r="B652" s="1320"/>
      <c r="C652" s="12"/>
      <c r="D652" s="12"/>
      <c r="E652" s="12"/>
      <c r="F652" s="12"/>
      <c r="G652" s="51"/>
      <c r="H652" s="51"/>
      <c r="M652" s="18"/>
      <c r="N652" s="18"/>
      <c r="O652" s="18"/>
      <c r="P652" s="18"/>
    </row>
    <row r="653" spans="1:17" s="4" customFormat="1" x14ac:dyDescent="0.25">
      <c r="B653" s="1320"/>
      <c r="C653" s="12"/>
      <c r="D653" s="12"/>
      <c r="E653" s="12"/>
      <c r="F653" s="12"/>
      <c r="G653" s="51"/>
      <c r="H653" s="51"/>
      <c r="M653" s="18"/>
      <c r="N653" s="18"/>
      <c r="O653" s="18"/>
      <c r="P653" s="18"/>
    </row>
    <row r="654" spans="1:17" s="4" customFormat="1" x14ac:dyDescent="0.25">
      <c r="B654" s="1320"/>
      <c r="C654" s="12"/>
      <c r="D654" s="12"/>
      <c r="E654" s="12"/>
      <c r="F654" s="12"/>
      <c r="G654" s="51"/>
      <c r="H654" s="51"/>
      <c r="M654" s="18"/>
      <c r="N654" s="18"/>
      <c r="O654" s="18"/>
      <c r="P654" s="18"/>
    </row>
    <row r="655" spans="1:17" s="4" customFormat="1" x14ac:dyDescent="0.25">
      <c r="B655" s="1320"/>
      <c r="C655" s="12"/>
      <c r="D655" s="12"/>
      <c r="E655" s="12"/>
      <c r="F655" s="12"/>
      <c r="G655" s="51"/>
      <c r="H655" s="51"/>
      <c r="M655" s="18"/>
      <c r="N655" s="18"/>
      <c r="O655" s="18"/>
      <c r="P655" s="18"/>
    </row>
    <row r="656" spans="1:17" x14ac:dyDescent="0.25">
      <c r="A656" s="3"/>
      <c r="B656" s="200"/>
      <c r="C656" s="11"/>
      <c r="D656" s="11"/>
      <c r="E656" s="11"/>
      <c r="F656" s="11"/>
      <c r="G656" s="24"/>
      <c r="H656" s="24"/>
      <c r="I656" s="3"/>
      <c r="J656" s="3"/>
      <c r="K656" s="3"/>
      <c r="L656" s="3"/>
      <c r="M656" s="22"/>
      <c r="N656" s="22"/>
      <c r="O656" s="22"/>
      <c r="P656" s="22"/>
      <c r="Q656" s="3"/>
    </row>
    <row r="657" spans="1:17" x14ac:dyDescent="0.25">
      <c r="A657" s="1844" t="s">
        <v>20</v>
      </c>
      <c r="B657" s="1845"/>
      <c r="C657" s="1845"/>
      <c r="D657" s="1845"/>
      <c r="E657" s="1845"/>
      <c r="F657" s="1845"/>
      <c r="G657" s="1845"/>
      <c r="H657" s="1845"/>
      <c r="I657" s="1845"/>
      <c r="J657" s="1845"/>
      <c r="K657" s="1845"/>
      <c r="L657" s="1845"/>
      <c r="M657" s="1845"/>
      <c r="N657" s="1845"/>
      <c r="O657" s="1845"/>
      <c r="P657" s="1845"/>
      <c r="Q657" s="1846"/>
    </row>
    <row r="658" spans="1:17" x14ac:dyDescent="0.25">
      <c r="A658" s="1847" t="s">
        <v>1239</v>
      </c>
      <c r="B658" s="1848"/>
      <c r="C658" s="1848"/>
      <c r="D658" s="1848"/>
      <c r="E658" s="1848"/>
      <c r="F658" s="1848"/>
      <c r="G658" s="1848"/>
      <c r="H658" s="1848"/>
      <c r="I658" s="1848"/>
      <c r="J658" s="1848"/>
      <c r="K658" s="1848"/>
      <c r="L658" s="1848"/>
      <c r="M658" s="1848"/>
      <c r="N658" s="1848"/>
      <c r="O658" s="1848"/>
      <c r="P658" s="1848"/>
      <c r="Q658" s="1849"/>
    </row>
    <row r="659" spans="1:17" x14ac:dyDescent="0.2">
      <c r="C659" s="818"/>
      <c r="D659" s="819"/>
    </row>
    <row r="660" spans="1:17" x14ac:dyDescent="0.25">
      <c r="C660" s="3092" t="s">
        <v>1240</v>
      </c>
      <c r="D660" s="3093"/>
      <c r="E660" s="3093"/>
      <c r="F660" s="3093"/>
      <c r="G660" s="3094"/>
      <c r="H660" s="7"/>
    </row>
    <row r="662" spans="1:17" ht="17.25" x14ac:dyDescent="0.4">
      <c r="C662" s="3090" t="s">
        <v>1241</v>
      </c>
      <c r="D662" s="3090"/>
      <c r="E662" s="3090"/>
      <c r="F662" s="3090"/>
      <c r="G662" s="3090"/>
      <c r="H662" s="3090"/>
      <c r="I662" s="3090"/>
      <c r="J662" s="3090"/>
      <c r="K662" s="3090"/>
      <c r="L662" s="3090"/>
      <c r="M662" s="3090"/>
      <c r="N662" s="3090"/>
      <c r="O662" s="3090"/>
      <c r="P662" s="3090"/>
    </row>
    <row r="663" spans="1:17" x14ac:dyDescent="0.25">
      <c r="C663" s="820" t="s">
        <v>1229</v>
      </c>
      <c r="G663" s="7"/>
      <c r="H663" s="7"/>
      <c r="O663" s="3087">
        <v>5000</v>
      </c>
      <c r="P663" s="3087"/>
    </row>
    <row r="664" spans="1:17" x14ac:dyDescent="0.25">
      <c r="C664" s="820" t="s">
        <v>1230</v>
      </c>
      <c r="G664" s="7"/>
      <c r="H664" s="7"/>
      <c r="O664" s="3087">
        <v>13000</v>
      </c>
      <c r="P664" s="3087"/>
    </row>
    <row r="665" spans="1:17" ht="15.75" thickBot="1" x14ac:dyDescent="0.3">
      <c r="C665" s="821" t="s">
        <v>1238</v>
      </c>
      <c r="G665" s="7"/>
      <c r="H665" s="7"/>
      <c r="O665" s="3089">
        <f>+O663-O664</f>
        <v>-8000</v>
      </c>
      <c r="P665" s="3089"/>
    </row>
    <row r="666" spans="1:17" ht="15.75" thickTop="1" x14ac:dyDescent="0.25">
      <c r="C666" s="592"/>
      <c r="G666" s="7"/>
      <c r="H666" s="7"/>
      <c r="O666" s="3087"/>
      <c r="P666" s="3087"/>
    </row>
    <row r="667" spans="1:17" ht="17.25" x14ac:dyDescent="0.4">
      <c r="C667" s="3090" t="s">
        <v>1232</v>
      </c>
      <c r="D667" s="3090"/>
      <c r="E667" s="3090"/>
      <c r="F667" s="3090"/>
      <c r="G667" s="3090"/>
      <c r="H667" s="3090"/>
      <c r="I667" s="3090"/>
      <c r="J667" s="3090"/>
      <c r="K667" s="3090"/>
      <c r="L667" s="3090"/>
      <c r="M667" s="3090"/>
      <c r="N667" s="3090"/>
      <c r="O667" s="3090"/>
      <c r="P667" s="3090"/>
    </row>
    <row r="668" spans="1:17" ht="17.25" x14ac:dyDescent="0.4">
      <c r="C668" s="827"/>
      <c r="D668" s="827"/>
      <c r="E668" s="827"/>
      <c r="F668" s="827"/>
      <c r="G668" s="827"/>
      <c r="H668" s="827"/>
      <c r="I668" s="827"/>
      <c r="J668" s="827"/>
      <c r="K668" s="827"/>
      <c r="L668" s="827"/>
      <c r="M668" s="827"/>
      <c r="N668" s="827"/>
      <c r="O668" s="827"/>
      <c r="P668" s="827"/>
    </row>
    <row r="669" spans="1:17" x14ac:dyDescent="0.25">
      <c r="C669" s="821" t="s">
        <v>1233</v>
      </c>
      <c r="G669" s="7"/>
      <c r="H669" s="7"/>
      <c r="O669" s="3087"/>
      <c r="P669" s="3087"/>
    </row>
    <row r="670" spans="1:17" x14ac:dyDescent="0.25">
      <c r="C670" s="828" t="s">
        <v>486</v>
      </c>
      <c r="G670" s="7"/>
      <c r="H670" s="7"/>
      <c r="O670" s="3087">
        <v>-6000</v>
      </c>
      <c r="P670" s="3087"/>
    </row>
    <row r="671" spans="1:17" x14ac:dyDescent="0.25">
      <c r="C671" s="829" t="s">
        <v>1242</v>
      </c>
      <c r="G671" s="7"/>
      <c r="H671" s="7"/>
      <c r="O671" s="824"/>
      <c r="P671" s="824"/>
    </row>
    <row r="672" spans="1:17" x14ac:dyDescent="0.25">
      <c r="C672" s="830" t="s">
        <v>1243</v>
      </c>
      <c r="G672" s="7"/>
      <c r="H672" s="7"/>
      <c r="O672" s="3087">
        <v>16000</v>
      </c>
      <c r="P672" s="3087"/>
    </row>
    <row r="673" spans="3:16" x14ac:dyDescent="0.25">
      <c r="C673" s="829" t="s">
        <v>1244</v>
      </c>
      <c r="G673" s="7"/>
      <c r="H673" s="7"/>
      <c r="O673" s="3087"/>
      <c r="P673" s="3087"/>
    </row>
    <row r="674" spans="3:16" x14ac:dyDescent="0.25">
      <c r="C674" s="822" t="s">
        <v>1245</v>
      </c>
      <c r="G674" s="7"/>
      <c r="H674" s="7"/>
      <c r="O674" s="3087">
        <v>-20000</v>
      </c>
      <c r="P674" s="3087"/>
    </row>
    <row r="675" spans="3:16" x14ac:dyDescent="0.25">
      <c r="C675" s="822" t="s">
        <v>1246</v>
      </c>
      <c r="G675" s="7"/>
      <c r="H675" s="7"/>
      <c r="O675" s="3087">
        <v>3000</v>
      </c>
      <c r="P675" s="3087"/>
    </row>
    <row r="676" spans="3:16" x14ac:dyDescent="0.25">
      <c r="C676" s="822" t="s">
        <v>1247</v>
      </c>
      <c r="G676" s="7"/>
      <c r="H676" s="7"/>
      <c r="O676" s="3087">
        <v>4000</v>
      </c>
      <c r="P676" s="3087"/>
    </row>
    <row r="677" spans="3:16" x14ac:dyDescent="0.25">
      <c r="C677" s="829" t="s">
        <v>1248</v>
      </c>
      <c r="G677" s="7"/>
      <c r="H677" s="7"/>
      <c r="O677" s="2"/>
      <c r="P677" s="2"/>
    </row>
    <row r="678" spans="3:16" x14ac:dyDescent="0.25">
      <c r="C678" s="822" t="s">
        <v>1249</v>
      </c>
      <c r="G678" s="7"/>
      <c r="H678" s="7"/>
      <c r="O678" s="3087">
        <v>2000</v>
      </c>
      <c r="P678" s="3087"/>
    </row>
    <row r="679" spans="3:16" x14ac:dyDescent="0.25">
      <c r="C679" s="823" t="s">
        <v>1250</v>
      </c>
      <c r="G679" s="7"/>
      <c r="H679" s="7"/>
      <c r="O679" s="3088">
        <f>SUM(O670:P678)</f>
        <v>-1000</v>
      </c>
      <c r="P679" s="3088"/>
    </row>
    <row r="680" spans="3:16" x14ac:dyDescent="0.25">
      <c r="C680" s="823"/>
      <c r="G680" s="7"/>
      <c r="H680" s="7"/>
      <c r="O680" s="824"/>
      <c r="P680" s="824"/>
    </row>
    <row r="681" spans="3:16" x14ac:dyDescent="0.25">
      <c r="C681" s="821" t="s">
        <v>1251</v>
      </c>
      <c r="G681" s="7"/>
      <c r="H681" s="7"/>
      <c r="O681" s="824"/>
      <c r="P681" s="824"/>
    </row>
    <row r="682" spans="3:16" x14ac:dyDescent="0.25">
      <c r="C682" s="828" t="s">
        <v>1252</v>
      </c>
      <c r="G682" s="7"/>
      <c r="H682" s="7"/>
      <c r="O682" s="3087">
        <v>-120000</v>
      </c>
      <c r="P682" s="3087"/>
    </row>
    <row r="683" spans="3:16" x14ac:dyDescent="0.25">
      <c r="C683" s="823" t="s">
        <v>1235</v>
      </c>
      <c r="G683" s="7"/>
      <c r="H683" s="7"/>
      <c r="O683" s="3088">
        <f>+O682</f>
        <v>-120000</v>
      </c>
      <c r="P683" s="3088"/>
    </row>
    <row r="684" spans="3:16" x14ac:dyDescent="0.25">
      <c r="C684" s="823"/>
      <c r="G684" s="7"/>
      <c r="H684" s="7"/>
      <c r="O684" s="824"/>
      <c r="P684" s="824"/>
    </row>
    <row r="685" spans="3:16" x14ac:dyDescent="0.25">
      <c r="C685" s="821" t="s">
        <v>1236</v>
      </c>
      <c r="G685" s="7"/>
      <c r="H685" s="7"/>
      <c r="O685" s="3087"/>
      <c r="P685" s="3087"/>
    </row>
    <row r="686" spans="3:16" x14ac:dyDescent="0.25">
      <c r="C686" s="820" t="s">
        <v>584</v>
      </c>
      <c r="G686" s="7"/>
      <c r="H686" s="7"/>
      <c r="O686" s="3087">
        <v>10000</v>
      </c>
      <c r="P686" s="3087"/>
    </row>
    <row r="687" spans="3:16" x14ac:dyDescent="0.25">
      <c r="C687" s="828" t="s">
        <v>1253</v>
      </c>
      <c r="G687" s="7"/>
      <c r="H687" s="7"/>
      <c r="O687" s="3087">
        <v>-1000</v>
      </c>
      <c r="P687" s="3087"/>
    </row>
    <row r="688" spans="3:16" x14ac:dyDescent="0.25">
      <c r="C688" s="828" t="s">
        <v>1254</v>
      </c>
      <c r="G688" s="7"/>
      <c r="H688" s="7"/>
      <c r="O688" s="3087">
        <v>26000</v>
      </c>
      <c r="P688" s="3087"/>
    </row>
    <row r="689" spans="3:16" x14ac:dyDescent="0.25">
      <c r="C689" s="828" t="s">
        <v>1255</v>
      </c>
      <c r="G689" s="7"/>
      <c r="H689" s="7"/>
      <c r="O689" s="3087">
        <v>80000</v>
      </c>
      <c r="P689" s="3087"/>
    </row>
    <row r="690" spans="3:16" x14ac:dyDescent="0.25">
      <c r="C690" s="828" t="s">
        <v>1256</v>
      </c>
      <c r="G690" s="7"/>
      <c r="H690" s="7"/>
      <c r="O690" s="3087">
        <v>-2000</v>
      </c>
      <c r="P690" s="3087"/>
    </row>
    <row r="691" spans="3:16" x14ac:dyDescent="0.25">
      <c r="C691" s="823" t="s">
        <v>1257</v>
      </c>
      <c r="G691" s="7"/>
      <c r="H691" s="7"/>
      <c r="O691" s="3088">
        <f>SUM(O686:O690)</f>
        <v>113000</v>
      </c>
      <c r="P691" s="3088"/>
    </row>
    <row r="692" spans="3:16" x14ac:dyDescent="0.25">
      <c r="C692" s="2"/>
      <c r="D692" s="2"/>
      <c r="E692" s="2"/>
      <c r="F692" s="2"/>
      <c r="G692" s="2"/>
      <c r="H692" s="2"/>
      <c r="M692" s="2"/>
      <c r="N692" s="2"/>
      <c r="O692" s="2"/>
      <c r="P692" s="2"/>
    </row>
    <row r="693" spans="3:16" ht="15.75" thickBot="1" x14ac:dyDescent="0.3">
      <c r="C693" s="826" t="s">
        <v>1238</v>
      </c>
      <c r="G693" s="7"/>
      <c r="H693" s="7"/>
      <c r="O693" s="3089">
        <f>+O679+O683+O691</f>
        <v>-8000</v>
      </c>
      <c r="P693" s="3089"/>
    </row>
    <row r="694" spans="3:16" ht="15.75" thickTop="1" x14ac:dyDescent="0.25">
      <c r="O694" s="3087"/>
      <c r="P694" s="3087"/>
    </row>
    <row r="695" spans="3:16" x14ac:dyDescent="0.25">
      <c r="O695" s="3087"/>
      <c r="P695" s="3087"/>
    </row>
    <row r="696" spans="3:16" x14ac:dyDescent="0.25">
      <c r="C696" s="3092" t="s">
        <v>1258</v>
      </c>
      <c r="D696" s="3093"/>
      <c r="E696" s="3093"/>
      <c r="F696" s="3093"/>
      <c r="G696" s="3094"/>
      <c r="O696" s="824"/>
      <c r="P696" s="824"/>
    </row>
    <row r="697" spans="3:16" x14ac:dyDescent="0.25">
      <c r="O697" s="824"/>
      <c r="P697" s="824"/>
    </row>
    <row r="698" spans="3:16" x14ac:dyDescent="0.25">
      <c r="C698" s="4"/>
      <c r="O698" s="824"/>
      <c r="P698" s="824"/>
    </row>
    <row r="699" spans="3:16" x14ac:dyDescent="0.25">
      <c r="C699" s="821" t="s">
        <v>1233</v>
      </c>
      <c r="O699" s="3087"/>
      <c r="P699" s="3087"/>
    </row>
    <row r="700" spans="3:16" x14ac:dyDescent="0.25">
      <c r="C700" s="825" t="s">
        <v>1259</v>
      </c>
      <c r="D700" s="2"/>
      <c r="G700" s="7"/>
      <c r="H700" s="7"/>
      <c r="O700" s="3087">
        <f>60000-20000</f>
        <v>40000</v>
      </c>
      <c r="P700" s="3087"/>
    </row>
    <row r="701" spans="3:16" x14ac:dyDescent="0.25">
      <c r="C701" s="825" t="s">
        <v>1260</v>
      </c>
      <c r="D701" s="2"/>
      <c r="G701" s="7"/>
      <c r="H701" s="7"/>
      <c r="O701" s="3087">
        <f>-(-18000+38000+15000)+4000</f>
        <v>-31000</v>
      </c>
      <c r="P701" s="3087"/>
    </row>
    <row r="702" spans="3:16" x14ac:dyDescent="0.25">
      <c r="C702" s="831" t="s">
        <v>1261</v>
      </c>
      <c r="D702" s="2"/>
      <c r="G702" s="7"/>
      <c r="H702" s="7"/>
      <c r="O702" s="3087">
        <v>-10000</v>
      </c>
      <c r="P702" s="3087"/>
    </row>
    <row r="703" spans="3:16" x14ac:dyDescent="0.25">
      <c r="C703" s="832" t="str">
        <f>+C679</f>
        <v>Flujo neto de efectivo aplicado en las actividades operativas</v>
      </c>
      <c r="D703" s="2"/>
      <c r="G703" s="7"/>
      <c r="H703" s="7"/>
      <c r="O703" s="3088">
        <f>SUM(O700:O702)</f>
        <v>-1000</v>
      </c>
      <c r="P703" s="3088"/>
    </row>
    <row r="705" spans="1:17" x14ac:dyDescent="0.25">
      <c r="A705" s="3"/>
      <c r="B705" s="200"/>
      <c r="C705" s="11"/>
      <c r="D705" s="11"/>
      <c r="E705" s="11"/>
      <c r="F705" s="11"/>
      <c r="G705" s="24"/>
      <c r="H705" s="24"/>
      <c r="I705" s="3"/>
      <c r="J705" s="3"/>
      <c r="K705" s="3"/>
      <c r="L705" s="3"/>
      <c r="M705" s="22"/>
      <c r="N705" s="22"/>
      <c r="O705" s="22"/>
      <c r="P705" s="22"/>
      <c r="Q705" s="3"/>
    </row>
    <row r="706" spans="1:17" x14ac:dyDescent="0.25">
      <c r="A706" s="1844" t="s">
        <v>20</v>
      </c>
      <c r="B706" s="1845"/>
      <c r="C706" s="1845"/>
      <c r="D706" s="1845"/>
      <c r="E706" s="1845"/>
      <c r="F706" s="1845"/>
      <c r="G706" s="1845"/>
      <c r="H706" s="1845"/>
      <c r="I706" s="1845"/>
      <c r="J706" s="1845"/>
      <c r="K706" s="1845"/>
      <c r="L706" s="1845"/>
      <c r="M706" s="1845"/>
      <c r="N706" s="1845"/>
      <c r="O706" s="1845"/>
      <c r="P706" s="1845"/>
      <c r="Q706" s="1846"/>
    </row>
    <row r="707" spans="1:17" x14ac:dyDescent="0.25">
      <c r="A707" s="1847" t="s">
        <v>1262</v>
      </c>
      <c r="B707" s="1848"/>
      <c r="C707" s="1848"/>
      <c r="D707" s="1848"/>
      <c r="E707" s="1848"/>
      <c r="F707" s="1848"/>
      <c r="G707" s="1848"/>
      <c r="H707" s="1848"/>
      <c r="I707" s="1848"/>
      <c r="J707" s="1848"/>
      <c r="K707" s="1848"/>
      <c r="L707" s="1848"/>
      <c r="M707" s="1848"/>
      <c r="N707" s="1848"/>
      <c r="O707" s="1848"/>
      <c r="P707" s="1848"/>
      <c r="Q707" s="1849"/>
    </row>
    <row r="708" spans="1:17" x14ac:dyDescent="0.2">
      <c r="C708" s="818"/>
      <c r="D708" s="819"/>
    </row>
    <row r="709" spans="1:17" x14ac:dyDescent="0.25">
      <c r="C709" s="3092" t="s">
        <v>1240</v>
      </c>
      <c r="D709" s="3093"/>
      <c r="E709" s="3093"/>
      <c r="F709" s="3093"/>
      <c r="G709" s="3094"/>
      <c r="H709" s="7"/>
    </row>
    <row r="711" spans="1:17" ht="17.25" x14ac:dyDescent="0.4">
      <c r="C711" s="3090" t="s">
        <v>1241</v>
      </c>
      <c r="D711" s="3090"/>
      <c r="E711" s="3090"/>
      <c r="F711" s="3090"/>
      <c r="G711" s="3090"/>
      <c r="H711" s="3090"/>
      <c r="I711" s="3090"/>
      <c r="J711" s="3090"/>
      <c r="K711" s="3090"/>
      <c r="L711" s="3090"/>
      <c r="M711" s="3090"/>
      <c r="N711" s="3090"/>
      <c r="O711" s="3090"/>
      <c r="P711" s="3090"/>
    </row>
    <row r="712" spans="1:17" x14ac:dyDescent="0.25">
      <c r="C712" s="820" t="s">
        <v>1229</v>
      </c>
      <c r="G712" s="7"/>
      <c r="H712" s="7"/>
      <c r="O712" s="3087">
        <v>3000</v>
      </c>
      <c r="P712" s="3087"/>
    </row>
    <row r="713" spans="1:17" x14ac:dyDescent="0.25">
      <c r="C713" s="820" t="s">
        <v>1230</v>
      </c>
      <c r="G713" s="7"/>
      <c r="H713" s="7"/>
      <c r="O713" s="3087">
        <v>5000</v>
      </c>
      <c r="P713" s="3087"/>
    </row>
    <row r="714" spans="1:17" ht="15.75" thickBot="1" x14ac:dyDescent="0.3">
      <c r="C714" s="821" t="s">
        <v>1238</v>
      </c>
      <c r="G714" s="7"/>
      <c r="H714" s="7"/>
      <c r="O714" s="3089">
        <f>+O712-O713</f>
        <v>-2000</v>
      </c>
      <c r="P714" s="3089"/>
    </row>
    <row r="715" spans="1:17" ht="15.75" thickTop="1" x14ac:dyDescent="0.25">
      <c r="C715" s="592"/>
      <c r="G715" s="7"/>
      <c r="H715" s="7"/>
      <c r="O715" s="3087"/>
      <c r="P715" s="3087"/>
    </row>
    <row r="716" spans="1:17" ht="17.25" x14ac:dyDescent="0.4">
      <c r="C716" s="3090" t="s">
        <v>1232</v>
      </c>
      <c r="D716" s="3090"/>
      <c r="E716" s="3090"/>
      <c r="F716" s="3090"/>
      <c r="G716" s="3090"/>
      <c r="H716" s="3090"/>
      <c r="I716" s="3090"/>
      <c r="J716" s="3090"/>
      <c r="K716" s="3090"/>
      <c r="L716" s="3090"/>
      <c r="M716" s="3090"/>
      <c r="N716" s="3090"/>
      <c r="O716" s="3090"/>
      <c r="P716" s="3090"/>
    </row>
    <row r="717" spans="1:17" ht="17.25" x14ac:dyDescent="0.4">
      <c r="C717" s="827"/>
      <c r="D717" s="827"/>
      <c r="E717" s="827"/>
      <c r="F717" s="827"/>
      <c r="G717" s="827"/>
      <c r="H717" s="827"/>
      <c r="I717" s="827"/>
      <c r="J717" s="827"/>
      <c r="K717" s="827"/>
      <c r="L717" s="827"/>
      <c r="M717" s="827"/>
      <c r="N717" s="827"/>
      <c r="O717" s="827"/>
      <c r="P717" s="827"/>
    </row>
    <row r="718" spans="1:17" x14ac:dyDescent="0.25">
      <c r="C718" s="821" t="s">
        <v>1233</v>
      </c>
      <c r="G718" s="7"/>
      <c r="H718" s="7"/>
      <c r="O718" s="3087"/>
      <c r="P718" s="3087"/>
    </row>
    <row r="719" spans="1:17" x14ac:dyDescent="0.25">
      <c r="C719" s="828" t="s">
        <v>486</v>
      </c>
      <c r="G719" s="7"/>
      <c r="H719" s="7"/>
      <c r="O719" s="3087">
        <v>11000</v>
      </c>
      <c r="P719" s="3087"/>
    </row>
    <row r="720" spans="1:17" x14ac:dyDescent="0.25">
      <c r="C720" s="829" t="s">
        <v>1242</v>
      </c>
      <c r="G720" s="7"/>
      <c r="H720" s="7"/>
      <c r="O720" s="824"/>
      <c r="P720" s="824"/>
    </row>
    <row r="721" spans="3:16" x14ac:dyDescent="0.25">
      <c r="C721" s="830" t="s">
        <v>1243</v>
      </c>
      <c r="G721" s="7"/>
      <c r="H721" s="7"/>
      <c r="O721" s="3087">
        <v>16000</v>
      </c>
      <c r="P721" s="3087"/>
    </row>
    <row r="722" spans="3:16" x14ac:dyDescent="0.25">
      <c r="C722" s="829" t="s">
        <v>1244</v>
      </c>
      <c r="G722" s="7"/>
      <c r="H722" s="7"/>
      <c r="O722" s="3087"/>
      <c r="P722" s="3087"/>
    </row>
    <row r="723" spans="3:16" x14ac:dyDescent="0.25">
      <c r="C723" s="822" t="s">
        <v>1245</v>
      </c>
      <c r="G723" s="7"/>
      <c r="H723" s="7"/>
      <c r="O723" s="3087">
        <v>-2000</v>
      </c>
      <c r="P723" s="3087"/>
    </row>
    <row r="724" spans="3:16" x14ac:dyDescent="0.25">
      <c r="C724" s="822" t="s">
        <v>1263</v>
      </c>
      <c r="G724" s="7"/>
      <c r="H724" s="7"/>
      <c r="O724" s="3087">
        <v>-3000</v>
      </c>
      <c r="P724" s="3087"/>
    </row>
    <row r="725" spans="3:16" x14ac:dyDescent="0.25">
      <c r="C725" s="822" t="s">
        <v>1264</v>
      </c>
      <c r="G725" s="7"/>
      <c r="H725" s="7"/>
      <c r="O725" s="3087">
        <v>-6000</v>
      </c>
      <c r="P725" s="3087"/>
    </row>
    <row r="726" spans="3:16" x14ac:dyDescent="0.25">
      <c r="C726" s="829" t="s">
        <v>1248</v>
      </c>
      <c r="G726" s="7"/>
      <c r="H726" s="7"/>
      <c r="O726" s="2"/>
      <c r="P726" s="2"/>
    </row>
    <row r="727" spans="3:16" x14ac:dyDescent="0.25">
      <c r="C727" s="822" t="s">
        <v>1249</v>
      </c>
      <c r="G727" s="7"/>
      <c r="H727" s="7"/>
      <c r="O727" s="3087">
        <v>3000</v>
      </c>
      <c r="P727" s="3087"/>
    </row>
    <row r="728" spans="3:16" x14ac:dyDescent="0.25">
      <c r="C728" s="823" t="s">
        <v>1234</v>
      </c>
      <c r="G728" s="7"/>
      <c r="H728" s="7"/>
      <c r="O728" s="3088">
        <f>SUM(O719:P727)</f>
        <v>19000</v>
      </c>
      <c r="P728" s="3088"/>
    </row>
    <row r="729" spans="3:16" x14ac:dyDescent="0.25">
      <c r="C729" s="823"/>
      <c r="G729" s="7"/>
      <c r="H729" s="7"/>
      <c r="O729" s="824"/>
      <c r="P729" s="824"/>
    </row>
    <row r="730" spans="3:16" x14ac:dyDescent="0.25">
      <c r="C730" s="821" t="s">
        <v>1251</v>
      </c>
      <c r="G730" s="7"/>
      <c r="H730" s="7"/>
      <c r="O730" s="824"/>
      <c r="P730" s="824"/>
    </row>
    <row r="731" spans="3:16" x14ac:dyDescent="0.25">
      <c r="C731" s="833" t="s">
        <v>1265</v>
      </c>
      <c r="G731" s="7"/>
      <c r="H731" s="7"/>
      <c r="O731" s="3095"/>
      <c r="P731" s="3095"/>
    </row>
    <row r="732" spans="3:16" x14ac:dyDescent="0.25">
      <c r="C732" s="823"/>
      <c r="G732" s="7"/>
      <c r="H732" s="7"/>
      <c r="O732" s="3096"/>
      <c r="P732" s="3096"/>
    </row>
    <row r="733" spans="3:16" x14ac:dyDescent="0.25">
      <c r="C733" s="821" t="s">
        <v>1236</v>
      </c>
      <c r="G733" s="7"/>
      <c r="H733" s="7"/>
      <c r="O733" s="3087"/>
      <c r="P733" s="3087"/>
    </row>
    <row r="734" spans="3:16" x14ac:dyDescent="0.25">
      <c r="C734" s="828" t="s">
        <v>1266</v>
      </c>
      <c r="G734" s="7"/>
      <c r="H734" s="7"/>
      <c r="O734" s="3087">
        <v>-6000</v>
      </c>
      <c r="P734" s="3087"/>
    </row>
    <row r="735" spans="3:16" x14ac:dyDescent="0.25">
      <c r="C735" s="828" t="s">
        <v>1267</v>
      </c>
      <c r="G735" s="7"/>
      <c r="H735" s="7"/>
      <c r="O735" s="3087">
        <v>-12000</v>
      </c>
      <c r="P735" s="3087"/>
    </row>
    <row r="736" spans="3:16" x14ac:dyDescent="0.25">
      <c r="C736" s="828" t="s">
        <v>1256</v>
      </c>
      <c r="G736" s="7"/>
      <c r="H736" s="7"/>
      <c r="O736" s="3087">
        <v>-3000</v>
      </c>
      <c r="P736" s="3087"/>
    </row>
    <row r="737" spans="3:16" x14ac:dyDescent="0.25">
      <c r="C737" s="823" t="s">
        <v>1257</v>
      </c>
      <c r="G737" s="7"/>
      <c r="H737" s="7"/>
      <c r="O737" s="3088">
        <f>SUM(O734:O736)</f>
        <v>-21000</v>
      </c>
      <c r="P737" s="3088"/>
    </row>
    <row r="738" spans="3:16" x14ac:dyDescent="0.25">
      <c r="C738" s="2"/>
      <c r="D738" s="2"/>
      <c r="E738" s="2"/>
      <c r="F738" s="2"/>
      <c r="G738" s="2"/>
      <c r="H738" s="2"/>
      <c r="M738" s="2"/>
      <c r="N738" s="2"/>
      <c r="O738" s="2"/>
      <c r="P738" s="2"/>
    </row>
    <row r="739" spans="3:16" ht="15.75" thickBot="1" x14ac:dyDescent="0.3">
      <c r="C739" s="826" t="s">
        <v>1238</v>
      </c>
      <c r="G739" s="7"/>
      <c r="H739" s="7"/>
      <c r="O739" s="3089">
        <f>+O728+O732+O737</f>
        <v>-2000</v>
      </c>
      <c r="P739" s="3089"/>
    </row>
    <row r="740" spans="3:16" ht="15.75" thickTop="1" x14ac:dyDescent="0.25">
      <c r="O740" s="3087"/>
      <c r="P740" s="3087"/>
    </row>
    <row r="741" spans="3:16" x14ac:dyDescent="0.25">
      <c r="O741" s="3087"/>
      <c r="P741" s="3087"/>
    </row>
    <row r="742" spans="3:16" x14ac:dyDescent="0.25">
      <c r="C742" s="3092" t="s">
        <v>1258</v>
      </c>
      <c r="D742" s="3093"/>
      <c r="E742" s="3093"/>
      <c r="F742" s="3093"/>
      <c r="G742" s="3094"/>
      <c r="O742" s="824"/>
      <c r="P742" s="824"/>
    </row>
    <row r="743" spans="3:16" x14ac:dyDescent="0.25">
      <c r="O743" s="824"/>
      <c r="P743" s="824"/>
    </row>
    <row r="744" spans="3:16" x14ac:dyDescent="0.25">
      <c r="C744" s="4"/>
      <c r="O744" s="824"/>
      <c r="P744" s="824"/>
    </row>
    <row r="745" spans="3:16" x14ac:dyDescent="0.25">
      <c r="C745" s="821" t="s">
        <v>1233</v>
      </c>
      <c r="O745" s="3087"/>
      <c r="P745" s="3087"/>
    </row>
    <row r="746" spans="3:16" x14ac:dyDescent="0.25">
      <c r="C746" s="825" t="s">
        <v>1259</v>
      </c>
      <c r="D746" s="2"/>
      <c r="G746" s="7"/>
      <c r="H746" s="7"/>
      <c r="O746" s="3087">
        <f>80000+20000-22000</f>
        <v>78000</v>
      </c>
      <c r="P746" s="3087"/>
    </row>
    <row r="747" spans="3:16" x14ac:dyDescent="0.25">
      <c r="C747" s="825" t="s">
        <v>1260</v>
      </c>
      <c r="D747" s="2"/>
      <c r="G747" s="7"/>
      <c r="H747" s="7"/>
      <c r="O747" s="3087">
        <f>-(45000+18000-15000)-6000</f>
        <v>-54000</v>
      </c>
      <c r="P747" s="3087"/>
    </row>
    <row r="748" spans="3:16" x14ac:dyDescent="0.25">
      <c r="C748" s="831" t="s">
        <v>1261</v>
      </c>
      <c r="D748" s="2"/>
      <c r="G748" s="7"/>
      <c r="H748" s="7"/>
      <c r="O748" s="3087">
        <v>-5000</v>
      </c>
      <c r="P748" s="3087"/>
    </row>
    <row r="749" spans="3:16" x14ac:dyDescent="0.25">
      <c r="C749" s="832" t="str">
        <f>+C728</f>
        <v>Flujo neto de efectivo generado por las actividades operativas</v>
      </c>
      <c r="D749" s="2"/>
      <c r="G749" s="7"/>
      <c r="H749" s="7"/>
      <c r="O749" s="3088">
        <f>SUM(O746:O748)</f>
        <v>19000</v>
      </c>
      <c r="P749" s="3088"/>
    </row>
    <row r="754" spans="1:17" x14ac:dyDescent="0.25">
      <c r="A754" s="1844" t="s">
        <v>20</v>
      </c>
      <c r="B754" s="1845"/>
      <c r="C754" s="1845"/>
      <c r="D754" s="1845"/>
      <c r="E754" s="1845"/>
      <c r="F754" s="1845"/>
      <c r="G754" s="1845"/>
      <c r="H754" s="1845"/>
      <c r="I754" s="1845"/>
      <c r="J754" s="1845"/>
      <c r="K754" s="1845"/>
      <c r="L754" s="1845"/>
      <c r="M754" s="1845"/>
      <c r="N754" s="1845"/>
      <c r="O754" s="1845"/>
      <c r="P754" s="1845"/>
      <c r="Q754" s="1846"/>
    </row>
    <row r="755" spans="1:17" x14ac:dyDescent="0.25">
      <c r="A755" s="1847" t="s">
        <v>2296</v>
      </c>
      <c r="B755" s="1848"/>
      <c r="C755" s="1848"/>
      <c r="D755" s="1848"/>
      <c r="E755" s="1848"/>
      <c r="F755" s="1848"/>
      <c r="G755" s="1848"/>
      <c r="H755" s="1848"/>
      <c r="I755" s="1848"/>
      <c r="J755" s="1848"/>
      <c r="K755" s="1848"/>
      <c r="L755" s="1848"/>
      <c r="M755" s="1848"/>
      <c r="N755" s="1848"/>
      <c r="O755" s="1848"/>
      <c r="P755" s="1848"/>
      <c r="Q755" s="1849"/>
    </row>
    <row r="756" spans="1:17" x14ac:dyDescent="0.25">
      <c r="B756" s="1444"/>
    </row>
    <row r="757" spans="1:17" x14ac:dyDescent="0.25">
      <c r="B757" s="1444"/>
      <c r="C757" s="1506"/>
      <c r="D757" s="3084" t="s">
        <v>2296</v>
      </c>
      <c r="E757" s="3084"/>
      <c r="F757" s="3084"/>
      <c r="G757" s="3084"/>
      <c r="H757" s="3084"/>
      <c r="I757" s="3084"/>
      <c r="J757" s="3084"/>
      <c r="K757" s="3084"/>
      <c r="L757" s="3084"/>
      <c r="M757" s="3084"/>
      <c r="N757" s="3084"/>
    </row>
    <row r="758" spans="1:17" x14ac:dyDescent="0.25">
      <c r="B758" s="1444"/>
      <c r="C758" s="1501"/>
      <c r="D758" s="3085" t="s">
        <v>2297</v>
      </c>
      <c r="E758" s="3085"/>
      <c r="F758" s="3085"/>
      <c r="G758" s="3085"/>
      <c r="H758" s="3085"/>
      <c r="I758" s="3085"/>
      <c r="J758" s="3085"/>
      <c r="K758" s="3085"/>
      <c r="L758" s="3085"/>
      <c r="M758" s="3085"/>
      <c r="N758" s="3085"/>
    </row>
    <row r="759" spans="1:17" x14ac:dyDescent="0.25">
      <c r="B759" s="1444"/>
      <c r="C759" s="1501"/>
      <c r="D759" s="3085" t="s">
        <v>2356</v>
      </c>
      <c r="E759" s="3085"/>
      <c r="F759" s="3085"/>
      <c r="G759" s="3085"/>
      <c r="H759" s="3085"/>
      <c r="I759" s="3085"/>
      <c r="J759" s="3085"/>
      <c r="K759" s="3085"/>
      <c r="L759" s="3085"/>
      <c r="M759" s="3085"/>
      <c r="N759" s="3085"/>
    </row>
    <row r="760" spans="1:17" x14ac:dyDescent="0.25">
      <c r="B760" s="1444"/>
      <c r="C760" s="1501"/>
      <c r="D760" s="3086" t="s">
        <v>497</v>
      </c>
      <c r="E760" s="3086"/>
      <c r="F760" s="3086"/>
      <c r="G760" s="3086"/>
      <c r="H760" s="3086"/>
      <c r="I760" s="3086"/>
      <c r="J760" s="3086"/>
      <c r="K760" s="3086"/>
      <c r="L760" s="3086"/>
      <c r="M760" s="3086"/>
      <c r="N760" s="3086"/>
    </row>
    <row r="761" spans="1:17" ht="15.75" x14ac:dyDescent="0.25">
      <c r="B761" s="1444"/>
      <c r="C761" s="1614"/>
      <c r="D761" s="1615"/>
      <c r="E761" s="1615"/>
      <c r="F761" s="1615"/>
      <c r="G761" s="1616"/>
      <c r="H761" s="1616"/>
      <c r="I761" s="1617"/>
      <c r="J761" s="1617"/>
      <c r="K761" s="1617"/>
      <c r="L761" s="1617"/>
      <c r="M761" s="1618"/>
      <c r="N761" s="1618"/>
      <c r="O761" s="1619"/>
    </row>
    <row r="762" spans="1:17" ht="15.75" x14ac:dyDescent="0.25">
      <c r="B762" s="1444"/>
      <c r="C762" s="564"/>
      <c r="D762" s="1620" t="s">
        <v>2302</v>
      </c>
      <c r="E762" s="1621"/>
      <c r="F762" s="1621"/>
      <c r="G762" s="1622"/>
      <c r="H762" s="1622"/>
      <c r="I762" s="1623"/>
      <c r="J762" s="1623"/>
      <c r="K762" s="1623"/>
      <c r="L762" s="1623"/>
      <c r="M762" s="1624"/>
      <c r="N762" s="1624"/>
      <c r="O762" s="1625"/>
    </row>
    <row r="763" spans="1:17" ht="15.75" x14ac:dyDescent="0.25">
      <c r="B763" s="1444"/>
      <c r="C763" s="564"/>
      <c r="D763" s="1621" t="s">
        <v>2303</v>
      </c>
      <c r="E763" s="1623"/>
      <c r="F763" s="1621"/>
      <c r="G763" s="1622"/>
      <c r="H763" s="1622"/>
      <c r="I763" s="1623"/>
      <c r="J763" s="1623"/>
      <c r="K763" s="1623"/>
      <c r="L763" s="1623"/>
      <c r="M763" s="3083">
        <f>+MAMUT!D11+MAMUT!D46</f>
        <v>30793</v>
      </c>
      <c r="N763" s="3083"/>
      <c r="O763" s="1625"/>
    </row>
    <row r="764" spans="1:17" ht="15.75" x14ac:dyDescent="0.25">
      <c r="B764" s="1444"/>
      <c r="C764" s="564"/>
      <c r="D764" s="1621" t="s">
        <v>2305</v>
      </c>
      <c r="E764" s="1623"/>
      <c r="F764" s="1621"/>
      <c r="G764" s="1622"/>
      <c r="H764" s="1622"/>
      <c r="I764" s="1623"/>
      <c r="J764" s="1623"/>
      <c r="K764" s="1623"/>
      <c r="L764" s="1623"/>
      <c r="M764" s="3083">
        <f>+MAMUT!F11</f>
        <v>40558</v>
      </c>
      <c r="N764" s="3083"/>
      <c r="O764" s="1625"/>
    </row>
    <row r="765" spans="1:17" ht="16.5" thickBot="1" x14ac:dyDescent="0.3">
      <c r="B765" s="1444"/>
      <c r="C765" s="564"/>
      <c r="D765" s="1621" t="s">
        <v>2307</v>
      </c>
      <c r="E765" s="1623"/>
      <c r="F765" s="1621"/>
      <c r="G765" s="1622"/>
      <c r="H765" s="1622"/>
      <c r="I765" s="1623"/>
      <c r="J765" s="1623"/>
      <c r="K765" s="1623"/>
      <c r="L765" s="1623"/>
      <c r="M765" s="3091">
        <f>+M763-M764</f>
        <v>-9765</v>
      </c>
      <c r="N765" s="3091"/>
      <c r="O765" s="1625"/>
    </row>
    <row r="766" spans="1:17" ht="16.5" thickTop="1" x14ac:dyDescent="0.25">
      <c r="B766" s="1444"/>
      <c r="C766" s="564"/>
      <c r="D766" s="1621"/>
      <c r="E766" s="1623"/>
      <c r="F766" s="1621"/>
      <c r="G766" s="1622"/>
      <c r="H766" s="1622"/>
      <c r="I766" s="1623"/>
      <c r="J766" s="1623"/>
      <c r="K766" s="1623"/>
      <c r="L766" s="1623"/>
      <c r="M766" s="3083"/>
      <c r="N766" s="3083"/>
      <c r="O766" s="1625"/>
    </row>
    <row r="767" spans="1:17" ht="15.75" x14ac:dyDescent="0.25">
      <c r="B767" s="1444"/>
      <c r="C767" s="564"/>
      <c r="D767" s="1620" t="s">
        <v>2310</v>
      </c>
      <c r="E767" s="1623"/>
      <c r="F767" s="1621"/>
      <c r="G767" s="1622"/>
      <c r="H767" s="1622"/>
      <c r="I767" s="1623"/>
      <c r="J767" s="1623"/>
      <c r="K767" s="1623"/>
      <c r="L767" s="1623"/>
      <c r="M767" s="3083"/>
      <c r="N767" s="3083"/>
      <c r="O767" s="1625"/>
    </row>
    <row r="768" spans="1:17" ht="15.75" x14ac:dyDescent="0.25">
      <c r="B768" s="1444"/>
      <c r="C768" s="564"/>
      <c r="D768" s="1621" t="s">
        <v>486</v>
      </c>
      <c r="E768" s="1623"/>
      <c r="F768" s="1621"/>
      <c r="G768" s="1622"/>
      <c r="H768" s="1622"/>
      <c r="I768" s="1623"/>
      <c r="J768" s="1623"/>
      <c r="K768" s="1623"/>
      <c r="L768" s="1623"/>
      <c r="M768" s="3083">
        <v>5406</v>
      </c>
      <c r="N768" s="3083"/>
      <c r="O768" s="1625"/>
    </row>
    <row r="769" spans="2:15" ht="15.75" x14ac:dyDescent="0.25">
      <c r="B769" s="1444"/>
      <c r="C769" s="564"/>
      <c r="D769" s="1621" t="s">
        <v>2357</v>
      </c>
      <c r="E769" s="1623"/>
      <c r="F769" s="1621"/>
      <c r="G769" s="1622"/>
      <c r="H769" s="1622"/>
      <c r="I769" s="1623"/>
      <c r="J769" s="1623"/>
      <c r="K769" s="1623"/>
      <c r="L769" s="1623"/>
      <c r="M769" s="3083"/>
      <c r="N769" s="3083"/>
      <c r="O769" s="1625"/>
    </row>
    <row r="770" spans="2:15" ht="15.75" x14ac:dyDescent="0.25">
      <c r="B770" s="1444"/>
      <c r="C770" s="564"/>
      <c r="D770" s="1626" t="s">
        <v>2317</v>
      </c>
      <c r="E770" s="1623"/>
      <c r="F770" s="1621"/>
      <c r="G770" s="1622"/>
      <c r="H770" s="1622"/>
      <c r="I770" s="1623"/>
      <c r="J770" s="1623"/>
      <c r="K770" s="1623"/>
      <c r="L770" s="1623"/>
      <c r="M770" s="3083">
        <v>8050</v>
      </c>
      <c r="N770" s="3083"/>
      <c r="O770" s="1625"/>
    </row>
    <row r="771" spans="2:15" ht="15.75" x14ac:dyDescent="0.25">
      <c r="B771" s="1444"/>
      <c r="C771" s="564"/>
      <c r="D771" s="1626" t="s">
        <v>936</v>
      </c>
      <c r="E771" s="1623"/>
      <c r="F771" s="1621"/>
      <c r="G771" s="1622"/>
      <c r="H771" s="1622"/>
      <c r="I771" s="1623"/>
      <c r="J771" s="1623"/>
      <c r="K771" s="1623"/>
      <c r="L771" s="1623"/>
      <c r="M771" s="3083">
        <v>3127</v>
      </c>
      <c r="N771" s="3083"/>
      <c r="O771" s="1625"/>
    </row>
    <row r="772" spans="2:15" ht="15.75" x14ac:dyDescent="0.25">
      <c r="B772" s="1444"/>
      <c r="C772" s="564"/>
      <c r="D772" s="1621" t="s">
        <v>2358</v>
      </c>
      <c r="E772" s="1623"/>
      <c r="F772" s="1621"/>
      <c r="G772" s="1622"/>
      <c r="H772" s="1622"/>
      <c r="I772" s="1623"/>
      <c r="J772" s="1623"/>
      <c r="K772" s="1623"/>
      <c r="L772" s="1623"/>
      <c r="M772" s="3083"/>
      <c r="N772" s="3083"/>
      <c r="O772" s="1625"/>
    </row>
    <row r="773" spans="2:15" ht="15.75" x14ac:dyDescent="0.25">
      <c r="B773" s="1444"/>
      <c r="C773" s="564"/>
      <c r="D773" s="1626" t="s">
        <v>2321</v>
      </c>
      <c r="E773" s="1623"/>
      <c r="F773" s="1621"/>
      <c r="G773" s="1622"/>
      <c r="H773" s="1622"/>
      <c r="I773" s="1623"/>
      <c r="J773" s="1623"/>
      <c r="K773" s="1623"/>
      <c r="L773" s="1623"/>
      <c r="M773" s="3083">
        <v>-167</v>
      </c>
      <c r="N773" s="3083"/>
      <c r="O773" s="1625"/>
    </row>
    <row r="774" spans="2:15" ht="15.75" x14ac:dyDescent="0.25">
      <c r="B774" s="1444"/>
      <c r="C774" s="564"/>
      <c r="D774" s="1626" t="s">
        <v>2324</v>
      </c>
      <c r="E774" s="1623"/>
      <c r="F774" s="1621"/>
      <c r="G774" s="1622"/>
      <c r="H774" s="1622"/>
      <c r="I774" s="1623"/>
      <c r="J774" s="1623"/>
      <c r="K774" s="1623"/>
      <c r="L774" s="1623"/>
      <c r="M774" s="3083">
        <v>-14003</v>
      </c>
      <c r="N774" s="3083"/>
      <c r="O774" s="1625"/>
    </row>
    <row r="775" spans="2:15" ht="15.75" x14ac:dyDescent="0.25">
      <c r="B775" s="1444"/>
      <c r="C775" s="564"/>
      <c r="D775" s="1626" t="s">
        <v>2327</v>
      </c>
      <c r="E775" s="1623"/>
      <c r="F775" s="1621"/>
      <c r="G775" s="1622"/>
      <c r="H775" s="1622"/>
      <c r="I775" s="1623"/>
      <c r="J775" s="1623"/>
      <c r="K775" s="1623"/>
      <c r="L775" s="1623"/>
      <c r="M775" s="3083">
        <v>-3481</v>
      </c>
      <c r="N775" s="3083"/>
      <c r="O775" s="1625"/>
    </row>
    <row r="776" spans="2:15" ht="15.75" x14ac:dyDescent="0.25">
      <c r="B776" s="1444"/>
      <c r="C776" s="564"/>
      <c r="D776" s="1626" t="s">
        <v>2330</v>
      </c>
      <c r="E776" s="1623"/>
      <c r="F776" s="1621"/>
      <c r="G776" s="1622"/>
      <c r="H776" s="1622"/>
      <c r="I776" s="1623"/>
      <c r="J776" s="1623"/>
      <c r="K776" s="1623"/>
      <c r="L776" s="1623"/>
      <c r="M776" s="3083">
        <v>4313</v>
      </c>
      <c r="N776" s="3083"/>
      <c r="O776" s="1625"/>
    </row>
    <row r="777" spans="2:15" ht="15.75" x14ac:dyDescent="0.25">
      <c r="B777" s="1444"/>
      <c r="C777" s="564"/>
      <c r="D777" s="1626" t="s">
        <v>2332</v>
      </c>
      <c r="E777" s="1623"/>
      <c r="F777" s="1621"/>
      <c r="G777" s="1622"/>
      <c r="H777" s="1622"/>
      <c r="I777" s="1623"/>
      <c r="J777" s="1623"/>
      <c r="K777" s="1623"/>
      <c r="L777" s="1623"/>
      <c r="M777" s="3083">
        <v>-4125</v>
      </c>
      <c r="N777" s="3083"/>
      <c r="O777" s="1625"/>
    </row>
    <row r="778" spans="2:15" ht="15.75" x14ac:dyDescent="0.25">
      <c r="B778" s="1444"/>
      <c r="C778" s="564"/>
      <c r="D778" s="1621" t="s">
        <v>2359</v>
      </c>
      <c r="E778" s="1623"/>
      <c r="F778" s="1621"/>
      <c r="G778" s="1622"/>
      <c r="H778" s="1622"/>
      <c r="I778" s="1623"/>
      <c r="J778" s="1623"/>
      <c r="K778" s="1623"/>
      <c r="L778" s="1623"/>
      <c r="M778" s="3083"/>
      <c r="N778" s="3083"/>
      <c r="O778" s="1625"/>
    </row>
    <row r="779" spans="2:15" ht="15.75" x14ac:dyDescent="0.25">
      <c r="B779" s="1444"/>
      <c r="C779" s="564"/>
      <c r="D779" s="1626" t="s">
        <v>299</v>
      </c>
      <c r="E779" s="1623"/>
      <c r="F779" s="1621"/>
      <c r="G779" s="1622"/>
      <c r="H779" s="1622"/>
      <c r="I779" s="1623"/>
      <c r="J779" s="1623"/>
      <c r="K779" s="1623"/>
      <c r="L779" s="1623"/>
      <c r="M779" s="3081">
        <v>86245</v>
      </c>
      <c r="N779" s="3081"/>
      <c r="O779" s="1625"/>
    </row>
    <row r="780" spans="2:15" ht="15.75" x14ac:dyDescent="0.25">
      <c r="B780" s="1444"/>
      <c r="C780" s="564"/>
      <c r="D780" s="1627" t="s">
        <v>2338</v>
      </c>
      <c r="E780" s="1623"/>
      <c r="F780" s="1621"/>
      <c r="G780" s="1622"/>
      <c r="H780" s="1622"/>
      <c r="I780" s="1623"/>
      <c r="J780" s="1623"/>
      <c r="K780" s="1623"/>
      <c r="L780" s="1623"/>
      <c r="M780" s="3082">
        <f>SUM(M768:N779)</f>
        <v>85365</v>
      </c>
      <c r="N780" s="3082"/>
      <c r="O780" s="1625"/>
    </row>
    <row r="781" spans="2:15" ht="15.75" x14ac:dyDescent="0.25">
      <c r="B781" s="1444"/>
      <c r="C781" s="564"/>
      <c r="D781" s="1621"/>
      <c r="E781" s="1623"/>
      <c r="F781" s="1621"/>
      <c r="G781" s="1622"/>
      <c r="H781" s="1622"/>
      <c r="I781" s="1623"/>
      <c r="J781" s="1623"/>
      <c r="K781" s="1623"/>
      <c r="L781" s="1623"/>
      <c r="M781" s="3083"/>
      <c r="N781" s="3083"/>
      <c r="O781" s="1625"/>
    </row>
    <row r="782" spans="2:15" ht="15.75" x14ac:dyDescent="0.25">
      <c r="B782" s="1444"/>
      <c r="C782" s="564"/>
      <c r="D782" s="1620" t="s">
        <v>2339</v>
      </c>
      <c r="E782" s="1623"/>
      <c r="F782" s="1621"/>
      <c r="G782" s="1622"/>
      <c r="H782" s="1622"/>
      <c r="I782" s="1623"/>
      <c r="J782" s="1623"/>
      <c r="K782" s="1623"/>
      <c r="L782" s="1623"/>
      <c r="M782" s="3083"/>
      <c r="N782" s="3083"/>
      <c r="O782" s="1625"/>
    </row>
    <row r="783" spans="2:15" ht="15.75" x14ac:dyDescent="0.25">
      <c r="B783" s="1444"/>
      <c r="C783" s="564"/>
      <c r="D783" s="1626" t="s">
        <v>2341</v>
      </c>
      <c r="E783" s="1623"/>
      <c r="F783" s="1621"/>
      <c r="G783" s="1622"/>
      <c r="H783" s="1622"/>
      <c r="I783" s="1623"/>
      <c r="J783" s="1623"/>
      <c r="K783" s="1623"/>
      <c r="L783" s="1623"/>
      <c r="M783" s="3081">
        <v>-90035</v>
      </c>
      <c r="N783" s="3081"/>
      <c r="O783" s="1625"/>
    </row>
    <row r="784" spans="2:15" ht="15.75" x14ac:dyDescent="0.25">
      <c r="B784" s="1444"/>
      <c r="C784" s="564"/>
      <c r="D784" s="1627" t="s">
        <v>2343</v>
      </c>
      <c r="E784" s="1623"/>
      <c r="F784" s="1621"/>
      <c r="G784" s="1622"/>
      <c r="H784" s="1622"/>
      <c r="I784" s="1623"/>
      <c r="J784" s="1623"/>
      <c r="K784" s="1623"/>
      <c r="L784" s="1623"/>
      <c r="M784" s="3082">
        <v>-90035</v>
      </c>
      <c r="N784" s="3082"/>
      <c r="O784" s="1625"/>
    </row>
    <row r="785" spans="2:15" ht="15.75" x14ac:dyDescent="0.25">
      <c r="B785" s="1444"/>
      <c r="C785" s="564"/>
      <c r="D785" s="1621"/>
      <c r="E785" s="1623"/>
      <c r="F785" s="1621"/>
      <c r="G785" s="1622"/>
      <c r="H785" s="1622"/>
      <c r="I785" s="1623"/>
      <c r="J785" s="1623"/>
      <c r="K785" s="1623"/>
      <c r="L785" s="1623"/>
      <c r="M785" s="3083"/>
      <c r="N785" s="3083"/>
      <c r="O785" s="1625"/>
    </row>
    <row r="786" spans="2:15" ht="15.75" x14ac:dyDescent="0.25">
      <c r="B786" s="1444"/>
      <c r="C786" s="564"/>
      <c r="D786" s="1620" t="s">
        <v>2347</v>
      </c>
      <c r="E786" s="1623"/>
      <c r="F786" s="1621"/>
      <c r="G786" s="1622"/>
      <c r="H786" s="1622"/>
      <c r="I786" s="1623"/>
      <c r="J786" s="1623"/>
      <c r="K786" s="1623"/>
      <c r="L786" s="1623"/>
      <c r="M786" s="3083"/>
      <c r="N786" s="3083"/>
      <c r="O786" s="1625"/>
    </row>
    <row r="787" spans="2:15" ht="15.75" x14ac:dyDescent="0.25">
      <c r="B787" s="1444"/>
      <c r="C787" s="564"/>
      <c r="D787" s="1626" t="str">
        <f>+D779</f>
        <v>Gastos por intereses financieros</v>
      </c>
      <c r="E787" s="1623"/>
      <c r="F787" s="1621"/>
      <c r="G787" s="1622"/>
      <c r="H787" s="1622"/>
      <c r="I787" s="1623"/>
      <c r="J787" s="1623"/>
      <c r="K787" s="1623"/>
      <c r="L787" s="1623"/>
      <c r="M787" s="3083">
        <v>-86245</v>
      </c>
      <c r="N787" s="3083"/>
      <c r="O787" s="1625"/>
    </row>
    <row r="788" spans="2:15" ht="15.75" x14ac:dyDescent="0.25">
      <c r="B788" s="1444"/>
      <c r="C788" s="564"/>
      <c r="D788" s="1626" t="s">
        <v>2350</v>
      </c>
      <c r="E788" s="1623"/>
      <c r="F788" s="1621"/>
      <c r="G788" s="1622"/>
      <c r="H788" s="1622"/>
      <c r="I788" s="1623"/>
      <c r="J788" s="1623"/>
      <c r="K788" s="1623"/>
      <c r="L788" s="1623"/>
      <c r="M788" s="3083">
        <v>26150</v>
      </c>
      <c r="N788" s="3083"/>
      <c r="O788" s="1625"/>
    </row>
    <row r="789" spans="2:15" ht="15.75" x14ac:dyDescent="0.25">
      <c r="B789" s="1444"/>
      <c r="C789" s="564"/>
      <c r="D789" s="1626" t="s">
        <v>2335</v>
      </c>
      <c r="E789" s="1623"/>
      <c r="F789" s="1621"/>
      <c r="G789" s="1622"/>
      <c r="H789" s="1622"/>
      <c r="I789" s="1623"/>
      <c r="J789" s="1623"/>
      <c r="K789" s="1623"/>
      <c r="L789" s="1623"/>
      <c r="M789" s="3083">
        <v>50000</v>
      </c>
      <c r="N789" s="3083"/>
      <c r="O789" s="1625"/>
    </row>
    <row r="790" spans="2:15" ht="15.75" x14ac:dyDescent="0.25">
      <c r="B790" s="1444"/>
      <c r="C790" s="564"/>
      <c r="D790" s="1626" t="s">
        <v>2351</v>
      </c>
      <c r="E790" s="1623"/>
      <c r="F790" s="1621"/>
      <c r="G790" s="1622"/>
      <c r="H790" s="1622"/>
      <c r="I790" s="1623"/>
      <c r="J790" s="1623"/>
      <c r="K790" s="1623"/>
      <c r="L790" s="1623"/>
      <c r="M790" s="3081">
        <v>5000</v>
      </c>
      <c r="N790" s="3081"/>
      <c r="O790" s="1625"/>
    </row>
    <row r="791" spans="2:15" ht="15.75" x14ac:dyDescent="0.25">
      <c r="B791" s="1444"/>
      <c r="C791" s="564"/>
      <c r="D791" s="1627" t="s">
        <v>2353</v>
      </c>
      <c r="E791" s="1623"/>
      <c r="F791" s="1621"/>
      <c r="G791" s="1622"/>
      <c r="H791" s="1622"/>
      <c r="I791" s="1623"/>
      <c r="J791" s="1623"/>
      <c r="K791" s="1623"/>
      <c r="L791" s="1623"/>
      <c r="M791" s="3082">
        <v>-5095</v>
      </c>
      <c r="N791" s="3082"/>
      <c r="O791" s="1625"/>
    </row>
    <row r="792" spans="2:15" ht="15.75" x14ac:dyDescent="0.25">
      <c r="B792" s="1444"/>
      <c r="C792" s="564"/>
      <c r="D792" s="1621"/>
      <c r="E792" s="1623"/>
      <c r="F792" s="1621"/>
      <c r="G792" s="1622"/>
      <c r="H792" s="1622"/>
      <c r="I792" s="1623"/>
      <c r="J792" s="1623"/>
      <c r="K792" s="1623"/>
      <c r="L792" s="1623"/>
      <c r="M792" s="3083"/>
      <c r="N792" s="3083"/>
      <c r="O792" s="1625"/>
    </row>
    <row r="793" spans="2:15" ht="16.5" thickBot="1" x14ac:dyDescent="0.3">
      <c r="B793" s="1444"/>
      <c r="C793" s="564"/>
      <c r="D793" s="1634" t="s">
        <v>2307</v>
      </c>
      <c r="E793" s="1623"/>
      <c r="F793" s="1621"/>
      <c r="G793" s="1622"/>
      <c r="H793" s="1622"/>
      <c r="I793" s="1623"/>
      <c r="J793" s="1623"/>
      <c r="K793" s="1623"/>
      <c r="L793" s="1623"/>
      <c r="M793" s="3091">
        <v>-9765</v>
      </c>
      <c r="N793" s="3091"/>
      <c r="O793" s="1625"/>
    </row>
    <row r="794" spans="2:15" ht="16.5" thickTop="1" x14ac:dyDescent="0.25">
      <c r="B794" s="1444"/>
      <c r="C794" s="1628"/>
      <c r="D794" s="1629"/>
      <c r="E794" s="1629"/>
      <c r="F794" s="1629"/>
      <c r="G794" s="1630"/>
      <c r="H794" s="1630"/>
      <c r="I794" s="1631"/>
      <c r="J794" s="1631"/>
      <c r="K794" s="1631"/>
      <c r="L794" s="1631"/>
      <c r="M794" s="1632"/>
      <c r="N794" s="1632"/>
      <c r="O794" s="1633"/>
    </row>
    <row r="795" spans="2:15" x14ac:dyDescent="0.25">
      <c r="B795" s="1444"/>
      <c r="C795" s="1501"/>
      <c r="D795" s="1501"/>
      <c r="E795" s="1501"/>
      <c r="F795" s="1501"/>
    </row>
    <row r="796" spans="2:15" x14ac:dyDescent="0.25">
      <c r="B796" s="1444"/>
    </row>
    <row r="797" spans="2:15" x14ac:dyDescent="0.25">
      <c r="B797" s="1444"/>
    </row>
    <row r="798" spans="2:15" x14ac:dyDescent="0.25">
      <c r="B798" s="1444"/>
    </row>
    <row r="799" spans="2:15" x14ac:dyDescent="0.25">
      <c r="B799" s="1444"/>
    </row>
    <row r="800" spans="2:15" x14ac:dyDescent="0.25">
      <c r="B800" s="1444"/>
    </row>
    <row r="801" spans="1:17" x14ac:dyDescent="0.25">
      <c r="B801" s="1444"/>
    </row>
    <row r="802" spans="1:17" x14ac:dyDescent="0.25">
      <c r="A802" s="3"/>
      <c r="B802" s="200"/>
      <c r="C802" s="11"/>
      <c r="D802" s="11"/>
      <c r="E802" s="11"/>
      <c r="F802" s="11"/>
      <c r="G802" s="24"/>
      <c r="H802" s="24"/>
      <c r="I802" s="3"/>
      <c r="J802" s="3"/>
      <c r="K802" s="3"/>
      <c r="L802" s="3"/>
      <c r="M802" s="22"/>
      <c r="N802" s="22"/>
      <c r="O802" s="22"/>
      <c r="P802" s="22"/>
      <c r="Q802" s="3"/>
    </row>
    <row r="803" spans="1:17" x14ac:dyDescent="0.25">
      <c r="A803" s="1844" t="s">
        <v>20</v>
      </c>
      <c r="B803" s="1845"/>
      <c r="C803" s="1845"/>
      <c r="D803" s="1845"/>
      <c r="E803" s="1845"/>
      <c r="F803" s="1845"/>
      <c r="G803" s="1845"/>
      <c r="H803" s="1845"/>
      <c r="I803" s="1845"/>
      <c r="J803" s="1845"/>
      <c r="K803" s="1845"/>
      <c r="L803" s="1845"/>
      <c r="M803" s="1845"/>
      <c r="N803" s="1845"/>
      <c r="O803" s="1845"/>
      <c r="P803" s="1845"/>
      <c r="Q803" s="1846"/>
    </row>
    <row r="804" spans="1:17" x14ac:dyDescent="0.25">
      <c r="A804" s="1847" t="s">
        <v>1268</v>
      </c>
      <c r="B804" s="1848"/>
      <c r="C804" s="1848"/>
      <c r="D804" s="1848"/>
      <c r="E804" s="1848"/>
      <c r="F804" s="1848"/>
      <c r="G804" s="1848"/>
      <c r="H804" s="1848"/>
      <c r="I804" s="1848"/>
      <c r="J804" s="1848"/>
      <c r="K804" s="1848"/>
      <c r="L804" s="1848"/>
      <c r="M804" s="1848"/>
      <c r="N804" s="1848"/>
      <c r="O804" s="1848"/>
      <c r="P804" s="1848"/>
      <c r="Q804" s="1849"/>
    </row>
    <row r="806" spans="1:17" ht="17.25" x14ac:dyDescent="0.4">
      <c r="C806" s="3090" t="s">
        <v>1241</v>
      </c>
      <c r="D806" s="3090"/>
      <c r="E806" s="3090"/>
      <c r="F806" s="3090"/>
      <c r="G806" s="3090"/>
      <c r="H806" s="3090"/>
      <c r="I806" s="3090"/>
      <c r="J806" s="3090"/>
      <c r="K806" s="3090"/>
      <c r="L806" s="3090"/>
      <c r="M806" s="3090"/>
      <c r="N806" s="3090"/>
      <c r="O806" s="3090"/>
      <c r="P806" s="3090"/>
    </row>
    <row r="807" spans="1:17" x14ac:dyDescent="0.25">
      <c r="C807" s="820" t="s">
        <v>1229</v>
      </c>
      <c r="D807" s="453"/>
      <c r="O807" s="3087">
        <v>250500</v>
      </c>
      <c r="P807" s="3087"/>
    </row>
    <row r="808" spans="1:17" x14ac:dyDescent="0.25">
      <c r="C808" s="820" t="s">
        <v>1230</v>
      </c>
      <c r="D808" s="453"/>
      <c r="O808" s="3087">
        <f>154500+95000</f>
        <v>249500</v>
      </c>
      <c r="P808" s="3087"/>
    </row>
    <row r="809" spans="1:17" ht="15.75" thickBot="1" x14ac:dyDescent="0.3">
      <c r="C809" s="821" t="s">
        <v>1231</v>
      </c>
      <c r="D809" s="834"/>
      <c r="O809" s="3089">
        <f>+O807-O808</f>
        <v>1000</v>
      </c>
      <c r="P809" s="3089"/>
    </row>
    <row r="810" spans="1:17" ht="15.75" thickTop="1" x14ac:dyDescent="0.25">
      <c r="C810" s="2"/>
      <c r="D810" s="453"/>
      <c r="O810" s="3087"/>
      <c r="P810" s="3087"/>
    </row>
    <row r="811" spans="1:17" ht="17.25" x14ac:dyDescent="0.4">
      <c r="C811" s="3090" t="s">
        <v>1232</v>
      </c>
      <c r="D811" s="3090"/>
      <c r="E811" s="3090"/>
      <c r="F811" s="3090"/>
      <c r="G811" s="3090"/>
      <c r="H811" s="3090"/>
      <c r="I811" s="3090"/>
      <c r="J811" s="3090"/>
      <c r="K811" s="3090"/>
      <c r="L811" s="3090"/>
      <c r="M811" s="3090"/>
      <c r="N811" s="3090"/>
      <c r="O811" s="3090"/>
      <c r="P811" s="3090"/>
    </row>
    <row r="812" spans="1:17" ht="17.25" x14ac:dyDescent="0.4">
      <c r="C812" s="827"/>
      <c r="D812" s="827"/>
      <c r="E812" s="827"/>
      <c r="F812" s="827"/>
      <c r="G812" s="827"/>
      <c r="H812" s="827"/>
      <c r="I812" s="827"/>
      <c r="J812" s="827"/>
      <c r="K812" s="827"/>
      <c r="L812" s="827"/>
      <c r="M812" s="827"/>
      <c r="N812" s="827"/>
      <c r="O812" s="827"/>
      <c r="P812" s="827"/>
    </row>
    <row r="813" spans="1:17" ht="17.25" x14ac:dyDescent="0.4">
      <c r="C813" s="821" t="s">
        <v>1233</v>
      </c>
      <c r="D813" s="827"/>
      <c r="E813" s="827"/>
      <c r="F813" s="827"/>
      <c r="G813" s="827"/>
      <c r="H813" s="827"/>
      <c r="I813" s="827"/>
      <c r="J813" s="827"/>
      <c r="K813" s="827"/>
      <c r="L813" s="827"/>
      <c r="M813" s="827"/>
      <c r="N813" s="827"/>
      <c r="O813" s="827"/>
      <c r="P813" s="827"/>
    </row>
    <row r="814" spans="1:17" x14ac:dyDescent="0.25">
      <c r="C814" s="828" t="s">
        <v>486</v>
      </c>
      <c r="D814" s="835"/>
      <c r="O814" s="3087">
        <f>+Bisontes!K18</f>
        <v>111700</v>
      </c>
      <c r="P814" s="3087"/>
    </row>
    <row r="815" spans="1:17" x14ac:dyDescent="0.25">
      <c r="C815" s="829" t="s">
        <v>1242</v>
      </c>
      <c r="D815" s="453"/>
      <c r="O815" s="2"/>
      <c r="P815" s="2"/>
    </row>
    <row r="816" spans="1:17" x14ac:dyDescent="0.25">
      <c r="C816" s="830" t="s">
        <v>1243</v>
      </c>
      <c r="D816" s="453"/>
      <c r="O816" s="3087">
        <f>34500+23000</f>
        <v>57500</v>
      </c>
      <c r="P816" s="3087"/>
    </row>
    <row r="817" spans="3:19" x14ac:dyDescent="0.25">
      <c r="C817" s="830" t="s">
        <v>1269</v>
      </c>
      <c r="D817" s="453"/>
      <c r="O817" s="3087">
        <v>54600</v>
      </c>
      <c r="P817" s="3087"/>
    </row>
    <row r="818" spans="3:19" x14ac:dyDescent="0.25">
      <c r="C818" s="830" t="s">
        <v>2195</v>
      </c>
      <c r="D818" s="453"/>
      <c r="O818" s="3087">
        <v>1000</v>
      </c>
      <c r="P818" s="3087"/>
    </row>
    <row r="819" spans="3:19" x14ac:dyDescent="0.25">
      <c r="C819" s="830" t="s">
        <v>1270</v>
      </c>
      <c r="D819" s="453"/>
      <c r="O819" s="3087">
        <v>17000</v>
      </c>
      <c r="P819" s="3087"/>
    </row>
    <row r="820" spans="3:19" x14ac:dyDescent="0.25">
      <c r="C820" s="830" t="s">
        <v>1271</v>
      </c>
      <c r="D820" s="453"/>
      <c r="O820" s="3087">
        <v>25000</v>
      </c>
      <c r="P820" s="3087"/>
    </row>
    <row r="821" spans="3:19" x14ac:dyDescent="0.25">
      <c r="C821" s="830" t="s">
        <v>2196</v>
      </c>
      <c r="D821" s="453"/>
      <c r="O821" s="3087">
        <v>110000</v>
      </c>
      <c r="P821" s="3087"/>
    </row>
    <row r="822" spans="3:19" x14ac:dyDescent="0.25">
      <c r="C822" s="829" t="s">
        <v>1244</v>
      </c>
      <c r="D822" s="453"/>
      <c r="O822" s="2"/>
      <c r="P822" s="2"/>
    </row>
    <row r="823" spans="3:19" x14ac:dyDescent="0.25">
      <c r="C823" s="822" t="s">
        <v>1272</v>
      </c>
      <c r="D823" s="453"/>
      <c r="O823" s="3087">
        <f>-(91400-183000)</f>
        <v>91600</v>
      </c>
      <c r="P823" s="3087"/>
    </row>
    <row r="824" spans="3:19" x14ac:dyDescent="0.25">
      <c r="C824" s="822" t="s">
        <v>1263</v>
      </c>
      <c r="D824" s="836"/>
      <c r="O824" s="3087">
        <f>-25500-17000</f>
        <v>-42500</v>
      </c>
      <c r="P824" s="3087"/>
    </row>
    <row r="825" spans="3:19" x14ac:dyDescent="0.25">
      <c r="C825" s="822" t="s">
        <v>1247</v>
      </c>
      <c r="D825" s="453"/>
      <c r="O825" s="3087">
        <f>(55000-129000)</f>
        <v>-74000</v>
      </c>
      <c r="P825" s="3087"/>
    </row>
    <row r="826" spans="3:19" x14ac:dyDescent="0.25">
      <c r="C826" s="822" t="s">
        <v>1273</v>
      </c>
      <c r="D826" s="453"/>
      <c r="O826" s="3087">
        <v>-2000</v>
      </c>
      <c r="P826" s="3087"/>
    </row>
    <row r="827" spans="3:19" x14ac:dyDescent="0.25">
      <c r="C827" s="829" t="s">
        <v>1248</v>
      </c>
      <c r="D827" s="453"/>
      <c r="O827" s="2"/>
      <c r="P827" s="2"/>
    </row>
    <row r="828" spans="3:19" x14ac:dyDescent="0.25">
      <c r="C828" s="822" t="s">
        <v>1274</v>
      </c>
      <c r="D828" s="453"/>
      <c r="O828" s="3087">
        <v>15300</v>
      </c>
      <c r="P828" s="3087"/>
      <c r="R828" s="837"/>
      <c r="S828" s="837"/>
    </row>
    <row r="829" spans="3:19" x14ac:dyDescent="0.25">
      <c r="C829" s="822" t="s">
        <v>1275</v>
      </c>
      <c r="D829" s="453"/>
      <c r="O829" s="3087">
        <v>-150000</v>
      </c>
      <c r="P829" s="3087"/>
      <c r="R829" s="837"/>
      <c r="S829" s="837"/>
    </row>
    <row r="830" spans="3:19" x14ac:dyDescent="0.25">
      <c r="C830" s="823" t="s">
        <v>1234</v>
      </c>
      <c r="D830" s="453"/>
      <c r="O830" s="3088">
        <f>+SUM(O814:P829)</f>
        <v>215200</v>
      </c>
      <c r="P830" s="3088"/>
      <c r="R830" s="837"/>
      <c r="S830" s="837"/>
    </row>
    <row r="831" spans="3:19" x14ac:dyDescent="0.25">
      <c r="C831" s="822"/>
      <c r="D831" s="453"/>
      <c r="O831" s="2"/>
      <c r="P831" s="2"/>
      <c r="R831" s="837"/>
      <c r="S831" s="837"/>
    </row>
    <row r="832" spans="3:19" x14ac:dyDescent="0.25">
      <c r="C832" s="821" t="s">
        <v>1251</v>
      </c>
      <c r="D832" s="453"/>
      <c r="O832" s="2"/>
      <c r="P832" s="2"/>
      <c r="R832" s="837"/>
      <c r="S832" s="837"/>
    </row>
    <row r="833" spans="3:19" x14ac:dyDescent="0.25">
      <c r="C833" s="822" t="s">
        <v>1276</v>
      </c>
      <c r="D833" s="835"/>
      <c r="O833" s="3087">
        <f>-(375000-105000)-25000</f>
        <v>-295000</v>
      </c>
      <c r="P833" s="3087"/>
      <c r="R833" s="837"/>
      <c r="S833" s="837"/>
    </row>
    <row r="834" spans="3:19" x14ac:dyDescent="0.25">
      <c r="C834" s="822" t="s">
        <v>1277</v>
      </c>
      <c r="D834" s="453"/>
      <c r="O834" s="3087">
        <v>150000</v>
      </c>
      <c r="P834" s="3087"/>
    </row>
    <row r="835" spans="3:19" x14ac:dyDescent="0.25">
      <c r="C835" s="823" t="s">
        <v>1235</v>
      </c>
      <c r="D835" s="453"/>
      <c r="O835" s="3088">
        <f>+SUM(O833:P834)</f>
        <v>-145000</v>
      </c>
      <c r="P835" s="3088"/>
    </row>
    <row r="836" spans="3:19" x14ac:dyDescent="0.25">
      <c r="C836" s="833"/>
      <c r="D836" s="453"/>
      <c r="O836" s="2"/>
      <c r="P836" s="2"/>
      <c r="R836" s="837"/>
    </row>
    <row r="837" spans="3:19" x14ac:dyDescent="0.25">
      <c r="C837" s="821" t="s">
        <v>1236</v>
      </c>
      <c r="D837" s="834"/>
      <c r="O837" s="3087"/>
      <c r="P837" s="3087"/>
    </row>
    <row r="838" spans="3:19" x14ac:dyDescent="0.25">
      <c r="C838" s="822" t="s">
        <v>1278</v>
      </c>
      <c r="D838" s="834"/>
      <c r="O838" s="3087">
        <f>74000-213000</f>
        <v>-139000</v>
      </c>
      <c r="P838" s="3087"/>
    </row>
    <row r="839" spans="3:19" x14ac:dyDescent="0.25">
      <c r="C839" s="822" t="s">
        <v>1279</v>
      </c>
      <c r="D839" s="453"/>
      <c r="O839" s="3087">
        <v>-15300</v>
      </c>
      <c r="P839" s="3087"/>
    </row>
    <row r="840" spans="3:19" x14ac:dyDescent="0.25">
      <c r="C840" s="822" t="s">
        <v>1280</v>
      </c>
      <c r="D840" s="453"/>
      <c r="O840" s="3087">
        <v>20000</v>
      </c>
      <c r="P840" s="3087"/>
    </row>
    <row r="841" spans="3:19" x14ac:dyDescent="0.25">
      <c r="C841" s="822" t="s">
        <v>1281</v>
      </c>
      <c r="D841" s="838"/>
      <c r="O841" s="3087">
        <v>100000</v>
      </c>
      <c r="P841" s="3087"/>
    </row>
    <row r="842" spans="3:19" x14ac:dyDescent="0.25">
      <c r="C842" s="822" t="s">
        <v>1282</v>
      </c>
      <c r="D842" s="838"/>
      <c r="O842" s="3087">
        <v>-34900</v>
      </c>
      <c r="P842" s="3087"/>
    </row>
    <row r="843" spans="3:19" x14ac:dyDescent="0.25">
      <c r="C843" s="823" t="s">
        <v>1237</v>
      </c>
      <c r="D843" s="838"/>
      <c r="O843" s="3088">
        <f>+SUM(O838:P842)</f>
        <v>-69200</v>
      </c>
      <c r="P843" s="3088"/>
    </row>
    <row r="844" spans="3:19" x14ac:dyDescent="0.25">
      <c r="C844" s="2"/>
      <c r="D844" s="834"/>
      <c r="O844" s="3087"/>
      <c r="P844" s="3087"/>
    </row>
    <row r="845" spans="3:19" ht="15.75" thickBot="1" x14ac:dyDescent="0.3">
      <c r="C845" s="821" t="s">
        <v>1231</v>
      </c>
      <c r="D845" s="453"/>
      <c r="O845" s="3089">
        <f>+O843+O835+O830</f>
        <v>1000</v>
      </c>
      <c r="P845" s="3089"/>
    </row>
    <row r="846" spans="3:19" ht="15.75" thickTop="1" x14ac:dyDescent="0.25">
      <c r="C846" s="2"/>
      <c r="D846" s="834"/>
      <c r="O846" s="3087"/>
      <c r="P846" s="3087"/>
    </row>
    <row r="847" spans="3:19" x14ac:dyDescent="0.25">
      <c r="C847" s="2"/>
      <c r="D847" s="453"/>
      <c r="O847" s="2"/>
      <c r="P847" s="2"/>
    </row>
    <row r="848" spans="3:19" x14ac:dyDescent="0.2">
      <c r="C848" s="2"/>
      <c r="D848" s="838"/>
      <c r="O848" s="2"/>
      <c r="P848" s="2"/>
    </row>
    <row r="850" spans="1:17" s="4" customFormat="1" x14ac:dyDescent="0.25">
      <c r="B850" s="189"/>
      <c r="C850" s="12"/>
      <c r="D850" s="12"/>
      <c r="E850" s="12"/>
      <c r="F850" s="12"/>
      <c r="G850" s="51"/>
      <c r="H850" s="51"/>
      <c r="M850" s="18"/>
      <c r="N850" s="18"/>
      <c r="O850" s="18"/>
      <c r="P850" s="18"/>
    </row>
    <row r="853" spans="1:17" x14ac:dyDescent="0.25">
      <c r="A853" s="3"/>
      <c r="B853" s="1448"/>
      <c r="C853" s="11"/>
      <c r="D853" s="11"/>
      <c r="E853" s="11"/>
      <c r="F853" s="11"/>
      <c r="G853" s="1449"/>
      <c r="H853" s="1449"/>
      <c r="I853" s="3"/>
      <c r="J853" s="3"/>
      <c r="K853" s="3"/>
      <c r="L853" s="3"/>
      <c r="M853" s="22"/>
      <c r="N853" s="22"/>
      <c r="O853" s="22"/>
      <c r="P853" s="22"/>
      <c r="Q853" s="3"/>
    </row>
    <row r="854" spans="1:17" x14ac:dyDescent="0.25">
      <c r="A854" s="1844" t="s">
        <v>20</v>
      </c>
      <c r="B854" s="1845"/>
      <c r="C854" s="1845"/>
      <c r="D854" s="1845"/>
      <c r="E854" s="1845"/>
      <c r="F854" s="1845"/>
      <c r="G854" s="1845"/>
      <c r="H854" s="1845"/>
      <c r="I854" s="1845"/>
      <c r="J854" s="1845"/>
      <c r="K854" s="1845"/>
      <c r="L854" s="1845"/>
      <c r="M854" s="1845"/>
      <c r="N854" s="1845"/>
      <c r="O854" s="1845"/>
      <c r="P854" s="1845"/>
      <c r="Q854" s="1846"/>
    </row>
    <row r="855" spans="1:17" x14ac:dyDescent="0.25">
      <c r="A855" s="1847" t="s">
        <v>2409</v>
      </c>
      <c r="B855" s="1848"/>
      <c r="C855" s="1848"/>
      <c r="D855" s="1848"/>
      <c r="E855" s="1848"/>
      <c r="F855" s="1848"/>
      <c r="G855" s="1848"/>
      <c r="H855" s="1848"/>
      <c r="I855" s="1848"/>
      <c r="J855" s="1848"/>
      <c r="K855" s="1848"/>
      <c r="L855" s="1848"/>
      <c r="M855" s="1848"/>
      <c r="N855" s="1848"/>
      <c r="O855" s="1848"/>
      <c r="P855" s="1848"/>
      <c r="Q855" s="1849"/>
    </row>
  </sheetData>
  <sheetProtection algorithmName="SHA-512" hashValue="WxJ1hEFSLyK4S0sm50ND+SFvylX6gBkw9ROQL5vu+dltyBJdSEGKw/6QH3w2L+S6dexc8wVXWJXvNh0mKiZXYA==" saltValue="gp3Zco7Lk5+WwBxax3KxCg==" spinCount="100000" sheet="1" objects="1" scenarios="1"/>
  <autoFilter ref="C505:P556" xr:uid="{00000000-0009-0000-0000-00001A000000}">
    <filterColumn colId="0" showButton="0"/>
    <filterColumn colId="1" showButton="0"/>
    <filterColumn colId="2" showButton="0"/>
    <filterColumn colId="3" showButton="0"/>
    <filterColumn colId="5" showButton="0"/>
    <filterColumn colId="7" showButton="0"/>
    <filterColumn colId="9" showButton="0"/>
    <filterColumn colId="10" showButton="0"/>
    <filterColumn colId="11" showButton="0"/>
    <filterColumn colId="12" showButton="0"/>
  </autoFilter>
  <mergeCells count="1252">
    <mergeCell ref="A854:Q854"/>
    <mergeCell ref="A855:Q855"/>
    <mergeCell ref="C640:K640"/>
    <mergeCell ref="C641:K641"/>
    <mergeCell ref="C642:K642"/>
    <mergeCell ref="A609:Q609"/>
    <mergeCell ref="A610:Q610"/>
    <mergeCell ref="C614:K614"/>
    <mergeCell ref="C615:K615"/>
    <mergeCell ref="C616:K616"/>
    <mergeCell ref="C617:K617"/>
    <mergeCell ref="C618:K618"/>
    <mergeCell ref="C619:K619"/>
    <mergeCell ref="C620:K620"/>
    <mergeCell ref="C621:K621"/>
    <mergeCell ref="C622:K622"/>
    <mergeCell ref="C623:K623"/>
    <mergeCell ref="C624:K624"/>
    <mergeCell ref="C625:K625"/>
    <mergeCell ref="C626:K626"/>
    <mergeCell ref="C627:K627"/>
    <mergeCell ref="C628:K628"/>
    <mergeCell ref="C629:K629"/>
    <mergeCell ref="C630:K630"/>
    <mergeCell ref="C632:K632"/>
    <mergeCell ref="C633:K633"/>
    <mergeCell ref="C634:K634"/>
    <mergeCell ref="C635:K635"/>
    <mergeCell ref="C636:K636"/>
    <mergeCell ref="C637:K637"/>
    <mergeCell ref="C638:K638"/>
    <mergeCell ref="C639:K639"/>
    <mergeCell ref="A2:Q2"/>
    <mergeCell ref="A3:Q3"/>
    <mergeCell ref="C5:I5"/>
    <mergeCell ref="J5:K5"/>
    <mergeCell ref="L5:P5"/>
    <mergeCell ref="J6:K6"/>
    <mergeCell ref="L6:P6"/>
    <mergeCell ref="J13:K13"/>
    <mergeCell ref="L13:P13"/>
    <mergeCell ref="J14:K14"/>
    <mergeCell ref="L14:P14"/>
    <mergeCell ref="J15:K15"/>
    <mergeCell ref="L15:P15"/>
    <mergeCell ref="J10:K10"/>
    <mergeCell ref="L10:P10"/>
    <mergeCell ref="J11:K11"/>
    <mergeCell ref="L11:P11"/>
    <mergeCell ref="J12:K12"/>
    <mergeCell ref="L12:P12"/>
    <mergeCell ref="J7:K7"/>
    <mergeCell ref="L7:P7"/>
    <mergeCell ref="J8:K8"/>
    <mergeCell ref="L8:P8"/>
    <mergeCell ref="J9:K9"/>
    <mergeCell ref="L9:P9"/>
    <mergeCell ref="J22:K22"/>
    <mergeCell ref="L22:P22"/>
    <mergeCell ref="J23:K23"/>
    <mergeCell ref="L23:P23"/>
    <mergeCell ref="J24:K24"/>
    <mergeCell ref="L24:P24"/>
    <mergeCell ref="J19:K19"/>
    <mergeCell ref="L19:P19"/>
    <mergeCell ref="J20:K20"/>
    <mergeCell ref="L20:P20"/>
    <mergeCell ref="J21:K21"/>
    <mergeCell ref="L21:P21"/>
    <mergeCell ref="J16:K16"/>
    <mergeCell ref="L16:P16"/>
    <mergeCell ref="J17:K17"/>
    <mergeCell ref="L17:P17"/>
    <mergeCell ref="J18:K18"/>
    <mergeCell ref="L18:P18"/>
    <mergeCell ref="L39:M39"/>
    <mergeCell ref="L40:M40"/>
    <mergeCell ref="L41:M41"/>
    <mergeCell ref="L42:M42"/>
    <mergeCell ref="L43:M43"/>
    <mergeCell ref="L44:M44"/>
    <mergeCell ref="D32:M32"/>
    <mergeCell ref="D33:M33"/>
    <mergeCell ref="L35:M35"/>
    <mergeCell ref="L36:M36"/>
    <mergeCell ref="L37:M37"/>
    <mergeCell ref="L38:M38"/>
    <mergeCell ref="J25:K25"/>
    <mergeCell ref="L25:P25"/>
    <mergeCell ref="J26:K26"/>
    <mergeCell ref="L26:P26"/>
    <mergeCell ref="D30:M30"/>
    <mergeCell ref="D31:M31"/>
    <mergeCell ref="H63:I63"/>
    <mergeCell ref="O63:P63"/>
    <mergeCell ref="O64:P64"/>
    <mergeCell ref="H65:I65"/>
    <mergeCell ref="H66:I66"/>
    <mergeCell ref="O66:P66"/>
    <mergeCell ref="H60:I60"/>
    <mergeCell ref="O60:P60"/>
    <mergeCell ref="H61:I61"/>
    <mergeCell ref="O61:P61"/>
    <mergeCell ref="H62:I62"/>
    <mergeCell ref="O62:P62"/>
    <mergeCell ref="L45:M45"/>
    <mergeCell ref="L46:M46"/>
    <mergeCell ref="C53:P53"/>
    <mergeCell ref="C54:P54"/>
    <mergeCell ref="C55:P55"/>
    <mergeCell ref="C56:P56"/>
    <mergeCell ref="J106:K106"/>
    <mergeCell ref="L106:P106"/>
    <mergeCell ref="J107:K107"/>
    <mergeCell ref="L107:P107"/>
    <mergeCell ref="J108:K108"/>
    <mergeCell ref="L108:P108"/>
    <mergeCell ref="C103:I103"/>
    <mergeCell ref="J103:K103"/>
    <mergeCell ref="L103:P103"/>
    <mergeCell ref="J104:K104"/>
    <mergeCell ref="L104:P104"/>
    <mergeCell ref="J105:K105"/>
    <mergeCell ref="L105:P105"/>
    <mergeCell ref="H67:I67"/>
    <mergeCell ref="O67:P67"/>
    <mergeCell ref="H68:I68"/>
    <mergeCell ref="O68:P68"/>
    <mergeCell ref="A100:Q100"/>
    <mergeCell ref="A101:Q101"/>
    <mergeCell ref="J115:K115"/>
    <mergeCell ref="L115:P115"/>
    <mergeCell ref="J116:K116"/>
    <mergeCell ref="L116:P116"/>
    <mergeCell ref="J117:K117"/>
    <mergeCell ref="L117:P117"/>
    <mergeCell ref="J112:K112"/>
    <mergeCell ref="L112:P112"/>
    <mergeCell ref="J113:K113"/>
    <mergeCell ref="L113:P113"/>
    <mergeCell ref="J114:K114"/>
    <mergeCell ref="L114:P114"/>
    <mergeCell ref="J109:K109"/>
    <mergeCell ref="L109:P109"/>
    <mergeCell ref="J110:K110"/>
    <mergeCell ref="L110:P110"/>
    <mergeCell ref="J111:K111"/>
    <mergeCell ref="L111:P111"/>
    <mergeCell ref="J124:K124"/>
    <mergeCell ref="L124:P124"/>
    <mergeCell ref="J125:K125"/>
    <mergeCell ref="L125:P125"/>
    <mergeCell ref="J126:K126"/>
    <mergeCell ref="L126:P126"/>
    <mergeCell ref="J121:K121"/>
    <mergeCell ref="L121:P121"/>
    <mergeCell ref="J122:K122"/>
    <mergeCell ref="L122:P122"/>
    <mergeCell ref="J123:K123"/>
    <mergeCell ref="L123:P123"/>
    <mergeCell ref="J118:K118"/>
    <mergeCell ref="L118:P118"/>
    <mergeCell ref="J119:K119"/>
    <mergeCell ref="L119:P119"/>
    <mergeCell ref="J120:K120"/>
    <mergeCell ref="L120:P120"/>
    <mergeCell ref="J133:K133"/>
    <mergeCell ref="L133:P133"/>
    <mergeCell ref="J134:K134"/>
    <mergeCell ref="L134:P134"/>
    <mergeCell ref="J135:K135"/>
    <mergeCell ref="L135:P135"/>
    <mergeCell ref="J130:K130"/>
    <mergeCell ref="L130:P130"/>
    <mergeCell ref="J131:K131"/>
    <mergeCell ref="L131:P131"/>
    <mergeCell ref="J132:K132"/>
    <mergeCell ref="L132:P132"/>
    <mergeCell ref="J127:K127"/>
    <mergeCell ref="L127:P127"/>
    <mergeCell ref="J128:K128"/>
    <mergeCell ref="L128:P128"/>
    <mergeCell ref="J129:K129"/>
    <mergeCell ref="L129:P129"/>
    <mergeCell ref="L156:M156"/>
    <mergeCell ref="L157:M157"/>
    <mergeCell ref="L158:M158"/>
    <mergeCell ref="L159:M159"/>
    <mergeCell ref="L160:M160"/>
    <mergeCell ref="L161:M161"/>
    <mergeCell ref="J139:K139"/>
    <mergeCell ref="L139:P139"/>
    <mergeCell ref="D151:M151"/>
    <mergeCell ref="D152:M152"/>
    <mergeCell ref="D153:M153"/>
    <mergeCell ref="D154:M154"/>
    <mergeCell ref="J136:K136"/>
    <mergeCell ref="L136:P136"/>
    <mergeCell ref="J137:K137"/>
    <mergeCell ref="L137:P137"/>
    <mergeCell ref="J138:K138"/>
    <mergeCell ref="L138:P138"/>
    <mergeCell ref="H183:I183"/>
    <mergeCell ref="O183:P183"/>
    <mergeCell ref="H184:I184"/>
    <mergeCell ref="O184:P184"/>
    <mergeCell ref="H185:I185"/>
    <mergeCell ref="O185:P185"/>
    <mergeCell ref="L168:M168"/>
    <mergeCell ref="C175:P175"/>
    <mergeCell ref="C176:P176"/>
    <mergeCell ref="C177:P177"/>
    <mergeCell ref="C178:P178"/>
    <mergeCell ref="H182:I182"/>
    <mergeCell ref="O182:P182"/>
    <mergeCell ref="L162:M162"/>
    <mergeCell ref="L163:M163"/>
    <mergeCell ref="L164:M164"/>
    <mergeCell ref="L165:M165"/>
    <mergeCell ref="L166:M166"/>
    <mergeCell ref="L167:M167"/>
    <mergeCell ref="C202:G202"/>
    <mergeCell ref="H202:I202"/>
    <mergeCell ref="J202:K202"/>
    <mergeCell ref="L202:P202"/>
    <mergeCell ref="C203:G203"/>
    <mergeCell ref="H203:I203"/>
    <mergeCell ref="J203:K203"/>
    <mergeCell ref="L203:P203"/>
    <mergeCell ref="H191:I191"/>
    <mergeCell ref="O191:P191"/>
    <mergeCell ref="H192:I192"/>
    <mergeCell ref="O192:P192"/>
    <mergeCell ref="A199:Q199"/>
    <mergeCell ref="A200:Q200"/>
    <mergeCell ref="H186:I186"/>
    <mergeCell ref="H187:I187"/>
    <mergeCell ref="O187:P187"/>
    <mergeCell ref="O188:P188"/>
    <mergeCell ref="H189:I189"/>
    <mergeCell ref="H190:I190"/>
    <mergeCell ref="O190:P190"/>
    <mergeCell ref="C208:G208"/>
    <mergeCell ref="H208:I208"/>
    <mergeCell ref="J208:K208"/>
    <mergeCell ref="L208:P208"/>
    <mergeCell ref="C209:G209"/>
    <mergeCell ref="H209:I209"/>
    <mergeCell ref="J209:K209"/>
    <mergeCell ref="L209:P209"/>
    <mergeCell ref="C206:G206"/>
    <mergeCell ref="H206:I206"/>
    <mergeCell ref="J206:K206"/>
    <mergeCell ref="L206:P206"/>
    <mergeCell ref="C207:G207"/>
    <mergeCell ref="H207:I207"/>
    <mergeCell ref="J207:K207"/>
    <mergeCell ref="L207:P207"/>
    <mergeCell ref="C204:G204"/>
    <mergeCell ref="H204:I204"/>
    <mergeCell ref="J204:K204"/>
    <mergeCell ref="L204:P204"/>
    <mergeCell ref="C205:G205"/>
    <mergeCell ref="H205:I205"/>
    <mergeCell ref="J205:K205"/>
    <mergeCell ref="L205:P205"/>
    <mergeCell ref="C214:G214"/>
    <mergeCell ref="H214:I214"/>
    <mergeCell ref="J214:K214"/>
    <mergeCell ref="L214:P214"/>
    <mergeCell ref="C212:G212"/>
    <mergeCell ref="H212:I212"/>
    <mergeCell ref="J212:K212"/>
    <mergeCell ref="L212:P212"/>
    <mergeCell ref="C213:G213"/>
    <mergeCell ref="H213:I213"/>
    <mergeCell ref="J213:K213"/>
    <mergeCell ref="L213:P213"/>
    <mergeCell ref="C210:G210"/>
    <mergeCell ref="H210:I210"/>
    <mergeCell ref="J210:K210"/>
    <mergeCell ref="L210:P210"/>
    <mergeCell ref="C211:G211"/>
    <mergeCell ref="H211:I211"/>
    <mergeCell ref="J211:K211"/>
    <mergeCell ref="L211:P211"/>
    <mergeCell ref="C219:G219"/>
    <mergeCell ref="H219:I219"/>
    <mergeCell ref="J219:K219"/>
    <mergeCell ref="L219:P219"/>
    <mergeCell ref="C220:G220"/>
    <mergeCell ref="H220:I220"/>
    <mergeCell ref="J220:K220"/>
    <mergeCell ref="L220:P220"/>
    <mergeCell ref="C217:G217"/>
    <mergeCell ref="H217:I217"/>
    <mergeCell ref="J217:K217"/>
    <mergeCell ref="L217:P217"/>
    <mergeCell ref="C218:G218"/>
    <mergeCell ref="H218:I218"/>
    <mergeCell ref="J218:K218"/>
    <mergeCell ref="L218:P218"/>
    <mergeCell ref="C215:G215"/>
    <mergeCell ref="H215:I215"/>
    <mergeCell ref="J215:K215"/>
    <mergeCell ref="L215:P215"/>
    <mergeCell ref="C216:G216"/>
    <mergeCell ref="H216:I216"/>
    <mergeCell ref="J216:K216"/>
    <mergeCell ref="L216:P216"/>
    <mergeCell ref="C225:G225"/>
    <mergeCell ref="H225:I225"/>
    <mergeCell ref="J225:K225"/>
    <mergeCell ref="L225:P225"/>
    <mergeCell ref="C226:G226"/>
    <mergeCell ref="H226:I226"/>
    <mergeCell ref="J226:K226"/>
    <mergeCell ref="L226:P226"/>
    <mergeCell ref="C223:G223"/>
    <mergeCell ref="H223:I223"/>
    <mergeCell ref="J223:K223"/>
    <mergeCell ref="L223:P223"/>
    <mergeCell ref="C224:G224"/>
    <mergeCell ref="H224:I224"/>
    <mergeCell ref="J224:K224"/>
    <mergeCell ref="L224:P224"/>
    <mergeCell ref="C221:G221"/>
    <mergeCell ref="H221:I221"/>
    <mergeCell ref="J221:K221"/>
    <mergeCell ref="L221:P221"/>
    <mergeCell ref="C222:G222"/>
    <mergeCell ref="H222:I222"/>
    <mergeCell ref="J222:K222"/>
    <mergeCell ref="L222:P222"/>
    <mergeCell ref="C232:G232"/>
    <mergeCell ref="H232:I232"/>
    <mergeCell ref="J232:K232"/>
    <mergeCell ref="L232:P232"/>
    <mergeCell ref="C233:G233"/>
    <mergeCell ref="H233:I233"/>
    <mergeCell ref="J233:K233"/>
    <mergeCell ref="L233:P233"/>
    <mergeCell ref="C230:G230"/>
    <mergeCell ref="H230:I230"/>
    <mergeCell ref="J230:K230"/>
    <mergeCell ref="L230:P230"/>
    <mergeCell ref="C231:G231"/>
    <mergeCell ref="H231:I231"/>
    <mergeCell ref="J231:K231"/>
    <mergeCell ref="L231:P231"/>
    <mergeCell ref="C227:G227"/>
    <mergeCell ref="H227:I227"/>
    <mergeCell ref="J227:K227"/>
    <mergeCell ref="L227:P227"/>
    <mergeCell ref="C228:G228"/>
    <mergeCell ref="H228:I228"/>
    <mergeCell ref="J228:K228"/>
    <mergeCell ref="L228:P228"/>
    <mergeCell ref="C229:G229"/>
    <mergeCell ref="H229:I229"/>
    <mergeCell ref="J229:K229"/>
    <mergeCell ref="L229:P229"/>
    <mergeCell ref="C238:G238"/>
    <mergeCell ref="H238:I238"/>
    <mergeCell ref="J238:K238"/>
    <mergeCell ref="L238:P238"/>
    <mergeCell ref="C239:G239"/>
    <mergeCell ref="H239:I239"/>
    <mergeCell ref="J239:K239"/>
    <mergeCell ref="L239:P239"/>
    <mergeCell ref="C236:G236"/>
    <mergeCell ref="H236:I236"/>
    <mergeCell ref="J236:K236"/>
    <mergeCell ref="L236:P236"/>
    <mergeCell ref="C237:G237"/>
    <mergeCell ref="H237:I237"/>
    <mergeCell ref="J237:K237"/>
    <mergeCell ref="L237:P237"/>
    <mergeCell ref="C234:G234"/>
    <mergeCell ref="H234:I234"/>
    <mergeCell ref="J234:K234"/>
    <mergeCell ref="L234:P234"/>
    <mergeCell ref="C235:G235"/>
    <mergeCell ref="H235:I235"/>
    <mergeCell ref="J235:K235"/>
    <mergeCell ref="L235:P235"/>
    <mergeCell ref="D250:M250"/>
    <mergeCell ref="D251:M251"/>
    <mergeCell ref="D252:M252"/>
    <mergeCell ref="D253:M253"/>
    <mergeCell ref="L255:M255"/>
    <mergeCell ref="L256:M256"/>
    <mergeCell ref="C242:G242"/>
    <mergeCell ref="H242:I242"/>
    <mergeCell ref="J242:K242"/>
    <mergeCell ref="L242:P242"/>
    <mergeCell ref="C243:G243"/>
    <mergeCell ref="H243:I243"/>
    <mergeCell ref="J243:K243"/>
    <mergeCell ref="L243:P243"/>
    <mergeCell ref="C240:G240"/>
    <mergeCell ref="H240:I240"/>
    <mergeCell ref="J240:K240"/>
    <mergeCell ref="L240:P240"/>
    <mergeCell ref="C241:G241"/>
    <mergeCell ref="H241:I241"/>
    <mergeCell ref="J241:K241"/>
    <mergeCell ref="L241:P241"/>
    <mergeCell ref="A299:Q299"/>
    <mergeCell ref="C301:G301"/>
    <mergeCell ref="H301:I301"/>
    <mergeCell ref="J301:K301"/>
    <mergeCell ref="L301:P301"/>
    <mergeCell ref="C302:G302"/>
    <mergeCell ref="H302:I302"/>
    <mergeCell ref="J302:K302"/>
    <mergeCell ref="L302:P302"/>
    <mergeCell ref="L263:M263"/>
    <mergeCell ref="L264:M264"/>
    <mergeCell ref="L265:M265"/>
    <mergeCell ref="L266:M266"/>
    <mergeCell ref="L267:M267"/>
    <mergeCell ref="A298:Q298"/>
    <mergeCell ref="L257:M257"/>
    <mergeCell ref="L258:M258"/>
    <mergeCell ref="L259:M259"/>
    <mergeCell ref="L260:M260"/>
    <mergeCell ref="L261:M261"/>
    <mergeCell ref="L262:M262"/>
    <mergeCell ref="C307:G307"/>
    <mergeCell ref="H307:I307"/>
    <mergeCell ref="J307:K307"/>
    <mergeCell ref="L307:P307"/>
    <mergeCell ref="C308:G308"/>
    <mergeCell ref="H308:I308"/>
    <mergeCell ref="J308:K308"/>
    <mergeCell ref="L308:P308"/>
    <mergeCell ref="C305:G305"/>
    <mergeCell ref="H305:I305"/>
    <mergeCell ref="J305:K305"/>
    <mergeCell ref="L305:P305"/>
    <mergeCell ref="C306:G306"/>
    <mergeCell ref="H306:I306"/>
    <mergeCell ref="J306:K306"/>
    <mergeCell ref="L306:P306"/>
    <mergeCell ref="C303:G303"/>
    <mergeCell ref="H303:I303"/>
    <mergeCell ref="J303:K303"/>
    <mergeCell ref="L303:P303"/>
    <mergeCell ref="C304:G304"/>
    <mergeCell ref="H304:I304"/>
    <mergeCell ref="J304:K304"/>
    <mergeCell ref="L304:P304"/>
    <mergeCell ref="C313:G313"/>
    <mergeCell ref="H313:I313"/>
    <mergeCell ref="J313:K313"/>
    <mergeCell ref="L313:P313"/>
    <mergeCell ref="C314:G314"/>
    <mergeCell ref="H314:I314"/>
    <mergeCell ref="J314:K314"/>
    <mergeCell ref="L314:P314"/>
    <mergeCell ref="C311:G311"/>
    <mergeCell ref="H311:I311"/>
    <mergeCell ref="J311:K311"/>
    <mergeCell ref="L311:P311"/>
    <mergeCell ref="C312:G312"/>
    <mergeCell ref="H312:I312"/>
    <mergeCell ref="J312:K312"/>
    <mergeCell ref="L312:P312"/>
    <mergeCell ref="C309:G309"/>
    <mergeCell ref="H309:I309"/>
    <mergeCell ref="J309:K309"/>
    <mergeCell ref="L309:P309"/>
    <mergeCell ref="C310:G310"/>
    <mergeCell ref="H310:I310"/>
    <mergeCell ref="J310:K310"/>
    <mergeCell ref="L310:P310"/>
    <mergeCell ref="C319:G319"/>
    <mergeCell ref="H319:I319"/>
    <mergeCell ref="J319:K319"/>
    <mergeCell ref="L319:P319"/>
    <mergeCell ref="C320:G320"/>
    <mergeCell ref="H320:I320"/>
    <mergeCell ref="J320:K320"/>
    <mergeCell ref="L320:P320"/>
    <mergeCell ref="C317:G317"/>
    <mergeCell ref="H317:I317"/>
    <mergeCell ref="J317:K317"/>
    <mergeCell ref="L317:P317"/>
    <mergeCell ref="C318:G318"/>
    <mergeCell ref="H318:I318"/>
    <mergeCell ref="J318:K318"/>
    <mergeCell ref="L318:P318"/>
    <mergeCell ref="C315:G315"/>
    <mergeCell ref="H315:I315"/>
    <mergeCell ref="J315:K315"/>
    <mergeCell ref="L315:P315"/>
    <mergeCell ref="C316:G316"/>
    <mergeCell ref="H316:I316"/>
    <mergeCell ref="J316:K316"/>
    <mergeCell ref="L316:P316"/>
    <mergeCell ref="C325:G325"/>
    <mergeCell ref="H325:I325"/>
    <mergeCell ref="J325:K325"/>
    <mergeCell ref="L325:P325"/>
    <mergeCell ref="C326:G326"/>
    <mergeCell ref="H326:I326"/>
    <mergeCell ref="J326:K326"/>
    <mergeCell ref="L326:P326"/>
    <mergeCell ref="C323:G323"/>
    <mergeCell ref="H323:I323"/>
    <mergeCell ref="J323:K323"/>
    <mergeCell ref="L323:P323"/>
    <mergeCell ref="C324:G324"/>
    <mergeCell ref="H324:I324"/>
    <mergeCell ref="J324:K324"/>
    <mergeCell ref="L324:P324"/>
    <mergeCell ref="C321:G321"/>
    <mergeCell ref="H321:I321"/>
    <mergeCell ref="J321:K321"/>
    <mergeCell ref="L321:P321"/>
    <mergeCell ref="C322:G322"/>
    <mergeCell ref="H322:I322"/>
    <mergeCell ref="J322:K322"/>
    <mergeCell ref="L322:P322"/>
    <mergeCell ref="C331:G331"/>
    <mergeCell ref="H331:I331"/>
    <mergeCell ref="J331:K331"/>
    <mergeCell ref="L331:P331"/>
    <mergeCell ref="C332:G332"/>
    <mergeCell ref="H332:I332"/>
    <mergeCell ref="J332:K332"/>
    <mergeCell ref="L332:P332"/>
    <mergeCell ref="C329:G329"/>
    <mergeCell ref="H329:I329"/>
    <mergeCell ref="J329:K329"/>
    <mergeCell ref="L329:P329"/>
    <mergeCell ref="C330:G330"/>
    <mergeCell ref="H330:I330"/>
    <mergeCell ref="J330:K330"/>
    <mergeCell ref="L330:P330"/>
    <mergeCell ref="C327:G327"/>
    <mergeCell ref="H327:I327"/>
    <mergeCell ref="J327:K327"/>
    <mergeCell ref="L327:P327"/>
    <mergeCell ref="C328:G328"/>
    <mergeCell ref="H328:I328"/>
    <mergeCell ref="J328:K328"/>
    <mergeCell ref="L328:P328"/>
    <mergeCell ref="C349:P349"/>
    <mergeCell ref="C350:P350"/>
    <mergeCell ref="C351:P351"/>
    <mergeCell ref="C352:P352"/>
    <mergeCell ref="H356:I356"/>
    <mergeCell ref="O356:P356"/>
    <mergeCell ref="C335:G335"/>
    <mergeCell ref="H335:I335"/>
    <mergeCell ref="J335:K335"/>
    <mergeCell ref="L335:P335"/>
    <mergeCell ref="C336:G336"/>
    <mergeCell ref="H336:I336"/>
    <mergeCell ref="J336:K336"/>
    <mergeCell ref="L336:P336"/>
    <mergeCell ref="C333:G333"/>
    <mergeCell ref="H333:I333"/>
    <mergeCell ref="J333:K333"/>
    <mergeCell ref="L333:P333"/>
    <mergeCell ref="C334:G334"/>
    <mergeCell ref="H334:I334"/>
    <mergeCell ref="J334:K334"/>
    <mergeCell ref="L334:P334"/>
    <mergeCell ref="H366:I366"/>
    <mergeCell ref="O367:P367"/>
    <mergeCell ref="O368:P368"/>
    <mergeCell ref="H369:I369"/>
    <mergeCell ref="O369:P369"/>
    <mergeCell ref="A395:Q395"/>
    <mergeCell ref="O362:P362"/>
    <mergeCell ref="H363:I363"/>
    <mergeCell ref="O363:P363"/>
    <mergeCell ref="H364:I364"/>
    <mergeCell ref="O364:P364"/>
    <mergeCell ref="H365:I365"/>
    <mergeCell ref="O365:P365"/>
    <mergeCell ref="H357:I357"/>
    <mergeCell ref="O357:P357"/>
    <mergeCell ref="H358:I358"/>
    <mergeCell ref="O358:P358"/>
    <mergeCell ref="H359:I359"/>
    <mergeCell ref="O359:P359"/>
    <mergeCell ref="C401:G401"/>
    <mergeCell ref="H401:I401"/>
    <mergeCell ref="J401:K401"/>
    <mergeCell ref="L401:P401"/>
    <mergeCell ref="C402:G402"/>
    <mergeCell ref="H402:I402"/>
    <mergeCell ref="J402:K402"/>
    <mergeCell ref="L402:P402"/>
    <mergeCell ref="C399:G399"/>
    <mergeCell ref="H399:I399"/>
    <mergeCell ref="J399:K399"/>
    <mergeCell ref="L399:P399"/>
    <mergeCell ref="C400:G400"/>
    <mergeCell ref="H400:I400"/>
    <mergeCell ref="J400:K400"/>
    <mergeCell ref="L400:P400"/>
    <mergeCell ref="A396:Q396"/>
    <mergeCell ref="C397:G397"/>
    <mergeCell ref="H397:I397"/>
    <mergeCell ref="J397:K397"/>
    <mergeCell ref="L397:P397"/>
    <mergeCell ref="C398:G398"/>
    <mergeCell ref="H398:I398"/>
    <mergeCell ref="J398:K398"/>
    <mergeCell ref="L398:P398"/>
    <mergeCell ref="C407:G407"/>
    <mergeCell ref="H407:I407"/>
    <mergeCell ref="J407:K407"/>
    <mergeCell ref="L407:P407"/>
    <mergeCell ref="C408:G408"/>
    <mergeCell ref="H408:I408"/>
    <mergeCell ref="J408:K408"/>
    <mergeCell ref="L408:P408"/>
    <mergeCell ref="C405:G405"/>
    <mergeCell ref="H405:I405"/>
    <mergeCell ref="J405:K405"/>
    <mergeCell ref="L405:P405"/>
    <mergeCell ref="C406:G406"/>
    <mergeCell ref="H406:I406"/>
    <mergeCell ref="J406:K406"/>
    <mergeCell ref="L406:P406"/>
    <mergeCell ref="C403:G403"/>
    <mergeCell ref="H403:I403"/>
    <mergeCell ref="J403:K403"/>
    <mergeCell ref="L403:P403"/>
    <mergeCell ref="C404:G404"/>
    <mergeCell ref="H404:I404"/>
    <mergeCell ref="J404:K404"/>
    <mergeCell ref="L404:P404"/>
    <mergeCell ref="C413:G413"/>
    <mergeCell ref="H413:I413"/>
    <mergeCell ref="J413:K413"/>
    <mergeCell ref="L413:P413"/>
    <mergeCell ref="C414:G414"/>
    <mergeCell ref="H414:I414"/>
    <mergeCell ref="J414:K414"/>
    <mergeCell ref="L414:P414"/>
    <mergeCell ref="C411:G411"/>
    <mergeCell ref="H411:I411"/>
    <mergeCell ref="J411:K411"/>
    <mergeCell ref="L411:P411"/>
    <mergeCell ref="C412:G412"/>
    <mergeCell ref="H412:I412"/>
    <mergeCell ref="J412:K412"/>
    <mergeCell ref="L412:P412"/>
    <mergeCell ref="C409:G409"/>
    <mergeCell ref="H409:I409"/>
    <mergeCell ref="J409:K409"/>
    <mergeCell ref="L409:P409"/>
    <mergeCell ref="C410:G410"/>
    <mergeCell ref="H410:I410"/>
    <mergeCell ref="J410:K410"/>
    <mergeCell ref="L410:P410"/>
    <mergeCell ref="C419:G419"/>
    <mergeCell ref="H419:I419"/>
    <mergeCell ref="J419:K419"/>
    <mergeCell ref="L419:P419"/>
    <mergeCell ref="C420:G420"/>
    <mergeCell ref="H420:I420"/>
    <mergeCell ref="J420:K420"/>
    <mergeCell ref="L420:P420"/>
    <mergeCell ref="C417:G417"/>
    <mergeCell ref="H417:I417"/>
    <mergeCell ref="J417:K417"/>
    <mergeCell ref="L417:P417"/>
    <mergeCell ref="C418:G418"/>
    <mergeCell ref="H418:I418"/>
    <mergeCell ref="J418:K418"/>
    <mergeCell ref="L418:P418"/>
    <mergeCell ref="C415:G415"/>
    <mergeCell ref="H415:I415"/>
    <mergeCell ref="J415:K415"/>
    <mergeCell ref="L415:P415"/>
    <mergeCell ref="C416:G416"/>
    <mergeCell ref="H416:I416"/>
    <mergeCell ref="J416:K416"/>
    <mergeCell ref="L416:P416"/>
    <mergeCell ref="C425:G425"/>
    <mergeCell ref="H425:I425"/>
    <mergeCell ref="J425:K425"/>
    <mergeCell ref="L425:P425"/>
    <mergeCell ref="C426:G426"/>
    <mergeCell ref="H426:I426"/>
    <mergeCell ref="J426:K426"/>
    <mergeCell ref="L426:P426"/>
    <mergeCell ref="C423:G423"/>
    <mergeCell ref="H423:I423"/>
    <mergeCell ref="J423:K423"/>
    <mergeCell ref="L423:P423"/>
    <mergeCell ref="C424:G424"/>
    <mergeCell ref="H424:I424"/>
    <mergeCell ref="J424:K424"/>
    <mergeCell ref="L424:P424"/>
    <mergeCell ref="C421:G421"/>
    <mergeCell ref="H421:I421"/>
    <mergeCell ref="J421:K421"/>
    <mergeCell ref="L421:P421"/>
    <mergeCell ref="C422:G422"/>
    <mergeCell ref="H422:I422"/>
    <mergeCell ref="J422:K422"/>
    <mergeCell ref="L422:P422"/>
    <mergeCell ref="C431:G431"/>
    <mergeCell ref="H431:I431"/>
    <mergeCell ref="J431:K431"/>
    <mergeCell ref="L431:P431"/>
    <mergeCell ref="C432:G432"/>
    <mergeCell ref="H432:I432"/>
    <mergeCell ref="J432:K432"/>
    <mergeCell ref="L432:P432"/>
    <mergeCell ref="C429:G429"/>
    <mergeCell ref="H429:I429"/>
    <mergeCell ref="J429:K429"/>
    <mergeCell ref="L429:P429"/>
    <mergeCell ref="C430:G430"/>
    <mergeCell ref="H430:I430"/>
    <mergeCell ref="J430:K430"/>
    <mergeCell ref="L430:P430"/>
    <mergeCell ref="C427:G427"/>
    <mergeCell ref="H427:I427"/>
    <mergeCell ref="J427:K427"/>
    <mergeCell ref="L427:P427"/>
    <mergeCell ref="C428:G428"/>
    <mergeCell ref="H428:I428"/>
    <mergeCell ref="J428:K428"/>
    <mergeCell ref="L428:P428"/>
    <mergeCell ref="C437:G437"/>
    <mergeCell ref="H437:I437"/>
    <mergeCell ref="J437:K437"/>
    <mergeCell ref="L437:P437"/>
    <mergeCell ref="C438:G438"/>
    <mergeCell ref="H438:I438"/>
    <mergeCell ref="J438:K438"/>
    <mergeCell ref="L438:P438"/>
    <mergeCell ref="C435:G435"/>
    <mergeCell ref="H435:I435"/>
    <mergeCell ref="J435:K435"/>
    <mergeCell ref="L435:P435"/>
    <mergeCell ref="C436:G436"/>
    <mergeCell ref="H436:I436"/>
    <mergeCell ref="J436:K436"/>
    <mergeCell ref="L436:P436"/>
    <mergeCell ref="C433:G433"/>
    <mergeCell ref="H433:I433"/>
    <mergeCell ref="J433:K433"/>
    <mergeCell ref="L433:P433"/>
    <mergeCell ref="C434:G434"/>
    <mergeCell ref="H434:I434"/>
    <mergeCell ref="J434:K434"/>
    <mergeCell ref="L434:P434"/>
    <mergeCell ref="C443:G443"/>
    <mergeCell ref="H443:I443"/>
    <mergeCell ref="J443:K443"/>
    <mergeCell ref="L443:P443"/>
    <mergeCell ref="C444:G444"/>
    <mergeCell ref="H444:I444"/>
    <mergeCell ref="J444:K444"/>
    <mergeCell ref="L444:P444"/>
    <mergeCell ref="C441:G441"/>
    <mergeCell ref="H441:I441"/>
    <mergeCell ref="J441:K441"/>
    <mergeCell ref="L441:P441"/>
    <mergeCell ref="C442:G442"/>
    <mergeCell ref="H442:I442"/>
    <mergeCell ref="J442:K442"/>
    <mergeCell ref="L442:P442"/>
    <mergeCell ref="C439:G439"/>
    <mergeCell ref="H439:I439"/>
    <mergeCell ref="J439:K439"/>
    <mergeCell ref="L439:P439"/>
    <mergeCell ref="C440:G440"/>
    <mergeCell ref="H440:I440"/>
    <mergeCell ref="J440:K440"/>
    <mergeCell ref="L440:P440"/>
    <mergeCell ref="C449:G449"/>
    <mergeCell ref="H449:I449"/>
    <mergeCell ref="J449:K449"/>
    <mergeCell ref="L449:P449"/>
    <mergeCell ref="C450:G450"/>
    <mergeCell ref="H450:I450"/>
    <mergeCell ref="J450:K450"/>
    <mergeCell ref="L450:P450"/>
    <mergeCell ref="C447:G447"/>
    <mergeCell ref="H447:I447"/>
    <mergeCell ref="J447:K447"/>
    <mergeCell ref="L447:P447"/>
    <mergeCell ref="C448:G448"/>
    <mergeCell ref="H448:I448"/>
    <mergeCell ref="J448:K448"/>
    <mergeCell ref="L448:P448"/>
    <mergeCell ref="C445:G445"/>
    <mergeCell ref="H445:I445"/>
    <mergeCell ref="J445:K445"/>
    <mergeCell ref="L445:P445"/>
    <mergeCell ref="C446:G446"/>
    <mergeCell ref="H446:I446"/>
    <mergeCell ref="J446:K446"/>
    <mergeCell ref="L446:P446"/>
    <mergeCell ref="L464:M464"/>
    <mergeCell ref="L465:M465"/>
    <mergeCell ref="L466:M466"/>
    <mergeCell ref="L467:M467"/>
    <mergeCell ref="L468:M468"/>
    <mergeCell ref="L469:M469"/>
    <mergeCell ref="D457:M457"/>
    <mergeCell ref="D458:M458"/>
    <mergeCell ref="L460:M460"/>
    <mergeCell ref="L461:M461"/>
    <mergeCell ref="L462:M462"/>
    <mergeCell ref="L463:M463"/>
    <mergeCell ref="C451:G451"/>
    <mergeCell ref="H451:I451"/>
    <mergeCell ref="J451:K451"/>
    <mergeCell ref="L451:P451"/>
    <mergeCell ref="D455:M455"/>
    <mergeCell ref="D456:M456"/>
    <mergeCell ref="H487:I487"/>
    <mergeCell ref="O487:P487"/>
    <mergeCell ref="H488:I488"/>
    <mergeCell ref="O488:P488"/>
    <mergeCell ref="H489:I489"/>
    <mergeCell ref="O489:P489"/>
    <mergeCell ref="C480:P480"/>
    <mergeCell ref="C481:P481"/>
    <mergeCell ref="H485:I485"/>
    <mergeCell ref="O485:P485"/>
    <mergeCell ref="H486:I486"/>
    <mergeCell ref="O486:P486"/>
    <mergeCell ref="L470:M470"/>
    <mergeCell ref="L471:M471"/>
    <mergeCell ref="L472:M472"/>
    <mergeCell ref="L474:M474"/>
    <mergeCell ref="C478:P478"/>
    <mergeCell ref="C479:P479"/>
    <mergeCell ref="A502:Q502"/>
    <mergeCell ref="A503:Q503"/>
    <mergeCell ref="C505:G505"/>
    <mergeCell ref="H505:I505"/>
    <mergeCell ref="J505:K505"/>
    <mergeCell ref="L505:P505"/>
    <mergeCell ref="H494:I494"/>
    <mergeCell ref="H495:I495"/>
    <mergeCell ref="O495:P495"/>
    <mergeCell ref="H496:I496"/>
    <mergeCell ref="O496:P496"/>
    <mergeCell ref="H497:I497"/>
    <mergeCell ref="O497:P497"/>
    <mergeCell ref="H490:I490"/>
    <mergeCell ref="O490:P490"/>
    <mergeCell ref="O491:P491"/>
    <mergeCell ref="H492:I492"/>
    <mergeCell ref="O492:P492"/>
    <mergeCell ref="H493:I493"/>
    <mergeCell ref="C510:G510"/>
    <mergeCell ref="H510:I510"/>
    <mergeCell ref="J510:K510"/>
    <mergeCell ref="L510:P510"/>
    <mergeCell ref="C511:G511"/>
    <mergeCell ref="H511:I511"/>
    <mergeCell ref="J511:K511"/>
    <mergeCell ref="L511:P511"/>
    <mergeCell ref="C508:G508"/>
    <mergeCell ref="H508:I508"/>
    <mergeCell ref="J508:K508"/>
    <mergeCell ref="L508:P508"/>
    <mergeCell ref="C509:G509"/>
    <mergeCell ref="H509:I509"/>
    <mergeCell ref="J509:K509"/>
    <mergeCell ref="L509:P509"/>
    <mergeCell ref="C506:G506"/>
    <mergeCell ref="H506:I506"/>
    <mergeCell ref="J506:K506"/>
    <mergeCell ref="L506:P506"/>
    <mergeCell ref="C507:G507"/>
    <mergeCell ref="H507:I507"/>
    <mergeCell ref="J507:K507"/>
    <mergeCell ref="L507:P507"/>
    <mergeCell ref="C516:G516"/>
    <mergeCell ref="H516:I516"/>
    <mergeCell ref="J516:K516"/>
    <mergeCell ref="L516:P516"/>
    <mergeCell ref="C517:G517"/>
    <mergeCell ref="H517:I517"/>
    <mergeCell ref="J517:K517"/>
    <mergeCell ref="L517:P517"/>
    <mergeCell ref="C514:G514"/>
    <mergeCell ref="H514:I514"/>
    <mergeCell ref="J514:K514"/>
    <mergeCell ref="L514:P514"/>
    <mergeCell ref="C515:G515"/>
    <mergeCell ref="H515:I515"/>
    <mergeCell ref="J515:K515"/>
    <mergeCell ref="L515:P515"/>
    <mergeCell ref="C512:G512"/>
    <mergeCell ref="H512:I512"/>
    <mergeCell ref="J512:K512"/>
    <mergeCell ref="L512:P512"/>
    <mergeCell ref="C513:G513"/>
    <mergeCell ref="H513:I513"/>
    <mergeCell ref="J513:K513"/>
    <mergeCell ref="L513:P513"/>
    <mergeCell ref="C522:G522"/>
    <mergeCell ref="H522:I522"/>
    <mergeCell ref="J522:K522"/>
    <mergeCell ref="L522:P522"/>
    <mergeCell ref="C523:G523"/>
    <mergeCell ref="H523:I523"/>
    <mergeCell ref="J523:K523"/>
    <mergeCell ref="L523:P523"/>
    <mergeCell ref="C520:G520"/>
    <mergeCell ref="H520:I520"/>
    <mergeCell ref="J520:K520"/>
    <mergeCell ref="L520:P520"/>
    <mergeCell ref="C521:G521"/>
    <mergeCell ref="H521:I521"/>
    <mergeCell ref="J521:K521"/>
    <mergeCell ref="L521:P521"/>
    <mergeCell ref="C518:G518"/>
    <mergeCell ref="H518:I518"/>
    <mergeCell ref="J518:K518"/>
    <mergeCell ref="L518:P518"/>
    <mergeCell ref="C519:G519"/>
    <mergeCell ref="H519:I519"/>
    <mergeCell ref="J519:K519"/>
    <mergeCell ref="L519:P519"/>
    <mergeCell ref="C528:G528"/>
    <mergeCell ref="H528:I528"/>
    <mergeCell ref="J528:K528"/>
    <mergeCell ref="L528:P528"/>
    <mergeCell ref="C529:G529"/>
    <mergeCell ref="H529:I529"/>
    <mergeCell ref="J529:K529"/>
    <mergeCell ref="L529:P529"/>
    <mergeCell ref="C526:G526"/>
    <mergeCell ref="H526:I526"/>
    <mergeCell ref="J526:K526"/>
    <mergeCell ref="L526:P526"/>
    <mergeCell ref="C527:G527"/>
    <mergeCell ref="H527:I527"/>
    <mergeCell ref="J527:K527"/>
    <mergeCell ref="L527:P527"/>
    <mergeCell ref="C524:G524"/>
    <mergeCell ref="H524:I524"/>
    <mergeCell ref="J524:K524"/>
    <mergeCell ref="L524:P524"/>
    <mergeCell ref="C525:G525"/>
    <mergeCell ref="H525:I525"/>
    <mergeCell ref="J525:K525"/>
    <mergeCell ref="L525:P525"/>
    <mergeCell ref="C534:G534"/>
    <mergeCell ref="H534:I534"/>
    <mergeCell ref="J534:K534"/>
    <mergeCell ref="L534:P534"/>
    <mergeCell ref="C535:G535"/>
    <mergeCell ref="H535:I535"/>
    <mergeCell ref="J535:K535"/>
    <mergeCell ref="L535:P535"/>
    <mergeCell ref="C532:G532"/>
    <mergeCell ref="H532:I532"/>
    <mergeCell ref="J532:K532"/>
    <mergeCell ref="L532:P532"/>
    <mergeCell ref="C533:G533"/>
    <mergeCell ref="H533:I533"/>
    <mergeCell ref="J533:K533"/>
    <mergeCell ref="L533:P533"/>
    <mergeCell ref="C530:G530"/>
    <mergeCell ref="H530:I530"/>
    <mergeCell ref="J530:K530"/>
    <mergeCell ref="L530:P530"/>
    <mergeCell ref="C531:G531"/>
    <mergeCell ref="H531:I531"/>
    <mergeCell ref="J531:K531"/>
    <mergeCell ref="L531:P531"/>
    <mergeCell ref="C540:G540"/>
    <mergeCell ref="H540:I540"/>
    <mergeCell ref="J540:K540"/>
    <mergeCell ref="L540:P540"/>
    <mergeCell ref="C541:G541"/>
    <mergeCell ref="H541:I541"/>
    <mergeCell ref="J541:K541"/>
    <mergeCell ref="L541:P541"/>
    <mergeCell ref="C538:G538"/>
    <mergeCell ref="H538:I538"/>
    <mergeCell ref="J538:K538"/>
    <mergeCell ref="L538:P538"/>
    <mergeCell ref="C539:G539"/>
    <mergeCell ref="H539:I539"/>
    <mergeCell ref="J539:K539"/>
    <mergeCell ref="L539:P539"/>
    <mergeCell ref="C536:G536"/>
    <mergeCell ref="H536:I536"/>
    <mergeCell ref="J536:K536"/>
    <mergeCell ref="L536:P536"/>
    <mergeCell ref="C537:G537"/>
    <mergeCell ref="H537:I537"/>
    <mergeCell ref="J537:K537"/>
    <mergeCell ref="L537:P537"/>
    <mergeCell ref="C546:G546"/>
    <mergeCell ref="H546:I546"/>
    <mergeCell ref="J546:K546"/>
    <mergeCell ref="L546:P546"/>
    <mergeCell ref="C547:G547"/>
    <mergeCell ref="H547:I547"/>
    <mergeCell ref="J547:K547"/>
    <mergeCell ref="L547:P547"/>
    <mergeCell ref="C544:G544"/>
    <mergeCell ref="H544:I544"/>
    <mergeCell ref="J544:K544"/>
    <mergeCell ref="L544:P544"/>
    <mergeCell ref="C545:G545"/>
    <mergeCell ref="H545:I545"/>
    <mergeCell ref="J545:K545"/>
    <mergeCell ref="L545:P545"/>
    <mergeCell ref="C542:G542"/>
    <mergeCell ref="H542:I542"/>
    <mergeCell ref="J542:K542"/>
    <mergeCell ref="L542:P542"/>
    <mergeCell ref="C543:G543"/>
    <mergeCell ref="H543:I543"/>
    <mergeCell ref="J543:K543"/>
    <mergeCell ref="L543:P543"/>
    <mergeCell ref="C552:G552"/>
    <mergeCell ref="H552:I552"/>
    <mergeCell ref="J552:K552"/>
    <mergeCell ref="L552:P552"/>
    <mergeCell ref="C553:G553"/>
    <mergeCell ref="H553:I553"/>
    <mergeCell ref="J553:K553"/>
    <mergeCell ref="L553:P553"/>
    <mergeCell ref="C550:G550"/>
    <mergeCell ref="H550:I550"/>
    <mergeCell ref="J550:K550"/>
    <mergeCell ref="L550:P550"/>
    <mergeCell ref="C551:G551"/>
    <mergeCell ref="H551:I551"/>
    <mergeCell ref="J551:K551"/>
    <mergeCell ref="L551:P551"/>
    <mergeCell ref="C548:G548"/>
    <mergeCell ref="H548:I548"/>
    <mergeCell ref="J548:K548"/>
    <mergeCell ref="L548:P548"/>
    <mergeCell ref="C549:G549"/>
    <mergeCell ref="H549:I549"/>
    <mergeCell ref="J549:K549"/>
    <mergeCell ref="L549:P549"/>
    <mergeCell ref="D563:M563"/>
    <mergeCell ref="D564:M564"/>
    <mergeCell ref="L566:M566"/>
    <mergeCell ref="L567:M567"/>
    <mergeCell ref="L568:M568"/>
    <mergeCell ref="L569:M569"/>
    <mergeCell ref="C556:G556"/>
    <mergeCell ref="H556:I556"/>
    <mergeCell ref="J556:K556"/>
    <mergeCell ref="L556:P556"/>
    <mergeCell ref="D561:M561"/>
    <mergeCell ref="D562:M562"/>
    <mergeCell ref="C554:G554"/>
    <mergeCell ref="H554:I554"/>
    <mergeCell ref="J554:K554"/>
    <mergeCell ref="L554:P554"/>
    <mergeCell ref="C555:G555"/>
    <mergeCell ref="H555:I555"/>
    <mergeCell ref="J555:K555"/>
    <mergeCell ref="L555:P555"/>
    <mergeCell ref="C587:P587"/>
    <mergeCell ref="H591:I591"/>
    <mergeCell ref="O591:P591"/>
    <mergeCell ref="H592:I592"/>
    <mergeCell ref="O592:P592"/>
    <mergeCell ref="H593:I593"/>
    <mergeCell ref="O593:P593"/>
    <mergeCell ref="L576:M576"/>
    <mergeCell ref="L577:M577"/>
    <mergeCell ref="L579:M579"/>
    <mergeCell ref="C584:P584"/>
    <mergeCell ref="C585:P585"/>
    <mergeCell ref="C586:P586"/>
    <mergeCell ref="L570:M570"/>
    <mergeCell ref="L571:M571"/>
    <mergeCell ref="L572:M572"/>
    <mergeCell ref="L573:M573"/>
    <mergeCell ref="L574:M574"/>
    <mergeCell ref="L575:M575"/>
    <mergeCell ref="O603:P603"/>
    <mergeCell ref="H604:I604"/>
    <mergeCell ref="O604:P604"/>
    <mergeCell ref="H599:I599"/>
    <mergeCell ref="O599:P599"/>
    <mergeCell ref="H600:I600"/>
    <mergeCell ref="O600:P600"/>
    <mergeCell ref="H601:I601"/>
    <mergeCell ref="O601:P601"/>
    <mergeCell ref="H594:I594"/>
    <mergeCell ref="O594:P594"/>
    <mergeCell ref="H595:I595"/>
    <mergeCell ref="O595:P595"/>
    <mergeCell ref="H596:I596"/>
    <mergeCell ref="H598:I598"/>
    <mergeCell ref="O598:P598"/>
    <mergeCell ref="C631:K631"/>
    <mergeCell ref="O669:P669"/>
    <mergeCell ref="O670:P670"/>
    <mergeCell ref="O672:P672"/>
    <mergeCell ref="O673:P673"/>
    <mergeCell ref="O674:P674"/>
    <mergeCell ref="O675:P675"/>
    <mergeCell ref="C662:P662"/>
    <mergeCell ref="O663:P663"/>
    <mergeCell ref="O664:P664"/>
    <mergeCell ref="O665:P665"/>
    <mergeCell ref="O666:P666"/>
    <mergeCell ref="C667:P667"/>
    <mergeCell ref="A657:Q657"/>
    <mergeCell ref="A658:Q658"/>
    <mergeCell ref="C660:G660"/>
    <mergeCell ref="O693:P693"/>
    <mergeCell ref="O694:P694"/>
    <mergeCell ref="O695:P695"/>
    <mergeCell ref="C696:G696"/>
    <mergeCell ref="O699:P699"/>
    <mergeCell ref="O700:P700"/>
    <mergeCell ref="O686:P686"/>
    <mergeCell ref="O687:P687"/>
    <mergeCell ref="O688:P688"/>
    <mergeCell ref="O689:P689"/>
    <mergeCell ref="O690:P690"/>
    <mergeCell ref="O691:P691"/>
    <mergeCell ref="O676:P676"/>
    <mergeCell ref="O678:P678"/>
    <mergeCell ref="O679:P679"/>
    <mergeCell ref="O682:P682"/>
    <mergeCell ref="O683:P683"/>
    <mergeCell ref="O685:P685"/>
    <mergeCell ref="O718:P718"/>
    <mergeCell ref="O719:P719"/>
    <mergeCell ref="O721:P721"/>
    <mergeCell ref="O722:P722"/>
    <mergeCell ref="O723:P723"/>
    <mergeCell ref="O724:P724"/>
    <mergeCell ref="C711:P711"/>
    <mergeCell ref="O712:P712"/>
    <mergeCell ref="O713:P713"/>
    <mergeCell ref="O714:P714"/>
    <mergeCell ref="O715:P715"/>
    <mergeCell ref="C716:P716"/>
    <mergeCell ref="O701:P701"/>
    <mergeCell ref="O702:P702"/>
    <mergeCell ref="O703:P703"/>
    <mergeCell ref="A706:Q706"/>
    <mergeCell ref="A707:Q707"/>
    <mergeCell ref="C709:G709"/>
    <mergeCell ref="O741:P741"/>
    <mergeCell ref="C742:G742"/>
    <mergeCell ref="O745:P745"/>
    <mergeCell ref="O746:P746"/>
    <mergeCell ref="O747:P747"/>
    <mergeCell ref="O748:P748"/>
    <mergeCell ref="O734:P734"/>
    <mergeCell ref="O735:P735"/>
    <mergeCell ref="O736:P736"/>
    <mergeCell ref="O737:P737"/>
    <mergeCell ref="O739:P739"/>
    <mergeCell ref="O740:P740"/>
    <mergeCell ref="O725:P725"/>
    <mergeCell ref="O727:P727"/>
    <mergeCell ref="O728:P728"/>
    <mergeCell ref="O731:P731"/>
    <mergeCell ref="O732:P732"/>
    <mergeCell ref="O733:P733"/>
    <mergeCell ref="O818:P818"/>
    <mergeCell ref="O819:P819"/>
    <mergeCell ref="O820:P820"/>
    <mergeCell ref="O821:P821"/>
    <mergeCell ref="O823:P823"/>
    <mergeCell ref="O824:P824"/>
    <mergeCell ref="O809:P809"/>
    <mergeCell ref="O810:P810"/>
    <mergeCell ref="C811:P811"/>
    <mergeCell ref="O814:P814"/>
    <mergeCell ref="O816:P816"/>
    <mergeCell ref="O817:P817"/>
    <mergeCell ref="O749:P749"/>
    <mergeCell ref="A803:Q803"/>
    <mergeCell ref="A804:Q804"/>
    <mergeCell ref="C806:P806"/>
    <mergeCell ref="O807:P807"/>
    <mergeCell ref="O808:P808"/>
    <mergeCell ref="M763:N763"/>
    <mergeCell ref="M764:N764"/>
    <mergeCell ref="M765:N765"/>
    <mergeCell ref="M766:N766"/>
    <mergeCell ref="M767:N767"/>
    <mergeCell ref="M768:N768"/>
    <mergeCell ref="M769:N769"/>
    <mergeCell ref="M770:N770"/>
    <mergeCell ref="M771:N771"/>
    <mergeCell ref="M789:N789"/>
    <mergeCell ref="M790:N790"/>
    <mergeCell ref="M791:N791"/>
    <mergeCell ref="M792:N792"/>
    <mergeCell ref="M793:N793"/>
    <mergeCell ref="O841:P841"/>
    <mergeCell ref="O842:P842"/>
    <mergeCell ref="O843:P843"/>
    <mergeCell ref="O844:P844"/>
    <mergeCell ref="O845:P845"/>
    <mergeCell ref="O846:P846"/>
    <mergeCell ref="O834:P834"/>
    <mergeCell ref="O835:P835"/>
    <mergeCell ref="O837:P837"/>
    <mergeCell ref="O838:P838"/>
    <mergeCell ref="O839:P839"/>
    <mergeCell ref="O840:P840"/>
    <mergeCell ref="O825:P825"/>
    <mergeCell ref="O826:P826"/>
    <mergeCell ref="O828:P828"/>
    <mergeCell ref="O829:P829"/>
    <mergeCell ref="O830:P830"/>
    <mergeCell ref="O833:P833"/>
    <mergeCell ref="M783:N783"/>
    <mergeCell ref="M784:N784"/>
    <mergeCell ref="M785:N785"/>
    <mergeCell ref="M786:N786"/>
    <mergeCell ref="M787:N787"/>
    <mergeCell ref="M788:N788"/>
    <mergeCell ref="D757:N757"/>
    <mergeCell ref="D758:N758"/>
    <mergeCell ref="D760:N760"/>
    <mergeCell ref="D759:N759"/>
    <mergeCell ref="A754:Q754"/>
    <mergeCell ref="A755:Q755"/>
    <mergeCell ref="M772:N772"/>
    <mergeCell ref="M773:N773"/>
    <mergeCell ref="M774:N774"/>
    <mergeCell ref="M775:N775"/>
    <mergeCell ref="M776:N776"/>
    <mergeCell ref="M777:N777"/>
    <mergeCell ref="M778:N778"/>
    <mergeCell ref="M779:N779"/>
    <mergeCell ref="M780:N780"/>
    <mergeCell ref="M781:N781"/>
    <mergeCell ref="M782:N782"/>
  </mergeCells>
  <printOptions horizontalCentered="1"/>
  <pageMargins left="0.70866141732283472" right="1.1023622047244095" top="0.78740157480314965" bottom="0.78740157480314965" header="0.31496062992125984" footer="0.31496062992125984"/>
  <pageSetup paperSize="9" scale="99" orientation="portrait" r:id="rId1"/>
  <headerFooter>
    <oddHeader>&amp;L&amp;"Garamond,Normal"Universidad de San Andrés
Fundamentos de Contabilidad&amp;C&amp;"Garamond,Normal"&amp;12
  &amp;"-,Regular"&amp;11
&amp;R&amp;"Garamond,Negrita"Solución Adicionales&amp;"Garamond,Normal"
&amp;"Garamond,Cursiva"Unidad 12: Preparación de Estados Contables</oddHeader>
    <oddFooter xml:space="preserve">&amp;C&amp;"Garamond,Normal"
</oddFooter>
  </headerFooter>
  <rowBreaks count="2" manualBreakCount="2">
    <brk id="49" max="16383" man="1"/>
    <brk id="500" max="16383" man="1"/>
  </row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AM60"/>
  <sheetViews>
    <sheetView showGridLines="0" zoomScaleNormal="100" workbookViewId="0"/>
  </sheetViews>
  <sheetFormatPr baseColWidth="10" defaultColWidth="9.140625" defaultRowHeight="15" x14ac:dyDescent="0.25"/>
  <cols>
    <col min="1" max="1" width="2.28515625" style="475" customWidth="1"/>
    <col min="2" max="2" width="2.140625" style="475" customWidth="1"/>
    <col min="3" max="3" width="26.42578125" style="475" customWidth="1"/>
    <col min="4" max="4" width="7" style="475" bestFit="1" customWidth="1"/>
    <col min="5" max="5" width="10.42578125" style="1656" customWidth="1"/>
    <col min="6" max="6" width="1" style="1656" customWidth="1"/>
    <col min="7" max="7" width="8.42578125" style="1656" customWidth="1"/>
    <col min="8" max="8" width="1.7109375" style="1656" customWidth="1"/>
    <col min="9" max="9" width="2.140625" style="475" customWidth="1"/>
    <col min="10" max="10" width="26.42578125" style="475" customWidth="1"/>
    <col min="11" max="11" width="10.42578125" style="1656" customWidth="1"/>
    <col min="12" max="12" width="1" style="1656" customWidth="1"/>
    <col min="13" max="13" width="8.42578125" style="1656" customWidth="1"/>
    <col min="14" max="14" width="1.7109375" style="1656" customWidth="1"/>
    <col min="15" max="15" width="1.7109375" style="475" customWidth="1"/>
    <col min="16" max="16" width="2.140625" style="475" customWidth="1"/>
    <col min="17" max="17" width="2.7109375" style="475" customWidth="1"/>
    <col min="18" max="18" width="41.7109375" style="475" bestFit="1" customWidth="1"/>
    <col min="19" max="19" width="10.7109375" style="475" customWidth="1"/>
    <col min="20" max="20" width="1.42578125" style="475" customWidth="1"/>
    <col min="21" max="21" width="10.7109375" style="475" customWidth="1"/>
    <col min="22" max="22" width="3.42578125" style="475" customWidth="1"/>
    <col min="23" max="23" width="2" style="475" customWidth="1"/>
    <col min="24" max="24" width="2.7109375" style="475" customWidth="1"/>
    <col min="25" max="25" width="33.7109375" style="475" bestFit="1" customWidth="1"/>
    <col min="26" max="28" width="13.7109375" style="475" customWidth="1"/>
    <col min="29" max="29" width="2.28515625" style="475" customWidth="1"/>
    <col min="30" max="30" width="13.7109375" style="475" customWidth="1"/>
    <col min="31" max="31" width="2.7109375" style="475" customWidth="1"/>
    <col min="32" max="32" width="8.42578125" style="475" customWidth="1"/>
    <col min="33" max="34" width="2" style="475" customWidth="1"/>
    <col min="35" max="35" width="60" style="475" bestFit="1" customWidth="1"/>
    <col min="36" max="36" width="10.140625" style="1655" customWidth="1"/>
    <col min="37" max="37" width="2.42578125" style="475" customWidth="1"/>
    <col min="38" max="38" width="2.28515625" style="475" customWidth="1"/>
    <col min="39" max="16384" width="9.140625" style="475"/>
  </cols>
  <sheetData>
    <row r="2" spans="2:37" x14ac:dyDescent="0.25">
      <c r="B2" s="286"/>
      <c r="C2" s="286"/>
      <c r="D2" s="286"/>
      <c r="E2" s="1657"/>
      <c r="F2" s="1657"/>
      <c r="G2" s="1657"/>
      <c r="H2" s="1657"/>
      <c r="I2" s="286"/>
      <c r="J2" s="286"/>
      <c r="K2" s="1657"/>
      <c r="L2" s="1657"/>
      <c r="M2" s="1657"/>
      <c r="N2" s="1657"/>
      <c r="O2" s="286"/>
      <c r="P2" s="286"/>
      <c r="Q2" s="286"/>
      <c r="R2" s="286"/>
      <c r="S2" s="286"/>
      <c r="T2" s="286"/>
      <c r="U2" s="286"/>
      <c r="V2" s="286"/>
    </row>
    <row r="3" spans="2:37" s="845" customFormat="1" ht="15.75" x14ac:dyDescent="0.25">
      <c r="B3" s="309"/>
      <c r="C3" s="3216" t="s">
        <v>2360</v>
      </c>
      <c r="D3" s="3216"/>
      <c r="E3" s="3216"/>
      <c r="F3" s="3216"/>
      <c r="G3" s="3216"/>
      <c r="H3" s="3216"/>
      <c r="I3" s="3216"/>
      <c r="J3" s="3216"/>
      <c r="K3" s="3216"/>
      <c r="L3" s="3216"/>
      <c r="M3" s="3216"/>
      <c r="N3" s="3216"/>
      <c r="O3" s="1757"/>
      <c r="P3" s="309"/>
      <c r="Q3" s="309"/>
      <c r="R3" s="3216" t="s">
        <v>2360</v>
      </c>
      <c r="S3" s="3216"/>
      <c r="T3" s="3216"/>
      <c r="U3" s="3216"/>
      <c r="V3" s="309"/>
      <c r="X3" s="736"/>
      <c r="Y3" s="3218" t="s">
        <v>2360</v>
      </c>
      <c r="Z3" s="3218"/>
      <c r="AA3" s="3218"/>
      <c r="AB3" s="3218"/>
      <c r="AC3" s="3218"/>
      <c r="AD3" s="3218"/>
      <c r="AE3" s="736"/>
      <c r="AI3" s="2409" t="s">
        <v>2360</v>
      </c>
      <c r="AJ3" s="2409"/>
    </row>
    <row r="4" spans="2:37" x14ac:dyDescent="0.25">
      <c r="B4" s="286"/>
      <c r="C4" s="3214"/>
      <c r="D4" s="3214"/>
      <c r="E4" s="3214"/>
      <c r="F4" s="3214"/>
      <c r="G4" s="3214"/>
      <c r="H4" s="3214"/>
      <c r="I4" s="3214"/>
      <c r="J4" s="3214"/>
      <c r="K4" s="3214"/>
      <c r="L4" s="3214"/>
      <c r="M4" s="3214"/>
      <c r="N4" s="3214"/>
      <c r="O4" s="1756"/>
      <c r="P4" s="286"/>
      <c r="Q4" s="286"/>
      <c r="R4" s="286"/>
      <c r="S4" s="286"/>
      <c r="T4" s="286"/>
      <c r="U4" s="286"/>
      <c r="V4" s="286"/>
    </row>
    <row r="5" spans="2:37" x14ac:dyDescent="0.25">
      <c r="B5" s="286"/>
      <c r="C5" s="3214" t="s">
        <v>422</v>
      </c>
      <c r="D5" s="3214"/>
      <c r="E5" s="3214"/>
      <c r="F5" s="3214"/>
      <c r="G5" s="3214"/>
      <c r="H5" s="3214"/>
      <c r="I5" s="3214"/>
      <c r="J5" s="3214"/>
      <c r="K5" s="3214"/>
      <c r="L5" s="3214"/>
      <c r="M5" s="3214"/>
      <c r="N5" s="3214"/>
      <c r="O5" s="1756"/>
      <c r="P5" s="286"/>
      <c r="Q5" s="286"/>
      <c r="R5" s="3214" t="s">
        <v>413</v>
      </c>
      <c r="S5" s="3214"/>
      <c r="T5" s="3214"/>
      <c r="U5" s="3214"/>
      <c r="V5" s="286"/>
      <c r="Y5" s="3217" t="s">
        <v>495</v>
      </c>
      <c r="Z5" s="3217"/>
      <c r="AA5" s="3217"/>
      <c r="AB5" s="3217"/>
      <c r="AC5" s="3217"/>
      <c r="AD5" s="3217"/>
      <c r="AI5" s="3213" t="s">
        <v>2297</v>
      </c>
      <c r="AJ5" s="3213"/>
    </row>
    <row r="6" spans="2:37" x14ac:dyDescent="0.25">
      <c r="B6" s="286"/>
      <c r="C6" s="3214" t="s">
        <v>1293</v>
      </c>
      <c r="D6" s="3214"/>
      <c r="E6" s="3214"/>
      <c r="F6" s="3214"/>
      <c r="G6" s="3214"/>
      <c r="H6" s="3214"/>
      <c r="I6" s="3214"/>
      <c r="J6" s="3214"/>
      <c r="K6" s="3214"/>
      <c r="L6" s="3214"/>
      <c r="M6" s="3214"/>
      <c r="N6" s="3214"/>
      <c r="O6" s="1756"/>
      <c r="P6" s="286"/>
      <c r="Q6" s="286"/>
      <c r="R6" s="3214" t="s">
        <v>2356</v>
      </c>
      <c r="S6" s="3214"/>
      <c r="T6" s="3214"/>
      <c r="U6" s="3214"/>
      <c r="V6" s="286"/>
      <c r="Y6" s="3217" t="str">
        <f>+R6</f>
        <v>por el ejercicio finalizado al 31/12/X2</v>
      </c>
      <c r="Z6" s="3217"/>
      <c r="AA6" s="3217"/>
      <c r="AB6" s="3217"/>
      <c r="AC6" s="3217"/>
      <c r="AD6" s="3217"/>
      <c r="AI6" s="3213" t="s">
        <v>2356</v>
      </c>
      <c r="AJ6" s="3213"/>
    </row>
    <row r="7" spans="2:37" x14ac:dyDescent="0.25">
      <c r="B7" s="286"/>
      <c r="C7" s="3219" t="s">
        <v>497</v>
      </c>
      <c r="D7" s="3219"/>
      <c r="E7" s="3219"/>
      <c r="F7" s="3219"/>
      <c r="G7" s="3219"/>
      <c r="H7" s="3219"/>
      <c r="I7" s="3219"/>
      <c r="J7" s="3219"/>
      <c r="K7" s="3219"/>
      <c r="L7" s="3219"/>
      <c r="M7" s="3219"/>
      <c r="N7" s="3219"/>
      <c r="O7" s="1756"/>
      <c r="P7" s="286"/>
      <c r="Q7" s="286"/>
      <c r="R7" s="3214" t="s">
        <v>497</v>
      </c>
      <c r="S7" s="3214"/>
      <c r="T7" s="3214"/>
      <c r="U7" s="3214"/>
      <c r="V7" s="286"/>
      <c r="Y7" s="3217" t="s">
        <v>497</v>
      </c>
      <c r="Z7" s="3217"/>
      <c r="AA7" s="3217"/>
      <c r="AB7" s="3217"/>
      <c r="AC7" s="3217"/>
      <c r="AD7" s="3217"/>
      <c r="AI7" s="3213" t="s">
        <v>497</v>
      </c>
      <c r="AJ7" s="3213"/>
    </row>
    <row r="8" spans="2:37" ht="18" x14ac:dyDescent="0.4">
      <c r="B8" s="1750"/>
      <c r="C8" s="1755" t="s">
        <v>431</v>
      </c>
      <c r="D8" s="305"/>
      <c r="E8" s="1752" t="s">
        <v>1295</v>
      </c>
      <c r="F8" s="1752"/>
      <c r="G8" s="1752" t="s">
        <v>1296</v>
      </c>
      <c r="H8" s="1754"/>
      <c r="I8" s="1753"/>
      <c r="J8" s="305" t="s">
        <v>432</v>
      </c>
      <c r="K8" s="1752" t="s">
        <v>1295</v>
      </c>
      <c r="L8" s="1752"/>
      <c r="M8" s="1752" t="s">
        <v>1296</v>
      </c>
      <c r="N8" s="1748"/>
      <c r="P8" s="286"/>
      <c r="Q8" s="1750"/>
      <c r="R8" s="491"/>
      <c r="S8" s="1751" t="s">
        <v>1295</v>
      </c>
      <c r="T8" s="1751"/>
      <c r="U8" s="1751" t="s">
        <v>1296</v>
      </c>
      <c r="V8" s="1748"/>
      <c r="X8" s="1750"/>
      <c r="Y8" s="491"/>
      <c r="Z8" s="491"/>
      <c r="AA8" s="491"/>
      <c r="AB8" s="491"/>
      <c r="AC8" s="491"/>
      <c r="AD8" s="491"/>
      <c r="AE8" s="1748"/>
      <c r="AH8" s="1750"/>
      <c r="AI8" s="491"/>
      <c r="AJ8" s="1749"/>
      <c r="AK8" s="1748"/>
    </row>
    <row r="9" spans="2:37" x14ac:dyDescent="0.25">
      <c r="B9" s="1668"/>
      <c r="C9" s="1721" t="s">
        <v>2048</v>
      </c>
      <c r="D9" s="1721"/>
      <c r="E9" s="1657"/>
      <c r="F9" s="1657"/>
      <c r="G9" s="1657"/>
      <c r="H9" s="1714"/>
      <c r="I9" s="1668"/>
      <c r="J9" s="1721" t="s">
        <v>2025</v>
      </c>
      <c r="K9" s="1657"/>
      <c r="L9" s="1657"/>
      <c r="M9" s="1657"/>
      <c r="N9" s="1665"/>
      <c r="P9" s="286"/>
      <c r="Q9" s="1668"/>
      <c r="R9" s="286" t="s">
        <v>2408</v>
      </c>
      <c r="S9" s="1725">
        <v>220300</v>
      </c>
      <c r="T9" s="1725"/>
      <c r="U9" s="1725">
        <v>153900</v>
      </c>
      <c r="V9" s="1665"/>
      <c r="X9" s="1668"/>
      <c r="Y9" s="1744"/>
      <c r="Z9" s="1747" t="s">
        <v>512</v>
      </c>
      <c r="AA9" s="3215" t="s">
        <v>7</v>
      </c>
      <c r="AB9" s="3215"/>
      <c r="AC9" s="1746"/>
      <c r="AD9" s="3215" t="s">
        <v>501</v>
      </c>
      <c r="AE9" s="1665"/>
      <c r="AH9" s="1668"/>
      <c r="AI9" s="1679" t="s">
        <v>2302</v>
      </c>
      <c r="AJ9" s="1669"/>
      <c r="AK9" s="1665"/>
    </row>
    <row r="10" spans="2:37" x14ac:dyDescent="0.25">
      <c r="B10" s="1668"/>
      <c r="C10" s="1724" t="s">
        <v>397</v>
      </c>
      <c r="D10" s="1723"/>
      <c r="E10" s="1657">
        <v>71130</v>
      </c>
      <c r="F10" s="1657"/>
      <c r="G10" s="1657">
        <v>47380</v>
      </c>
      <c r="H10" s="1726"/>
      <c r="I10" s="1668"/>
      <c r="J10" s="1724" t="s">
        <v>404</v>
      </c>
      <c r="K10" s="1657">
        <v>16000</v>
      </c>
      <c r="L10" s="1657"/>
      <c r="M10" s="1657">
        <v>18500</v>
      </c>
      <c r="N10" s="1665"/>
      <c r="P10" s="286"/>
      <c r="Q10" s="1668"/>
      <c r="R10" s="286" t="s">
        <v>400</v>
      </c>
      <c r="S10" s="1725">
        <v>-52500</v>
      </c>
      <c r="T10" s="1725"/>
      <c r="U10" s="1725">
        <v>-46170</v>
      </c>
      <c r="V10" s="1665"/>
      <c r="X10" s="1668"/>
      <c r="Y10" s="1744"/>
      <c r="Z10" s="1745" t="s">
        <v>506</v>
      </c>
      <c r="AA10" s="1745" t="s">
        <v>1308</v>
      </c>
      <c r="AB10" s="1745" t="s">
        <v>505</v>
      </c>
      <c r="AC10" s="1744"/>
      <c r="AD10" s="3215"/>
      <c r="AE10" s="1665"/>
      <c r="AH10" s="1668"/>
      <c r="AI10" s="286" t="s">
        <v>2305</v>
      </c>
      <c r="AJ10" s="1669">
        <f>+G10+G27</f>
        <v>54000</v>
      </c>
      <c r="AK10" s="1665"/>
    </row>
    <row r="11" spans="2:37" x14ac:dyDescent="0.25">
      <c r="B11" s="1668"/>
      <c r="C11" s="1724" t="s">
        <v>1085</v>
      </c>
      <c r="D11" s="1743" t="s">
        <v>2407</v>
      </c>
      <c r="E11" s="1657">
        <f>+E29</f>
        <v>11870</v>
      </c>
      <c r="F11" s="1657"/>
      <c r="G11" s="1657">
        <f>+G29</f>
        <v>7420</v>
      </c>
      <c r="H11" s="1714"/>
      <c r="I11" s="1668"/>
      <c r="J11" s="1724" t="s">
        <v>399</v>
      </c>
      <c r="K11" s="1657">
        <v>10500</v>
      </c>
      <c r="L11" s="1657"/>
      <c r="M11" s="1657">
        <v>7400</v>
      </c>
      <c r="N11" s="1714"/>
      <c r="P11" s="286"/>
      <c r="Q11" s="1668"/>
      <c r="R11" s="1667" t="s">
        <v>414</v>
      </c>
      <c r="S11" s="1717">
        <f>SUM(S9:S10)</f>
        <v>167800</v>
      </c>
      <c r="T11" s="1718"/>
      <c r="U11" s="1717">
        <f>SUM(U9:U10)</f>
        <v>107730</v>
      </c>
      <c r="V11" s="1665"/>
      <c r="X11" s="1668"/>
      <c r="Y11" s="1730" t="s">
        <v>2406</v>
      </c>
      <c r="Z11" s="1742">
        <v>100000</v>
      </c>
      <c r="AA11" s="1728">
        <v>70000</v>
      </c>
      <c r="AB11" s="1741">
        <v>150000</v>
      </c>
      <c r="AC11" s="1741"/>
      <c r="AD11" s="1728">
        <f t="shared" ref="AD11:AD16" si="0">SUM(Z11:AB11)</f>
        <v>320000</v>
      </c>
      <c r="AE11" s="1665"/>
      <c r="AH11" s="1668"/>
      <c r="AI11" s="286" t="s">
        <v>2303</v>
      </c>
      <c r="AJ11" s="1669">
        <f>+E10+E27</f>
        <v>78000</v>
      </c>
      <c r="AK11" s="1665"/>
    </row>
    <row r="12" spans="2:37" x14ac:dyDescent="0.25">
      <c r="B12" s="1668"/>
      <c r="C12" s="1724" t="s">
        <v>403</v>
      </c>
      <c r="D12" s="1723"/>
      <c r="E12" s="1657">
        <v>9700</v>
      </c>
      <c r="F12" s="1657"/>
      <c r="G12" s="1657">
        <v>12100</v>
      </c>
      <c r="H12" s="1726"/>
      <c r="I12" s="1668"/>
      <c r="J12" s="1721" t="s">
        <v>425</v>
      </c>
      <c r="K12" s="1720">
        <f>SUM(K10:K11)</f>
        <v>26500</v>
      </c>
      <c r="L12" s="1713"/>
      <c r="M12" s="1720">
        <f>SUM(M10:M11)</f>
        <v>25900</v>
      </c>
      <c r="N12" s="1665"/>
      <c r="P12" s="286"/>
      <c r="Q12" s="1668"/>
      <c r="R12" s="286"/>
      <c r="S12" s="1725"/>
      <c r="T12" s="1725"/>
      <c r="U12" s="1725"/>
      <c r="V12" s="1665"/>
      <c r="X12" s="1668"/>
      <c r="Y12" s="1740" t="s">
        <v>2405</v>
      </c>
      <c r="Z12" s="1737">
        <v>30000</v>
      </c>
      <c r="AA12" s="1733">
        <v>0</v>
      </c>
      <c r="AB12" s="1739">
        <v>0</v>
      </c>
      <c r="AC12" s="1739"/>
      <c r="AD12" s="1733">
        <f t="shared" si="0"/>
        <v>30000</v>
      </c>
      <c r="AE12" s="1665"/>
      <c r="AH12" s="1668"/>
      <c r="AI12" s="286" t="str">
        <f>+AI20</f>
        <v>Diferencia de cambio, generada por efectivo en moneda extranjera</v>
      </c>
      <c r="AJ12" s="1669">
        <f>-AJ20</f>
        <v>2000</v>
      </c>
      <c r="AK12" s="1665"/>
    </row>
    <row r="13" spans="2:37" ht="15.75" thickBot="1" x14ac:dyDescent="0.3">
      <c r="B13" s="1668"/>
      <c r="C13" s="1724" t="s">
        <v>423</v>
      </c>
      <c r="D13" s="1723"/>
      <c r="E13" s="1657">
        <v>69300</v>
      </c>
      <c r="F13" s="1657"/>
      <c r="G13" s="1657">
        <v>53300</v>
      </c>
      <c r="H13" s="1726"/>
      <c r="I13" s="1668"/>
      <c r="J13" s="286"/>
      <c r="K13" s="1657"/>
      <c r="L13" s="1657"/>
      <c r="M13" s="1657"/>
      <c r="N13" s="1665"/>
      <c r="P13" s="286"/>
      <c r="Q13" s="1668"/>
      <c r="R13" s="286" t="s">
        <v>2404</v>
      </c>
      <c r="S13" s="1725">
        <f>-Z29</f>
        <v>-53930</v>
      </c>
      <c r="T13" s="1725"/>
      <c r="U13" s="1725">
        <v>-43580</v>
      </c>
      <c r="V13" s="1665"/>
      <c r="X13" s="1668"/>
      <c r="Y13" s="1738" t="s">
        <v>2403</v>
      </c>
      <c r="Z13" s="1737">
        <f>-AB13</f>
        <v>35000</v>
      </c>
      <c r="AA13" s="1736">
        <v>0</v>
      </c>
      <c r="AB13" s="1735">
        <v>-35000</v>
      </c>
      <c r="AC13" s="1735"/>
      <c r="AD13" s="1733">
        <f t="shared" si="0"/>
        <v>0</v>
      </c>
      <c r="AE13" s="1734"/>
      <c r="AH13" s="1668"/>
      <c r="AI13" s="1667" t="s">
        <v>1231</v>
      </c>
      <c r="AJ13" s="1664">
        <f>+AJ11-(AJ10+AJ12)</f>
        <v>22000</v>
      </c>
      <c r="AK13" s="1665"/>
    </row>
    <row r="14" spans="2:37" ht="15.75" thickTop="1" x14ac:dyDescent="0.25">
      <c r="B14" s="1668"/>
      <c r="C14" s="1721" t="s">
        <v>424</v>
      </c>
      <c r="D14" s="1721"/>
      <c r="E14" s="1720">
        <f>SUM(E10:E13)</f>
        <v>162000</v>
      </c>
      <c r="F14" s="1713"/>
      <c r="G14" s="1720">
        <f>SUM(G10:G13)</f>
        <v>120200</v>
      </c>
      <c r="H14" s="1726"/>
      <c r="I14" s="1668"/>
      <c r="J14" s="1721" t="s">
        <v>2312</v>
      </c>
      <c r="K14" s="1657"/>
      <c r="L14" s="1657"/>
      <c r="M14" s="1657"/>
      <c r="N14" s="1665"/>
      <c r="P14" s="286"/>
      <c r="Q14" s="1668"/>
      <c r="R14" s="286" t="s">
        <v>2402</v>
      </c>
      <c r="S14" s="1725">
        <f>-AA29</f>
        <v>-36900</v>
      </c>
      <c r="T14" s="1725"/>
      <c r="U14" s="1725">
        <v>-20600</v>
      </c>
      <c r="V14" s="1665"/>
      <c r="X14" s="1668"/>
      <c r="Y14" s="286" t="s">
        <v>2401</v>
      </c>
      <c r="Z14" s="1669">
        <v>0</v>
      </c>
      <c r="AA14" s="1669">
        <v>0</v>
      </c>
      <c r="AB14" s="1669">
        <v>-5000</v>
      </c>
      <c r="AC14" s="1669"/>
      <c r="AD14" s="1733">
        <f t="shared" si="0"/>
        <v>-5000</v>
      </c>
      <c r="AE14" s="1665"/>
      <c r="AH14" s="1668"/>
      <c r="AI14" s="286"/>
      <c r="AJ14" s="1669"/>
      <c r="AK14" s="1665"/>
    </row>
    <row r="15" spans="2:37" x14ac:dyDescent="0.25">
      <c r="B15" s="1668"/>
      <c r="C15" s="503"/>
      <c r="D15" s="286"/>
      <c r="E15" s="1657"/>
      <c r="F15" s="1657"/>
      <c r="G15" s="1657"/>
      <c r="H15" s="1726"/>
      <c r="I15" s="1668"/>
      <c r="J15" s="1724" t="s">
        <v>2314</v>
      </c>
      <c r="K15" s="1657">
        <f>+E22-K12-K20</f>
        <v>10490</v>
      </c>
      <c r="L15" s="1657"/>
      <c r="M15" s="1657">
        <f>+G22-M12-M20</f>
        <v>12600</v>
      </c>
      <c r="N15" s="1665"/>
      <c r="P15" s="286"/>
      <c r="Q15" s="1668"/>
      <c r="R15" s="286" t="s">
        <v>2400</v>
      </c>
      <c r="S15" s="1725">
        <f>95000-80000</f>
        <v>15000</v>
      </c>
      <c r="T15" s="1725"/>
      <c r="U15" s="1725">
        <v>0</v>
      </c>
      <c r="V15" s="1665"/>
      <c r="X15" s="1668"/>
      <c r="Y15" s="286" t="s">
        <v>2399</v>
      </c>
      <c r="Z15" s="1669">
        <v>0</v>
      </c>
      <c r="AA15" s="1669">
        <v>0</v>
      </c>
      <c r="AB15" s="1669">
        <f>+S23</f>
        <v>59410</v>
      </c>
      <c r="AC15" s="1669"/>
      <c r="AD15" s="1732">
        <f t="shared" si="0"/>
        <v>59410</v>
      </c>
      <c r="AE15" s="1665"/>
      <c r="AH15" s="1668"/>
      <c r="AI15" s="1679" t="s">
        <v>2310</v>
      </c>
      <c r="AJ15" s="1669"/>
      <c r="AK15" s="1665"/>
    </row>
    <row r="16" spans="2:37" ht="15.75" thickBot="1" x14ac:dyDescent="0.3">
      <c r="B16" s="1668"/>
      <c r="C16" s="1721" t="s">
        <v>2313</v>
      </c>
      <c r="D16" s="1721"/>
      <c r="E16" s="286"/>
      <c r="F16" s="286"/>
      <c r="G16" s="286"/>
      <c r="H16" s="1731"/>
      <c r="I16" s="1668"/>
      <c r="J16" s="1721" t="s">
        <v>2316</v>
      </c>
      <c r="K16" s="1720">
        <f>+K15</f>
        <v>10490</v>
      </c>
      <c r="L16" s="1713"/>
      <c r="M16" s="1720">
        <f>+M15</f>
        <v>12600</v>
      </c>
      <c r="N16" s="1665"/>
      <c r="P16" s="286"/>
      <c r="Q16" s="1668"/>
      <c r="R16" s="1667" t="s">
        <v>418</v>
      </c>
      <c r="S16" s="1717">
        <f>SUM(S11:S15)</f>
        <v>91970</v>
      </c>
      <c r="T16" s="1718"/>
      <c r="U16" s="1717">
        <f>SUM(U11:U15)</f>
        <v>43550</v>
      </c>
      <c r="V16" s="1665"/>
      <c r="X16" s="1668"/>
      <c r="Y16" s="1730" t="s">
        <v>2398</v>
      </c>
      <c r="Z16" s="1727">
        <f>SUM(Z11:Z15)</f>
        <v>165000</v>
      </c>
      <c r="AA16" s="1729">
        <f>SUM(AA11:AA15)</f>
        <v>70000</v>
      </c>
      <c r="AB16" s="1727">
        <f>SUM(AB11:AB15)</f>
        <v>169410</v>
      </c>
      <c r="AC16" s="1728"/>
      <c r="AD16" s="1727">
        <f t="shared" si="0"/>
        <v>404410</v>
      </c>
      <c r="AE16" s="1665"/>
      <c r="AH16" s="1668"/>
      <c r="AI16" s="286" t="s">
        <v>486</v>
      </c>
      <c r="AJ16" s="1669">
        <f>+S23</f>
        <v>59410</v>
      </c>
      <c r="AK16" s="1665"/>
    </row>
    <row r="17" spans="2:37" ht="16.5" thickTop="1" thickBot="1" x14ac:dyDescent="0.3">
      <c r="B17" s="1668"/>
      <c r="C17" s="1724" t="s">
        <v>53</v>
      </c>
      <c r="D17" s="467" t="s">
        <v>2397</v>
      </c>
      <c r="E17" s="1657">
        <f>+E36</f>
        <v>219400</v>
      </c>
      <c r="F17" s="1657"/>
      <c r="G17" s="1657">
        <v>201600</v>
      </c>
      <c r="H17" s="1726"/>
      <c r="I17" s="1668"/>
      <c r="J17" s="1667" t="s">
        <v>450</v>
      </c>
      <c r="K17" s="1719">
        <f>+K16+K12</f>
        <v>36990</v>
      </c>
      <c r="L17" s="286"/>
      <c r="M17" s="1719">
        <f>+M16+M12</f>
        <v>38500</v>
      </c>
      <c r="N17" s="1665"/>
      <c r="P17" s="286"/>
      <c r="Q17" s="1668"/>
      <c r="R17" s="286"/>
      <c r="S17" s="1725"/>
      <c r="T17" s="1725"/>
      <c r="U17" s="1725"/>
      <c r="V17" s="1665"/>
      <c r="X17" s="1660"/>
      <c r="Y17" s="495"/>
      <c r="Z17" s="495"/>
      <c r="AA17" s="495"/>
      <c r="AB17" s="495"/>
      <c r="AC17" s="495"/>
      <c r="AD17" s="495"/>
      <c r="AE17" s="1658"/>
      <c r="AH17" s="1668"/>
      <c r="AI17" s="286" t="s">
        <v>2396</v>
      </c>
      <c r="AJ17" s="1669"/>
      <c r="AK17" s="1665"/>
    </row>
    <row r="18" spans="2:37" ht="15.75" thickTop="1" x14ac:dyDescent="0.25">
      <c r="B18" s="1668"/>
      <c r="C18" s="1724" t="s">
        <v>794</v>
      </c>
      <c r="D18" s="1723"/>
      <c r="E18" s="1657">
        <v>45000</v>
      </c>
      <c r="F18" s="286"/>
      <c r="G18" s="1657">
        <v>24300</v>
      </c>
      <c r="H18" s="1726"/>
      <c r="I18" s="1668"/>
      <c r="J18" s="286"/>
      <c r="K18" s="286"/>
      <c r="L18" s="286"/>
      <c r="M18" s="286"/>
      <c r="N18" s="1665"/>
      <c r="P18" s="286"/>
      <c r="Q18" s="1668"/>
      <c r="R18" s="1672" t="s">
        <v>2395</v>
      </c>
      <c r="S18" s="1686">
        <f>+E44</f>
        <v>-8170</v>
      </c>
      <c r="T18" s="1725"/>
      <c r="U18" s="1686">
        <v>-7690</v>
      </c>
      <c r="V18" s="1665"/>
      <c r="AH18" s="1668"/>
      <c r="AI18" s="1676" t="str">
        <f>+Y25</f>
        <v>Depreciaciones de bienes de uso</v>
      </c>
      <c r="AJ18" s="1669">
        <f>+AB25</f>
        <v>20200</v>
      </c>
      <c r="AK18" s="1665"/>
    </row>
    <row r="19" spans="2:37" ht="15.75" x14ac:dyDescent="0.25">
      <c r="B19" s="1668"/>
      <c r="C19" s="1724" t="s">
        <v>681</v>
      </c>
      <c r="D19" s="1723"/>
      <c r="E19" s="1657">
        <v>15000</v>
      </c>
      <c r="F19" s="1657"/>
      <c r="G19" s="1657">
        <v>12400</v>
      </c>
      <c r="H19" s="1714"/>
      <c r="I19" s="1668"/>
      <c r="J19" s="1722" t="s">
        <v>396</v>
      </c>
      <c r="K19" s="1657"/>
      <c r="L19" s="1657"/>
      <c r="M19" s="1657"/>
      <c r="N19" s="1665"/>
      <c r="P19" s="286"/>
      <c r="Q19" s="1668"/>
      <c r="R19" s="286" t="s">
        <v>2394</v>
      </c>
      <c r="S19" s="1669">
        <f>+E49</f>
        <v>7600</v>
      </c>
      <c r="T19" s="286"/>
      <c r="U19" s="1669">
        <v>140</v>
      </c>
      <c r="V19" s="1665"/>
      <c r="AH19" s="1668"/>
      <c r="AI19" s="1676" t="str">
        <f>+C34</f>
        <v>Valor residual terreno vendido</v>
      </c>
      <c r="AJ19" s="1669">
        <f>-E34</f>
        <v>80000</v>
      </c>
      <c r="AK19" s="1665"/>
    </row>
    <row r="20" spans="2:37" ht="15.75" thickBot="1" x14ac:dyDescent="0.3">
      <c r="B20" s="1668"/>
      <c r="C20" s="1721" t="s">
        <v>426</v>
      </c>
      <c r="D20" s="1721"/>
      <c r="E20" s="1720">
        <f>SUM(E17:E19)</f>
        <v>279400</v>
      </c>
      <c r="F20" s="1713"/>
      <c r="G20" s="1720">
        <f>SUM(G17:G19)</f>
        <v>238300</v>
      </c>
      <c r="H20" s="1714"/>
      <c r="I20" s="1668"/>
      <c r="J20" s="1676" t="s">
        <v>2393</v>
      </c>
      <c r="K20" s="1719">
        <f>+AD16</f>
        <v>404410</v>
      </c>
      <c r="L20" s="286"/>
      <c r="M20" s="1719">
        <f>+AD11</f>
        <v>320000</v>
      </c>
      <c r="N20" s="1665"/>
      <c r="Q20" s="1668"/>
      <c r="R20" s="1667" t="s">
        <v>2392</v>
      </c>
      <c r="S20" s="1717">
        <f>SUM(S16:S19)</f>
        <v>91400</v>
      </c>
      <c r="T20" s="1718"/>
      <c r="U20" s="1717">
        <f>SUM(U16:U19)</f>
        <v>36000</v>
      </c>
      <c r="V20" s="1665"/>
      <c r="Y20" s="452" t="s">
        <v>2391</v>
      </c>
      <c r="AH20" s="1668"/>
      <c r="AI20" s="1676" t="str">
        <f>+C43</f>
        <v>Diferencia de cambio, generada por efectivo en moneda extranjera</v>
      </c>
      <c r="AJ20" s="1669">
        <f>-E43</f>
        <v>-2000</v>
      </c>
      <c r="AK20" s="1665"/>
    </row>
    <row r="21" spans="2:37" ht="18" thickTop="1" x14ac:dyDescent="0.4">
      <c r="B21" s="1668"/>
      <c r="C21" s="503"/>
      <c r="D21" s="286"/>
      <c r="E21" s="1657"/>
      <c r="F21" s="1657"/>
      <c r="G21" s="1657"/>
      <c r="H21" s="1714"/>
      <c r="I21" s="1668"/>
      <c r="J21" s="286"/>
      <c r="K21" s="1657"/>
      <c r="L21" s="1657"/>
      <c r="M21" s="1657"/>
      <c r="N21" s="1714"/>
      <c r="Q21" s="1668"/>
      <c r="R21" s="286"/>
      <c r="S21" s="286"/>
      <c r="T21" s="286"/>
      <c r="U21" s="286"/>
      <c r="V21" s="1665"/>
      <c r="Z21" s="3222" t="s">
        <v>1295</v>
      </c>
      <c r="AA21" s="3222"/>
      <c r="AB21" s="3222"/>
      <c r="AC21" s="1716"/>
      <c r="AD21" s="1715"/>
      <c r="AH21" s="1668"/>
      <c r="AI21" s="1676" t="str">
        <f>+C47</f>
        <v>Resultados por participaciones en subsidiarias</v>
      </c>
      <c r="AJ21" s="1669">
        <f>-E47</f>
        <v>-2600</v>
      </c>
      <c r="AK21" s="1665"/>
    </row>
    <row r="22" spans="2:37" ht="15.75" thickBot="1" x14ac:dyDescent="0.3">
      <c r="B22" s="1668"/>
      <c r="C22" s="1675" t="s">
        <v>427</v>
      </c>
      <c r="D22" s="1667"/>
      <c r="E22" s="1712">
        <f>+E14+E20</f>
        <v>441400</v>
      </c>
      <c r="F22" s="1713"/>
      <c r="G22" s="1712">
        <f>+G14+G20</f>
        <v>358500</v>
      </c>
      <c r="H22" s="1714"/>
      <c r="I22" s="1668"/>
      <c r="J22" s="1667" t="s">
        <v>2325</v>
      </c>
      <c r="K22" s="1712">
        <f>+K20+K17</f>
        <v>441400</v>
      </c>
      <c r="L22" s="1713"/>
      <c r="M22" s="1712">
        <f>+M20+M17</f>
        <v>358500</v>
      </c>
      <c r="N22" s="1665"/>
      <c r="Q22" s="1668"/>
      <c r="R22" s="286" t="s">
        <v>1329</v>
      </c>
      <c r="S22" s="1669">
        <f>+S20*0.35</f>
        <v>31989.999999999996</v>
      </c>
      <c r="T22" s="286"/>
      <c r="U22" s="1669">
        <f>+U20*0.35</f>
        <v>12600</v>
      </c>
      <c r="V22" s="1665"/>
      <c r="Z22" s="1711" t="s">
        <v>365</v>
      </c>
      <c r="AA22" s="1711" t="s">
        <v>366</v>
      </c>
      <c r="AB22" s="1711" t="s">
        <v>410</v>
      </c>
      <c r="AC22" s="467"/>
      <c r="AD22" s="467"/>
      <c r="AH22" s="1668"/>
      <c r="AI22" s="286" t="s">
        <v>2390</v>
      </c>
      <c r="AJ22" s="1669"/>
      <c r="AK22" s="1665"/>
    </row>
    <row r="23" spans="2:37" ht="15.75" thickTop="1" x14ac:dyDescent="0.25">
      <c r="B23" s="1660"/>
      <c r="C23" s="495"/>
      <c r="D23" s="495"/>
      <c r="E23" s="1710"/>
      <c r="F23" s="1710"/>
      <c r="G23" s="1710"/>
      <c r="H23" s="1709"/>
      <c r="I23" s="1660"/>
      <c r="J23" s="495"/>
      <c r="K23" s="1710"/>
      <c r="L23" s="1710"/>
      <c r="M23" s="1710"/>
      <c r="N23" s="1709"/>
      <c r="Q23" s="1660"/>
      <c r="R23" s="1708" t="s">
        <v>421</v>
      </c>
      <c r="S23" s="1706">
        <f>+S20-S22</f>
        <v>59410</v>
      </c>
      <c r="T23" s="1707"/>
      <c r="U23" s="1706">
        <f>+U20-U22</f>
        <v>23400</v>
      </c>
      <c r="V23" s="1658"/>
      <c r="Y23" s="286" t="s">
        <v>2389</v>
      </c>
      <c r="Z23" s="1669">
        <v>18700</v>
      </c>
      <c r="AA23" s="1669">
        <v>16730</v>
      </c>
      <c r="AB23" s="1663">
        <f t="shared" ref="AB23:AB28" si="1">SUM(Z23:AA23)</f>
        <v>35430</v>
      </c>
      <c r="AH23" s="1668"/>
      <c r="AI23" s="1676" t="s">
        <v>2321</v>
      </c>
      <c r="AJ23" s="1669">
        <f>+G12-E12</f>
        <v>2400</v>
      </c>
      <c r="AK23" s="1665"/>
    </row>
    <row r="24" spans="2:37" x14ac:dyDescent="0.25">
      <c r="Y24" s="286" t="s">
        <v>1081</v>
      </c>
      <c r="Z24" s="1669">
        <v>22430</v>
      </c>
      <c r="AA24" s="1669">
        <v>0</v>
      </c>
      <c r="AB24" s="1663">
        <f t="shared" si="1"/>
        <v>22430</v>
      </c>
      <c r="AH24" s="1668"/>
      <c r="AI24" s="1676" t="s">
        <v>2324</v>
      </c>
      <c r="AJ24" s="1669">
        <f>+G13-E13</f>
        <v>-16000</v>
      </c>
      <c r="AK24" s="1665"/>
    </row>
    <row r="25" spans="2:37" x14ac:dyDescent="0.25">
      <c r="C25" s="736" t="s">
        <v>2388</v>
      </c>
      <c r="H25" s="1690"/>
      <c r="J25" s="736"/>
      <c r="N25" s="1690"/>
      <c r="R25" s="1705"/>
      <c r="S25" s="1691"/>
      <c r="T25" s="1657"/>
      <c r="U25" s="1657"/>
      <c r="Y25" s="286" t="s">
        <v>2387</v>
      </c>
      <c r="Z25" s="1669">
        <v>12700</v>
      </c>
      <c r="AA25" s="1669">
        <v>7500</v>
      </c>
      <c r="AB25" s="1663">
        <f t="shared" si="1"/>
        <v>20200</v>
      </c>
      <c r="AH25" s="1668"/>
      <c r="AI25" s="1676" t="s">
        <v>2327</v>
      </c>
      <c r="AJ25" s="1669">
        <f>+K10-M10</f>
        <v>-2500</v>
      </c>
      <c r="AK25" s="1665"/>
    </row>
    <row r="26" spans="2:37" x14ac:dyDescent="0.25">
      <c r="C26" s="1704"/>
      <c r="D26" s="1704"/>
      <c r="E26" s="1703" t="s">
        <v>1295</v>
      </c>
      <c r="F26" s="1703"/>
      <c r="G26" s="1703" t="s">
        <v>1296</v>
      </c>
      <c r="H26" s="1690"/>
      <c r="I26" s="286"/>
      <c r="J26" s="1702"/>
      <c r="K26" s="1701"/>
      <c r="L26" s="1701"/>
      <c r="M26" s="1701"/>
      <c r="N26" s="1690"/>
      <c r="R26" s="1700"/>
      <c r="S26" s="1691"/>
      <c r="T26" s="1657"/>
      <c r="U26" s="1657"/>
      <c r="Y26" s="286" t="s">
        <v>2386</v>
      </c>
      <c r="Z26" s="1669">
        <v>0</v>
      </c>
      <c r="AA26" s="1669">
        <v>9800</v>
      </c>
      <c r="AB26" s="1663">
        <f t="shared" si="1"/>
        <v>9800</v>
      </c>
      <c r="AH26" s="1668"/>
      <c r="AI26" s="1676" t="s">
        <v>2330</v>
      </c>
      <c r="AJ26" s="1669">
        <f>+K11-M11</f>
        <v>3100</v>
      </c>
      <c r="AK26" s="1665"/>
    </row>
    <row r="27" spans="2:37" x14ac:dyDescent="0.25">
      <c r="C27" s="475" t="s">
        <v>2385</v>
      </c>
      <c r="E27" s="1690">
        <f>78000-E10</f>
        <v>6870</v>
      </c>
      <c r="F27" s="1690"/>
      <c r="G27" s="1690">
        <f>54000-G10</f>
        <v>6620</v>
      </c>
      <c r="H27" s="1690"/>
      <c r="I27" s="286"/>
      <c r="J27" s="286"/>
      <c r="K27" s="1691"/>
      <c r="L27" s="1691"/>
      <c r="M27" s="1691"/>
      <c r="N27" s="1690"/>
      <c r="R27" s="286"/>
      <c r="S27" s="1691"/>
      <c r="T27" s="1657"/>
      <c r="U27" s="1657"/>
      <c r="Y27" s="286" t="s">
        <v>125</v>
      </c>
      <c r="Z27" s="1669">
        <v>0</v>
      </c>
      <c r="AA27" s="1669">
        <v>2300</v>
      </c>
      <c r="AB27" s="1663">
        <f t="shared" si="1"/>
        <v>2300</v>
      </c>
      <c r="AH27" s="1668"/>
      <c r="AI27" s="286" t="s">
        <v>2384</v>
      </c>
      <c r="AJ27" s="1669"/>
      <c r="AK27" s="1665"/>
    </row>
    <row r="28" spans="2:37" x14ac:dyDescent="0.25">
      <c r="C28" s="475" t="s">
        <v>2383</v>
      </c>
      <c r="E28" s="1690">
        <v>5000</v>
      </c>
      <c r="F28" s="1690"/>
      <c r="G28" s="1690">
        <v>800</v>
      </c>
      <c r="H28" s="1690"/>
      <c r="I28" s="286"/>
      <c r="J28" s="286"/>
      <c r="K28" s="1691"/>
      <c r="L28" s="1691"/>
      <c r="M28" s="1691"/>
      <c r="N28" s="1690"/>
      <c r="R28" s="286"/>
      <c r="S28" s="1699"/>
      <c r="T28" s="286"/>
      <c r="U28" s="286"/>
      <c r="Y28" s="286" t="s">
        <v>2382</v>
      </c>
      <c r="Z28" s="1669">
        <v>100</v>
      </c>
      <c r="AA28" s="1669">
        <v>570</v>
      </c>
      <c r="AB28" s="1663">
        <f t="shared" si="1"/>
        <v>670</v>
      </c>
      <c r="AH28" s="1668"/>
      <c r="AI28" s="1676" t="str">
        <f>+C42</f>
        <v>Gastos por intereses financieros, por préstamos bancarios</v>
      </c>
      <c r="AJ28" s="1669">
        <f>-E42</f>
        <v>8430</v>
      </c>
      <c r="AK28" s="1665"/>
    </row>
    <row r="29" spans="2:37" ht="15.75" thickBot="1" x14ac:dyDescent="0.3">
      <c r="E29" s="1698">
        <f>SUM(E27:E28)</f>
        <v>11870</v>
      </c>
      <c r="F29" s="1690"/>
      <c r="G29" s="1698">
        <f>SUM(G27:G28)</f>
        <v>7420</v>
      </c>
      <c r="H29" s="1690"/>
      <c r="I29" s="286"/>
      <c r="J29" s="286"/>
      <c r="K29" s="1697"/>
      <c r="L29" s="1691"/>
      <c r="M29" s="1697"/>
      <c r="N29" s="1690"/>
      <c r="Z29" s="1696">
        <f>SUM(Z23:Z28)</f>
        <v>53930</v>
      </c>
      <c r="AA29" s="1696">
        <f>SUM(AA23:AA28)</f>
        <v>36900</v>
      </c>
      <c r="AB29" s="1696">
        <f>SUM(AB23:AB28)</f>
        <v>90830</v>
      </c>
      <c r="AH29" s="1668"/>
      <c r="AI29" s="1676" t="str">
        <f>+C48</f>
        <v>Ingresos por dividendos en entidades medidas al costo</v>
      </c>
      <c r="AJ29" s="1669">
        <f>-E48</f>
        <v>-5000</v>
      </c>
      <c r="AK29" s="1665"/>
    </row>
    <row r="30" spans="2:37" ht="15.75" thickTop="1" x14ac:dyDescent="0.25">
      <c r="E30" s="1690"/>
      <c r="F30" s="1690"/>
      <c r="G30" s="1690"/>
      <c r="H30" s="1690"/>
      <c r="I30" s="286"/>
      <c r="J30" s="286"/>
      <c r="K30" s="1691"/>
      <c r="L30" s="1691"/>
      <c r="M30" s="1691"/>
      <c r="N30" s="1690"/>
      <c r="R30" s="1667"/>
      <c r="S30" s="1681"/>
      <c r="T30" s="1681"/>
      <c r="U30" s="1681"/>
      <c r="AH30" s="1668"/>
      <c r="AI30" s="1676" t="s">
        <v>2381</v>
      </c>
      <c r="AJ30" s="1669">
        <f>-G35</f>
        <v>-95000</v>
      </c>
      <c r="AK30" s="1665"/>
    </row>
    <row r="31" spans="2:37" x14ac:dyDescent="0.25">
      <c r="C31" s="736" t="s">
        <v>2380</v>
      </c>
      <c r="E31" s="1690"/>
      <c r="F31" s="1690"/>
      <c r="G31" s="1690"/>
      <c r="H31" s="1690"/>
      <c r="I31" s="286"/>
      <c r="J31" s="1667"/>
      <c r="K31" s="1691"/>
      <c r="L31" s="1691"/>
      <c r="M31" s="1691"/>
      <c r="N31" s="1690"/>
      <c r="R31" s="286"/>
      <c r="S31" s="1680"/>
      <c r="T31" s="1680"/>
      <c r="U31" s="1680"/>
      <c r="AH31" s="1668"/>
      <c r="AI31" s="1672" t="s">
        <v>2338</v>
      </c>
      <c r="AJ31" s="1682">
        <f>+SUM(AJ16:AJ30)</f>
        <v>50440</v>
      </c>
      <c r="AK31" s="1665"/>
    </row>
    <row r="32" spans="2:37" x14ac:dyDescent="0.25">
      <c r="C32" s="1695" t="s">
        <v>2379</v>
      </c>
      <c r="D32" s="1695"/>
      <c r="E32" s="1694">
        <f>+G17</f>
        <v>201600</v>
      </c>
      <c r="G32" s="1690"/>
      <c r="H32" s="1690"/>
      <c r="I32" s="286"/>
      <c r="J32" s="1667"/>
      <c r="K32" s="1683"/>
      <c r="L32" s="1657"/>
      <c r="M32" s="1691"/>
      <c r="N32" s="1690"/>
      <c r="R32" s="1677"/>
      <c r="S32" s="1669"/>
      <c r="T32" s="1669"/>
      <c r="U32" s="1669"/>
      <c r="AH32" s="1668"/>
      <c r="AI32" s="286"/>
      <c r="AJ32" s="1669"/>
      <c r="AK32" s="1665"/>
    </row>
    <row r="33" spans="3:39" x14ac:dyDescent="0.25">
      <c r="C33" s="475" t="s">
        <v>2378</v>
      </c>
      <c r="E33" s="1693">
        <v>118000</v>
      </c>
      <c r="F33" s="1690"/>
      <c r="G33" s="1690"/>
      <c r="H33" s="1690"/>
      <c r="I33" s="286"/>
      <c r="J33" s="286"/>
      <c r="K33" s="1692"/>
      <c r="L33" s="1691"/>
      <c r="M33" s="1691"/>
      <c r="N33" s="1690"/>
      <c r="R33" s="1677"/>
      <c r="S33" s="1669"/>
      <c r="T33" s="1669"/>
      <c r="U33" s="1669"/>
      <c r="AH33" s="1668"/>
      <c r="AI33" s="1679" t="s">
        <v>2339</v>
      </c>
      <c r="AJ33" s="1669"/>
      <c r="AK33" s="1665"/>
    </row>
    <row r="34" spans="3:39" x14ac:dyDescent="0.25">
      <c r="C34" s="475" t="s">
        <v>2377</v>
      </c>
      <c r="E34" s="1688">
        <v>-80000</v>
      </c>
      <c r="G34" s="1689" t="s">
        <v>2376</v>
      </c>
      <c r="I34" s="286"/>
      <c r="J34" s="286"/>
      <c r="K34" s="1686"/>
      <c r="L34" s="1657"/>
      <c r="M34" s="1657"/>
      <c r="R34" s="1677"/>
      <c r="S34" s="1669"/>
      <c r="T34" s="1669"/>
      <c r="U34" s="1669"/>
      <c r="AH34" s="1668"/>
      <c r="AI34" s="1676" t="str">
        <f>+AI29</f>
        <v>Ingresos por dividendos en entidades medidas al costo</v>
      </c>
      <c r="AJ34" s="1669">
        <f>-AJ29</f>
        <v>5000</v>
      </c>
      <c r="AK34" s="1665"/>
    </row>
    <row r="35" spans="3:39" x14ac:dyDescent="0.25">
      <c r="C35" s="475" t="s">
        <v>2375</v>
      </c>
      <c r="E35" s="1688">
        <v>-20200</v>
      </c>
      <c r="G35" s="1687">
        <v>95000</v>
      </c>
      <c r="I35" s="286"/>
      <c r="J35" s="286"/>
      <c r="K35" s="1686"/>
      <c r="L35" s="1657"/>
      <c r="M35" s="1657"/>
      <c r="R35" s="1677"/>
      <c r="S35" s="1669"/>
      <c r="T35" s="1669"/>
      <c r="U35" s="1669"/>
      <c r="AH35" s="1668"/>
      <c r="AI35" s="1676" t="str">
        <f>+AI30</f>
        <v>Ingreso por venta de terreno</v>
      </c>
      <c r="AJ35" s="1669">
        <f>-AJ30</f>
        <v>95000</v>
      </c>
      <c r="AK35" s="1665"/>
    </row>
    <row r="36" spans="3:39" ht="15.75" thickBot="1" x14ac:dyDescent="0.3">
      <c r="C36" s="1685" t="s">
        <v>2374</v>
      </c>
      <c r="D36" s="1685"/>
      <c r="E36" s="1684">
        <f>SUM(E32:E35)</f>
        <v>219400</v>
      </c>
      <c r="I36" s="286"/>
      <c r="J36" s="1667"/>
      <c r="K36" s="1683"/>
      <c r="L36" s="1657"/>
      <c r="M36" s="1657"/>
      <c r="R36" s="1677"/>
      <c r="S36" s="1669"/>
      <c r="T36" s="1669"/>
      <c r="U36" s="1669"/>
      <c r="AH36" s="1668"/>
      <c r="AI36" s="1676" t="s">
        <v>2373</v>
      </c>
      <c r="AJ36" s="1669">
        <f>-E28+G28</f>
        <v>-4200</v>
      </c>
      <c r="AK36" s="1665"/>
    </row>
    <row r="37" spans="3:39" x14ac:dyDescent="0.25">
      <c r="I37" s="286"/>
      <c r="J37" s="286"/>
      <c r="K37" s="1657"/>
      <c r="L37" s="1657"/>
      <c r="M37" s="1657"/>
      <c r="R37" s="1677"/>
      <c r="S37" s="1669"/>
      <c r="T37" s="1669"/>
      <c r="U37" s="1669"/>
      <c r="AH37" s="1668"/>
      <c r="AI37" s="1676" t="str">
        <f>+C33</f>
        <v>Adquisición de edificio</v>
      </c>
      <c r="AJ37" s="1669">
        <f>-E33</f>
        <v>-118000</v>
      </c>
      <c r="AK37" s="1665"/>
    </row>
    <row r="38" spans="3:39" x14ac:dyDescent="0.25">
      <c r="I38" s="286"/>
      <c r="J38" s="286"/>
      <c r="K38" s="1657"/>
      <c r="L38" s="1657"/>
      <c r="M38" s="1657"/>
      <c r="R38" s="1667"/>
      <c r="S38" s="1663"/>
      <c r="T38" s="1663"/>
      <c r="U38" s="1663"/>
      <c r="AH38" s="1668"/>
      <c r="AI38" s="1676" t="s">
        <v>2372</v>
      </c>
      <c r="AJ38" s="1669">
        <f>+-(E18-G18)</f>
        <v>-20700</v>
      </c>
      <c r="AK38" s="1665"/>
    </row>
    <row r="39" spans="3:39" x14ac:dyDescent="0.25">
      <c r="C39" s="736" t="s">
        <v>2371</v>
      </c>
      <c r="I39" s="286"/>
      <c r="J39" s="1667"/>
      <c r="K39" s="1657"/>
      <c r="L39" s="1657"/>
      <c r="M39" s="1657"/>
      <c r="AH39" s="1668"/>
      <c r="AI39" s="1672" t="s">
        <v>2343</v>
      </c>
      <c r="AJ39" s="1682">
        <f>SUM(AJ34:AJ38)</f>
        <v>-42900</v>
      </c>
      <c r="AK39" s="1665"/>
    </row>
    <row r="40" spans="3:39" x14ac:dyDescent="0.25">
      <c r="C40" s="3221" t="s">
        <v>2370</v>
      </c>
      <c r="D40" s="3221"/>
      <c r="E40" s="1655">
        <v>3580</v>
      </c>
      <c r="F40" s="1661"/>
      <c r="G40" s="1661"/>
      <c r="H40" s="1661"/>
      <c r="I40" s="286"/>
      <c r="J40" s="503"/>
      <c r="K40" s="1669"/>
      <c r="L40" s="1662"/>
      <c r="M40" s="1662"/>
      <c r="N40" s="1661"/>
      <c r="R40" s="1667"/>
      <c r="S40" s="1681"/>
      <c r="T40" s="1674"/>
      <c r="U40" s="1674"/>
      <c r="AH40" s="1668"/>
      <c r="AI40" s="286"/>
      <c r="AJ40" s="1669"/>
      <c r="AK40" s="1665"/>
    </row>
    <row r="41" spans="3:39" x14ac:dyDescent="0.25">
      <c r="C41" s="3221" t="s">
        <v>2369</v>
      </c>
      <c r="D41" s="3221"/>
      <c r="E41" s="1655">
        <v>-5320</v>
      </c>
      <c r="F41" s="1661"/>
      <c r="G41" s="1661"/>
      <c r="H41" s="1661"/>
      <c r="I41" s="286"/>
      <c r="J41" s="503"/>
      <c r="K41" s="1669"/>
      <c r="L41" s="1662"/>
      <c r="M41" s="1662"/>
      <c r="N41" s="1661"/>
      <c r="R41" s="1677"/>
      <c r="S41" s="1669"/>
      <c r="T41" s="1669"/>
      <c r="U41" s="1680"/>
      <c r="AH41" s="1668"/>
      <c r="AI41" s="1679" t="s">
        <v>2347</v>
      </c>
      <c r="AJ41" s="1669"/>
      <c r="AK41" s="1665"/>
      <c r="AM41" s="1678"/>
    </row>
    <row r="42" spans="3:39" x14ac:dyDescent="0.25">
      <c r="C42" s="3221" t="s">
        <v>2368</v>
      </c>
      <c r="D42" s="3221"/>
      <c r="E42" s="1655">
        <v>-8430</v>
      </c>
      <c r="F42" s="1661"/>
      <c r="G42" s="1661"/>
      <c r="H42" s="1661"/>
      <c r="I42" s="286"/>
      <c r="J42" s="503"/>
      <c r="K42" s="1669"/>
      <c r="L42" s="1662"/>
      <c r="M42" s="1662"/>
      <c r="N42" s="1661"/>
      <c r="R42" s="1677"/>
      <c r="S42" s="1669"/>
      <c r="T42" s="1669"/>
      <c r="U42" s="1669"/>
      <c r="AH42" s="1668"/>
      <c r="AI42" s="1676" t="str">
        <f>+AI28</f>
        <v>Gastos por intereses financieros, por préstamos bancarios</v>
      </c>
      <c r="AJ42" s="1669">
        <f>-AJ28</f>
        <v>-8430</v>
      </c>
      <c r="AK42" s="1665"/>
    </row>
    <row r="43" spans="3:39" x14ac:dyDescent="0.25">
      <c r="C43" s="3221" t="s">
        <v>2367</v>
      </c>
      <c r="D43" s="3221"/>
      <c r="E43" s="1655">
        <v>2000</v>
      </c>
      <c r="F43" s="1661"/>
      <c r="G43" s="1661"/>
      <c r="H43" s="1661"/>
      <c r="I43" s="286"/>
      <c r="J43" s="503"/>
      <c r="K43" s="1669"/>
      <c r="L43" s="1662"/>
      <c r="M43" s="1662"/>
      <c r="N43" s="1661"/>
      <c r="R43" s="1667"/>
      <c r="S43" s="1663"/>
      <c r="T43" s="1663"/>
      <c r="U43" s="1669"/>
      <c r="AH43" s="1668"/>
      <c r="AI43" s="1676" t="s">
        <v>2366</v>
      </c>
      <c r="AJ43" s="1669">
        <f>-(+M15-K15)</f>
        <v>-2110</v>
      </c>
      <c r="AK43" s="1665"/>
    </row>
    <row r="44" spans="3:39" ht="15.75" thickBot="1" x14ac:dyDescent="0.3">
      <c r="C44" s="3221"/>
      <c r="D44" s="3221"/>
      <c r="E44" s="1664">
        <f>SUM(E40:E43)</f>
        <v>-8170</v>
      </c>
      <c r="F44" s="1661"/>
      <c r="G44" s="1661"/>
      <c r="H44" s="1661"/>
      <c r="I44" s="286"/>
      <c r="J44" s="503"/>
      <c r="K44" s="1663"/>
      <c r="L44" s="1662"/>
      <c r="M44" s="1662"/>
      <c r="N44" s="1661"/>
      <c r="U44" s="1669"/>
      <c r="AH44" s="1668"/>
      <c r="AI44" s="1676" t="s">
        <v>2351</v>
      </c>
      <c r="AJ44" s="1669">
        <f>+AD12</f>
        <v>30000</v>
      </c>
      <c r="AK44" s="1665"/>
    </row>
    <row r="45" spans="3:39" ht="15.75" thickTop="1" x14ac:dyDescent="0.25">
      <c r="C45" s="3221"/>
      <c r="D45" s="3221"/>
      <c r="E45" s="1661"/>
      <c r="F45" s="1661"/>
      <c r="G45" s="1661"/>
      <c r="H45" s="1661"/>
      <c r="I45" s="286"/>
      <c r="J45" s="503"/>
      <c r="K45" s="1662"/>
      <c r="L45" s="1662"/>
      <c r="M45" s="1662"/>
      <c r="N45" s="1661"/>
      <c r="AH45" s="1668"/>
      <c r="AI45" s="1676" t="s">
        <v>2365</v>
      </c>
      <c r="AJ45" s="1669">
        <f>+AD14</f>
        <v>-5000</v>
      </c>
      <c r="AK45" s="1665"/>
    </row>
    <row r="46" spans="3:39" x14ac:dyDescent="0.25">
      <c r="C46" s="3220" t="s">
        <v>2364</v>
      </c>
      <c r="D46" s="3220"/>
      <c r="E46" s="1673"/>
      <c r="F46" s="1673"/>
      <c r="G46" s="1673"/>
      <c r="H46" s="1673"/>
      <c r="I46" s="286"/>
      <c r="J46" s="1675"/>
      <c r="K46" s="1674"/>
      <c r="L46" s="1674"/>
      <c r="M46" s="1674"/>
      <c r="N46" s="1673"/>
      <c r="AH46" s="1668"/>
      <c r="AI46" s="1672" t="s">
        <v>2363</v>
      </c>
      <c r="AJ46" s="1671">
        <f>+SUM(AJ42:AJ45)</f>
        <v>14460</v>
      </c>
      <c r="AK46" s="1665"/>
    </row>
    <row r="47" spans="3:39" x14ac:dyDescent="0.25">
      <c r="C47" s="3221" t="s">
        <v>2362</v>
      </c>
      <c r="D47" s="3221"/>
      <c r="E47" s="1655">
        <f>+E19-G19</f>
        <v>2600</v>
      </c>
      <c r="F47" s="1661"/>
      <c r="G47" s="1661"/>
      <c r="H47" s="1661"/>
      <c r="I47" s="286"/>
      <c r="J47" s="503"/>
      <c r="K47" s="1669"/>
      <c r="L47" s="1662"/>
      <c r="M47" s="1662"/>
      <c r="N47" s="1661"/>
      <c r="AH47" s="1668"/>
      <c r="AI47" s="286"/>
      <c r="AJ47" s="1670"/>
      <c r="AK47" s="1665"/>
    </row>
    <row r="48" spans="3:39" ht="15.75" thickBot="1" x14ac:dyDescent="0.3">
      <c r="C48" s="3221" t="s">
        <v>2361</v>
      </c>
      <c r="D48" s="3221"/>
      <c r="E48" s="1655">
        <v>5000</v>
      </c>
      <c r="F48" s="1661"/>
      <c r="G48" s="1661"/>
      <c r="H48" s="1661"/>
      <c r="I48" s="286"/>
      <c r="J48" s="503"/>
      <c r="K48" s="1669"/>
      <c r="L48" s="1662"/>
      <c r="M48" s="1662"/>
      <c r="N48" s="1661"/>
      <c r="AH48" s="1668"/>
      <c r="AI48" s="1667" t="str">
        <f>+AI13</f>
        <v>Aumento neto de fondos</v>
      </c>
      <c r="AJ48" s="1666">
        <f>+AJ46+AJ39+AJ31</f>
        <v>22000</v>
      </c>
      <c r="AK48" s="1665"/>
    </row>
    <row r="49" spans="3:37" ht="16.5" thickTop="1" thickBot="1" x14ac:dyDescent="0.3">
      <c r="C49" s="3221"/>
      <c r="D49" s="3221"/>
      <c r="E49" s="1664">
        <f>SUM(E47:E48)</f>
        <v>7600</v>
      </c>
      <c r="F49" s="1661"/>
      <c r="G49" s="1661"/>
      <c r="H49" s="1661"/>
      <c r="I49" s="286"/>
      <c r="J49" s="503"/>
      <c r="K49" s="1663"/>
      <c r="L49" s="1662"/>
      <c r="M49" s="1662"/>
      <c r="N49" s="1661"/>
      <c r="AH49" s="1660"/>
      <c r="AI49" s="495"/>
      <c r="AJ49" s="1659"/>
      <c r="AK49" s="1658"/>
    </row>
    <row r="50" spans="3:37" ht="15.75" thickTop="1" x14ac:dyDescent="0.25">
      <c r="I50" s="286"/>
      <c r="J50" s="286"/>
      <c r="K50" s="1657"/>
      <c r="L50" s="1657"/>
      <c r="M50" s="1657"/>
    </row>
    <row r="51" spans="3:37" x14ac:dyDescent="0.25">
      <c r="I51" s="286"/>
      <c r="J51" s="286"/>
      <c r="K51" s="1657"/>
      <c r="L51" s="1657"/>
      <c r="M51" s="1657"/>
    </row>
    <row r="52" spans="3:37" x14ac:dyDescent="0.25">
      <c r="I52" s="286"/>
      <c r="J52" s="286"/>
      <c r="K52" s="1657"/>
      <c r="L52" s="1657"/>
      <c r="M52" s="1657"/>
    </row>
    <row r="53" spans="3:37" x14ac:dyDescent="0.25">
      <c r="I53" s="286"/>
      <c r="J53" s="286"/>
      <c r="K53" s="1657"/>
      <c r="L53" s="1657"/>
      <c r="M53" s="1657"/>
    </row>
    <row r="54" spans="3:37" x14ac:dyDescent="0.25">
      <c r="I54" s="286"/>
      <c r="J54" s="286"/>
      <c r="K54" s="1657"/>
      <c r="L54" s="1657"/>
      <c r="M54" s="1657"/>
    </row>
    <row r="55" spans="3:37" x14ac:dyDescent="0.25">
      <c r="I55" s="286"/>
      <c r="J55" s="286"/>
      <c r="K55" s="1657"/>
      <c r="L55" s="1657"/>
      <c r="M55" s="1657"/>
    </row>
    <row r="56" spans="3:37" x14ac:dyDescent="0.25">
      <c r="I56" s="286"/>
      <c r="J56" s="286"/>
      <c r="K56" s="1657"/>
      <c r="L56" s="1657"/>
      <c r="M56" s="1657"/>
    </row>
    <row r="57" spans="3:37" x14ac:dyDescent="0.25">
      <c r="I57" s="286"/>
      <c r="J57" s="286"/>
      <c r="K57" s="1657"/>
      <c r="L57" s="1657"/>
      <c r="M57" s="1657"/>
    </row>
    <row r="58" spans="3:37" x14ac:dyDescent="0.25">
      <c r="I58" s="286"/>
      <c r="J58" s="286"/>
      <c r="K58" s="1657"/>
      <c r="L58" s="1657"/>
      <c r="M58" s="1657"/>
    </row>
    <row r="59" spans="3:37" x14ac:dyDescent="0.25">
      <c r="I59" s="286"/>
      <c r="J59" s="286"/>
      <c r="K59" s="1657"/>
      <c r="L59" s="1657"/>
      <c r="M59" s="1657"/>
    </row>
    <row r="60" spans="3:37" x14ac:dyDescent="0.25">
      <c r="I60" s="286"/>
      <c r="J60" s="286"/>
      <c r="K60" s="1657"/>
      <c r="L60" s="1657"/>
      <c r="M60" s="1657"/>
    </row>
  </sheetData>
  <mergeCells count="30">
    <mergeCell ref="C46:D46"/>
    <mergeCell ref="C47:D47"/>
    <mergeCell ref="C48:D48"/>
    <mergeCell ref="C49:D49"/>
    <mergeCell ref="Z21:AB21"/>
    <mergeCell ref="C41:D41"/>
    <mergeCell ref="C42:D42"/>
    <mergeCell ref="C43:D43"/>
    <mergeCell ref="C44:D44"/>
    <mergeCell ref="C45:D45"/>
    <mergeCell ref="C40:D40"/>
    <mergeCell ref="C4:N4"/>
    <mergeCell ref="C5:N5"/>
    <mergeCell ref="C6:N6"/>
    <mergeCell ref="C7:N7"/>
    <mergeCell ref="C3:N3"/>
    <mergeCell ref="AI6:AJ6"/>
    <mergeCell ref="R7:U7"/>
    <mergeCell ref="AI7:AJ7"/>
    <mergeCell ref="AA9:AB9"/>
    <mergeCell ref="R3:U3"/>
    <mergeCell ref="AI3:AJ3"/>
    <mergeCell ref="R5:U5"/>
    <mergeCell ref="AI5:AJ5"/>
    <mergeCell ref="Y5:AD5"/>
    <mergeCell ref="Y6:AD6"/>
    <mergeCell ref="Y7:AD7"/>
    <mergeCell ref="Y3:AD3"/>
    <mergeCell ref="AD9:AD10"/>
    <mergeCell ref="R6:U6"/>
  </mergeCells>
  <printOptions horizontalCentered="1"/>
  <pageMargins left="0.70866141732283472" right="1.1023622047244095" top="0.74803149606299213" bottom="0.74803149606299213" header="0.31496062992125984" footer="0.31496062992125984"/>
  <pageSetup paperSize="9" orientation="portrait" r:id="rId1"/>
  <headerFooter>
    <oddHeader>&amp;L&amp;"Garamond,Normal"Universidad de San Andrés
Fundamentos de Contabilidad&amp;C&amp;"Garamond,Normal"&amp;12
  &amp;"-,Regular"&amp;11
&amp;R&amp;"Garamond,Normal"Solución Guía Tutorial 2
&amp;"Garamond,Cursiva"Unidad 2: La ecuación patrimonial y las variaciones patrimoniales</oddHeader>
    <oddFooter xml:space="preserve">&amp;C&amp;"Garamond,Normal"
&amp;R&amp;"Garamond,Normal"Página | &amp;P de &amp;N  </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B1:AC51"/>
  <sheetViews>
    <sheetView topLeftCell="A17" zoomScale="80" zoomScaleNormal="80" workbookViewId="0">
      <selection activeCell="S37" sqref="S37"/>
    </sheetView>
  </sheetViews>
  <sheetFormatPr baseColWidth="10" defaultColWidth="9.140625" defaultRowHeight="12.75" x14ac:dyDescent="0.25"/>
  <cols>
    <col min="1" max="1" width="2.28515625" style="1501" customWidth="1"/>
    <col min="2" max="2" width="2.140625" style="1501" customWidth="1"/>
    <col min="3" max="3" width="31.7109375" style="1501" customWidth="1"/>
    <col min="4" max="4" width="10" style="1502" customWidth="1"/>
    <col min="5" max="5" width="1" style="1502" customWidth="1"/>
    <col min="6" max="6" width="10" style="1502" customWidth="1"/>
    <col min="7" max="8" width="0.7109375" style="1502" customWidth="1"/>
    <col min="9" max="9" width="2.140625" style="1501" customWidth="1"/>
    <col min="10" max="10" width="2.7109375" style="1501" customWidth="1"/>
    <col min="11" max="11" width="33" style="1501" customWidth="1"/>
    <col min="12" max="12" width="16.42578125" style="1501" customWidth="1"/>
    <col min="13" max="13" width="1.42578125" style="1501" customWidth="1"/>
    <col min="14" max="14" width="12" style="1501" bestFit="1" customWidth="1"/>
    <col min="15" max="15" width="3.42578125" style="1501" customWidth="1"/>
    <col min="16" max="16" width="12.28515625" style="1501" bestFit="1" customWidth="1"/>
    <col min="17" max="18" width="2" style="1501" customWidth="1"/>
    <col min="19" max="19" width="56" style="1501" bestFit="1" customWidth="1"/>
    <col min="20" max="20" width="10" style="1501" bestFit="1" customWidth="1"/>
    <col min="21" max="21" width="2.42578125" style="1501" customWidth="1"/>
    <col min="22" max="22" width="2.28515625" style="1501" customWidth="1"/>
    <col min="23" max="23" width="9.140625" style="1501"/>
    <col min="24" max="24" width="25.42578125" style="1501" customWidth="1"/>
    <col min="25" max="29" width="11.42578125" style="1501" customWidth="1"/>
    <col min="30" max="16384" width="9.140625" style="1501"/>
  </cols>
  <sheetData>
    <row r="1" spans="2:29" ht="15" customHeight="1" x14ac:dyDescent="0.25"/>
    <row r="2" spans="2:29" ht="15" customHeight="1" x14ac:dyDescent="0.25">
      <c r="B2" s="1503"/>
      <c r="C2" s="1503"/>
      <c r="D2" s="1504"/>
      <c r="E2" s="1504"/>
      <c r="F2" s="1504"/>
      <c r="G2" s="1504"/>
      <c r="H2" s="1504"/>
      <c r="I2" s="1503"/>
      <c r="J2" s="1503"/>
      <c r="K2" s="1503"/>
      <c r="L2" s="1503"/>
      <c r="M2" s="1503"/>
      <c r="N2" s="1503"/>
      <c r="O2" s="1503"/>
    </row>
    <row r="3" spans="2:29" s="1506" customFormat="1" ht="15" customHeight="1" x14ac:dyDescent="0.25">
      <c r="B3" s="3240" t="s">
        <v>2296</v>
      </c>
      <c r="C3" s="3240"/>
      <c r="D3" s="3240"/>
      <c r="E3" s="3240"/>
      <c r="F3" s="3240"/>
      <c r="G3" s="3240"/>
      <c r="H3" s="3240"/>
      <c r="I3" s="1505"/>
      <c r="J3" s="1505"/>
      <c r="K3" s="3240" t="s">
        <v>2296</v>
      </c>
      <c r="L3" s="3240"/>
      <c r="M3" s="3240"/>
      <c r="N3" s="3240"/>
      <c r="O3" s="1505"/>
      <c r="S3" s="3084" t="s">
        <v>2296</v>
      </c>
      <c r="T3" s="3084"/>
      <c r="X3" s="3084" t="str">
        <f>+S3</f>
        <v>MAMUT S.A.</v>
      </c>
      <c r="Y3" s="3084"/>
      <c r="Z3" s="3084"/>
      <c r="AA3" s="3084"/>
      <c r="AB3" s="3084"/>
      <c r="AC3" s="3084"/>
    </row>
    <row r="4" spans="2:29" ht="15" customHeight="1" x14ac:dyDescent="0.2">
      <c r="B4" s="1507"/>
      <c r="C4" s="1507"/>
      <c r="D4" s="1507"/>
      <c r="E4" s="1507"/>
      <c r="F4" s="1508"/>
      <c r="G4" s="1507"/>
      <c r="H4" s="1501"/>
      <c r="I4" s="1503"/>
      <c r="J4" s="1503"/>
      <c r="K4" s="1503"/>
      <c r="L4" s="1503"/>
      <c r="M4" s="1503"/>
      <c r="N4" s="1503"/>
      <c r="O4" s="1503"/>
    </row>
    <row r="5" spans="2:29" ht="15" customHeight="1" x14ac:dyDescent="0.2">
      <c r="B5" s="1507"/>
      <c r="C5" s="1507"/>
      <c r="D5" s="1507"/>
      <c r="E5" s="1507"/>
      <c r="F5" s="1509"/>
      <c r="G5" s="1507"/>
      <c r="H5" s="1501"/>
      <c r="I5" s="1503"/>
      <c r="J5" s="1503"/>
      <c r="K5" s="1503"/>
      <c r="L5" s="1503"/>
      <c r="M5" s="1503"/>
      <c r="N5" s="1503"/>
      <c r="O5" s="1503"/>
    </row>
    <row r="6" spans="2:29" ht="15" customHeight="1" x14ac:dyDescent="0.25">
      <c r="B6" s="3239" t="s">
        <v>422</v>
      </c>
      <c r="C6" s="3239"/>
      <c r="D6" s="3239"/>
      <c r="E6" s="3239"/>
      <c r="F6" s="3239"/>
      <c r="G6" s="3239"/>
      <c r="H6" s="3239"/>
      <c r="I6" s="1503"/>
      <c r="J6" s="1503"/>
      <c r="K6" s="3239" t="s">
        <v>413</v>
      </c>
      <c r="L6" s="3239"/>
      <c r="M6" s="3239"/>
      <c r="N6" s="3239"/>
      <c r="O6" s="1503"/>
      <c r="S6" s="3085" t="s">
        <v>2297</v>
      </c>
      <c r="T6" s="3085"/>
      <c r="X6" s="3085" t="s">
        <v>495</v>
      </c>
      <c r="Y6" s="3085"/>
      <c r="Z6" s="3085"/>
      <c r="AA6" s="3085"/>
      <c r="AB6" s="3085"/>
      <c r="AC6" s="3085"/>
    </row>
    <row r="7" spans="2:29" ht="15" customHeight="1" x14ac:dyDescent="0.25">
      <c r="B7" s="3239" t="s">
        <v>2298</v>
      </c>
      <c r="C7" s="3239"/>
      <c r="D7" s="3239"/>
      <c r="E7" s="3239"/>
      <c r="F7" s="3239"/>
      <c r="G7" s="3239"/>
      <c r="H7" s="3239"/>
      <c r="I7" s="1503"/>
      <c r="J7" s="3239" t="s">
        <v>2299</v>
      </c>
      <c r="K7" s="3239"/>
      <c r="L7" s="3239"/>
      <c r="M7" s="3239"/>
      <c r="N7" s="3239"/>
      <c r="O7" s="3239"/>
      <c r="S7" s="3085" t="s">
        <v>2356</v>
      </c>
      <c r="T7" s="3085"/>
      <c r="X7" s="3085" t="str">
        <f>+S7</f>
        <v>por el ejercicio finalizado al 31/12/X2</v>
      </c>
      <c r="Y7" s="3085"/>
      <c r="Z7" s="3085"/>
      <c r="AA7" s="3085"/>
      <c r="AB7" s="3085"/>
      <c r="AC7" s="3085"/>
    </row>
    <row r="8" spans="2:29" ht="15" customHeight="1" x14ac:dyDescent="0.25">
      <c r="B8" s="3086" t="s">
        <v>497</v>
      </c>
      <c r="C8" s="3086"/>
      <c r="D8" s="3086"/>
      <c r="E8" s="3086"/>
      <c r="F8" s="3086"/>
      <c r="G8" s="3086"/>
      <c r="H8" s="3086"/>
      <c r="I8" s="1503"/>
      <c r="J8" s="1503"/>
      <c r="K8" s="3239" t="s">
        <v>497</v>
      </c>
      <c r="L8" s="3239"/>
      <c r="M8" s="3239"/>
      <c r="N8" s="3239"/>
      <c r="O8" s="1503"/>
      <c r="S8" s="3085" t="s">
        <v>497</v>
      </c>
      <c r="T8" s="3085"/>
      <c r="X8" s="3239" t="s">
        <v>497</v>
      </c>
      <c r="Y8" s="3239"/>
      <c r="Z8" s="3239"/>
      <c r="AA8" s="3239"/>
      <c r="AB8" s="3239"/>
      <c r="AC8" s="3239"/>
    </row>
    <row r="9" spans="2:29" ht="30" customHeight="1" x14ac:dyDescent="0.25">
      <c r="B9" s="1510"/>
      <c r="C9" s="1511" t="s">
        <v>431</v>
      </c>
      <c r="D9" s="1512" t="s">
        <v>2300</v>
      </c>
      <c r="E9" s="1513"/>
      <c r="F9" s="1512" t="s">
        <v>2301</v>
      </c>
      <c r="G9" s="1513"/>
      <c r="H9" s="1607"/>
      <c r="I9" s="1503"/>
      <c r="J9" s="1510"/>
      <c r="K9" s="1515"/>
      <c r="L9" s="1516" t="s">
        <v>1295</v>
      </c>
      <c r="M9" s="1516"/>
      <c r="N9" s="1516" t="s">
        <v>1296</v>
      </c>
      <c r="O9" s="1514"/>
      <c r="R9" s="1510"/>
      <c r="S9" s="1515"/>
      <c r="T9" s="1515"/>
      <c r="U9" s="1514"/>
      <c r="X9" s="3229" t="s">
        <v>498</v>
      </c>
      <c r="Y9" s="3238" t="s">
        <v>499</v>
      </c>
      <c r="Z9" s="3238"/>
      <c r="AA9" s="3238" t="s">
        <v>500</v>
      </c>
      <c r="AB9" s="3238"/>
      <c r="AC9" s="3229" t="s">
        <v>570</v>
      </c>
    </row>
    <row r="10" spans="2:29" ht="15" customHeight="1" x14ac:dyDescent="0.25">
      <c r="B10" s="1517"/>
      <c r="C10" s="1518" t="s">
        <v>2048</v>
      </c>
      <c r="D10" s="1504"/>
      <c r="E10" s="1504"/>
      <c r="F10" s="1504"/>
      <c r="G10" s="1504"/>
      <c r="H10" s="1570"/>
      <c r="I10" s="1503"/>
      <c r="J10" s="1517"/>
      <c r="K10" s="1520" t="s">
        <v>1055</v>
      </c>
      <c r="L10" s="1521">
        <v>260890</v>
      </c>
      <c r="M10" s="1521"/>
      <c r="N10" s="1521">
        <v>250322</v>
      </c>
      <c r="O10" s="1519"/>
      <c r="R10" s="1517"/>
      <c r="S10" s="1522" t="s">
        <v>2302</v>
      </c>
      <c r="T10" s="1503"/>
      <c r="U10" s="1519"/>
      <c r="X10" s="3230"/>
      <c r="Y10" s="1610" t="s">
        <v>435</v>
      </c>
      <c r="Z10" s="1611" t="s">
        <v>483</v>
      </c>
      <c r="AA10" s="1612" t="s">
        <v>487</v>
      </c>
      <c r="AB10" s="1613" t="s">
        <v>534</v>
      </c>
      <c r="AC10" s="3230"/>
    </row>
    <row r="11" spans="2:29" ht="15" customHeight="1" x14ac:dyDescent="0.25">
      <c r="B11" s="1517"/>
      <c r="C11" s="1523" t="s">
        <v>397</v>
      </c>
      <c r="D11" s="1524">
        <v>20230</v>
      </c>
      <c r="E11" s="1524"/>
      <c r="F11" s="1524">
        <v>40558</v>
      </c>
      <c r="G11" s="1504"/>
      <c r="H11" s="1608"/>
      <c r="I11" s="1503"/>
      <c r="J11" s="1517"/>
      <c r="K11" s="1520" t="s">
        <v>400</v>
      </c>
      <c r="L11" s="1521">
        <f>-L10*0.2</f>
        <v>-52178</v>
      </c>
      <c r="M11" s="1521"/>
      <c r="N11" s="1521">
        <f>-N10*0.5</f>
        <v>-125161</v>
      </c>
      <c r="O11" s="1519"/>
      <c r="R11" s="1517"/>
      <c r="S11" s="1503" t="s">
        <v>2303</v>
      </c>
      <c r="T11" s="1525">
        <f>+D11+D12</f>
        <v>30793</v>
      </c>
      <c r="U11" s="1519"/>
      <c r="X11" s="1531" t="s">
        <v>511</v>
      </c>
      <c r="Y11" s="1532">
        <v>5000</v>
      </c>
      <c r="Z11" s="1532">
        <v>0</v>
      </c>
      <c r="AA11" s="1532">
        <v>1000</v>
      </c>
      <c r="AB11" s="1532">
        <f>+AC11-Y11-AA11</f>
        <v>8500</v>
      </c>
      <c r="AC11" s="1532">
        <f>+F36</f>
        <v>14500</v>
      </c>
    </row>
    <row r="12" spans="2:29" ht="15" customHeight="1" x14ac:dyDescent="0.25">
      <c r="B12" s="1517"/>
      <c r="C12" s="1523" t="s">
        <v>2304</v>
      </c>
      <c r="D12" s="1540">
        <v>10563</v>
      </c>
      <c r="E12" s="1540"/>
      <c r="F12" s="1540">
        <v>0</v>
      </c>
      <c r="G12" s="1504"/>
      <c r="H12" s="1608"/>
      <c r="I12" s="1503"/>
      <c r="J12" s="1517"/>
      <c r="K12" s="1505" t="s">
        <v>414</v>
      </c>
      <c r="L12" s="1526">
        <f>+L10+L11</f>
        <v>208712</v>
      </c>
      <c r="M12" s="1527"/>
      <c r="N12" s="1526">
        <f>+N10+N11</f>
        <v>125161</v>
      </c>
      <c r="O12" s="1519"/>
      <c r="R12" s="1517"/>
      <c r="S12" s="1503" t="s">
        <v>2305</v>
      </c>
      <c r="T12" s="1525">
        <f>+F11</f>
        <v>40558</v>
      </c>
      <c r="U12" s="1519"/>
      <c r="X12" s="1533"/>
      <c r="Y12" s="1534"/>
      <c r="Z12" s="1534"/>
      <c r="AA12" s="1534"/>
      <c r="AB12" s="1534"/>
      <c r="AC12" s="1535"/>
    </row>
    <row r="13" spans="2:29" ht="15" customHeight="1" thickBot="1" x14ac:dyDescent="0.3">
      <c r="B13" s="1517"/>
      <c r="C13" s="1523" t="s">
        <v>403</v>
      </c>
      <c r="D13" s="1524">
        <v>21760</v>
      </c>
      <c r="E13" s="1524"/>
      <c r="F13" s="1524">
        <v>24720</v>
      </c>
      <c r="G13" s="1504"/>
      <c r="H13" s="1608"/>
      <c r="I13" s="1503"/>
      <c r="J13" s="1517"/>
      <c r="K13" s="1503"/>
      <c r="L13" s="1521"/>
      <c r="M13" s="1521"/>
      <c r="N13" s="1521"/>
      <c r="O13" s="1519"/>
      <c r="R13" s="1517"/>
      <c r="S13" s="1503" t="s">
        <v>2307</v>
      </c>
      <c r="T13" s="1530">
        <f>+T11-T12</f>
        <v>-9765</v>
      </c>
      <c r="U13" s="1519"/>
      <c r="X13" s="1538" t="s">
        <v>2311</v>
      </c>
      <c r="Y13" s="1534">
        <v>3000</v>
      </c>
      <c r="Z13" s="1534">
        <f>+AC13-Y13</f>
        <v>2000</v>
      </c>
      <c r="AA13" s="1534">
        <v>0</v>
      </c>
      <c r="AB13" s="1539">
        <v>0</v>
      </c>
      <c r="AC13" s="1535">
        <v>5000</v>
      </c>
    </row>
    <row r="14" spans="2:29" ht="15" customHeight="1" thickTop="1" x14ac:dyDescent="0.25">
      <c r="B14" s="1517"/>
      <c r="C14" s="1523" t="s">
        <v>423</v>
      </c>
      <c r="D14" s="1524">
        <v>16320</v>
      </c>
      <c r="E14" s="1524"/>
      <c r="F14" s="1524">
        <v>2317</v>
      </c>
      <c r="G14" s="1529"/>
      <c r="H14" s="1608"/>
      <c r="I14" s="1503"/>
      <c r="J14" s="1517"/>
      <c r="K14" s="1520" t="s">
        <v>2308</v>
      </c>
      <c r="L14" s="1521">
        <f>-L30</f>
        <v>-68045</v>
      </c>
      <c r="M14" s="1521"/>
      <c r="N14" s="1521">
        <v>-68990</v>
      </c>
      <c r="O14" s="1519"/>
      <c r="R14" s="1517"/>
      <c r="S14" s="1503"/>
      <c r="T14" s="1525"/>
      <c r="U14" s="1519"/>
      <c r="X14" s="1538"/>
      <c r="Y14" s="1534"/>
      <c r="Z14" s="1534"/>
      <c r="AA14" s="1534"/>
      <c r="AB14" s="1539"/>
      <c r="AC14" s="1535"/>
    </row>
    <row r="15" spans="2:29" ht="15" customHeight="1" x14ac:dyDescent="0.25">
      <c r="B15" s="1517"/>
      <c r="C15" s="1518" t="s">
        <v>424</v>
      </c>
      <c r="D15" s="1536">
        <f>+SUM(D11:D14)</f>
        <v>68873</v>
      </c>
      <c r="E15" s="1537"/>
      <c r="F15" s="1536">
        <f>+SUM(F11:F14)</f>
        <v>67595</v>
      </c>
      <c r="G15" s="1504"/>
      <c r="H15" s="1608"/>
      <c r="I15" s="1503"/>
      <c r="J15" s="1517"/>
      <c r="K15" s="1520" t="s">
        <v>2309</v>
      </c>
      <c r="L15" s="1521">
        <f>-N30</f>
        <v>-37276</v>
      </c>
      <c r="M15" s="1521"/>
      <c r="N15" s="1521">
        <v>-36430</v>
      </c>
      <c r="O15" s="1519"/>
      <c r="R15" s="1517"/>
      <c r="S15" s="1522" t="s">
        <v>2310</v>
      </c>
      <c r="T15" s="1525"/>
      <c r="U15" s="1519"/>
      <c r="X15" s="3231" t="s">
        <v>2355</v>
      </c>
      <c r="Y15" s="1534"/>
      <c r="Z15" s="1534"/>
      <c r="AA15" s="1534"/>
      <c r="AB15" s="1539"/>
      <c r="AC15" s="1535"/>
    </row>
    <row r="16" spans="2:29" ht="15" customHeight="1" x14ac:dyDescent="0.25">
      <c r="B16" s="1517"/>
      <c r="C16" s="1503"/>
      <c r="D16" s="1540"/>
      <c r="E16" s="1540"/>
      <c r="F16" s="1540"/>
      <c r="G16" s="1503"/>
      <c r="H16" s="1609"/>
      <c r="I16" s="1503"/>
      <c r="J16" s="1517"/>
      <c r="K16" s="1520" t="s">
        <v>409</v>
      </c>
      <c r="L16" s="1521">
        <v>-3500</v>
      </c>
      <c r="M16" s="1521"/>
      <c r="N16" s="1521">
        <f>-3386-160</f>
        <v>-3546</v>
      </c>
      <c r="O16" s="1519"/>
      <c r="R16" s="1517"/>
      <c r="S16" s="1503" t="s">
        <v>486</v>
      </c>
      <c r="T16" s="1525">
        <f>+L20</f>
        <v>5406</v>
      </c>
      <c r="U16" s="1519"/>
      <c r="X16" s="3231"/>
      <c r="Y16" s="1534"/>
      <c r="Z16" s="1534"/>
      <c r="AA16" s="1534"/>
      <c r="AB16" s="1539"/>
      <c r="AC16" s="1535"/>
    </row>
    <row r="17" spans="2:29" ht="15" customHeight="1" x14ac:dyDescent="0.25">
      <c r="B17" s="1517"/>
      <c r="C17" s="1518" t="s">
        <v>2313</v>
      </c>
      <c r="D17" s="1540"/>
      <c r="E17" s="1540"/>
      <c r="F17" s="1540"/>
      <c r="G17" s="1504"/>
      <c r="H17" s="1608"/>
      <c r="I17" s="1503"/>
      <c r="J17" s="1517"/>
      <c r="K17" s="1505" t="s">
        <v>418</v>
      </c>
      <c r="L17" s="1526">
        <f>+SUM(L12:L16)</f>
        <v>99891</v>
      </c>
      <c r="M17" s="1527"/>
      <c r="N17" s="1526">
        <f>+SUM(N12:N16)</f>
        <v>16195</v>
      </c>
      <c r="O17" s="1519"/>
      <c r="P17" s="1541"/>
      <c r="R17" s="1517"/>
      <c r="S17" s="1503" t="s">
        <v>2315</v>
      </c>
      <c r="T17" s="1525"/>
      <c r="U17" s="1519"/>
      <c r="X17" s="1544" t="s">
        <v>487</v>
      </c>
      <c r="Y17" s="1534">
        <v>0</v>
      </c>
      <c r="Z17" s="1534">
        <v>0</v>
      </c>
      <c r="AA17" s="1534">
        <f>-AB17</f>
        <v>425</v>
      </c>
      <c r="AB17" s="1545">
        <f>+-AB11*0.05</f>
        <v>-425</v>
      </c>
      <c r="AC17" s="1535">
        <v>0</v>
      </c>
    </row>
    <row r="18" spans="2:29" ht="15" customHeight="1" x14ac:dyDescent="0.25">
      <c r="B18" s="1517"/>
      <c r="C18" s="1523" t="s">
        <v>53</v>
      </c>
      <c r="D18" s="1524">
        <f>+F18-L26-N26</f>
        <v>62380</v>
      </c>
      <c r="E18" s="1524"/>
      <c r="F18" s="1524">
        <v>70430</v>
      </c>
      <c r="G18" s="1504"/>
      <c r="H18" s="1608"/>
      <c r="I18" s="1503"/>
      <c r="J18" s="1517"/>
      <c r="K18" s="1503"/>
      <c r="L18" s="1521"/>
      <c r="M18" s="1521"/>
      <c r="N18" s="1521"/>
      <c r="O18" s="1519"/>
      <c r="R18" s="1517"/>
      <c r="S18" s="1542" t="s">
        <v>2317</v>
      </c>
      <c r="T18" s="1525">
        <f>+L26+N26</f>
        <v>8050</v>
      </c>
      <c r="U18" s="1519"/>
      <c r="X18" s="1552" t="s">
        <v>2322</v>
      </c>
      <c r="Y18" s="1534">
        <f>-AB18</f>
        <v>4000</v>
      </c>
      <c r="Z18" s="1534">
        <v>0</v>
      </c>
      <c r="AA18" s="1534">
        <v>0</v>
      </c>
      <c r="AB18" s="1539">
        <v>-4000</v>
      </c>
      <c r="AC18" s="1535">
        <v>0</v>
      </c>
    </row>
    <row r="19" spans="2:29" ht="15" customHeight="1" x14ac:dyDescent="0.25">
      <c r="B19" s="1517"/>
      <c r="C19" s="1523" t="s">
        <v>2318</v>
      </c>
      <c r="D19" s="1524">
        <f>+D37-SUM(D15:D18)</f>
        <v>102615</v>
      </c>
      <c r="E19" s="1540"/>
      <c r="F19" s="1524">
        <v>12580</v>
      </c>
      <c r="G19" s="1503"/>
      <c r="H19" s="1608"/>
      <c r="I19" s="1503"/>
      <c r="J19" s="1517"/>
      <c r="K19" s="1520" t="s">
        <v>2319</v>
      </c>
      <c r="L19" s="1521">
        <f>-+N35</f>
        <v>-94485</v>
      </c>
      <c r="M19" s="1521"/>
      <c r="N19" s="1521">
        <v>-7695</v>
      </c>
      <c r="O19" s="1519"/>
      <c r="P19" s="1543"/>
      <c r="R19" s="1517"/>
      <c r="S19" s="1542" t="s">
        <v>936</v>
      </c>
      <c r="T19" s="1525">
        <f>+N28</f>
        <v>3127</v>
      </c>
      <c r="U19" s="1519"/>
      <c r="X19" s="1552"/>
      <c r="Y19" s="1534"/>
      <c r="Z19" s="1534"/>
      <c r="AA19" s="1534"/>
      <c r="AB19" s="1539"/>
      <c r="AC19" s="1535"/>
    </row>
    <row r="20" spans="2:29" ht="15" customHeight="1" thickBot="1" x14ac:dyDescent="0.3">
      <c r="B20" s="1517"/>
      <c r="C20" s="1518" t="s">
        <v>426</v>
      </c>
      <c r="D20" s="1536">
        <f>+SUM(D18:D19)</f>
        <v>164995</v>
      </c>
      <c r="E20" s="1537"/>
      <c r="F20" s="1536">
        <f>+SUM(F18:F19)</f>
        <v>83010</v>
      </c>
      <c r="G20" s="1529"/>
      <c r="H20" s="1570"/>
      <c r="I20" s="1503"/>
      <c r="J20" s="1547"/>
      <c r="K20" s="1548" t="s">
        <v>421</v>
      </c>
      <c r="L20" s="1549">
        <f>+SUM(L17:L19)</f>
        <v>5406</v>
      </c>
      <c r="M20" s="1550"/>
      <c r="N20" s="1549">
        <f>+SUM(N17:N19)</f>
        <v>8500</v>
      </c>
      <c r="O20" s="1551"/>
      <c r="P20" s="1543"/>
      <c r="R20" s="1517"/>
      <c r="S20" s="1503" t="s">
        <v>2320</v>
      </c>
      <c r="T20" s="1525"/>
      <c r="U20" s="1519"/>
      <c r="X20" s="1559" t="s">
        <v>581</v>
      </c>
      <c r="Y20" s="1560"/>
      <c r="Z20" s="1560"/>
      <c r="AA20" s="1560"/>
      <c r="AB20" s="1561">
        <f>+L20</f>
        <v>5406</v>
      </c>
      <c r="AC20" s="1562">
        <f>+AB20</f>
        <v>5406</v>
      </c>
    </row>
    <row r="21" spans="2:29" ht="15" customHeight="1" thickTop="1" x14ac:dyDescent="0.25">
      <c r="B21" s="1517"/>
      <c r="C21" s="1503"/>
      <c r="D21" s="1540"/>
      <c r="E21" s="1540"/>
      <c r="F21" s="1540"/>
      <c r="G21" s="1503"/>
      <c r="H21" s="1519"/>
      <c r="L21" s="1502"/>
      <c r="M21" s="1502"/>
      <c r="N21" s="1502"/>
      <c r="R21" s="1517"/>
      <c r="S21" s="1542" t="s">
        <v>2321</v>
      </c>
      <c r="T21" s="1525">
        <f>-(D13-F13)-T19</f>
        <v>-167</v>
      </c>
      <c r="U21" s="1519"/>
      <c r="W21" s="1555"/>
      <c r="X21" s="1567" t="s">
        <v>518</v>
      </c>
      <c r="Y21" s="1568">
        <f t="shared" ref="Y21:AC21" si="0">+SUM(Y11:Y20)</f>
        <v>12000</v>
      </c>
      <c r="Z21" s="1568">
        <f t="shared" si="0"/>
        <v>2000</v>
      </c>
      <c r="AA21" s="1568">
        <f t="shared" si="0"/>
        <v>1425</v>
      </c>
      <c r="AB21" s="1568">
        <f t="shared" si="0"/>
        <v>9481</v>
      </c>
      <c r="AC21" s="1568">
        <f t="shared" si="0"/>
        <v>24906</v>
      </c>
    </row>
    <row r="22" spans="2:29" ht="15" customHeight="1" thickBot="1" x14ac:dyDescent="0.3">
      <c r="B22" s="1517"/>
      <c r="C22" s="1505" t="s">
        <v>427</v>
      </c>
      <c r="D22" s="1556">
        <f>+D15+D20</f>
        <v>233868</v>
      </c>
      <c r="E22" s="1537"/>
      <c r="F22" s="1556">
        <f>+F15+F20</f>
        <v>150605</v>
      </c>
      <c r="G22" s="1529"/>
      <c r="H22" s="1570"/>
      <c r="K22" s="1558" t="s">
        <v>2326</v>
      </c>
      <c r="L22" s="3232" t="s">
        <v>1295</v>
      </c>
      <c r="M22" s="3232"/>
      <c r="N22" s="3233"/>
      <c r="R22" s="1517"/>
      <c r="S22" s="1542" t="s">
        <v>2324</v>
      </c>
      <c r="T22" s="1525">
        <f>-(+D14-F14)</f>
        <v>-14003</v>
      </c>
      <c r="U22" s="1519"/>
    </row>
    <row r="23" spans="2:29" ht="15" customHeight="1" thickTop="1" x14ac:dyDescent="0.25">
      <c r="B23" s="1517"/>
      <c r="C23" s="1503"/>
      <c r="D23" s="1503"/>
      <c r="E23" s="1503"/>
      <c r="F23" s="1503"/>
      <c r="G23" s="1503"/>
      <c r="H23" s="1519"/>
      <c r="K23" s="1533"/>
      <c r="L23" s="3234" t="s">
        <v>2328</v>
      </c>
      <c r="M23" s="3235"/>
      <c r="N23" s="1566" t="s">
        <v>2329</v>
      </c>
      <c r="R23" s="1517"/>
      <c r="S23" s="1542" t="s">
        <v>2327</v>
      </c>
      <c r="T23" s="1525">
        <f>+D26-F26</f>
        <v>-3481</v>
      </c>
      <c r="U23" s="1519"/>
    </row>
    <row r="24" spans="2:29" ht="15" customHeight="1" x14ac:dyDescent="0.25">
      <c r="B24" s="1606"/>
      <c r="C24" s="1522" t="s">
        <v>432</v>
      </c>
      <c r="D24" s="1604" t="s">
        <v>2300</v>
      </c>
      <c r="E24" s="1605"/>
      <c r="F24" s="1604" t="s">
        <v>2301</v>
      </c>
      <c r="G24" s="1605"/>
      <c r="H24" s="1519"/>
      <c r="K24" s="1569" t="s">
        <v>2331</v>
      </c>
      <c r="L24" s="1504">
        <v>37213</v>
      </c>
      <c r="M24" s="1570"/>
      <c r="N24" s="1570">
        <v>21476</v>
      </c>
      <c r="R24" s="1517"/>
      <c r="S24" s="1542" t="s">
        <v>2330</v>
      </c>
      <c r="T24" s="1525">
        <f>+D27-F27</f>
        <v>4313</v>
      </c>
      <c r="U24" s="1519"/>
    </row>
    <row r="25" spans="2:29" ht="15" customHeight="1" x14ac:dyDescent="0.25">
      <c r="B25" s="1517"/>
      <c r="C25" s="1518" t="s">
        <v>2025</v>
      </c>
      <c r="D25" s="1504"/>
      <c r="E25" s="1504"/>
      <c r="F25" s="1504"/>
      <c r="G25" s="1504"/>
      <c r="H25" s="1519"/>
      <c r="K25" s="1569" t="s">
        <v>1081</v>
      </c>
      <c r="L25" s="1504">
        <v>12643</v>
      </c>
      <c r="M25" s="1570"/>
      <c r="N25" s="1570">
        <v>0</v>
      </c>
      <c r="R25" s="1517"/>
      <c r="S25" s="1542" t="s">
        <v>2332</v>
      </c>
      <c r="T25" s="1525">
        <f>+(D42-F42)</f>
        <v>-4125</v>
      </c>
      <c r="U25" s="1519"/>
    </row>
    <row r="26" spans="2:29" ht="15" customHeight="1" x14ac:dyDescent="0.25">
      <c r="B26" s="1517"/>
      <c r="C26" s="1523" t="s">
        <v>404</v>
      </c>
      <c r="D26" s="1521">
        <v>4259</v>
      </c>
      <c r="E26" s="1521"/>
      <c r="F26" s="1521">
        <v>7740</v>
      </c>
      <c r="G26" s="1504"/>
      <c r="H26" s="1519"/>
      <c r="K26" s="1569" t="s">
        <v>2336</v>
      </c>
      <c r="L26" s="1504">
        <v>2800</v>
      </c>
      <c r="M26" s="1570"/>
      <c r="N26" s="1570">
        <v>5250</v>
      </c>
      <c r="R26" s="1517"/>
      <c r="S26" s="1503" t="s">
        <v>2334</v>
      </c>
      <c r="T26" s="1525"/>
      <c r="U26" s="1519"/>
    </row>
    <row r="27" spans="2:29" ht="15" customHeight="1" x14ac:dyDescent="0.25">
      <c r="B27" s="1517"/>
      <c r="C27" s="1523" t="s">
        <v>399</v>
      </c>
      <c r="D27" s="1521">
        <v>25743</v>
      </c>
      <c r="E27" s="1521"/>
      <c r="F27" s="1521">
        <v>21430</v>
      </c>
      <c r="G27" s="1504"/>
      <c r="H27" s="1519"/>
      <c r="K27" s="1569" t="s">
        <v>1126</v>
      </c>
      <c r="L27" s="1504">
        <v>0</v>
      </c>
      <c r="M27" s="1570"/>
      <c r="N27" s="1570">
        <v>7423</v>
      </c>
      <c r="R27" s="1517"/>
      <c r="S27" s="1542" t="s">
        <v>299</v>
      </c>
      <c r="T27" s="1525">
        <f>N34</f>
        <v>86245</v>
      </c>
      <c r="U27" s="1519"/>
    </row>
    <row r="28" spans="2:29" ht="15" customHeight="1" x14ac:dyDescent="0.25">
      <c r="B28" s="1517"/>
      <c r="C28" s="1523" t="s">
        <v>2306</v>
      </c>
      <c r="D28" s="1525">
        <f>+D43</f>
        <v>51320</v>
      </c>
      <c r="E28" s="1525"/>
      <c r="F28" s="1525">
        <f>+F43</f>
        <v>5445</v>
      </c>
      <c r="G28" s="1529"/>
      <c r="H28" s="1519"/>
      <c r="K28" s="1569" t="s">
        <v>936</v>
      </c>
      <c r="L28" s="1504">
        <v>0</v>
      </c>
      <c r="M28" s="1570"/>
      <c r="N28" s="1570">
        <v>3127</v>
      </c>
      <c r="R28" s="1517"/>
      <c r="S28" s="1520" t="s">
        <v>2338</v>
      </c>
      <c r="T28" s="1554">
        <f>+SUM(T16:T27)</f>
        <v>85365</v>
      </c>
      <c r="U28" s="1519"/>
    </row>
    <row r="29" spans="2:29" ht="15" customHeight="1" x14ac:dyDescent="0.25">
      <c r="B29" s="1517"/>
      <c r="C29" s="1518" t="s">
        <v>425</v>
      </c>
      <c r="D29" s="1526">
        <f>+D26+D27+D28</f>
        <v>81322</v>
      </c>
      <c r="E29" s="1527"/>
      <c r="F29" s="1526">
        <f>+F26+F27+F28</f>
        <v>34615</v>
      </c>
      <c r="G29" s="1504"/>
      <c r="H29" s="1519"/>
      <c r="K29" s="1569" t="s">
        <v>874</v>
      </c>
      <c r="L29" s="1504">
        <v>15389</v>
      </c>
      <c r="M29" s="1570"/>
      <c r="N29" s="1570">
        <v>0</v>
      </c>
      <c r="R29" s="1517"/>
      <c r="S29" s="1503"/>
      <c r="T29" s="1525"/>
      <c r="U29" s="1519"/>
    </row>
    <row r="30" spans="2:29" ht="15" customHeight="1" x14ac:dyDescent="0.25">
      <c r="B30" s="1517"/>
      <c r="C30" s="1503"/>
      <c r="D30" s="1525"/>
      <c r="E30" s="1525"/>
      <c r="F30" s="1525"/>
      <c r="G30" s="1503"/>
      <c r="H30" s="1519"/>
      <c r="K30" s="1584" t="s">
        <v>410</v>
      </c>
      <c r="L30" s="1585">
        <f>+SUM(L24:L29)</f>
        <v>68045</v>
      </c>
      <c r="M30" s="1586"/>
      <c r="N30" s="1587">
        <f>+SUM(N24:N29)</f>
        <v>37276</v>
      </c>
      <c r="R30" s="1517"/>
      <c r="S30" s="1522" t="s">
        <v>2339</v>
      </c>
      <c r="T30" s="1525"/>
      <c r="U30" s="1519"/>
    </row>
    <row r="31" spans="2:29" ht="15" customHeight="1" x14ac:dyDescent="0.25">
      <c r="B31" s="1517"/>
      <c r="C31" s="1518" t="s">
        <v>2312</v>
      </c>
      <c r="D31" s="1521"/>
      <c r="E31" s="1521"/>
      <c r="F31" s="1521"/>
      <c r="G31" s="1504"/>
      <c r="H31" s="1519"/>
      <c r="R31" s="1517"/>
      <c r="S31" s="1542" t="s">
        <v>2341</v>
      </c>
      <c r="T31" s="1525">
        <f>+-(D19-F19)</f>
        <v>-90035</v>
      </c>
      <c r="U31" s="1519"/>
    </row>
    <row r="32" spans="2:29" ht="15" customHeight="1" x14ac:dyDescent="0.25">
      <c r="B32" s="1517"/>
      <c r="C32" s="1523" t="s">
        <v>2314</v>
      </c>
      <c r="D32" s="1521">
        <f>97640+30000</f>
        <v>127640</v>
      </c>
      <c r="E32" s="1521"/>
      <c r="F32" s="1521">
        <v>101490</v>
      </c>
      <c r="G32" s="1504"/>
      <c r="H32" s="1519"/>
      <c r="K32" s="3236" t="s">
        <v>2344</v>
      </c>
      <c r="L32" s="3237"/>
      <c r="M32" s="3237"/>
      <c r="N32" s="1592" t="s">
        <v>1295</v>
      </c>
      <c r="R32" s="1517"/>
      <c r="S32" s="1520" t="s">
        <v>2343</v>
      </c>
      <c r="T32" s="1554">
        <f>+T31</f>
        <v>-90035</v>
      </c>
      <c r="U32" s="1519"/>
    </row>
    <row r="33" spans="2:21" ht="15" customHeight="1" x14ac:dyDescent="0.25">
      <c r="B33" s="1517"/>
      <c r="C33" s="1518" t="s">
        <v>2316</v>
      </c>
      <c r="D33" s="1526">
        <f>+D32</f>
        <v>127640</v>
      </c>
      <c r="E33" s="1527"/>
      <c r="F33" s="1526">
        <f>+F32</f>
        <v>101490</v>
      </c>
      <c r="G33" s="1529"/>
      <c r="H33" s="1519"/>
      <c r="K33" s="1596" t="s">
        <v>2346</v>
      </c>
      <c r="L33" s="1503"/>
      <c r="M33" s="1503"/>
      <c r="N33" s="1535">
        <v>8240</v>
      </c>
      <c r="R33" s="1517"/>
      <c r="S33" s="1503"/>
      <c r="T33" s="1525"/>
      <c r="U33" s="1519"/>
    </row>
    <row r="34" spans="2:21" ht="15" customHeight="1" thickBot="1" x14ac:dyDescent="0.3">
      <c r="B34" s="1517"/>
      <c r="C34" s="1505" t="s">
        <v>450</v>
      </c>
      <c r="D34" s="1530">
        <f>+D33+D29</f>
        <v>208962</v>
      </c>
      <c r="E34" s="1525"/>
      <c r="F34" s="1530">
        <f>+F33+F29</f>
        <v>136105</v>
      </c>
      <c r="G34" s="1503"/>
      <c r="H34" s="1519"/>
      <c r="K34" s="1596" t="s">
        <v>2349</v>
      </c>
      <c r="L34" s="1503"/>
      <c r="M34" s="1503"/>
      <c r="N34" s="1535">
        <v>86245</v>
      </c>
      <c r="P34" s="1543"/>
      <c r="R34" s="1517"/>
      <c r="S34" s="1522" t="s">
        <v>2347</v>
      </c>
      <c r="T34" s="1525"/>
      <c r="U34" s="1519"/>
    </row>
    <row r="35" spans="2:21" ht="15" customHeight="1" thickTop="1" x14ac:dyDescent="0.25">
      <c r="B35" s="1517"/>
      <c r="C35" s="1503"/>
      <c r="D35" s="1525"/>
      <c r="E35" s="1525"/>
      <c r="F35" s="1525"/>
      <c r="G35" s="1546"/>
      <c r="H35" s="1519"/>
      <c r="K35" s="1597" t="s">
        <v>305</v>
      </c>
      <c r="L35" s="1598"/>
      <c r="M35" s="1598"/>
      <c r="N35" s="1599">
        <f>+N33+N34</f>
        <v>94485</v>
      </c>
      <c r="R35" s="1517"/>
      <c r="S35" s="1542" t="str">
        <f>+S27</f>
        <v>Gastos por intereses financieros</v>
      </c>
      <c r="T35" s="1525">
        <f>-T27</f>
        <v>-86245</v>
      </c>
      <c r="U35" s="1519"/>
    </row>
    <row r="36" spans="2:21" ht="15" customHeight="1" x14ac:dyDescent="0.25">
      <c r="B36" s="1517"/>
      <c r="C36" s="1553" t="s">
        <v>2323</v>
      </c>
      <c r="D36" s="1554">
        <f>+F36+L37+L38-L39</f>
        <v>24906</v>
      </c>
      <c r="E36" s="1525"/>
      <c r="F36" s="1554">
        <f>+F22-F34</f>
        <v>14500</v>
      </c>
      <c r="G36" s="1529"/>
      <c r="H36" s="1519"/>
      <c r="R36" s="1517"/>
      <c r="S36" s="1542" t="s">
        <v>2350</v>
      </c>
      <c r="T36" s="1525">
        <f>+(D32-F32)</f>
        <v>26150</v>
      </c>
      <c r="U36" s="1519"/>
    </row>
    <row r="37" spans="2:21" ht="15" customHeight="1" thickBot="1" x14ac:dyDescent="0.3">
      <c r="B37" s="1517"/>
      <c r="C37" s="1553" t="s">
        <v>2325</v>
      </c>
      <c r="D37" s="1557">
        <f>+D34+D36</f>
        <v>233868</v>
      </c>
      <c r="E37" s="1525"/>
      <c r="F37" s="1530">
        <f>+F36+F34</f>
        <v>150605</v>
      </c>
      <c r="G37" s="1503"/>
      <c r="H37" s="1519"/>
      <c r="K37" s="1600">
        <f>+D36-F36</f>
        <v>10406</v>
      </c>
      <c r="L37" s="1601">
        <f>+L20</f>
        <v>5406</v>
      </c>
      <c r="M37" s="1502"/>
      <c r="N37" s="1502" t="s">
        <v>1373</v>
      </c>
      <c r="R37" s="1517"/>
      <c r="S37" s="1542" t="str">
        <f>+C41</f>
        <v>Préstamo de los socios</v>
      </c>
      <c r="T37" s="1525">
        <f>+(D41-F41)</f>
        <v>50000</v>
      </c>
      <c r="U37" s="1519"/>
    </row>
    <row r="38" spans="2:21" ht="15" customHeight="1" thickTop="1" x14ac:dyDescent="0.25">
      <c r="B38" s="1547"/>
      <c r="C38" s="1564"/>
      <c r="D38" s="1565"/>
      <c r="E38" s="1565"/>
      <c r="F38" s="1565"/>
      <c r="G38" s="1565"/>
      <c r="H38" s="1551"/>
      <c r="L38" s="1602">
        <v>5000</v>
      </c>
      <c r="M38" s="1502"/>
      <c r="N38" s="1502" t="s">
        <v>2352</v>
      </c>
      <c r="R38" s="1517"/>
      <c r="S38" s="1542" t="s">
        <v>2351</v>
      </c>
      <c r="T38" s="1525">
        <f>+L38</f>
        <v>5000</v>
      </c>
      <c r="U38" s="1519"/>
    </row>
    <row r="39" spans="2:21" ht="15" customHeight="1" x14ac:dyDescent="0.25">
      <c r="L39" s="1603">
        <v>0</v>
      </c>
      <c r="M39" s="1502"/>
      <c r="N39" s="1502" t="s">
        <v>2354</v>
      </c>
      <c r="R39" s="1517"/>
      <c r="S39" s="1520" t="s">
        <v>2353</v>
      </c>
      <c r="T39" s="1554">
        <f>+SUM(T35:T38)</f>
        <v>-5095</v>
      </c>
      <c r="U39" s="1519"/>
    </row>
    <row r="40" spans="2:21" x14ac:dyDescent="0.25">
      <c r="C40" s="1571" t="s">
        <v>2333</v>
      </c>
      <c r="D40" s="1572" t="s">
        <v>2300</v>
      </c>
      <c r="E40" s="1573"/>
      <c r="F40" s="1574" t="s">
        <v>2301</v>
      </c>
      <c r="R40" s="1517"/>
      <c r="S40" s="1503"/>
      <c r="T40" s="1503"/>
      <c r="U40" s="1519"/>
    </row>
    <row r="41" spans="2:21" ht="13.5" thickBot="1" x14ac:dyDescent="0.3">
      <c r="C41" s="1575" t="s">
        <v>2335</v>
      </c>
      <c r="D41" s="1576">
        <v>50000</v>
      </c>
      <c r="E41" s="1529"/>
      <c r="F41" s="1577">
        <v>0</v>
      </c>
      <c r="R41" s="1517"/>
      <c r="S41" s="1503" t="s">
        <v>2307</v>
      </c>
      <c r="T41" s="1530">
        <f>+T39+T32+T28</f>
        <v>-9765</v>
      </c>
      <c r="U41" s="1519"/>
    </row>
    <row r="42" spans="2:21" ht="13.5" thickTop="1" x14ac:dyDescent="0.25">
      <c r="C42" s="1578" t="s">
        <v>2337</v>
      </c>
      <c r="D42" s="1579">
        <v>1320</v>
      </c>
      <c r="E42" s="1504"/>
      <c r="F42" s="1570">
        <v>5445</v>
      </c>
      <c r="R42" s="1547"/>
      <c r="S42" s="1563"/>
      <c r="T42" s="1563"/>
      <c r="U42" s="1551"/>
    </row>
    <row r="43" spans="2:21" x14ac:dyDescent="0.25">
      <c r="C43" s="1580" t="s">
        <v>410</v>
      </c>
      <c r="D43" s="1581">
        <f>+D41+D42</f>
        <v>51320</v>
      </c>
      <c r="E43" s="1582"/>
      <c r="F43" s="1583">
        <f>+F41+F42</f>
        <v>5445</v>
      </c>
    </row>
    <row r="44" spans="2:21" x14ac:dyDescent="0.25">
      <c r="D44" s="1504"/>
      <c r="E44" s="1504"/>
      <c r="F44" s="1504"/>
    </row>
    <row r="45" spans="2:21" x14ac:dyDescent="0.25">
      <c r="C45" s="1558" t="s">
        <v>2340</v>
      </c>
      <c r="D45" s="1572" t="s">
        <v>2300</v>
      </c>
      <c r="E45" s="1573"/>
      <c r="F45" s="1574" t="s">
        <v>2301</v>
      </c>
      <c r="T45" s="1528"/>
    </row>
    <row r="46" spans="2:21" x14ac:dyDescent="0.25">
      <c r="C46" s="1588" t="s">
        <v>2342</v>
      </c>
      <c r="D46" s="1589">
        <f>+D12</f>
        <v>10563</v>
      </c>
      <c r="E46" s="1563"/>
      <c r="F46" s="1590">
        <v>0</v>
      </c>
    </row>
    <row r="47" spans="2:21" x14ac:dyDescent="0.25">
      <c r="C47" s="1505"/>
      <c r="D47" s="1591"/>
      <c r="E47" s="1503"/>
      <c r="F47" s="1591"/>
    </row>
    <row r="48" spans="2:21" x14ac:dyDescent="0.25">
      <c r="C48" s="1593" t="s">
        <v>2345</v>
      </c>
      <c r="D48" s="1594"/>
      <c r="E48" s="1594"/>
      <c r="F48" s="1595"/>
    </row>
    <row r="49" spans="3:6" x14ac:dyDescent="0.25">
      <c r="C49" s="3223" t="s">
        <v>2348</v>
      </c>
      <c r="D49" s="3224"/>
      <c r="E49" s="3224"/>
      <c r="F49" s="3225"/>
    </row>
    <row r="50" spans="3:6" x14ac:dyDescent="0.25">
      <c r="C50" s="3226"/>
      <c r="D50" s="3227"/>
      <c r="E50" s="3227"/>
      <c r="F50" s="3228"/>
    </row>
    <row r="51" spans="3:6" x14ac:dyDescent="0.25">
      <c r="C51" s="1528">
        <f>D36-F36</f>
        <v>10406</v>
      </c>
    </row>
  </sheetData>
  <mergeCells count="25">
    <mergeCell ref="B3:H3"/>
    <mergeCell ref="K3:N3"/>
    <mergeCell ref="S3:T3"/>
    <mergeCell ref="X3:AC3"/>
    <mergeCell ref="B6:H6"/>
    <mergeCell ref="K6:N6"/>
    <mergeCell ref="S6:T6"/>
    <mergeCell ref="X6:AC6"/>
    <mergeCell ref="B7:H7"/>
    <mergeCell ref="J7:O7"/>
    <mergeCell ref="S7:T7"/>
    <mergeCell ref="X7:AC7"/>
    <mergeCell ref="B8:H8"/>
    <mergeCell ref="K8:N8"/>
    <mergeCell ref="S8:T8"/>
    <mergeCell ref="X8:AC8"/>
    <mergeCell ref="C49:F50"/>
    <mergeCell ref="X9:X10"/>
    <mergeCell ref="AC9:AC10"/>
    <mergeCell ref="X15:X16"/>
    <mergeCell ref="L22:N22"/>
    <mergeCell ref="L23:M23"/>
    <mergeCell ref="K32:M32"/>
    <mergeCell ref="Y9:Z9"/>
    <mergeCell ref="AA9:AB9"/>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20"/>
  <sheetViews>
    <sheetView view="pageBreakPreview" zoomScale="60" zoomScaleNormal="100" workbookViewId="0">
      <selection activeCell="L210" sqref="J210:P210"/>
    </sheetView>
  </sheetViews>
  <sheetFormatPr baseColWidth="10" defaultColWidth="11.42578125" defaultRowHeight="15.75" x14ac:dyDescent="0.25"/>
  <cols>
    <col min="1" max="1" width="29" style="691" bestFit="1" customWidth="1"/>
    <col min="2" max="3" width="12.42578125" style="691" bestFit="1" customWidth="1"/>
    <col min="4" max="4" width="11.42578125" style="691"/>
    <col min="5" max="5" width="10.7109375" style="691" bestFit="1" customWidth="1"/>
    <col min="6" max="16384" width="11.42578125" style="691"/>
  </cols>
  <sheetData>
    <row r="1" spans="1:5" x14ac:dyDescent="0.25">
      <c r="A1" s="3241" t="s">
        <v>422</v>
      </c>
      <c r="B1" s="3241"/>
      <c r="C1" s="3241"/>
    </row>
    <row r="2" spans="1:5" x14ac:dyDescent="0.25">
      <c r="A2" s="839" t="s">
        <v>431</v>
      </c>
      <c r="B2" s="840">
        <v>40543</v>
      </c>
      <c r="C2" s="840">
        <v>40908</v>
      </c>
    </row>
    <row r="3" spans="1:5" x14ac:dyDescent="0.25">
      <c r="A3" s="841" t="s">
        <v>1283</v>
      </c>
      <c r="B3" s="842">
        <v>10000</v>
      </c>
      <c r="C3" s="842">
        <v>12000</v>
      </c>
    </row>
    <row r="4" spans="1:5" x14ac:dyDescent="0.25">
      <c r="A4" s="841" t="s">
        <v>1284</v>
      </c>
      <c r="B4" s="842">
        <v>22000</v>
      </c>
      <c r="C4" s="842">
        <v>15000</v>
      </c>
    </row>
    <row r="5" spans="1:5" x14ac:dyDescent="0.25">
      <c r="A5" s="841" t="s">
        <v>1205</v>
      </c>
      <c r="B5" s="842">
        <v>0</v>
      </c>
      <c r="C5" s="842">
        <v>25000</v>
      </c>
      <c r="E5" s="841"/>
    </row>
    <row r="6" spans="1:5" x14ac:dyDescent="0.25">
      <c r="A6" s="841" t="s">
        <v>4</v>
      </c>
      <c r="B6" s="842">
        <v>60000</v>
      </c>
      <c r="C6" s="842">
        <v>60000</v>
      </c>
    </row>
    <row r="7" spans="1:5" x14ac:dyDescent="0.25">
      <c r="A7" s="841" t="s">
        <v>26</v>
      </c>
      <c r="B7" s="842">
        <v>15000</v>
      </c>
      <c r="C7" s="842">
        <v>15000</v>
      </c>
    </row>
    <row r="8" spans="1:5" x14ac:dyDescent="0.25">
      <c r="A8" s="839" t="s">
        <v>1285</v>
      </c>
      <c r="B8" s="843">
        <f>+SUM(B3:B7)</f>
        <v>107000</v>
      </c>
      <c r="C8" s="843">
        <f>+SUM(C3:C7)</f>
        <v>127000</v>
      </c>
    </row>
    <row r="9" spans="1:5" x14ac:dyDescent="0.25">
      <c r="A9" s="839" t="s">
        <v>432</v>
      </c>
      <c r="B9" s="842"/>
      <c r="C9" s="842"/>
    </row>
    <row r="10" spans="1:5" x14ac:dyDescent="0.25">
      <c r="A10" s="841" t="s">
        <v>139</v>
      </c>
      <c r="B10" s="842">
        <v>40000</v>
      </c>
      <c r="C10" s="842">
        <v>30000</v>
      </c>
    </row>
    <row r="11" spans="1:5" x14ac:dyDescent="0.25">
      <c r="A11" s="841" t="s">
        <v>1286</v>
      </c>
      <c r="B11" s="842">
        <v>10000</v>
      </c>
      <c r="C11" s="842">
        <v>12000</v>
      </c>
    </row>
    <row r="12" spans="1:5" x14ac:dyDescent="0.25">
      <c r="A12" s="839" t="s">
        <v>1287</v>
      </c>
      <c r="B12" s="843">
        <f>+B10+B11</f>
        <v>50000</v>
      </c>
      <c r="C12" s="843">
        <f>+C10+C11</f>
        <v>42000</v>
      </c>
    </row>
    <row r="13" spans="1:5" x14ac:dyDescent="0.25">
      <c r="A13" s="839" t="s">
        <v>396</v>
      </c>
      <c r="B13" s="844">
        <f>+B8-B12</f>
        <v>57000</v>
      </c>
      <c r="C13" s="844">
        <f>+C8-C12</f>
        <v>85000</v>
      </c>
    </row>
    <row r="14" spans="1:5" x14ac:dyDescent="0.25">
      <c r="A14" s="839"/>
      <c r="B14" s="845"/>
      <c r="C14" s="845"/>
    </row>
    <row r="15" spans="1:5" x14ac:dyDescent="0.25">
      <c r="A15" s="3241" t="s">
        <v>413</v>
      </c>
      <c r="B15" s="3241"/>
      <c r="C15" s="3241"/>
    </row>
    <row r="16" spans="1:5" x14ac:dyDescent="0.25">
      <c r="A16" s="841"/>
      <c r="C16" s="846" t="s">
        <v>1288</v>
      </c>
    </row>
    <row r="17" spans="1:3" x14ac:dyDescent="0.25">
      <c r="A17" s="841" t="s">
        <v>1289</v>
      </c>
      <c r="C17" s="842">
        <v>40000</v>
      </c>
    </row>
    <row r="18" spans="1:3" x14ac:dyDescent="0.25">
      <c r="A18" s="841" t="s">
        <v>1290</v>
      </c>
      <c r="C18" s="842">
        <v>-10000</v>
      </c>
    </row>
    <row r="19" spans="1:3" x14ac:dyDescent="0.25">
      <c r="A19" s="841" t="s">
        <v>1291</v>
      </c>
      <c r="C19" s="842">
        <v>-15000</v>
      </c>
    </row>
    <row r="20" spans="1:3" x14ac:dyDescent="0.25">
      <c r="A20" s="839" t="s">
        <v>421</v>
      </c>
      <c r="C20" s="843">
        <f>+SUM(C17:C19)</f>
        <v>15000</v>
      </c>
    </row>
  </sheetData>
  <mergeCells count="2">
    <mergeCell ref="A1:C1"/>
    <mergeCell ref="A15:C15"/>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42"/>
  <sheetViews>
    <sheetView view="pageBreakPreview" topLeftCell="A22" zoomScale="60" zoomScaleNormal="100" workbookViewId="0">
      <selection activeCell="L210" sqref="J210:P210"/>
    </sheetView>
  </sheetViews>
  <sheetFormatPr baseColWidth="10" defaultColWidth="11.42578125" defaultRowHeight="15.75" x14ac:dyDescent="0.25"/>
  <cols>
    <col min="1" max="1" width="11.42578125" style="691"/>
    <col min="2" max="2" width="28.140625" style="847" bestFit="1" customWidth="1"/>
    <col min="3" max="4" width="9.7109375" style="842" bestFit="1" customWidth="1"/>
    <col min="5" max="5" width="28.28515625" style="847" bestFit="1" customWidth="1"/>
    <col min="6" max="6" width="9.28515625" style="842" bestFit="1" customWidth="1"/>
    <col min="7" max="7" width="9.7109375" style="842" bestFit="1" customWidth="1"/>
    <col min="8" max="8" width="11.42578125" style="691"/>
    <col min="9" max="9" width="1.7109375" style="691" customWidth="1"/>
    <col min="10" max="10" width="30" style="691" bestFit="1" customWidth="1"/>
    <col min="11" max="11" width="11.42578125" style="691" bestFit="1" customWidth="1"/>
    <col min="12" max="12" width="1.42578125" style="691" customWidth="1"/>
    <col min="13" max="16384" width="11.42578125" style="691"/>
  </cols>
  <sheetData>
    <row r="1" spans="2:12" ht="16.5" customHeight="1" x14ac:dyDescent="0.25"/>
    <row r="2" spans="2:12" x14ac:dyDescent="0.25">
      <c r="B2" s="3246" t="s">
        <v>1292</v>
      </c>
      <c r="C2" s="3246"/>
      <c r="D2" s="3246"/>
      <c r="E2" s="3246"/>
      <c r="F2" s="3246"/>
      <c r="G2" s="3246"/>
      <c r="I2" s="2409" t="s">
        <v>1292</v>
      </c>
      <c r="J2" s="2409"/>
      <c r="K2" s="2409"/>
      <c r="L2" s="2409"/>
    </row>
    <row r="3" spans="2:12" x14ac:dyDescent="0.25">
      <c r="B3" s="3246" t="s">
        <v>422</v>
      </c>
      <c r="C3" s="3246"/>
      <c r="D3" s="3246"/>
      <c r="E3" s="3246"/>
      <c r="F3" s="3246"/>
      <c r="G3" s="3246"/>
      <c r="I3" s="2409" t="s">
        <v>413</v>
      </c>
      <c r="J3" s="2409"/>
      <c r="K3" s="2409"/>
      <c r="L3" s="2409"/>
    </row>
    <row r="4" spans="2:12" x14ac:dyDescent="0.25">
      <c r="B4" s="3242" t="s">
        <v>1293</v>
      </c>
      <c r="C4" s="3242"/>
      <c r="D4" s="3242"/>
      <c r="E4" s="3242"/>
      <c r="F4" s="3242"/>
      <c r="G4" s="3242"/>
      <c r="I4" s="3243" t="s">
        <v>1294</v>
      </c>
      <c r="J4" s="3243"/>
      <c r="K4" s="3243"/>
      <c r="L4" s="3243"/>
    </row>
    <row r="5" spans="2:12" x14ac:dyDescent="0.25">
      <c r="B5" s="3244" t="s">
        <v>497</v>
      </c>
      <c r="C5" s="3244"/>
      <c r="D5" s="3244"/>
      <c r="E5" s="3244"/>
      <c r="F5" s="3244"/>
      <c r="G5" s="3244"/>
      <c r="I5" s="3245" t="s">
        <v>497</v>
      </c>
      <c r="J5" s="3245"/>
      <c r="K5" s="3245"/>
      <c r="L5" s="3245"/>
    </row>
    <row r="6" spans="2:12" x14ac:dyDescent="0.25">
      <c r="B6" s="848"/>
      <c r="C6" s="849"/>
      <c r="D6" s="849"/>
      <c r="E6" s="850"/>
      <c r="F6" s="849"/>
      <c r="G6" s="849"/>
    </row>
    <row r="7" spans="2:12" x14ac:dyDescent="0.25">
      <c r="B7" s="851" t="s">
        <v>1065</v>
      </c>
      <c r="C7" s="852" t="s">
        <v>1295</v>
      </c>
      <c r="D7" s="853" t="s">
        <v>1296</v>
      </c>
      <c r="E7" s="854" t="s">
        <v>1066</v>
      </c>
      <c r="F7" s="852" t="s">
        <v>1295</v>
      </c>
      <c r="G7" s="853" t="s">
        <v>1296</v>
      </c>
      <c r="I7" s="855"/>
      <c r="J7" s="856"/>
      <c r="K7" s="856"/>
      <c r="L7" s="857"/>
    </row>
    <row r="8" spans="2:12" x14ac:dyDescent="0.25">
      <c r="B8" s="858" t="s">
        <v>1067</v>
      </c>
      <c r="C8" s="859"/>
      <c r="D8" s="860"/>
      <c r="E8" s="858" t="s">
        <v>1068</v>
      </c>
      <c r="F8" s="849"/>
      <c r="G8" s="861"/>
      <c r="I8" s="306"/>
      <c r="J8" s="299"/>
      <c r="K8" s="862" t="s">
        <v>1295</v>
      </c>
      <c r="L8" s="863"/>
    </row>
    <row r="9" spans="2:12" x14ac:dyDescent="0.25">
      <c r="B9" s="864" t="s">
        <v>397</v>
      </c>
      <c r="C9" s="865">
        <v>5000</v>
      </c>
      <c r="D9" s="860">
        <v>13000</v>
      </c>
      <c r="E9" s="864" t="s">
        <v>404</v>
      </c>
      <c r="F9" s="865">
        <v>20000</v>
      </c>
      <c r="G9" s="860">
        <v>16000</v>
      </c>
      <c r="I9" s="306"/>
      <c r="J9" s="866" t="s">
        <v>1297</v>
      </c>
      <c r="K9" s="867">
        <v>60000</v>
      </c>
      <c r="L9" s="863"/>
    </row>
    <row r="10" spans="2:12" ht="18" x14ac:dyDescent="0.25">
      <c r="B10" s="864" t="s">
        <v>403</v>
      </c>
      <c r="C10" s="865">
        <v>20000</v>
      </c>
      <c r="D10" s="868">
        <v>0</v>
      </c>
      <c r="E10" s="864" t="s">
        <v>1298</v>
      </c>
      <c r="F10" s="869">
        <v>26000</v>
      </c>
      <c r="G10" s="870" t="s">
        <v>655</v>
      </c>
      <c r="I10" s="306"/>
      <c r="J10" s="866" t="s">
        <v>1299</v>
      </c>
      <c r="K10" s="867">
        <v>-38000</v>
      </c>
      <c r="L10" s="863"/>
    </row>
    <row r="11" spans="2:12" ht="18" x14ac:dyDescent="0.25">
      <c r="B11" s="864" t="s">
        <v>19</v>
      </c>
      <c r="C11" s="869">
        <v>15000</v>
      </c>
      <c r="D11" s="871">
        <v>18000</v>
      </c>
      <c r="E11" s="872" t="s">
        <v>1072</v>
      </c>
      <c r="F11" s="873">
        <v>46000</v>
      </c>
      <c r="G11" s="874">
        <v>16000</v>
      </c>
      <c r="I11" s="306"/>
      <c r="J11" s="875" t="s">
        <v>1300</v>
      </c>
      <c r="K11" s="876">
        <v>22000</v>
      </c>
      <c r="L11" s="863"/>
    </row>
    <row r="12" spans="2:12" x14ac:dyDescent="0.25">
      <c r="B12" s="872" t="s">
        <v>1073</v>
      </c>
      <c r="C12" s="873">
        <v>40000</v>
      </c>
      <c r="D12" s="874">
        <v>31000</v>
      </c>
      <c r="E12" s="864"/>
      <c r="F12" s="865"/>
      <c r="G12" s="860"/>
      <c r="I12" s="306"/>
      <c r="J12" s="866" t="s">
        <v>1301</v>
      </c>
      <c r="K12" s="867">
        <v>-16000</v>
      </c>
      <c r="L12" s="863"/>
    </row>
    <row r="13" spans="2:12" x14ac:dyDescent="0.25">
      <c r="B13" s="864"/>
      <c r="C13" s="873"/>
      <c r="D13" s="874"/>
      <c r="E13" s="858" t="s">
        <v>1228</v>
      </c>
      <c r="F13" s="865"/>
      <c r="G13" s="860"/>
      <c r="I13" s="306"/>
      <c r="J13" s="866" t="s">
        <v>1302</v>
      </c>
      <c r="K13" s="867">
        <v>-10000</v>
      </c>
      <c r="L13" s="863"/>
    </row>
    <row r="14" spans="2:12" ht="18" x14ac:dyDescent="0.25">
      <c r="B14" s="858" t="s">
        <v>1074</v>
      </c>
      <c r="C14" s="865"/>
      <c r="D14" s="860"/>
      <c r="E14" s="864" t="s">
        <v>1303</v>
      </c>
      <c r="F14" s="869">
        <v>80000</v>
      </c>
      <c r="G14" s="877" t="s">
        <v>655</v>
      </c>
      <c r="I14" s="306"/>
      <c r="J14" s="875" t="s">
        <v>1304</v>
      </c>
      <c r="K14" s="876">
        <v>-4000</v>
      </c>
      <c r="L14" s="863"/>
    </row>
    <row r="15" spans="2:12" x14ac:dyDescent="0.25">
      <c r="B15" s="864" t="s">
        <v>4</v>
      </c>
      <c r="C15" s="865">
        <v>100000</v>
      </c>
      <c r="D15" s="868">
        <v>0</v>
      </c>
      <c r="E15" s="872" t="s">
        <v>1162</v>
      </c>
      <c r="F15" s="873">
        <f>+F14</f>
        <v>80000</v>
      </c>
      <c r="G15" s="874">
        <v>0</v>
      </c>
      <c r="I15" s="306"/>
      <c r="J15" s="866" t="s">
        <v>1305</v>
      </c>
      <c r="K15" s="867">
        <v>-2000</v>
      </c>
      <c r="L15" s="863"/>
    </row>
    <row r="16" spans="2:12" x14ac:dyDescent="0.25">
      <c r="B16" s="864" t="s">
        <v>26</v>
      </c>
      <c r="C16" s="865">
        <v>70000</v>
      </c>
      <c r="D16" s="860">
        <v>50000</v>
      </c>
      <c r="E16" s="878" t="s">
        <v>1075</v>
      </c>
      <c r="F16" s="879"/>
      <c r="G16" s="880"/>
      <c r="I16" s="306"/>
      <c r="J16" s="875" t="s">
        <v>1306</v>
      </c>
      <c r="K16" s="876">
        <v>-6000</v>
      </c>
      <c r="L16" s="863"/>
    </row>
    <row r="17" spans="2:12" ht="18" x14ac:dyDescent="0.25">
      <c r="B17" s="864" t="s">
        <v>1307</v>
      </c>
      <c r="C17" s="881">
        <v>-26000</v>
      </c>
      <c r="D17" s="881">
        <v>-10000</v>
      </c>
      <c r="E17" s="864" t="s">
        <v>441</v>
      </c>
      <c r="F17" s="865">
        <v>60000</v>
      </c>
      <c r="G17" s="860">
        <v>50000</v>
      </c>
      <c r="I17" s="313"/>
      <c r="J17" s="882"/>
      <c r="K17" s="882"/>
      <c r="L17" s="883"/>
    </row>
    <row r="18" spans="2:12" x14ac:dyDescent="0.25">
      <c r="B18" s="872" t="s">
        <v>1077</v>
      </c>
      <c r="C18" s="873">
        <f>+SUM(C15:C17)</f>
        <v>144000</v>
      </c>
      <c r="D18" s="874">
        <f>+SUM(D15:D17)</f>
        <v>40000</v>
      </c>
      <c r="E18" s="864" t="s">
        <v>1308</v>
      </c>
      <c r="F18" s="865">
        <v>4000</v>
      </c>
      <c r="G18" s="868">
        <v>0</v>
      </c>
    </row>
    <row r="19" spans="2:12" ht="18" x14ac:dyDescent="0.25">
      <c r="B19" s="864"/>
      <c r="C19" s="865"/>
      <c r="D19" s="860"/>
      <c r="E19" s="864" t="s">
        <v>534</v>
      </c>
      <c r="F19" s="884">
        <v>-6000</v>
      </c>
      <c r="G19" s="885">
        <v>5000</v>
      </c>
    </row>
    <row r="20" spans="2:12" x14ac:dyDescent="0.25">
      <c r="B20" s="864"/>
      <c r="C20" s="886"/>
      <c r="D20" s="887"/>
      <c r="E20" s="888" t="s">
        <v>570</v>
      </c>
      <c r="F20" s="889">
        <f>+SUM(F17:F19)</f>
        <v>58000</v>
      </c>
      <c r="G20" s="890">
        <f>+SUM(G17:G19)</f>
        <v>55000</v>
      </c>
    </row>
    <row r="21" spans="2:12" x14ac:dyDescent="0.25">
      <c r="B21" s="891" t="s">
        <v>427</v>
      </c>
      <c r="C21" s="892">
        <f>+C12+C18</f>
        <v>184000</v>
      </c>
      <c r="D21" s="893">
        <f>+D12+D18</f>
        <v>71000</v>
      </c>
      <c r="E21" s="891" t="s">
        <v>1078</v>
      </c>
      <c r="F21" s="892">
        <f>+F20+F15+F11</f>
        <v>184000</v>
      </c>
      <c r="G21" s="893">
        <f>+G20+G15+G11</f>
        <v>71000</v>
      </c>
    </row>
    <row r="22" spans="2:12" x14ac:dyDescent="0.25">
      <c r="B22" s="894"/>
      <c r="C22" s="895"/>
      <c r="D22" s="895"/>
      <c r="E22" s="894"/>
      <c r="F22" s="859"/>
      <c r="G22" s="865"/>
    </row>
    <row r="23" spans="2:12" x14ac:dyDescent="0.25">
      <c r="B23" s="3246" t="s">
        <v>1292</v>
      </c>
      <c r="C23" s="3246"/>
      <c r="D23" s="3246"/>
      <c r="E23" s="3246"/>
      <c r="F23" s="3246"/>
      <c r="G23" s="3246"/>
      <c r="I23" s="2409" t="s">
        <v>1292</v>
      </c>
      <c r="J23" s="2409"/>
      <c r="K23" s="2409"/>
      <c r="L23" s="2409"/>
    </row>
    <row r="24" spans="2:12" x14ac:dyDescent="0.25">
      <c r="B24" s="3246" t="s">
        <v>422</v>
      </c>
      <c r="C24" s="3246"/>
      <c r="D24" s="3246"/>
      <c r="E24" s="3246"/>
      <c r="F24" s="3246"/>
      <c r="G24" s="3246"/>
      <c r="I24" s="2409" t="s">
        <v>413</v>
      </c>
      <c r="J24" s="2409"/>
      <c r="K24" s="2409"/>
      <c r="L24" s="2409"/>
    </row>
    <row r="25" spans="2:12" x14ac:dyDescent="0.25">
      <c r="B25" s="3242" t="s">
        <v>1309</v>
      </c>
      <c r="C25" s="3242"/>
      <c r="D25" s="3242"/>
      <c r="E25" s="3242"/>
      <c r="F25" s="3242"/>
      <c r="G25" s="3242"/>
      <c r="I25" s="3243" t="s">
        <v>1310</v>
      </c>
      <c r="J25" s="3243"/>
      <c r="K25" s="3243"/>
      <c r="L25" s="3243"/>
    </row>
    <row r="26" spans="2:12" x14ac:dyDescent="0.25">
      <c r="B26" s="3244" t="s">
        <v>497</v>
      </c>
      <c r="C26" s="3244"/>
      <c r="D26" s="3244"/>
      <c r="E26" s="3244"/>
      <c r="F26" s="3244"/>
      <c r="G26" s="3244"/>
      <c r="I26" s="3245" t="s">
        <v>497</v>
      </c>
      <c r="J26" s="3245"/>
      <c r="K26" s="3245"/>
      <c r="L26" s="3245"/>
    </row>
    <row r="27" spans="2:12" x14ac:dyDescent="0.25">
      <c r="B27" s="848"/>
      <c r="C27" s="849"/>
      <c r="D27" s="849"/>
      <c r="E27" s="850"/>
      <c r="F27" s="849"/>
      <c r="G27" s="849"/>
    </row>
    <row r="28" spans="2:12" x14ac:dyDescent="0.25">
      <c r="B28" s="851" t="s">
        <v>1065</v>
      </c>
      <c r="C28" s="852" t="s">
        <v>1311</v>
      </c>
      <c r="D28" s="853" t="s">
        <v>1295</v>
      </c>
      <c r="E28" s="854" t="s">
        <v>1066</v>
      </c>
      <c r="F28" s="852" t="s">
        <v>1311</v>
      </c>
      <c r="G28" s="853" t="s">
        <v>1295</v>
      </c>
      <c r="I28" s="855"/>
      <c r="J28" s="856"/>
      <c r="K28" s="856"/>
      <c r="L28" s="857"/>
    </row>
    <row r="29" spans="2:12" x14ac:dyDescent="0.25">
      <c r="B29" s="858" t="s">
        <v>1067</v>
      </c>
      <c r="C29" s="859"/>
      <c r="D29" s="860"/>
      <c r="E29" s="858" t="s">
        <v>1068</v>
      </c>
      <c r="F29" s="849"/>
      <c r="G29" s="861"/>
      <c r="I29" s="306"/>
      <c r="J29" s="299"/>
      <c r="K29" s="862" t="s">
        <v>1311</v>
      </c>
      <c r="L29" s="863"/>
    </row>
    <row r="30" spans="2:12" x14ac:dyDescent="0.25">
      <c r="B30" s="864" t="s">
        <v>397</v>
      </c>
      <c r="C30" s="865">
        <v>3000</v>
      </c>
      <c r="D30" s="860">
        <v>5000</v>
      </c>
      <c r="E30" s="864" t="s">
        <v>404</v>
      </c>
      <c r="F30" s="865">
        <v>14000</v>
      </c>
      <c r="G30" s="860">
        <v>20000</v>
      </c>
      <c r="I30" s="306"/>
      <c r="J30" s="866" t="s">
        <v>1297</v>
      </c>
      <c r="K30" s="867">
        <v>80000</v>
      </c>
      <c r="L30" s="863"/>
    </row>
    <row r="31" spans="2:12" ht="18" x14ac:dyDescent="0.25">
      <c r="B31" s="864" t="s">
        <v>403</v>
      </c>
      <c r="C31" s="865">
        <v>22000</v>
      </c>
      <c r="D31" s="868">
        <v>20000</v>
      </c>
      <c r="E31" s="864" t="s">
        <v>1298</v>
      </c>
      <c r="F31" s="869">
        <v>20000</v>
      </c>
      <c r="G31" s="877">
        <v>26000</v>
      </c>
      <c r="I31" s="306"/>
      <c r="J31" s="866" t="s">
        <v>1299</v>
      </c>
      <c r="K31" s="867">
        <v>-45000</v>
      </c>
      <c r="L31" s="863"/>
    </row>
    <row r="32" spans="2:12" ht="18" x14ac:dyDescent="0.25">
      <c r="B32" s="864" t="s">
        <v>19</v>
      </c>
      <c r="C32" s="869">
        <v>18000</v>
      </c>
      <c r="D32" s="871">
        <v>15000</v>
      </c>
      <c r="E32" s="872" t="s">
        <v>1072</v>
      </c>
      <c r="F32" s="873">
        <f>+SUM(F30:F31)</f>
        <v>34000</v>
      </c>
      <c r="G32" s="874">
        <f>+G30+G31</f>
        <v>46000</v>
      </c>
      <c r="I32" s="306"/>
      <c r="J32" s="875" t="s">
        <v>1300</v>
      </c>
      <c r="K32" s="876">
        <f>+K30+K31</f>
        <v>35000</v>
      </c>
      <c r="L32" s="863"/>
    </row>
    <row r="33" spans="2:12" x14ac:dyDescent="0.25">
      <c r="B33" s="872" t="s">
        <v>1073</v>
      </c>
      <c r="C33" s="873">
        <f>+SUM(C30:C32)</f>
        <v>43000</v>
      </c>
      <c r="D33" s="874">
        <f>+SUM(D30:D32)</f>
        <v>40000</v>
      </c>
      <c r="E33" s="864"/>
      <c r="F33" s="865"/>
      <c r="G33" s="860"/>
      <c r="I33" s="306"/>
      <c r="J33" s="866" t="s">
        <v>1301</v>
      </c>
      <c r="K33" s="867">
        <v>-16000</v>
      </c>
      <c r="L33" s="863"/>
    </row>
    <row r="34" spans="2:12" x14ac:dyDescent="0.25">
      <c r="B34" s="864"/>
      <c r="C34" s="873"/>
      <c r="D34" s="874"/>
      <c r="E34" s="858" t="s">
        <v>1228</v>
      </c>
      <c r="F34" s="865"/>
      <c r="G34" s="860"/>
      <c r="I34" s="306"/>
      <c r="J34" s="866" t="s">
        <v>1302</v>
      </c>
      <c r="K34" s="867">
        <v>-5000</v>
      </c>
      <c r="L34" s="863"/>
    </row>
    <row r="35" spans="2:12" ht="18" x14ac:dyDescent="0.25">
      <c r="B35" s="858" t="s">
        <v>1074</v>
      </c>
      <c r="C35" s="865"/>
      <c r="D35" s="860"/>
      <c r="E35" s="864" t="s">
        <v>1303</v>
      </c>
      <c r="F35" s="869">
        <v>68000</v>
      </c>
      <c r="G35" s="877">
        <v>80000</v>
      </c>
      <c r="I35" s="306"/>
      <c r="J35" s="875" t="s">
        <v>1304</v>
      </c>
      <c r="K35" s="876">
        <f>+K32+K33+K34</f>
        <v>14000</v>
      </c>
      <c r="L35" s="863"/>
    </row>
    <row r="36" spans="2:12" x14ac:dyDescent="0.25">
      <c r="B36" s="864" t="s">
        <v>4</v>
      </c>
      <c r="C36" s="865">
        <v>100000</v>
      </c>
      <c r="D36" s="868">
        <v>100000</v>
      </c>
      <c r="E36" s="872" t="s">
        <v>1162</v>
      </c>
      <c r="F36" s="873">
        <f>+F35</f>
        <v>68000</v>
      </c>
      <c r="G36" s="874">
        <f>+G35</f>
        <v>80000</v>
      </c>
      <c r="I36" s="306"/>
      <c r="J36" s="866" t="s">
        <v>1305</v>
      </c>
      <c r="K36" s="867">
        <v>-3000</v>
      </c>
      <c r="L36" s="863"/>
    </row>
    <row r="37" spans="2:12" x14ac:dyDescent="0.25">
      <c r="B37" s="864" t="s">
        <v>26</v>
      </c>
      <c r="C37" s="865">
        <v>70000</v>
      </c>
      <c r="D37" s="860">
        <v>70000</v>
      </c>
      <c r="E37" s="878" t="s">
        <v>1075</v>
      </c>
      <c r="F37" s="879"/>
      <c r="G37" s="880"/>
      <c r="I37" s="306"/>
      <c r="J37" s="875" t="s">
        <v>1306</v>
      </c>
      <c r="K37" s="876">
        <f>+K35+K36</f>
        <v>11000</v>
      </c>
      <c r="L37" s="863"/>
    </row>
    <row r="38" spans="2:12" ht="18" x14ac:dyDescent="0.25">
      <c r="B38" s="864" t="s">
        <v>1307</v>
      </c>
      <c r="C38" s="881">
        <v>-42000</v>
      </c>
      <c r="D38" s="881">
        <v>-26000</v>
      </c>
      <c r="E38" s="864" t="s">
        <v>441</v>
      </c>
      <c r="F38" s="865">
        <v>60000</v>
      </c>
      <c r="G38" s="860">
        <v>60000</v>
      </c>
      <c r="I38" s="313"/>
      <c r="J38" s="882"/>
      <c r="K38" s="882"/>
      <c r="L38" s="883"/>
    </row>
    <row r="39" spans="2:12" x14ac:dyDescent="0.25">
      <c r="B39" s="872" t="s">
        <v>1077</v>
      </c>
      <c r="C39" s="873">
        <f>+SUM(C36:C38)</f>
        <v>128000</v>
      </c>
      <c r="D39" s="874">
        <f>+SUM(D36:D38)</f>
        <v>144000</v>
      </c>
      <c r="E39" s="864" t="s">
        <v>1308</v>
      </c>
      <c r="F39" s="865">
        <v>4000</v>
      </c>
      <c r="G39" s="868">
        <v>4000</v>
      </c>
    </row>
    <row r="40" spans="2:12" ht="18" x14ac:dyDescent="0.25">
      <c r="B40" s="864"/>
      <c r="C40" s="865"/>
      <c r="D40" s="860"/>
      <c r="E40" s="864" t="s">
        <v>534</v>
      </c>
      <c r="F40" s="884">
        <v>5000</v>
      </c>
      <c r="G40" s="885">
        <v>-6000</v>
      </c>
    </row>
    <row r="41" spans="2:12" x14ac:dyDescent="0.25">
      <c r="B41" s="864"/>
      <c r="C41" s="886"/>
      <c r="D41" s="887"/>
      <c r="E41" s="888" t="s">
        <v>570</v>
      </c>
      <c r="F41" s="889">
        <f>+SUM(F38:F40)</f>
        <v>69000</v>
      </c>
      <c r="G41" s="890">
        <f>+SUM(G38:G40)</f>
        <v>58000</v>
      </c>
    </row>
    <row r="42" spans="2:12" x14ac:dyDescent="0.25">
      <c r="B42" s="891" t="s">
        <v>427</v>
      </c>
      <c r="C42" s="892">
        <f>+C33+C39</f>
        <v>171000</v>
      </c>
      <c r="D42" s="893">
        <f>+D33+D39</f>
        <v>184000</v>
      </c>
      <c r="E42" s="891" t="s">
        <v>1078</v>
      </c>
      <c r="F42" s="892">
        <f>+F41+F36+F32</f>
        <v>171000</v>
      </c>
      <c r="G42" s="893">
        <f>+G41+G36+G32</f>
        <v>184000</v>
      </c>
    </row>
  </sheetData>
  <mergeCells count="16">
    <mergeCell ref="B2:G2"/>
    <mergeCell ref="I2:L2"/>
    <mergeCell ref="B3:G3"/>
    <mergeCell ref="I3:L3"/>
    <mergeCell ref="B4:G4"/>
    <mergeCell ref="I4:L4"/>
    <mergeCell ref="B25:G25"/>
    <mergeCell ref="I25:L25"/>
    <mergeCell ref="B26:G26"/>
    <mergeCell ref="I26:L26"/>
    <mergeCell ref="B5:G5"/>
    <mergeCell ref="I5:L5"/>
    <mergeCell ref="B23:G23"/>
    <mergeCell ref="I23:L23"/>
    <mergeCell ref="B24:G24"/>
    <mergeCell ref="I24:L24"/>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2:T35"/>
  <sheetViews>
    <sheetView view="pageBreakPreview" zoomScale="60" zoomScaleNormal="100" workbookViewId="0">
      <selection activeCell="L210" sqref="J210:P210"/>
    </sheetView>
  </sheetViews>
  <sheetFormatPr baseColWidth="10" defaultColWidth="11.42578125" defaultRowHeight="15.75" x14ac:dyDescent="0.25"/>
  <cols>
    <col min="1" max="1" width="11.42578125" style="691"/>
    <col min="2" max="2" width="3.42578125" style="691" customWidth="1"/>
    <col min="3" max="3" width="44.7109375" style="691" bestFit="1" customWidth="1"/>
    <col min="4" max="4" width="11.28515625" style="691" bestFit="1" customWidth="1"/>
    <col min="5" max="5" width="4.7109375" style="934" bestFit="1" customWidth="1"/>
    <col min="6" max="6" width="11.28515625" style="691" bestFit="1" customWidth="1"/>
    <col min="7" max="7" width="4.140625" style="691" customWidth="1"/>
    <col min="8" max="8" width="11.42578125" style="691"/>
    <col min="9" max="9" width="2.7109375" style="691" customWidth="1"/>
    <col min="10" max="10" width="51.42578125" style="691" bestFit="1" customWidth="1"/>
    <col min="11" max="11" width="11.42578125" style="691"/>
    <col min="12" max="12" width="2.42578125" style="691" customWidth="1"/>
    <col min="13" max="13" width="11.42578125" style="691"/>
    <col min="14" max="14" width="3.42578125" style="691" customWidth="1"/>
    <col min="15" max="15" width="25.7109375" style="691" bestFit="1" customWidth="1"/>
    <col min="16" max="19" width="13.7109375" style="691" customWidth="1"/>
    <col min="20" max="20" width="3" style="691" customWidth="1"/>
    <col min="21" max="16384" width="11.42578125" style="691"/>
  </cols>
  <sheetData>
    <row r="2" spans="2:20" x14ac:dyDescent="0.25">
      <c r="B2" s="855"/>
      <c r="C2" s="3249" t="s">
        <v>1312</v>
      </c>
      <c r="D2" s="3249"/>
      <c r="E2" s="3249"/>
      <c r="F2" s="3249"/>
      <c r="G2" s="857"/>
      <c r="I2" s="855"/>
      <c r="J2" s="3249" t="s">
        <v>1312</v>
      </c>
      <c r="K2" s="3249"/>
      <c r="L2" s="857"/>
      <c r="N2" s="855"/>
      <c r="O2" s="3249" t="s">
        <v>1312</v>
      </c>
      <c r="P2" s="3249"/>
      <c r="Q2" s="3249"/>
      <c r="R2" s="3249"/>
      <c r="S2" s="3249"/>
      <c r="T2" s="857"/>
    </row>
    <row r="3" spans="2:20" x14ac:dyDescent="0.25">
      <c r="B3" s="306"/>
      <c r="C3" s="3250" t="s">
        <v>422</v>
      </c>
      <c r="D3" s="3250"/>
      <c r="E3" s="3250"/>
      <c r="F3" s="3250"/>
      <c r="G3" s="863"/>
      <c r="I3" s="306"/>
      <c r="J3" s="3250" t="s">
        <v>413</v>
      </c>
      <c r="K3" s="3250"/>
      <c r="L3" s="863"/>
      <c r="N3" s="306"/>
      <c r="O3" s="3250" t="s">
        <v>495</v>
      </c>
      <c r="P3" s="3250"/>
      <c r="Q3" s="3250"/>
      <c r="R3" s="3250"/>
      <c r="S3" s="3250"/>
      <c r="T3" s="863"/>
    </row>
    <row r="4" spans="2:20" x14ac:dyDescent="0.25">
      <c r="B4" s="306"/>
      <c r="C4" s="3247" t="s">
        <v>1313</v>
      </c>
      <c r="D4" s="3247"/>
      <c r="E4" s="3247"/>
      <c r="F4" s="3247"/>
      <c r="G4" s="863"/>
      <c r="I4" s="306"/>
      <c r="J4" s="3247" t="s">
        <v>1314</v>
      </c>
      <c r="K4" s="3247"/>
      <c r="L4" s="863"/>
      <c r="N4" s="306"/>
      <c r="O4" s="3247" t="s">
        <v>1314</v>
      </c>
      <c r="P4" s="3247"/>
      <c r="Q4" s="3247"/>
      <c r="R4" s="3247"/>
      <c r="S4" s="3247"/>
      <c r="T4" s="863"/>
    </row>
    <row r="5" spans="2:20" x14ac:dyDescent="0.25">
      <c r="B5" s="306"/>
      <c r="C5" s="3248" t="s">
        <v>497</v>
      </c>
      <c r="D5" s="3248"/>
      <c r="E5" s="3248"/>
      <c r="F5" s="3248"/>
      <c r="G5" s="863"/>
      <c r="I5" s="306"/>
      <c r="J5" s="3248" t="s">
        <v>497</v>
      </c>
      <c r="K5" s="3248"/>
      <c r="L5" s="863"/>
      <c r="N5" s="306"/>
      <c r="O5" s="3248" t="s">
        <v>497</v>
      </c>
      <c r="P5" s="3248"/>
      <c r="Q5" s="3248"/>
      <c r="R5" s="3248"/>
      <c r="S5" s="3248"/>
      <c r="T5" s="863"/>
    </row>
    <row r="6" spans="2:20" x14ac:dyDescent="0.25">
      <c r="B6" s="306"/>
      <c r="C6" s="896"/>
      <c r="D6" s="897">
        <v>2011</v>
      </c>
      <c r="E6" s="898"/>
      <c r="F6" s="897">
        <v>2010</v>
      </c>
      <c r="G6" s="863"/>
      <c r="I6" s="306"/>
      <c r="J6" s="299"/>
      <c r="K6" s="899">
        <v>2011</v>
      </c>
      <c r="L6" s="863"/>
      <c r="N6" s="306"/>
      <c r="O6" s="299"/>
      <c r="P6" s="299"/>
      <c r="Q6" s="299"/>
      <c r="R6" s="299"/>
      <c r="S6" s="299"/>
      <c r="T6" s="863"/>
    </row>
    <row r="7" spans="2:20" x14ac:dyDescent="0.25">
      <c r="B7" s="306"/>
      <c r="C7" s="900" t="s">
        <v>1065</v>
      </c>
      <c r="D7" s="900"/>
      <c r="E7" s="901"/>
      <c r="F7" s="900"/>
      <c r="G7" s="863"/>
      <c r="I7" s="306"/>
      <c r="J7" s="902" t="s">
        <v>3</v>
      </c>
      <c r="K7" s="867">
        <v>643000</v>
      </c>
      <c r="L7" s="863"/>
      <c r="N7" s="306"/>
      <c r="O7" s="903"/>
      <c r="P7" s="903" t="s">
        <v>1315</v>
      </c>
      <c r="Q7" s="903" t="s">
        <v>1308</v>
      </c>
      <c r="R7" s="903" t="s">
        <v>1148</v>
      </c>
      <c r="S7" s="903" t="s">
        <v>305</v>
      </c>
      <c r="T7" s="863"/>
    </row>
    <row r="8" spans="2:20" x14ac:dyDescent="0.25">
      <c r="B8" s="306"/>
      <c r="C8" s="904" t="s">
        <v>1067</v>
      </c>
      <c r="D8" s="900"/>
      <c r="E8" s="901"/>
      <c r="F8" s="900"/>
      <c r="G8" s="863"/>
      <c r="I8" s="306"/>
      <c r="J8" s="902" t="s">
        <v>1316</v>
      </c>
      <c r="K8" s="867">
        <v>-294000</v>
      </c>
      <c r="L8" s="863"/>
      <c r="N8" s="306"/>
      <c r="O8" s="905" t="s">
        <v>511</v>
      </c>
      <c r="P8" s="906">
        <v>2000000</v>
      </c>
      <c r="Q8" s="906">
        <v>75020</v>
      </c>
      <c r="R8" s="906">
        <v>300080</v>
      </c>
      <c r="S8" s="906">
        <v>2375100</v>
      </c>
      <c r="T8" s="863"/>
    </row>
    <row r="9" spans="2:20" x14ac:dyDescent="0.25">
      <c r="B9" s="306"/>
      <c r="C9" s="907" t="s">
        <v>397</v>
      </c>
      <c r="D9" s="908">
        <f>133000+40000</f>
        <v>173000</v>
      </c>
      <c r="E9" s="909"/>
      <c r="F9" s="908">
        <v>154500</v>
      </c>
      <c r="G9" s="863"/>
      <c r="I9" s="306"/>
      <c r="J9" s="910" t="s">
        <v>414</v>
      </c>
      <c r="K9" s="911">
        <f>+K7+K8</f>
        <v>349000</v>
      </c>
      <c r="L9" s="863"/>
      <c r="N9" s="306"/>
      <c r="O9" s="912" t="s">
        <v>1317</v>
      </c>
      <c r="P9" s="913"/>
      <c r="Q9" s="913"/>
      <c r="R9" s="913"/>
      <c r="S9" s="913"/>
      <c r="T9" s="863"/>
    </row>
    <row r="10" spans="2:20" x14ac:dyDescent="0.25">
      <c r="B10" s="306"/>
      <c r="C10" s="907" t="s">
        <v>1085</v>
      </c>
      <c r="D10" s="908">
        <v>77500</v>
      </c>
      <c r="E10" s="909"/>
      <c r="F10" s="908">
        <v>95000</v>
      </c>
      <c r="G10" s="863"/>
      <c r="I10" s="306"/>
      <c r="J10" s="902" t="s">
        <v>1318</v>
      </c>
      <c r="K10" s="867">
        <v>-118200</v>
      </c>
      <c r="L10" s="863"/>
      <c r="N10" s="306"/>
      <c r="O10" s="914" t="s">
        <v>1319</v>
      </c>
      <c r="P10" s="915">
        <v>0</v>
      </c>
      <c r="Q10" s="915">
        <v>15000</v>
      </c>
      <c r="R10" s="916">
        <v>-15000</v>
      </c>
      <c r="S10" s="916">
        <v>0</v>
      </c>
      <c r="T10" s="863"/>
    </row>
    <row r="11" spans="2:20" x14ac:dyDescent="0.25">
      <c r="B11" s="306"/>
      <c r="C11" s="907" t="s">
        <v>403</v>
      </c>
      <c r="D11" s="908">
        <v>90400</v>
      </c>
      <c r="E11" s="909" t="s">
        <v>1320</v>
      </c>
      <c r="F11" s="908">
        <v>183000</v>
      </c>
      <c r="G11" s="863"/>
      <c r="I11" s="306"/>
      <c r="J11" s="902" t="s">
        <v>1321</v>
      </c>
      <c r="K11" s="867">
        <v>-67900</v>
      </c>
      <c r="L11" s="863"/>
      <c r="N11" s="306"/>
      <c r="O11" s="917" t="s">
        <v>1322</v>
      </c>
      <c r="P11" s="918">
        <v>0</v>
      </c>
      <c r="Q11" s="918">
        <v>0</v>
      </c>
      <c r="R11" s="919">
        <v>-34900</v>
      </c>
      <c r="S11" s="919">
        <v>-34900</v>
      </c>
      <c r="T11" s="863"/>
    </row>
    <row r="12" spans="2:20" x14ac:dyDescent="0.25">
      <c r="B12" s="306"/>
      <c r="C12" s="907" t="s">
        <v>19</v>
      </c>
      <c r="D12" s="908">
        <v>225500</v>
      </c>
      <c r="E12" s="909"/>
      <c r="F12" s="908">
        <v>200000</v>
      </c>
      <c r="G12" s="863"/>
      <c r="I12" s="306"/>
      <c r="J12" s="902" t="s">
        <v>1323</v>
      </c>
      <c r="K12" s="867">
        <v>40000</v>
      </c>
      <c r="L12" s="863"/>
      <c r="N12" s="306"/>
      <c r="O12" s="905" t="s">
        <v>1281</v>
      </c>
      <c r="P12" s="906">
        <v>100000</v>
      </c>
      <c r="Q12" s="906">
        <v>0</v>
      </c>
      <c r="R12" s="906">
        <v>0</v>
      </c>
      <c r="S12" s="906">
        <v>100000</v>
      </c>
      <c r="T12" s="863"/>
    </row>
    <row r="13" spans="2:20" ht="16.5" thickBot="1" x14ac:dyDescent="0.3">
      <c r="B13" s="306"/>
      <c r="C13" s="910" t="s">
        <v>1073</v>
      </c>
      <c r="D13" s="920">
        <f>+SUM(D9:D12)</f>
        <v>566400</v>
      </c>
      <c r="E13" s="909"/>
      <c r="F13" s="920">
        <f>+SUM(F9:F12)</f>
        <v>632500</v>
      </c>
      <c r="G13" s="863"/>
      <c r="I13" s="306"/>
      <c r="J13" s="910" t="s">
        <v>418</v>
      </c>
      <c r="K13" s="911">
        <f>+SUM(K9:K12)</f>
        <v>202900</v>
      </c>
      <c r="L13" s="863"/>
      <c r="N13" s="306"/>
      <c r="O13" s="921" t="s">
        <v>1324</v>
      </c>
      <c r="P13" s="922">
        <v>0</v>
      </c>
      <c r="Q13" s="922">
        <v>0</v>
      </c>
      <c r="R13" s="922">
        <f>+K18</f>
        <v>111700</v>
      </c>
      <c r="S13" s="922">
        <f>+R13</f>
        <v>111700</v>
      </c>
      <c r="T13" s="863"/>
    </row>
    <row r="14" spans="2:20" x14ac:dyDescent="0.25">
      <c r="B14" s="306"/>
      <c r="C14" s="902"/>
      <c r="D14" s="908"/>
      <c r="E14" s="909"/>
      <c r="F14" s="908"/>
      <c r="G14" s="863"/>
      <c r="I14" s="306"/>
      <c r="J14" s="902" t="s">
        <v>1325</v>
      </c>
      <c r="K14" s="867">
        <v>-25000</v>
      </c>
      <c r="L14" s="863"/>
      <c r="N14" s="306"/>
      <c r="O14" s="923" t="s">
        <v>518</v>
      </c>
      <c r="P14" s="924">
        <v>2100000</v>
      </c>
      <c r="Q14" s="924">
        <v>90020</v>
      </c>
      <c r="R14" s="924">
        <f>+SUM(R8:R13)</f>
        <v>361880</v>
      </c>
      <c r="S14" s="924">
        <f>+SUM(S8:S13)</f>
        <v>2551900</v>
      </c>
      <c r="T14" s="863"/>
    </row>
    <row r="15" spans="2:20" x14ac:dyDescent="0.25">
      <c r="B15" s="306"/>
      <c r="C15" s="904" t="s">
        <v>1074</v>
      </c>
      <c r="D15" s="908"/>
      <c r="E15" s="909"/>
      <c r="F15" s="908"/>
      <c r="G15" s="863"/>
      <c r="I15" s="306"/>
      <c r="J15" s="902" t="s">
        <v>1326</v>
      </c>
      <c r="K15" s="867">
        <f>-15300-17000</f>
        <v>-32300</v>
      </c>
      <c r="L15" s="863"/>
      <c r="N15" s="313"/>
      <c r="O15" s="882"/>
      <c r="P15" s="882"/>
      <c r="Q15" s="882"/>
      <c r="R15" s="882"/>
      <c r="S15" s="882"/>
      <c r="T15" s="883"/>
    </row>
    <row r="16" spans="2:20" x14ac:dyDescent="0.25">
      <c r="B16" s="306"/>
      <c r="C16" s="907" t="s">
        <v>53</v>
      </c>
      <c r="D16" s="908">
        <f>1850000-262500</f>
        <v>1587500</v>
      </c>
      <c r="E16" s="909" t="s">
        <v>1327</v>
      </c>
      <c r="F16" s="908">
        <f>1960000-205000</f>
        <v>1755000</v>
      </c>
      <c r="G16" s="863"/>
      <c r="I16" s="306"/>
      <c r="J16" s="910" t="s">
        <v>1328</v>
      </c>
      <c r="K16" s="911">
        <f>+SUM(K13:K15)</f>
        <v>145600</v>
      </c>
      <c r="L16" s="863"/>
      <c r="R16" s="925"/>
    </row>
    <row r="17" spans="2:13" x14ac:dyDescent="0.25">
      <c r="B17" s="306"/>
      <c r="C17" s="907" t="s">
        <v>794</v>
      </c>
      <c r="D17" s="908">
        <f>175000-3000</f>
        <v>172000</v>
      </c>
      <c r="E17" s="909" t="s">
        <v>1327</v>
      </c>
      <c r="F17" s="908">
        <f>229000-2400</f>
        <v>226600</v>
      </c>
      <c r="G17" s="863"/>
      <c r="I17" s="306"/>
      <c r="J17" s="902" t="s">
        <v>1329</v>
      </c>
      <c r="K17" s="867">
        <v>-33900</v>
      </c>
      <c r="L17" s="863"/>
      <c r="M17" s="926"/>
    </row>
    <row r="18" spans="2:13" ht="16.5" thickBot="1" x14ac:dyDescent="0.3">
      <c r="B18" s="306"/>
      <c r="C18" s="907" t="s">
        <v>681</v>
      </c>
      <c r="D18" s="908">
        <v>375000</v>
      </c>
      <c r="E18" s="909"/>
      <c r="F18" s="908">
        <v>105000</v>
      </c>
      <c r="G18" s="863"/>
      <c r="I18" s="306"/>
      <c r="J18" s="910" t="s">
        <v>1330</v>
      </c>
      <c r="K18" s="927">
        <f>+SUM(K16:K17)</f>
        <v>111700</v>
      </c>
      <c r="L18" s="863"/>
    </row>
    <row r="19" spans="2:13" ht="16.5" thickTop="1" x14ac:dyDescent="0.25">
      <c r="B19" s="306"/>
      <c r="C19" s="910" t="s">
        <v>1077</v>
      </c>
      <c r="D19" s="920">
        <f>+SUM(D16:D18)</f>
        <v>2134500</v>
      </c>
      <c r="E19" s="909"/>
      <c r="F19" s="920">
        <f>+SUM(F16:F18)</f>
        <v>2086600</v>
      </c>
      <c r="G19" s="863"/>
      <c r="I19" s="313"/>
      <c r="J19" s="882"/>
      <c r="K19" s="882"/>
      <c r="L19" s="883"/>
    </row>
    <row r="20" spans="2:13" x14ac:dyDescent="0.25">
      <c r="B20" s="306"/>
      <c r="C20" s="410"/>
      <c r="D20" s="908"/>
      <c r="E20" s="909"/>
      <c r="F20" s="908"/>
      <c r="G20" s="863"/>
    </row>
    <row r="21" spans="2:13" ht="16.5" thickBot="1" x14ac:dyDescent="0.3">
      <c r="B21" s="306"/>
      <c r="C21" s="900" t="s">
        <v>1331</v>
      </c>
      <c r="D21" s="928">
        <f>+D19+D13</f>
        <v>2700900</v>
      </c>
      <c r="E21" s="929"/>
      <c r="F21" s="928">
        <f>+F19+F13</f>
        <v>2719100</v>
      </c>
      <c r="G21" s="863"/>
    </row>
    <row r="22" spans="2:13" ht="16.5" thickTop="1" x14ac:dyDescent="0.25">
      <c r="B22" s="306"/>
      <c r="C22" s="900"/>
      <c r="D22" s="930"/>
      <c r="E22" s="929"/>
      <c r="F22" s="930"/>
      <c r="G22" s="863"/>
    </row>
    <row r="23" spans="2:13" x14ac:dyDescent="0.25">
      <c r="B23" s="306"/>
      <c r="C23" s="900" t="s">
        <v>1066</v>
      </c>
      <c r="D23" s="930"/>
      <c r="E23" s="929"/>
      <c r="F23" s="930"/>
      <c r="G23" s="863"/>
    </row>
    <row r="24" spans="2:13" x14ac:dyDescent="0.25">
      <c r="B24" s="306"/>
      <c r="C24" s="931" t="s">
        <v>1068</v>
      </c>
      <c r="D24" s="930"/>
      <c r="E24" s="929"/>
      <c r="F24" s="930"/>
      <c r="G24" s="863"/>
    </row>
    <row r="25" spans="2:13" x14ac:dyDescent="0.25">
      <c r="B25" s="306"/>
      <c r="C25" s="410" t="s">
        <v>404</v>
      </c>
      <c r="D25" s="908">
        <v>55000</v>
      </c>
      <c r="E25" s="909"/>
      <c r="F25" s="908">
        <v>129000</v>
      </c>
      <c r="G25" s="863"/>
    </row>
    <row r="26" spans="2:13" x14ac:dyDescent="0.25">
      <c r="B26" s="306"/>
      <c r="C26" s="410" t="s">
        <v>399</v>
      </c>
      <c r="D26" s="908">
        <v>0</v>
      </c>
      <c r="E26" s="909"/>
      <c r="F26" s="908">
        <v>2000</v>
      </c>
      <c r="G26" s="863"/>
    </row>
    <row r="27" spans="2:13" x14ac:dyDescent="0.25">
      <c r="B27" s="306"/>
      <c r="C27" s="410" t="s">
        <v>1332</v>
      </c>
      <c r="D27" s="908">
        <v>74000</v>
      </c>
      <c r="E27" s="909"/>
      <c r="F27" s="908">
        <v>213000</v>
      </c>
      <c r="G27" s="863"/>
    </row>
    <row r="28" spans="2:13" x14ac:dyDescent="0.25">
      <c r="B28" s="306"/>
      <c r="C28" s="410" t="s">
        <v>1092</v>
      </c>
      <c r="D28" s="908">
        <v>20000</v>
      </c>
      <c r="E28" s="909"/>
      <c r="F28" s="908">
        <v>0</v>
      </c>
      <c r="G28" s="863"/>
    </row>
    <row r="29" spans="2:13" x14ac:dyDescent="0.25">
      <c r="B29" s="306"/>
      <c r="C29" s="900" t="s">
        <v>1072</v>
      </c>
      <c r="D29" s="920">
        <f>+SUM(D25:D28)</f>
        <v>149000</v>
      </c>
      <c r="E29" s="929"/>
      <c r="F29" s="920">
        <f>+SUM(F25:F28)</f>
        <v>344000</v>
      </c>
      <c r="G29" s="863"/>
    </row>
    <row r="30" spans="2:13" x14ac:dyDescent="0.25">
      <c r="B30" s="306"/>
      <c r="C30" s="299"/>
      <c r="D30" s="299"/>
      <c r="E30" s="299"/>
      <c r="F30" s="299"/>
      <c r="G30" s="863"/>
    </row>
    <row r="31" spans="2:13" x14ac:dyDescent="0.25">
      <c r="B31" s="306"/>
      <c r="C31" s="900" t="s">
        <v>1333</v>
      </c>
      <c r="D31" s="299"/>
      <c r="E31" s="299"/>
      <c r="F31" s="299"/>
      <c r="G31" s="863"/>
    </row>
    <row r="32" spans="2:13" x14ac:dyDescent="0.25">
      <c r="B32" s="306"/>
      <c r="C32" s="932" t="s">
        <v>1076</v>
      </c>
      <c r="D32" s="920">
        <f>+S14</f>
        <v>2551900</v>
      </c>
      <c r="E32" s="929"/>
      <c r="F32" s="920">
        <v>2375100</v>
      </c>
      <c r="G32" s="863"/>
    </row>
    <row r="33" spans="2:7" x14ac:dyDescent="0.25">
      <c r="B33" s="306"/>
      <c r="C33" s="299"/>
      <c r="D33" s="299"/>
      <c r="E33" s="299"/>
      <c r="F33" s="299"/>
      <c r="G33" s="863"/>
    </row>
    <row r="34" spans="2:7" ht="16.5" thickBot="1" x14ac:dyDescent="0.3">
      <c r="B34" s="306"/>
      <c r="C34" s="900" t="s">
        <v>1334</v>
      </c>
      <c r="D34" s="928">
        <f>+D32+D29</f>
        <v>2700900</v>
      </c>
      <c r="E34" s="929"/>
      <c r="F34" s="928">
        <f>+F32+F29</f>
        <v>2719100</v>
      </c>
      <c r="G34" s="863"/>
    </row>
    <row r="35" spans="2:7" ht="16.5" thickTop="1" x14ac:dyDescent="0.25">
      <c r="B35" s="313"/>
      <c r="C35" s="882"/>
      <c r="D35" s="882"/>
      <c r="E35" s="933"/>
      <c r="F35" s="882"/>
      <c r="G35" s="883"/>
    </row>
  </sheetData>
  <mergeCells count="12">
    <mergeCell ref="C2:F2"/>
    <mergeCell ref="J2:K2"/>
    <mergeCell ref="O2:S2"/>
    <mergeCell ref="C3:F3"/>
    <mergeCell ref="J3:K3"/>
    <mergeCell ref="O3:S3"/>
    <mergeCell ref="C4:F4"/>
    <mergeCell ref="J4:K4"/>
    <mergeCell ref="O4:S4"/>
    <mergeCell ref="C5:F5"/>
    <mergeCell ref="J5:K5"/>
    <mergeCell ref="O5:S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4</vt:i4>
      </vt:variant>
    </vt:vector>
  </HeadingPairs>
  <TitlesOfParts>
    <vt:vector size="39" baseType="lpstr">
      <vt:lpstr>Indice</vt:lpstr>
      <vt:lpstr>U2</vt:lpstr>
      <vt:lpstr>Hoja1</vt:lpstr>
      <vt:lpstr>U3</vt:lpstr>
      <vt:lpstr>U4</vt:lpstr>
      <vt:lpstr>Verde</vt:lpstr>
      <vt:lpstr>Azul</vt:lpstr>
      <vt:lpstr>Violeta</vt:lpstr>
      <vt:lpstr>U5</vt:lpstr>
      <vt:lpstr>Hoja2</vt:lpstr>
      <vt:lpstr>U6.1</vt:lpstr>
      <vt:lpstr>U6.2</vt:lpstr>
      <vt:lpstr>Seul</vt:lpstr>
      <vt:lpstr>HongKong</vt:lpstr>
      <vt:lpstr>U7.1</vt:lpstr>
      <vt:lpstr>Surf</vt:lpstr>
      <vt:lpstr>Polo</vt:lpstr>
      <vt:lpstr>U7.2</vt:lpstr>
      <vt:lpstr>Balances CostoProd</vt:lpstr>
      <vt:lpstr>U8.1</vt:lpstr>
      <vt:lpstr>EEPN</vt:lpstr>
      <vt:lpstr>U8-3y4</vt:lpstr>
      <vt:lpstr>Patagonia</vt:lpstr>
      <vt:lpstr>Puna</vt:lpstr>
      <vt:lpstr>U8-2y5</vt:lpstr>
      <vt:lpstr>Chacarera</vt:lpstr>
      <vt:lpstr>Chamame</vt:lpstr>
      <vt:lpstr>Carnavalito</vt:lpstr>
      <vt:lpstr>Zamba</vt:lpstr>
      <vt:lpstr>U9</vt:lpstr>
      <vt:lpstr>Elefantes</vt:lpstr>
      <vt:lpstr>MAMUT</vt:lpstr>
      <vt:lpstr>Hipopótamos</vt:lpstr>
      <vt:lpstr>Rinocerontes</vt:lpstr>
      <vt:lpstr>Bisontes</vt:lpstr>
      <vt:lpstr>Seul!Área_de_impresión</vt:lpstr>
      <vt:lpstr>U6.1!Área_de_impresión</vt:lpstr>
      <vt:lpstr>Violeta!Área_de_impresión</vt:lpstr>
      <vt:lpstr>Zamba!Área_de_impresión</vt:lpstr>
    </vt:vector>
  </TitlesOfParts>
  <Company>adidas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Fernandez Badino, Luis Pedro [External]</dc:creator>
  <cp:lastModifiedBy>Federico Lopez</cp:lastModifiedBy>
  <cp:lastPrinted>2017-03-03T21:53:58Z</cp:lastPrinted>
  <dcterms:created xsi:type="dcterms:W3CDTF">2015-12-09T01:04:31Z</dcterms:created>
  <dcterms:modified xsi:type="dcterms:W3CDTF">2022-06-24T21:40:35Z</dcterms:modified>
</cp:coreProperties>
</file>