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000000000000000000000000000000000/"/>
    </mc:Choice>
  </mc:AlternateContent>
  <xr:revisionPtr revIDLastSave="10695" documentId="8_{3A650530-0E26-4ED8-83FF-C042FD84D9AA}" xr6:coauthVersionLast="47" xr6:coauthVersionMax="47" xr10:uidLastSave="{04C57D6B-A55F-4D20-9713-5984B9DDA7D9}"/>
  <bookViews>
    <workbookView xWindow="756" yWindow="624" windowWidth="20460" windowHeight="10920" activeTab="3" xr2:uid="{BAA93723-076F-426E-9EB0-3B7FDDD1AF01}"/>
  </bookViews>
  <sheets>
    <sheet name="NOTAS" sheetId="1" r:id="rId1"/>
    <sheet name="INTERES" sheetId="3" r:id="rId2"/>
    <sheet name="BONOS" sheetId="10" r:id="rId3"/>
    <sheet name="PRACTICAS" sheetId="2" r:id="rId4"/>
    <sheet name="P P1" sheetId="7" r:id="rId5"/>
    <sheet name="P P2" sheetId="5" r:id="rId6"/>
    <sheet name="P P3" sheetId="9" r:id="rId7"/>
    <sheet name="P P4" sheetId="1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74" i="2" l="1"/>
  <c r="U82" i="12" l="1"/>
  <c r="S79" i="12" s="1"/>
  <c r="X79" i="12" s="1"/>
  <c r="V82" i="12"/>
  <c r="S80" i="12" s="1"/>
  <c r="X80" i="12" s="1"/>
  <c r="W82" i="12"/>
  <c r="S81" i="12" s="1"/>
  <c r="X81" i="12" s="1"/>
  <c r="T82" i="12"/>
  <c r="S78" i="12" s="1"/>
  <c r="X78" i="12" s="1"/>
  <c r="F877" i="2"/>
  <c r="F878" i="2" s="1"/>
  <c r="F879" i="2" s="1"/>
  <c r="F880" i="2" s="1"/>
  <c r="F884" i="2" s="1"/>
  <c r="L879" i="2"/>
  <c r="L880" i="2"/>
  <c r="L884" i="2" s="1"/>
  <c r="K884" i="2"/>
  <c r="J884" i="2"/>
  <c r="I884" i="2"/>
  <c r="H884" i="2"/>
  <c r="E884" i="2"/>
  <c r="E873" i="2"/>
  <c r="F873" i="2"/>
  <c r="J870" i="2"/>
  <c r="I870" i="2"/>
  <c r="H870" i="2"/>
  <c r="G870" i="2"/>
  <c r="K870" i="2"/>
  <c r="L870" i="2" s="1"/>
  <c r="H868" i="2"/>
  <c r="I868" i="2" s="1"/>
  <c r="G868" i="2"/>
  <c r="J885" i="2" s="1"/>
  <c r="F883" i="2"/>
  <c r="E901" i="2"/>
  <c r="G871" i="2" s="1"/>
  <c r="H871" i="2" s="1"/>
  <c r="I871" i="2" s="1"/>
  <c r="J871" i="2" s="1"/>
  <c r="K871" i="2" s="1"/>
  <c r="L871" i="2" s="1"/>
  <c r="E897" i="2"/>
  <c r="E893" i="2"/>
  <c r="E890" i="2"/>
  <c r="F890" i="2" s="1"/>
  <c r="F882" i="2"/>
  <c r="G882" i="2" s="1"/>
  <c r="E844" i="2"/>
  <c r="E845" i="2"/>
  <c r="E846" i="2"/>
  <c r="E847" i="2"/>
  <c r="E848" i="2"/>
  <c r="E849" i="2"/>
  <c r="E850" i="2"/>
  <c r="E851" i="2"/>
  <c r="E852" i="2"/>
  <c r="E853" i="2"/>
  <c r="E854" i="2"/>
  <c r="E855" i="2"/>
  <c r="E856" i="2"/>
  <c r="E858" i="2"/>
  <c r="E859" i="2"/>
  <c r="E860" i="2"/>
  <c r="E861" i="2"/>
  <c r="E862" i="2"/>
  <c r="E843" i="2"/>
  <c r="D840" i="2"/>
  <c r="D857" i="2" s="1"/>
  <c r="E857" i="2" s="1"/>
  <c r="E812" i="2"/>
  <c r="E813" i="2" s="1"/>
  <c r="E802" i="2"/>
  <c r="E803" i="2" s="1"/>
  <c r="E804" i="2" s="1"/>
  <c r="F801" i="2"/>
  <c r="F812" i="2" s="1"/>
  <c r="J798" i="2"/>
  <c r="J806" i="2" s="1"/>
  <c r="I798" i="2"/>
  <c r="I799" i="2" s="1"/>
  <c r="I807" i="2" s="1"/>
  <c r="H798" i="2"/>
  <c r="G798" i="2"/>
  <c r="G799" i="2" s="1"/>
  <c r="F798" i="2"/>
  <c r="F806" i="2" s="1"/>
  <c r="E781" i="2"/>
  <c r="E786" i="2" s="1"/>
  <c r="G776" i="2"/>
  <c r="H776" i="2"/>
  <c r="F777" i="2"/>
  <c r="F781" i="2" s="1"/>
  <c r="H768" i="2"/>
  <c r="G768" i="2"/>
  <c r="F768" i="2"/>
  <c r="F779" i="2" s="1"/>
  <c r="G779" i="2" s="1"/>
  <c r="H779" i="2" s="1"/>
  <c r="F776" i="2"/>
  <c r="H771" i="2"/>
  <c r="H777" i="2" s="1"/>
  <c r="H781" i="2" s="1"/>
  <c r="H786" i="2" s="1"/>
  <c r="G771" i="2"/>
  <c r="G777" i="2" s="1"/>
  <c r="G781" i="2" s="1"/>
  <c r="G786" i="2" s="1"/>
  <c r="F771" i="2"/>
  <c r="F719" i="2"/>
  <c r="F710" i="2"/>
  <c r="E692" i="2"/>
  <c r="F746" i="2" s="1"/>
  <c r="G681" i="2"/>
  <c r="G675" i="2"/>
  <c r="G682" i="2" s="1"/>
  <c r="G676" i="2"/>
  <c r="G683" i="2" s="1"/>
  <c r="G677" i="2"/>
  <c r="G685" i="2" s="1"/>
  <c r="G673" i="2"/>
  <c r="BK492" i="2"/>
  <c r="BI491" i="2"/>
  <c r="BK491" i="2" s="1"/>
  <c r="BI490" i="2"/>
  <c r="BK490" i="2" s="1"/>
  <c r="BN489" i="2"/>
  <c r="BN490" i="2" s="1"/>
  <c r="BI489" i="2"/>
  <c r="BK489" i="2" s="1"/>
  <c r="BI488" i="2"/>
  <c r="BK488" i="2" s="1"/>
  <c r="BI487" i="2"/>
  <c r="BK487" i="2" s="1"/>
  <c r="BI486" i="2"/>
  <c r="BK486" i="2" s="1"/>
  <c r="BI485" i="2"/>
  <c r="BK485" i="2" s="1"/>
  <c r="BN484" i="2"/>
  <c r="BI484" i="2"/>
  <c r="BK484" i="2" s="1"/>
  <c r="BI483" i="2"/>
  <c r="BK483" i="2" s="1"/>
  <c r="BI482" i="2"/>
  <c r="BK482" i="2" s="1"/>
  <c r="BJ481" i="2"/>
  <c r="BI481" i="2"/>
  <c r="BK481" i="2" s="1"/>
  <c r="BJ480" i="2"/>
  <c r="BI480" i="2"/>
  <c r="BK480" i="2" s="1"/>
  <c r="BJ479" i="2"/>
  <c r="BI479" i="2"/>
  <c r="BJ478" i="2"/>
  <c r="BI478" i="2"/>
  <c r="BK478" i="2" s="1"/>
  <c r="BJ477" i="2"/>
  <c r="BI477" i="2"/>
  <c r="BK477" i="2" s="1"/>
  <c r="BJ476" i="2"/>
  <c r="BI476" i="2"/>
  <c r="BK476" i="2" s="1"/>
  <c r="BJ475" i="2"/>
  <c r="BP489" i="2" s="1"/>
  <c r="BI475" i="2"/>
  <c r="BJ474" i="2"/>
  <c r="BI474" i="2"/>
  <c r="BK474" i="2" s="1"/>
  <c r="BN473" i="2"/>
  <c r="BN474" i="2" s="1"/>
  <c r="BJ473" i="2"/>
  <c r="BI473" i="2"/>
  <c r="BK472" i="2"/>
  <c r="BL550" i="2"/>
  <c r="BL551" i="2" s="1"/>
  <c r="BL549" i="2"/>
  <c r="BL548" i="2"/>
  <c r="BL547" i="2"/>
  <c r="BL546" i="2"/>
  <c r="BL545" i="2"/>
  <c r="BL544" i="2"/>
  <c r="BL543" i="2"/>
  <c r="BL542" i="2"/>
  <c r="BL541" i="2"/>
  <c r="BL540" i="2"/>
  <c r="BL539" i="2"/>
  <c r="BL538" i="2"/>
  <c r="BJ636" i="2"/>
  <c r="BM635" i="2" s="1"/>
  <c r="BM638" i="2" s="1"/>
  <c r="BK610" i="2"/>
  <c r="BK609" i="2"/>
  <c r="BK608" i="2"/>
  <c r="BK607" i="2"/>
  <c r="BK606" i="2"/>
  <c r="BP605" i="2"/>
  <c r="BK605" i="2"/>
  <c r="BP604" i="2"/>
  <c r="BK604" i="2"/>
  <c r="BP603" i="2"/>
  <c r="BK603" i="2"/>
  <c r="BP602" i="2"/>
  <c r="BK602" i="2"/>
  <c r="BJ591" i="2"/>
  <c r="BI586" i="2"/>
  <c r="BI585" i="2"/>
  <c r="BJ584" i="2"/>
  <c r="BI584" i="2"/>
  <c r="BI583" i="2"/>
  <c r="BI582" i="2"/>
  <c r="BJ580" i="2"/>
  <c r="BJ574" i="2"/>
  <c r="BJ575" i="2" s="1"/>
  <c r="BJ573" i="2"/>
  <c r="BK573" i="2" s="1"/>
  <c r="BJ572" i="2"/>
  <c r="BK572" i="2" s="1"/>
  <c r="BJ571" i="2"/>
  <c r="BK571" i="2" s="1"/>
  <c r="X82" i="12" l="1"/>
  <c r="R77" i="12" s="1"/>
  <c r="R82" i="12" s="1"/>
  <c r="G883" i="2"/>
  <c r="H882" i="2"/>
  <c r="F813" i="2"/>
  <c r="G812" i="2"/>
  <c r="J868" i="2"/>
  <c r="H876" i="2"/>
  <c r="E783" i="2"/>
  <c r="F786" i="2"/>
  <c r="F787" i="2" s="1"/>
  <c r="E787" i="2"/>
  <c r="G807" i="2"/>
  <c r="G803" i="2"/>
  <c r="F808" i="2"/>
  <c r="F809" i="2" s="1"/>
  <c r="H803" i="2"/>
  <c r="BP472" i="2"/>
  <c r="BO474" i="2"/>
  <c r="BO490" i="2"/>
  <c r="BP484" i="2"/>
  <c r="F698" i="2"/>
  <c r="F725" i="2"/>
  <c r="G725" i="2" s="1"/>
  <c r="F743" i="2"/>
  <c r="E784" i="2"/>
  <c r="H799" i="2"/>
  <c r="H807" i="2" s="1"/>
  <c r="I803" i="2"/>
  <c r="I806" i="2"/>
  <c r="I808" i="2" s="1"/>
  <c r="BJ582" i="2"/>
  <c r="G684" i="2"/>
  <c r="G727" i="2"/>
  <c r="H806" i="2"/>
  <c r="H808" i="2" s="1"/>
  <c r="H809" i="2" s="1"/>
  <c r="BL554" i="2"/>
  <c r="BP483" i="2"/>
  <c r="J799" i="2"/>
  <c r="J807" i="2" s="1"/>
  <c r="G806" i="2"/>
  <c r="G808" i="2" s="1"/>
  <c r="F876" i="2"/>
  <c r="G876" i="2"/>
  <c r="F711" i="2"/>
  <c r="F696" i="2"/>
  <c r="F712" i="2"/>
  <c r="F697" i="2"/>
  <c r="G697" i="2" s="1"/>
  <c r="G699" i="2" s="1"/>
  <c r="F713" i="2"/>
  <c r="F799" i="2"/>
  <c r="F807" i="2" s="1"/>
  <c r="F803" i="2"/>
  <c r="G873" i="2"/>
  <c r="G874" i="2" s="1"/>
  <c r="J803" i="2"/>
  <c r="E810" i="2"/>
  <c r="E814" i="2" s="1"/>
  <c r="BO488" i="2"/>
  <c r="G869" i="2"/>
  <c r="F747" i="2"/>
  <c r="G698" i="2"/>
  <c r="BO484" i="2"/>
  <c r="BP473" i="2"/>
  <c r="BP488" i="2"/>
  <c r="BK473" i="2"/>
  <c r="BK479" i="2"/>
  <c r="BM640" i="2"/>
  <c r="BM633" i="2" s="1"/>
  <c r="BK642" i="2" s="1"/>
  <c r="BN485" i="2"/>
  <c r="BP611" i="2"/>
  <c r="BP612" i="2" s="1"/>
  <c r="BP613" i="2" s="1"/>
  <c r="BJ623" i="2" s="1"/>
  <c r="BO489" i="2"/>
  <c r="BO473" i="2"/>
  <c r="F726" i="2"/>
  <c r="G726" i="2" s="1"/>
  <c r="H727" i="2" s="1"/>
  <c r="F714" i="2"/>
  <c r="F744" i="2"/>
  <c r="F745" i="2"/>
  <c r="BI494" i="2"/>
  <c r="BN482" i="2" s="1"/>
  <c r="BJ494" i="2"/>
  <c r="BN487" i="2" s="1"/>
  <c r="BO483" i="2"/>
  <c r="BK612" i="2"/>
  <c r="BK613" i="2" s="1"/>
  <c r="BJ622" i="2" s="1"/>
  <c r="BK475" i="2"/>
  <c r="BO472" i="2"/>
  <c r="BP490" i="2"/>
  <c r="BP474" i="2"/>
  <c r="BN475" i="2"/>
  <c r="BN491" i="2"/>
  <c r="BK494" i="2"/>
  <c r="BN476" i="2" s="1"/>
  <c r="BJ586" i="2"/>
  <c r="BK575" i="2"/>
  <c r="BJ585" i="2"/>
  <c r="BK574" i="2"/>
  <c r="BJ583" i="2"/>
  <c r="AG190" i="9"/>
  <c r="AG191" i="9"/>
  <c r="AG192" i="9"/>
  <c r="AG193" i="9"/>
  <c r="AG194" i="9"/>
  <c r="AG195" i="9"/>
  <c r="AG196" i="9"/>
  <c r="AG197" i="9"/>
  <c r="AG198" i="9"/>
  <c r="AG199" i="9"/>
  <c r="AG200" i="9"/>
  <c r="AG201" i="9"/>
  <c r="AG202" i="9"/>
  <c r="AG203" i="9"/>
  <c r="AG204" i="9"/>
  <c r="AG205" i="9"/>
  <c r="AG206" i="9"/>
  <c r="AG207" i="9"/>
  <c r="AG208" i="9"/>
  <c r="AG209" i="9"/>
  <c r="AG210" i="9"/>
  <c r="AG211" i="9"/>
  <c r="AG212"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189" i="9"/>
  <c r="AK539" i="2"/>
  <c r="AN550" i="2" s="1"/>
  <c r="P153" i="9"/>
  <c r="O153" i="9"/>
  <c r="E191" i="9"/>
  <c r="D189" i="9"/>
  <c r="J183" i="9" s="1"/>
  <c r="K183" i="9" s="1"/>
  <c r="N183" i="9" s="1"/>
  <c r="S89" i="12" l="1"/>
  <c r="S90" i="12"/>
  <c r="S91" i="12"/>
  <c r="S92" i="12"/>
  <c r="G878" i="2"/>
  <c r="G804" i="2"/>
  <c r="G810" i="2" s="1"/>
  <c r="G814" i="2" s="1"/>
  <c r="F804" i="2"/>
  <c r="F810" i="2"/>
  <c r="F814" i="2" s="1"/>
  <c r="BK576" i="2"/>
  <c r="K868" i="2"/>
  <c r="I876" i="2"/>
  <c r="H869" i="2"/>
  <c r="G877" i="2"/>
  <c r="I810" i="2"/>
  <c r="I804" i="2"/>
  <c r="G787" i="2"/>
  <c r="H787" i="2" s="1"/>
  <c r="H804" i="2"/>
  <c r="H810" i="2" s="1"/>
  <c r="J810" i="2"/>
  <c r="J804" i="2"/>
  <c r="F715" i="2"/>
  <c r="F717" i="2" s="1"/>
  <c r="G809" i="2"/>
  <c r="I809" i="2"/>
  <c r="J809" i="2"/>
  <c r="H812" i="2"/>
  <c r="G813" i="2"/>
  <c r="H883" i="2"/>
  <c r="I882" i="2"/>
  <c r="AN542" i="2"/>
  <c r="AN541" i="2"/>
  <c r="BP475" i="2"/>
  <c r="BO475" i="2"/>
  <c r="F748" i="2"/>
  <c r="BP491" i="2"/>
  <c r="BO491" i="2"/>
  <c r="BO487" i="2"/>
  <c r="BP487" i="2"/>
  <c r="BO485" i="2"/>
  <c r="BP485" i="2"/>
  <c r="BN486" i="2"/>
  <c r="BP482" i="2"/>
  <c r="BO482" i="2"/>
  <c r="E733" i="2"/>
  <c r="BP476" i="2"/>
  <c r="BO476" i="2"/>
  <c r="BN477" i="2"/>
  <c r="BN492" i="2"/>
  <c r="BJ587" i="2"/>
  <c r="AN544" i="2"/>
  <c r="AN548" i="2"/>
  <c r="AN540" i="2"/>
  <c r="AN537" i="2"/>
  <c r="AN547" i="2"/>
  <c r="AN539" i="2"/>
  <c r="AN549" i="2"/>
  <c r="AN546" i="2"/>
  <c r="AN538" i="2"/>
  <c r="AN543" i="2"/>
  <c r="AN545" i="2"/>
  <c r="S93" i="12" l="1"/>
  <c r="T89" i="12" s="1"/>
  <c r="V89" i="12" s="1"/>
  <c r="F716" i="2"/>
  <c r="G879" i="2"/>
  <c r="G880" i="2" s="1"/>
  <c r="G884" i="2" s="1"/>
  <c r="H813" i="2"/>
  <c r="H814" i="2" s="1"/>
  <c r="I812" i="2"/>
  <c r="L868" i="2"/>
  <c r="J876" i="2"/>
  <c r="J882" i="2"/>
  <c r="I883" i="2"/>
  <c r="I869" i="2"/>
  <c r="H877" i="2"/>
  <c r="H878" i="2" s="1"/>
  <c r="H879" i="2" s="1"/>
  <c r="H880" i="2" s="1"/>
  <c r="H873" i="2"/>
  <c r="H874" i="2" s="1"/>
  <c r="G746" i="2"/>
  <c r="H746" i="2" s="1"/>
  <c r="I746" i="2" s="1"/>
  <c r="G743" i="2"/>
  <c r="H743" i="2" s="1"/>
  <c r="I743" i="2" s="1"/>
  <c r="BO477" i="2"/>
  <c r="BP477" i="2"/>
  <c r="BO486" i="2"/>
  <c r="BP486" i="2"/>
  <c r="G744" i="2"/>
  <c r="H744" i="2" s="1"/>
  <c r="I744" i="2" s="1"/>
  <c r="BP492" i="2"/>
  <c r="BO492" i="2"/>
  <c r="AO536" i="2"/>
  <c r="G747" i="2"/>
  <c r="H747" i="2" s="1"/>
  <c r="I747" i="2" s="1"/>
  <c r="E738" i="2"/>
  <c r="E737" i="2"/>
  <c r="G745" i="2"/>
  <c r="H745" i="2" s="1"/>
  <c r="I745" i="2" s="1"/>
  <c r="BN478" i="2"/>
  <c r="BJ589" i="2"/>
  <c r="BJ588" i="2"/>
  <c r="T92" i="12" l="1"/>
  <c r="V92" i="12" s="1"/>
  <c r="T90" i="12"/>
  <c r="V90" i="12" s="1"/>
  <c r="T91" i="12"/>
  <c r="V91" i="12" s="1"/>
  <c r="J869" i="2"/>
  <c r="I877" i="2"/>
  <c r="I878" i="2" s="1"/>
  <c r="I879" i="2" s="1"/>
  <c r="I880" i="2" s="1"/>
  <c r="I873" i="2"/>
  <c r="I874" i="2" s="1"/>
  <c r="K882" i="2"/>
  <c r="J883" i="2"/>
  <c r="I748" i="2"/>
  <c r="M868" i="2"/>
  <c r="L876" i="2" s="1"/>
  <c r="K876" i="2"/>
  <c r="J813" i="2"/>
  <c r="J814" i="2" s="1"/>
  <c r="I813" i="2"/>
  <c r="I814" i="2" s="1"/>
  <c r="BO478" i="2"/>
  <c r="BP478" i="2"/>
  <c r="E739" i="2"/>
  <c r="F738" i="2"/>
  <c r="G748" i="2"/>
  <c r="BN479" i="2"/>
  <c r="V93" i="12" l="1"/>
  <c r="V94" i="12" s="1"/>
  <c r="L882" i="2"/>
  <c r="L883" i="2" s="1"/>
  <c r="K883" i="2"/>
  <c r="K869" i="2"/>
  <c r="J877" i="2"/>
  <c r="J878" i="2" s="1"/>
  <c r="J873" i="2"/>
  <c r="J874" i="2" s="1"/>
  <c r="BO479" i="2"/>
  <c r="BP479" i="2"/>
  <c r="BN480" i="2"/>
  <c r="J879" i="2" l="1"/>
  <c r="J880" i="2" s="1"/>
  <c r="K879" i="2"/>
  <c r="K880" i="2" s="1"/>
  <c r="L869" i="2"/>
  <c r="K877" i="2"/>
  <c r="K873" i="2"/>
  <c r="K874" i="2" s="1"/>
  <c r="BP480" i="2"/>
  <c r="BO480" i="2"/>
  <c r="BN481" i="2"/>
  <c r="L877" i="2" l="1"/>
  <c r="L873" i="2"/>
  <c r="L874" i="2" s="1"/>
  <c r="BO481" i="2"/>
  <c r="BP481" i="2"/>
  <c r="E249" i="9"/>
  <c r="E250" i="9" s="1"/>
  <c r="E238" i="9"/>
  <c r="I248" i="9" s="1"/>
  <c r="I147" i="10"/>
  <c r="I148" i="10" s="1"/>
  <c r="I136" i="10"/>
  <c r="I131" i="10"/>
  <c r="D128" i="10"/>
  <c r="D129" i="10" s="1"/>
  <c r="E129" i="10" s="1"/>
  <c r="F129" i="10" s="1"/>
  <c r="K127" i="10"/>
  <c r="K132" i="10" s="1"/>
  <c r="D127" i="10"/>
  <c r="D130" i="10" s="1"/>
  <c r="D126" i="10"/>
  <c r="E126" i="10" s="1"/>
  <c r="I125" i="10"/>
  <c r="I124" i="10"/>
  <c r="H119" i="10"/>
  <c r="I251" i="9" l="1"/>
  <c r="I252" i="9"/>
  <c r="G269" i="9"/>
  <c r="H269" i="9" s="1"/>
  <c r="I240" i="9"/>
  <c r="J240" i="9" s="1"/>
  <c r="G271" i="9"/>
  <c r="H271" i="9" s="1"/>
  <c r="J251" i="9"/>
  <c r="I249" i="9"/>
  <c r="J249" i="9" s="1"/>
  <c r="J254" i="9" s="1"/>
  <c r="G268" i="9" s="1"/>
  <c r="F276" i="9" s="1"/>
  <c r="F280" i="9" s="1"/>
  <c r="G272" i="9"/>
  <c r="H272" i="9" s="1"/>
  <c r="F277" i="9" s="1"/>
  <c r="G270" i="9"/>
  <c r="H270" i="9" s="1"/>
  <c r="I250" i="9"/>
  <c r="J250" i="9" s="1"/>
  <c r="G273" i="9"/>
  <c r="H273" i="9" s="1"/>
  <c r="J248" i="9"/>
  <c r="I239" i="9"/>
  <c r="J239" i="9" s="1"/>
  <c r="J252" i="9"/>
  <c r="I236" i="9"/>
  <c r="J236" i="9" s="1"/>
  <c r="I238" i="9"/>
  <c r="J238" i="9" s="1"/>
  <c r="I237" i="9"/>
  <c r="J237" i="9" s="1"/>
  <c r="D131" i="10"/>
  <c r="I123" i="10" s="1"/>
  <c r="D132" i="10"/>
  <c r="F126" i="10"/>
  <c r="E127" i="10"/>
  <c r="F127" i="10" s="1"/>
  <c r="E128" i="10"/>
  <c r="F128" i="10" s="1"/>
  <c r="J242" i="9" l="1"/>
  <c r="F259" i="9" s="1"/>
  <c r="F130" i="10"/>
  <c r="E130" i="10"/>
  <c r="F131" i="10" l="1"/>
  <c r="I134" i="10" s="1"/>
  <c r="F132" i="10"/>
  <c r="E131" i="10"/>
  <c r="I129" i="10" s="1"/>
  <c r="E132" i="10"/>
  <c r="I23" i="10" l="1"/>
  <c r="D23" i="10"/>
  <c r="D22" i="10"/>
  <c r="D21" i="10"/>
  <c r="H20" i="10"/>
  <c r="D20" i="10"/>
  <c r="M9" i="10"/>
  <c r="M10" i="10" s="1"/>
  <c r="M11" i="10" s="1"/>
  <c r="H6" i="10"/>
  <c r="Q6" i="10" s="1"/>
  <c r="Q5" i="10"/>
  <c r="H5" i="10"/>
  <c r="I5" i="10" s="1"/>
  <c r="Q4" i="10"/>
  <c r="R4" i="10" s="1"/>
  <c r="H4" i="10"/>
  <c r="I4" i="10" s="1"/>
  <c r="K52" i="10"/>
  <c r="I45" i="10"/>
  <c r="K45" i="10" s="1"/>
  <c r="L75" i="10"/>
  <c r="P72" i="10" s="1"/>
  <c r="Q72" i="10" s="1"/>
  <c r="O59" i="10"/>
  <c r="O60" i="10" s="1"/>
  <c r="O58" i="10"/>
  <c r="N57" i="10"/>
  <c r="N61" i="10" s="1"/>
  <c r="N62" i="10" s="1"/>
  <c r="M57" i="10"/>
  <c r="M61" i="10" s="1"/>
  <c r="M62" i="10" s="1"/>
  <c r="P59" i="10" s="1"/>
  <c r="L57" i="10"/>
  <c r="L61" i="10" s="1"/>
  <c r="L62" i="10" s="1"/>
  <c r="P58" i="10" l="1"/>
  <c r="R5" i="10"/>
  <c r="R6" i="10"/>
  <c r="I6" i="10"/>
  <c r="H7" i="10"/>
  <c r="O73" i="10"/>
  <c r="P60" i="10"/>
  <c r="S55" i="10" s="1"/>
  <c r="O57" i="10" s="1"/>
  <c r="O61" i="10" s="1"/>
  <c r="O62" i="10" s="1"/>
  <c r="I7" i="10" l="1"/>
  <c r="I8" i="10" s="1"/>
  <c r="I10" i="10" s="1"/>
  <c r="H3" i="10" s="1"/>
  <c r="I11" i="10" s="1"/>
  <c r="I12" i="10" s="1"/>
  <c r="Q7" i="10"/>
  <c r="R7" i="10" s="1"/>
  <c r="R8" i="10" s="1"/>
  <c r="R10" i="10" s="1"/>
  <c r="Q3" i="10" s="1"/>
  <c r="R11" i="10" s="1"/>
  <c r="R12" i="10" s="1"/>
  <c r="P73" i="10"/>
  <c r="Q73" i="10" s="1"/>
  <c r="O74" i="10" s="1"/>
  <c r="P74" i="10" s="1"/>
  <c r="Q74" i="10" s="1"/>
  <c r="Q75" i="10" l="1"/>
  <c r="AL573" i="2" l="1"/>
  <c r="AN576" i="2" s="1"/>
  <c r="AQ576" i="2" s="1"/>
  <c r="AQ627" i="2"/>
  <c r="AN572" i="2" l="1"/>
  <c r="AQ572" i="2" s="1"/>
  <c r="AN573" i="2"/>
  <c r="AQ573" i="2" s="1"/>
  <c r="AN575" i="2"/>
  <c r="AQ575" i="2" s="1"/>
  <c r="AN574" i="2"/>
  <c r="AQ574" i="2" s="1"/>
  <c r="AL626" i="2"/>
  <c r="AL639" i="2"/>
  <c r="AL638" i="2"/>
  <c r="AL637" i="2"/>
  <c r="AL636" i="2"/>
  <c r="AL635" i="2"/>
  <c r="AL634" i="2"/>
  <c r="AL632" i="2"/>
  <c r="AL631" i="2"/>
  <c r="AL643" i="2" s="1"/>
  <c r="AL630" i="2"/>
  <c r="AL642" i="2" s="1"/>
  <c r="AK621" i="2"/>
  <c r="AK620" i="2"/>
  <c r="AP609" i="2"/>
  <c r="AP613" i="2"/>
  <c r="AP611" i="2"/>
  <c r="AP612" i="2"/>
  <c r="AP610" i="2"/>
  <c r="AP606" i="2"/>
  <c r="AP598" i="2"/>
  <c r="AP599" i="2"/>
  <c r="AP600" i="2"/>
  <c r="AP601" i="2"/>
  <c r="AP602" i="2"/>
  <c r="AP603" i="2"/>
  <c r="AP604" i="2"/>
  <c r="AP605" i="2"/>
  <c r="Y600" i="2"/>
  <c r="X609" i="2"/>
  <c r="L186" i="9"/>
  <c r="L185" i="9"/>
  <c r="J154" i="9"/>
  <c r="K154" i="9" s="1"/>
  <c r="N154" i="9" s="1"/>
  <c r="E153" i="9"/>
  <c r="D136" i="9"/>
  <c r="H122" i="9"/>
  <c r="H123" i="9"/>
  <c r="H124" i="9"/>
  <c r="H125" i="9"/>
  <c r="H126" i="9"/>
  <c r="H127" i="9"/>
  <c r="H128" i="9"/>
  <c r="H129" i="9"/>
  <c r="H130" i="9"/>
  <c r="H131" i="9"/>
  <c r="H121" i="9"/>
  <c r="AQ609" i="2" l="1"/>
  <c r="AL644" i="2"/>
  <c r="AL645" i="2" s="1"/>
  <c r="AL646" i="2"/>
  <c r="AL647" i="2" s="1"/>
  <c r="AQ577" i="2"/>
  <c r="AQ578" i="2" s="1"/>
  <c r="H132" i="9"/>
  <c r="I132" i="9" s="1"/>
  <c r="D140" i="9" s="1"/>
  <c r="L201" i="9"/>
  <c r="L193" i="9"/>
  <c r="AQ597" i="2"/>
  <c r="AQ598" i="2" s="1"/>
  <c r="AM620" i="2" s="1"/>
  <c r="AQ610" i="2"/>
  <c r="AM621" i="2" s="1"/>
  <c r="L205" i="9"/>
  <c r="L197" i="9"/>
  <c r="L189" i="9"/>
  <c r="L200" i="9"/>
  <c r="L192" i="9"/>
  <c r="L184" i="9"/>
  <c r="L183" i="9"/>
  <c r="J184" i="9" s="1"/>
  <c r="L199" i="9"/>
  <c r="L191" i="9"/>
  <c r="M183" i="9"/>
  <c r="L206" i="9"/>
  <c r="L198" i="9"/>
  <c r="L190" i="9"/>
  <c r="L204" i="9"/>
  <c r="L196" i="9"/>
  <c r="L188" i="9"/>
  <c r="L203" i="9"/>
  <c r="L195" i="9"/>
  <c r="L187" i="9"/>
  <c r="L202" i="9"/>
  <c r="L194" i="9"/>
  <c r="M171" i="9"/>
  <c r="M155" i="9"/>
  <c r="M154" i="9"/>
  <c r="M170" i="9"/>
  <c r="M175" i="9"/>
  <c r="M167" i="9"/>
  <c r="M159" i="9"/>
  <c r="M174" i="9"/>
  <c r="M166" i="9"/>
  <c r="M158" i="9"/>
  <c r="M173" i="9"/>
  <c r="M165" i="9"/>
  <c r="M157" i="9"/>
  <c r="M172" i="9"/>
  <c r="M164" i="9"/>
  <c r="M156" i="9"/>
  <c r="M177" i="9"/>
  <c r="M169" i="9"/>
  <c r="M161" i="9"/>
  <c r="M163" i="9"/>
  <c r="M162" i="9"/>
  <c r="M176" i="9"/>
  <c r="M168" i="9"/>
  <c r="M160" i="9"/>
  <c r="E140" i="9"/>
  <c r="I140" i="9"/>
  <c r="F143" i="9"/>
  <c r="F140" i="9"/>
  <c r="F142" i="9"/>
  <c r="F141" i="9"/>
  <c r="K139" i="9"/>
  <c r="AL648" i="2" l="1"/>
  <c r="AQ625" i="2" s="1"/>
  <c r="AQ629" i="2" s="1"/>
  <c r="O167" i="9"/>
  <c r="O175" i="9"/>
  <c r="P183" i="9"/>
  <c r="O183" i="9"/>
  <c r="O176" i="9"/>
  <c r="O157" i="9"/>
  <c r="O163" i="9"/>
  <c r="O165" i="9"/>
  <c r="O170" i="9"/>
  <c r="O172" i="9"/>
  <c r="O161" i="9"/>
  <c r="O173" i="9"/>
  <c r="L154" i="9"/>
  <c r="J155" i="9" s="1"/>
  <c r="K155" i="9" s="1"/>
  <c r="P154" i="9"/>
  <c r="O154" i="9"/>
  <c r="O162" i="9"/>
  <c r="O169" i="9"/>
  <c r="O158" i="9"/>
  <c r="O155" i="9"/>
  <c r="O171" i="9"/>
  <c r="O177" i="9"/>
  <c r="O166" i="9"/>
  <c r="O160" i="9"/>
  <c r="O156" i="9"/>
  <c r="O174" i="9"/>
  <c r="O168" i="9"/>
  <c r="O164" i="9"/>
  <c r="O159" i="9"/>
  <c r="K184" i="9"/>
  <c r="J185" i="9"/>
  <c r="G140" i="9"/>
  <c r="D141" i="9" s="1"/>
  <c r="I141" i="9" s="1"/>
  <c r="H140" i="9"/>
  <c r="J140" i="9" s="1"/>
  <c r="M140" i="9" s="1"/>
  <c r="L140" i="9"/>
  <c r="L155" i="9" l="1"/>
  <c r="J156" i="9" s="1"/>
  <c r="K156" i="9" s="1"/>
  <c r="N155" i="9"/>
  <c r="P155" i="9" s="1"/>
  <c r="M184" i="9"/>
  <c r="N184" i="9"/>
  <c r="E160" i="9"/>
  <c r="K185" i="9"/>
  <c r="J186" i="9"/>
  <c r="E141" i="9"/>
  <c r="G141" i="9" s="1"/>
  <c r="K140" i="9"/>
  <c r="N140" i="9"/>
  <c r="E162" i="9" l="1"/>
  <c r="E161" i="9"/>
  <c r="P184" i="9"/>
  <c r="O184" i="9"/>
  <c r="M185" i="9"/>
  <c r="N185" i="9"/>
  <c r="L156" i="9"/>
  <c r="J157" i="9" s="1"/>
  <c r="K157" i="9" s="1"/>
  <c r="N156" i="9"/>
  <c r="P156" i="9" s="1"/>
  <c r="K186" i="9"/>
  <c r="J187" i="9"/>
  <c r="L141" i="9"/>
  <c r="D142" i="9"/>
  <c r="H141" i="9"/>
  <c r="J141" i="9" s="1"/>
  <c r="M141" i="9" s="1"/>
  <c r="L157" i="9" l="1"/>
  <c r="J158" i="9" s="1"/>
  <c r="K158" i="9" s="1"/>
  <c r="N157" i="9"/>
  <c r="P157" i="9" s="1"/>
  <c r="P185" i="9"/>
  <c r="O185" i="9"/>
  <c r="M186" i="9"/>
  <c r="N186" i="9"/>
  <c r="K187" i="9"/>
  <c r="J188" i="9"/>
  <c r="N141" i="9"/>
  <c r="K141" i="9"/>
  <c r="E142" i="9"/>
  <c r="I142" i="9"/>
  <c r="M187" i="9" l="1"/>
  <c r="N187" i="9"/>
  <c r="P186" i="9"/>
  <c r="O186" i="9"/>
  <c r="L158" i="9"/>
  <c r="J159" i="9" s="1"/>
  <c r="K159" i="9" s="1"/>
  <c r="N158" i="9"/>
  <c r="P158" i="9" s="1"/>
  <c r="K188" i="9"/>
  <c r="J189" i="9"/>
  <c r="H142" i="9"/>
  <c r="G142" i="9"/>
  <c r="D143" i="9" s="1"/>
  <c r="L142" i="9"/>
  <c r="AE252" i="9"/>
  <c r="AE253" i="9" s="1"/>
  <c r="AG269" i="9" s="1"/>
  <c r="AE251" i="9"/>
  <c r="AE250" i="9"/>
  <c r="AE249" i="9"/>
  <c r="AE239" i="9"/>
  <c r="AE240" i="9" s="1"/>
  <c r="AG240" i="9" s="1"/>
  <c r="AE238" i="9"/>
  <c r="AG238" i="9" s="1"/>
  <c r="AE237" i="9"/>
  <c r="AG237" i="9" s="1"/>
  <c r="AE236" i="9"/>
  <c r="AG236" i="9" s="1"/>
  <c r="AN195" i="9"/>
  <c r="AN196" i="9" s="1"/>
  <c r="AN190" i="9"/>
  <c r="AN191" i="9" s="1"/>
  <c r="AH186" i="9"/>
  <c r="AD189" i="9" s="1"/>
  <c r="AD186" i="9"/>
  <c r="AG181" i="9"/>
  <c r="AG180" i="9"/>
  <c r="AG179" i="9"/>
  <c r="AG178" i="9"/>
  <c r="AG177" i="9"/>
  <c r="AG176" i="9"/>
  <c r="AG175" i="9"/>
  <c r="AG174" i="9"/>
  <c r="AG173" i="9"/>
  <c r="AG172" i="9"/>
  <c r="AG171" i="9"/>
  <c r="AG170" i="9"/>
  <c r="AG169" i="9"/>
  <c r="AG168" i="9"/>
  <c r="AG167" i="9"/>
  <c r="AG166" i="9"/>
  <c r="AG165" i="9"/>
  <c r="AG164" i="9"/>
  <c r="AG163" i="9"/>
  <c r="AG162" i="9"/>
  <c r="AG161" i="9"/>
  <c r="AG160" i="9"/>
  <c r="AG159" i="9"/>
  <c r="AG158" i="9"/>
  <c r="AE158" i="9"/>
  <c r="AI158" i="9" s="1"/>
  <c r="AJ153" i="9"/>
  <c r="AL121" i="9"/>
  <c r="AL123" i="9" s="1"/>
  <c r="AL88" i="9"/>
  <c r="AL90" i="9" s="1"/>
  <c r="AH98" i="9" s="1"/>
  <c r="F90" i="9"/>
  <c r="F91" i="9"/>
  <c r="F92" i="9"/>
  <c r="F89" i="9"/>
  <c r="O187" i="9" l="1"/>
  <c r="P187" i="9"/>
  <c r="M188" i="9"/>
  <c r="N188" i="9"/>
  <c r="L159" i="9"/>
  <c r="J160" i="9" s="1"/>
  <c r="K160" i="9" s="1"/>
  <c r="N159" i="9"/>
  <c r="P159" i="9" s="1"/>
  <c r="K189" i="9"/>
  <c r="AF192" i="9"/>
  <c r="AF200" i="9"/>
  <c r="AF208" i="9"/>
  <c r="AF193" i="9"/>
  <c r="AF201" i="9"/>
  <c r="AF209" i="9"/>
  <c r="AF194" i="9"/>
  <c r="AF202" i="9"/>
  <c r="AF210" i="9"/>
  <c r="AF198" i="9"/>
  <c r="AF191" i="9"/>
  <c r="AF207" i="9"/>
  <c r="AF195" i="9"/>
  <c r="AF203" i="9"/>
  <c r="AF211" i="9"/>
  <c r="AF196" i="9"/>
  <c r="AF204" i="9"/>
  <c r="AF212" i="9"/>
  <c r="AF197" i="9"/>
  <c r="AF205" i="9"/>
  <c r="AF189" i="9"/>
  <c r="AF190" i="9"/>
  <c r="AF206" i="9"/>
  <c r="AF199" i="9"/>
  <c r="J190" i="9"/>
  <c r="J142" i="9"/>
  <c r="M142" i="9" s="1"/>
  <c r="N142" i="9" s="1"/>
  <c r="K142" i="9"/>
  <c r="I143" i="9"/>
  <c r="E143" i="9"/>
  <c r="AF158" i="9"/>
  <c r="AD159" i="9" s="1"/>
  <c r="AE159" i="9" s="1"/>
  <c r="AF159" i="9" s="1"/>
  <c r="AD160" i="9" s="1"/>
  <c r="AJ158" i="9"/>
  <c r="AH99" i="9"/>
  <c r="AH97" i="9"/>
  <c r="AH96" i="9"/>
  <c r="AH95" i="9"/>
  <c r="AI189" i="9"/>
  <c r="AD190" i="9"/>
  <c r="AH94" i="9"/>
  <c r="F94" i="9"/>
  <c r="F95" i="9" s="1"/>
  <c r="AE256" i="9"/>
  <c r="AG265" i="9" s="1"/>
  <c r="AF275" i="9" s="1"/>
  <c r="AH271" i="9"/>
  <c r="AG273" i="9" s="1"/>
  <c r="AD275" i="9" s="1"/>
  <c r="AG239" i="9"/>
  <c r="AG242" i="9" s="1"/>
  <c r="AN197" i="9"/>
  <c r="AE127" i="9"/>
  <c r="AL126" i="9"/>
  <c r="AL93" i="9"/>
  <c r="AE94" i="9"/>
  <c r="AJ190" i="9" l="1"/>
  <c r="AG189" i="9"/>
  <c r="L160" i="9"/>
  <c r="J161" i="9" s="1"/>
  <c r="K161" i="9" s="1"/>
  <c r="N160" i="9"/>
  <c r="P160" i="9" s="1"/>
  <c r="O188" i="9"/>
  <c r="P188" i="9"/>
  <c r="M189" i="9"/>
  <c r="N189" i="9"/>
  <c r="K190" i="9"/>
  <c r="J191" i="9"/>
  <c r="AE259" i="9"/>
  <c r="AJ189" i="9"/>
  <c r="AK189" i="9" s="1"/>
  <c r="AE277" i="9"/>
  <c r="L143" i="9"/>
  <c r="H143" i="9"/>
  <c r="G143" i="9"/>
  <c r="AG129" i="9"/>
  <c r="AG128" i="9"/>
  <c r="AG130" i="9"/>
  <c r="AG127" i="9"/>
  <c r="E98" i="9"/>
  <c r="H101" i="9" s="1"/>
  <c r="N97" i="9"/>
  <c r="AD191" i="9"/>
  <c r="AI190" i="9"/>
  <c r="H100" i="9"/>
  <c r="H98" i="9"/>
  <c r="AE160" i="9"/>
  <c r="AI159" i="9"/>
  <c r="AJ159" i="9"/>
  <c r="AK158" i="9"/>
  <c r="AJ127" i="9"/>
  <c r="AF127" i="9"/>
  <c r="AF94" i="9"/>
  <c r="P189" i="9" l="1"/>
  <c r="O189" i="9"/>
  <c r="L161" i="9"/>
  <c r="J162" i="9" s="1"/>
  <c r="K162" i="9" s="1"/>
  <c r="N161" i="9"/>
  <c r="P161" i="9" s="1"/>
  <c r="M190" i="9"/>
  <c r="N190" i="9"/>
  <c r="K191" i="9"/>
  <c r="J192" i="9"/>
  <c r="J143" i="9"/>
  <c r="M143" i="9" s="1"/>
  <c r="N143" i="9" s="1"/>
  <c r="H99" i="9"/>
  <c r="AD192" i="9"/>
  <c r="F98" i="9"/>
  <c r="I98" i="9" s="1"/>
  <c r="M98" i="9" s="1"/>
  <c r="N98" i="9" s="1"/>
  <c r="AK190" i="9"/>
  <c r="H104" i="9"/>
  <c r="H102" i="9"/>
  <c r="H103" i="9"/>
  <c r="AK159" i="9"/>
  <c r="AI191" i="9"/>
  <c r="AI160" i="9"/>
  <c r="AJ160" i="9"/>
  <c r="AF160" i="9"/>
  <c r="AD161" i="9" s="1"/>
  <c r="AI127" i="9"/>
  <c r="AI94" i="9"/>
  <c r="AG94" i="9"/>
  <c r="AE95" i="9" s="1"/>
  <c r="M191" i="9" l="1"/>
  <c r="N191" i="9"/>
  <c r="P190" i="9"/>
  <c r="O190" i="9"/>
  <c r="L162" i="9"/>
  <c r="J163" i="9" s="1"/>
  <c r="K163" i="9" s="1"/>
  <c r="N162" i="9"/>
  <c r="P162" i="9" s="1"/>
  <c r="K143" i="9"/>
  <c r="K144" i="9" s="1"/>
  <c r="K192" i="9"/>
  <c r="AD193" i="9"/>
  <c r="J193" i="9"/>
  <c r="K147" i="9"/>
  <c r="AK160" i="9"/>
  <c r="AI192" i="9"/>
  <c r="AJ191" i="9"/>
  <c r="AK191" i="9" s="1"/>
  <c r="AE161" i="9"/>
  <c r="AK94" i="9"/>
  <c r="AL94" i="9" s="1"/>
  <c r="AF95" i="9"/>
  <c r="P191" i="9" l="1"/>
  <c r="O191" i="9"/>
  <c r="M192" i="9"/>
  <c r="N192" i="9"/>
  <c r="L163" i="9"/>
  <c r="J164" i="9" s="1"/>
  <c r="K164" i="9" s="1"/>
  <c r="N163" i="9"/>
  <c r="P163" i="9" s="1"/>
  <c r="K193" i="9"/>
  <c r="AD194" i="9"/>
  <c r="J194" i="9"/>
  <c r="K145" i="9"/>
  <c r="K146" i="9"/>
  <c r="AJ192" i="9"/>
  <c r="AK192" i="9" s="1"/>
  <c r="AI161" i="9"/>
  <c r="AJ161" i="9"/>
  <c r="AF161" i="9"/>
  <c r="AD162" i="9" s="1"/>
  <c r="AI193" i="9"/>
  <c r="AI95" i="9"/>
  <c r="AG95" i="9"/>
  <c r="AE96" i="9" s="1"/>
  <c r="AD195" i="9" l="1"/>
  <c r="M193" i="9"/>
  <c r="N193" i="9"/>
  <c r="P192" i="9"/>
  <c r="O192" i="9"/>
  <c r="L164" i="9"/>
  <c r="J165" i="9" s="1"/>
  <c r="K165" i="9" s="1"/>
  <c r="N164" i="9"/>
  <c r="P164" i="9" s="1"/>
  <c r="K194" i="9"/>
  <c r="J195" i="9"/>
  <c r="AJ193" i="9"/>
  <c r="AK193" i="9" s="1"/>
  <c r="AK95" i="9"/>
  <c r="AL95" i="9" s="1"/>
  <c r="AK161" i="9"/>
  <c r="AE162" i="9"/>
  <c r="AI194" i="9"/>
  <c r="AF96" i="9"/>
  <c r="L165" i="9" l="1"/>
  <c r="J166" i="9" s="1"/>
  <c r="K166" i="9" s="1"/>
  <c r="N165" i="9"/>
  <c r="P165" i="9" s="1"/>
  <c r="M194" i="9"/>
  <c r="N194" i="9"/>
  <c r="P193" i="9"/>
  <c r="O193" i="9"/>
  <c r="AD196" i="9"/>
  <c r="K195" i="9"/>
  <c r="J196" i="9"/>
  <c r="AI162" i="9"/>
  <c r="AJ162" i="9"/>
  <c r="AF162" i="9"/>
  <c r="AD163" i="9" s="1"/>
  <c r="AJ194" i="9"/>
  <c r="AK194" i="9" s="1"/>
  <c r="AD197" i="9"/>
  <c r="AI195" i="9"/>
  <c r="AI96" i="9"/>
  <c r="AG96" i="9"/>
  <c r="AE97" i="9" s="1"/>
  <c r="M195" i="9" l="1"/>
  <c r="N195" i="9"/>
  <c r="O194" i="9"/>
  <c r="P194" i="9"/>
  <c r="L166" i="9"/>
  <c r="J167" i="9" s="1"/>
  <c r="K167" i="9" s="1"/>
  <c r="N166" i="9"/>
  <c r="P166" i="9" s="1"/>
  <c r="K196" i="9"/>
  <c r="J197" i="9"/>
  <c r="AK162" i="9"/>
  <c r="AJ195" i="9"/>
  <c r="AK195" i="9" s="1"/>
  <c r="AE163" i="9"/>
  <c r="AI196" i="9"/>
  <c r="AD198" i="9"/>
  <c r="AF97" i="9"/>
  <c r="AK96" i="9"/>
  <c r="AL96" i="9" s="1"/>
  <c r="M196" i="9" l="1"/>
  <c r="N196" i="9"/>
  <c r="L167" i="9"/>
  <c r="J168" i="9" s="1"/>
  <c r="K168" i="9" s="1"/>
  <c r="N167" i="9"/>
  <c r="P167" i="9" s="1"/>
  <c r="P195" i="9"/>
  <c r="O195" i="9"/>
  <c r="K197" i="9"/>
  <c r="J198" i="9"/>
  <c r="AD199" i="9"/>
  <c r="AI163" i="9"/>
  <c r="AJ163" i="9"/>
  <c r="AF163" i="9"/>
  <c r="AD164" i="9" s="1"/>
  <c r="AJ196" i="9"/>
  <c r="AK196" i="9" s="1"/>
  <c r="AI197" i="9"/>
  <c r="AI97" i="9"/>
  <c r="AG97" i="9"/>
  <c r="AE98" i="9" s="1"/>
  <c r="L168" i="9" l="1"/>
  <c r="J169" i="9" s="1"/>
  <c r="K169" i="9" s="1"/>
  <c r="N168" i="9"/>
  <c r="P168" i="9" s="1"/>
  <c r="M197" i="9"/>
  <c r="N197" i="9"/>
  <c r="P196" i="9"/>
  <c r="O196" i="9"/>
  <c r="K198" i="9"/>
  <c r="J199" i="9"/>
  <c r="AK163" i="9"/>
  <c r="AJ197" i="9"/>
  <c r="AK197" i="9" s="1"/>
  <c r="AE164" i="9"/>
  <c r="AD200" i="9"/>
  <c r="AI198" i="9"/>
  <c r="AF98" i="9"/>
  <c r="AK97" i="9"/>
  <c r="AL97" i="9" s="1"/>
  <c r="M198" i="9" l="1"/>
  <c r="N198" i="9"/>
  <c r="P197" i="9"/>
  <c r="O197" i="9"/>
  <c r="L169" i="9"/>
  <c r="J170" i="9" s="1"/>
  <c r="K170" i="9" s="1"/>
  <c r="N169" i="9"/>
  <c r="P169" i="9" s="1"/>
  <c r="K199" i="9"/>
  <c r="J200" i="9"/>
  <c r="AJ198" i="9"/>
  <c r="AK198" i="9" s="1"/>
  <c r="AD201" i="9"/>
  <c r="AI164" i="9"/>
  <c r="AJ164" i="9"/>
  <c r="AF164" i="9"/>
  <c r="AD165" i="9" s="1"/>
  <c r="AI199" i="9"/>
  <c r="AG98" i="9"/>
  <c r="AE99" i="9" s="1"/>
  <c r="AF99" i="9" s="1"/>
  <c r="AI98" i="9"/>
  <c r="M199" i="9" l="1"/>
  <c r="N199" i="9"/>
  <c r="L170" i="9"/>
  <c r="J171" i="9" s="1"/>
  <c r="K171" i="9" s="1"/>
  <c r="N170" i="9"/>
  <c r="P170" i="9" s="1"/>
  <c r="P198" i="9"/>
  <c r="O198" i="9"/>
  <c r="K200" i="9"/>
  <c r="J201" i="9"/>
  <c r="AJ199" i="9"/>
  <c r="AK199" i="9" s="1"/>
  <c r="AK164" i="9"/>
  <c r="AD202" i="9"/>
  <c r="AI200" i="9"/>
  <c r="AE165" i="9"/>
  <c r="AI99" i="9"/>
  <c r="AG99" i="9"/>
  <c r="AK98" i="9"/>
  <c r="AL98" i="9" s="1"/>
  <c r="P199" i="9" l="1"/>
  <c r="O199" i="9"/>
  <c r="L171" i="9"/>
  <c r="J172" i="9" s="1"/>
  <c r="K172" i="9" s="1"/>
  <c r="N171" i="9"/>
  <c r="P171" i="9" s="1"/>
  <c r="M200" i="9"/>
  <c r="N200" i="9"/>
  <c r="K201" i="9"/>
  <c r="J202" i="9"/>
  <c r="AK99" i="9"/>
  <c r="AL99" i="9" s="1"/>
  <c r="AD105" i="9" s="1"/>
  <c r="AJ200" i="9"/>
  <c r="AK200" i="9" s="1"/>
  <c r="AI201" i="9"/>
  <c r="AD203" i="9"/>
  <c r="AI165" i="9"/>
  <c r="AJ165" i="9"/>
  <c r="AF165" i="9"/>
  <c r="AD166" i="9" s="1"/>
  <c r="P200" i="9" l="1"/>
  <c r="O200" i="9"/>
  <c r="L172" i="9"/>
  <c r="J173" i="9" s="1"/>
  <c r="K173" i="9" s="1"/>
  <c r="N172" i="9"/>
  <c r="P172" i="9" s="1"/>
  <c r="M201" i="9"/>
  <c r="N201" i="9"/>
  <c r="K202" i="9"/>
  <c r="J203" i="9"/>
  <c r="AL100" i="9"/>
  <c r="AL102" i="9" s="1"/>
  <c r="AK165" i="9"/>
  <c r="AD204" i="9"/>
  <c r="AI202" i="9"/>
  <c r="AJ201" i="9"/>
  <c r="AK201" i="9" s="1"/>
  <c r="AE166" i="9"/>
  <c r="P201" i="9" l="1"/>
  <c r="O201" i="9"/>
  <c r="L173" i="9"/>
  <c r="J174" i="9" s="1"/>
  <c r="K174" i="9" s="1"/>
  <c r="N173" i="9"/>
  <c r="P173" i="9" s="1"/>
  <c r="M202" i="9"/>
  <c r="N202" i="9"/>
  <c r="K203" i="9"/>
  <c r="J204" i="9"/>
  <c r="AL101" i="9"/>
  <c r="AD205" i="9"/>
  <c r="AI203" i="9"/>
  <c r="AJ202" i="9"/>
  <c r="AK202" i="9" s="1"/>
  <c r="AI166" i="9"/>
  <c r="AJ166" i="9"/>
  <c r="AF166" i="9"/>
  <c r="AD167" i="9" s="1"/>
  <c r="M203" i="9" l="1"/>
  <c r="N203" i="9"/>
  <c r="L174" i="9"/>
  <c r="J175" i="9" s="1"/>
  <c r="K175" i="9" s="1"/>
  <c r="N174" i="9"/>
  <c r="P174" i="9" s="1"/>
  <c r="P202" i="9"/>
  <c r="O202" i="9"/>
  <c r="K204" i="9"/>
  <c r="J205" i="9"/>
  <c r="AK166" i="9"/>
  <c r="AJ203" i="9"/>
  <c r="AK203" i="9" s="1"/>
  <c r="AD206" i="9"/>
  <c r="AE167" i="9"/>
  <c r="AI204" i="9"/>
  <c r="M204" i="9" l="1"/>
  <c r="N204" i="9"/>
  <c r="L175" i="9"/>
  <c r="J176" i="9" s="1"/>
  <c r="K176" i="9" s="1"/>
  <c r="N175" i="9"/>
  <c r="P175" i="9" s="1"/>
  <c r="P203" i="9"/>
  <c r="O203" i="9"/>
  <c r="K205" i="9"/>
  <c r="J206" i="9"/>
  <c r="AJ204" i="9"/>
  <c r="AK204" i="9" s="1"/>
  <c r="AD207" i="9"/>
  <c r="AI167" i="9"/>
  <c r="AJ167" i="9"/>
  <c r="AF167" i="9"/>
  <c r="AD168" i="9" s="1"/>
  <c r="AI205" i="9"/>
  <c r="M205" i="9" l="1"/>
  <c r="N205" i="9"/>
  <c r="L176" i="9"/>
  <c r="J177" i="9" s="1"/>
  <c r="K177" i="9" s="1"/>
  <c r="N176" i="9"/>
  <c r="P176" i="9" s="1"/>
  <c r="P204" i="9"/>
  <c r="O204" i="9"/>
  <c r="K206" i="9"/>
  <c r="AJ205" i="9"/>
  <c r="AK205" i="9" s="1"/>
  <c r="AK167" i="9"/>
  <c r="AE168" i="9"/>
  <c r="AD208" i="9"/>
  <c r="AI206" i="9"/>
  <c r="L177" i="9" l="1"/>
  <c r="N177" i="9"/>
  <c r="P177" i="9" s="1"/>
  <c r="M206" i="9"/>
  <c r="N206" i="9"/>
  <c r="O205" i="9"/>
  <c r="P205" i="9"/>
  <c r="AJ206" i="9"/>
  <c r="AK206" i="9" s="1"/>
  <c r="AI207" i="9"/>
  <c r="AI168" i="9"/>
  <c r="AJ168" i="9"/>
  <c r="AF168" i="9"/>
  <c r="AD169" i="9" s="1"/>
  <c r="AD209" i="9"/>
  <c r="P206" i="9" l="1"/>
  <c r="E194" i="9" s="1"/>
  <c r="O206" i="9"/>
  <c r="AI208" i="9"/>
  <c r="AE169" i="9"/>
  <c r="AK168" i="9"/>
  <c r="AJ207" i="9"/>
  <c r="AK207" i="9" s="1"/>
  <c r="AD210" i="9"/>
  <c r="E195" i="9" l="1"/>
  <c r="E210" i="9"/>
  <c r="E211" i="9"/>
  <c r="E196" i="9"/>
  <c r="AI169" i="9"/>
  <c r="AJ169" i="9"/>
  <c r="AF169" i="9"/>
  <c r="AD170" i="9" s="1"/>
  <c r="AD211" i="9"/>
  <c r="AJ208" i="9"/>
  <c r="AK208" i="9" s="1"/>
  <c r="AI209" i="9"/>
  <c r="AJ209" i="9" l="1"/>
  <c r="AK209" i="9" s="1"/>
  <c r="AD212" i="9"/>
  <c r="AI210" i="9"/>
  <c r="AE170" i="9"/>
  <c r="AK169" i="9"/>
  <c r="AJ210" i="9" l="1"/>
  <c r="AK210" i="9" s="1"/>
  <c r="AI170" i="9"/>
  <c r="AJ170" i="9"/>
  <c r="AF170" i="9"/>
  <c r="AD171" i="9" s="1"/>
  <c r="AI212" i="9"/>
  <c r="AI211" i="9"/>
  <c r="AE171" i="9" l="1"/>
  <c r="AJ212" i="9"/>
  <c r="AK212" i="9" s="1"/>
  <c r="AK170" i="9"/>
  <c r="AJ211" i="9"/>
  <c r="AK211" i="9" s="1"/>
  <c r="AK213" i="9" l="1"/>
  <c r="AJ213" i="9"/>
  <c r="AI171" i="9"/>
  <c r="AJ171" i="9"/>
  <c r="AF171" i="9"/>
  <c r="AD172" i="9" s="1"/>
  <c r="AE172" i="9" l="1"/>
  <c r="AK171" i="9"/>
  <c r="AJ215" i="9"/>
  <c r="AJ214" i="9"/>
  <c r="AI218" i="9"/>
  <c r="AK215" i="9"/>
  <c r="AN192" i="9"/>
  <c r="AK214" i="9"/>
  <c r="AI172" i="9" l="1"/>
  <c r="AJ172" i="9"/>
  <c r="AF172" i="9"/>
  <c r="AD173" i="9" s="1"/>
  <c r="AE173" i="9" l="1"/>
  <c r="AK172" i="9"/>
  <c r="AI173" i="9" l="1"/>
  <c r="AJ173" i="9"/>
  <c r="AF173" i="9"/>
  <c r="AD174" i="9" s="1"/>
  <c r="AK173" i="9" l="1"/>
  <c r="AE174" i="9"/>
  <c r="AI174" i="9" l="1"/>
  <c r="AJ174" i="9"/>
  <c r="AF174" i="9"/>
  <c r="AD175" i="9" s="1"/>
  <c r="AK174" i="9" l="1"/>
  <c r="AE175" i="9"/>
  <c r="AI175" i="9" l="1"/>
  <c r="AJ175" i="9"/>
  <c r="AF175" i="9"/>
  <c r="AD176" i="9" s="1"/>
  <c r="AK175" i="9" l="1"/>
  <c r="AE176" i="9"/>
  <c r="AI176" i="9" l="1"/>
  <c r="AJ176" i="9"/>
  <c r="AF176" i="9"/>
  <c r="AD177" i="9" s="1"/>
  <c r="AK176" i="9" l="1"/>
  <c r="AE177" i="9"/>
  <c r="AI177" i="9" l="1"/>
  <c r="AJ177" i="9"/>
  <c r="AF177" i="9"/>
  <c r="AD178" i="9" s="1"/>
  <c r="AK177" i="9" l="1"/>
  <c r="AE178" i="9"/>
  <c r="AI178" i="9" l="1"/>
  <c r="AJ178" i="9"/>
  <c r="AF178" i="9"/>
  <c r="AD179" i="9" s="1"/>
  <c r="AE179" i="9" l="1"/>
  <c r="AK178" i="9"/>
  <c r="AI179" i="9" l="1"/>
  <c r="AJ179" i="9"/>
  <c r="AF179" i="9"/>
  <c r="AD180" i="9" s="1"/>
  <c r="AE180" i="9" l="1"/>
  <c r="AK179" i="9"/>
  <c r="AI180" i="9" l="1"/>
  <c r="AJ180" i="9"/>
  <c r="AF180" i="9"/>
  <c r="AD181" i="9" s="1"/>
  <c r="AE181" i="9" s="1"/>
  <c r="AI181" i="9" l="1"/>
  <c r="AJ181" i="9"/>
  <c r="AJ182" i="9" s="1"/>
  <c r="AF181" i="9"/>
  <c r="AK180" i="9"/>
  <c r="AK181" i="9" l="1"/>
  <c r="AI220" i="9" s="1"/>
  <c r="AJ183" i="9"/>
  <c r="AJ184" i="9"/>
  <c r="AK182" i="9" l="1"/>
  <c r="AK184" i="9" s="1"/>
  <c r="AN193" i="9" l="1"/>
  <c r="AK183" i="9"/>
  <c r="G98" i="9"/>
  <c r="E99" i="9" s="1"/>
  <c r="F99" i="9" s="1"/>
  <c r="I99" i="9" s="1"/>
  <c r="M99" i="9" s="1"/>
  <c r="N99" i="9" s="1"/>
  <c r="G99" i="9" l="1"/>
  <c r="E100" i="9" s="1"/>
  <c r="F100" i="9" s="1"/>
  <c r="I100" i="9" s="1"/>
  <c r="M100" i="9" s="1"/>
  <c r="N100" i="9" s="1"/>
  <c r="G100" i="9" l="1"/>
  <c r="E101" i="9" s="1"/>
  <c r="F101" i="9" s="1"/>
  <c r="I101" i="9" s="1"/>
  <c r="M101" i="9" s="1"/>
  <c r="N101" i="9" s="1"/>
  <c r="G101" i="9" l="1"/>
  <c r="E102" i="9" s="1"/>
  <c r="F102" i="9" s="1"/>
  <c r="I102" i="9" s="1"/>
  <c r="M102" i="9" s="1"/>
  <c r="N102" i="9" s="1"/>
  <c r="E94" i="9"/>
  <c r="E95" i="9" s="1"/>
  <c r="AO26" i="5"/>
  <c r="AN26" i="5"/>
  <c r="AQ12" i="5"/>
  <c r="AQ15" i="5"/>
  <c r="AQ16" i="5" s="1"/>
  <c r="AQ17" i="5" s="1"/>
  <c r="G102" i="9" l="1"/>
  <c r="E103" i="9" s="1"/>
  <c r="F103" i="9" s="1"/>
  <c r="I103" i="9" s="1"/>
  <c r="M103" i="9" s="1"/>
  <c r="N103" i="9" s="1"/>
  <c r="AQ14" i="5"/>
  <c r="AN12" i="5"/>
  <c r="AO16" i="5"/>
  <c r="AO15" i="5"/>
  <c r="AO14" i="5"/>
  <c r="AS7" i="5"/>
  <c r="AS8" i="5"/>
  <c r="AS9" i="5"/>
  <c r="AS6" i="5"/>
  <c r="AO7" i="5"/>
  <c r="AO8" i="5"/>
  <c r="AO9" i="5"/>
  <c r="AO6" i="5"/>
  <c r="E108" i="9" l="1"/>
  <c r="N105" i="9"/>
  <c r="G103" i="9"/>
  <c r="E104" i="9" s="1"/>
  <c r="F104" i="9" s="1"/>
  <c r="I104" i="9" s="1"/>
  <c r="AO4" i="5"/>
  <c r="N107" i="9" l="1"/>
  <c r="N106" i="9"/>
  <c r="G104" i="9"/>
  <c r="AP4" i="5"/>
  <c r="D9" i="9"/>
  <c r="D10" i="9"/>
  <c r="D11" i="9"/>
  <c r="D8" i="9"/>
  <c r="D72" i="9"/>
  <c r="E72" i="9" s="1"/>
  <c r="H72" i="9" s="1"/>
  <c r="G60" i="9"/>
  <c r="I60" i="9" s="1"/>
  <c r="D55" i="9"/>
  <c r="G56" i="9"/>
  <c r="I56" i="9" s="1"/>
  <c r="G57" i="9"/>
  <c r="I57" i="9" s="1"/>
  <c r="G58" i="9"/>
  <c r="I58" i="9" s="1"/>
  <c r="G59" i="9"/>
  <c r="I59" i="9" s="1"/>
  <c r="G55" i="9"/>
  <c r="I55" i="9" s="1"/>
  <c r="D46" i="9"/>
  <c r="H29" i="9"/>
  <c r="H30" i="9"/>
  <c r="E40" i="9"/>
  <c r="F40" i="9"/>
  <c r="G40" i="9"/>
  <c r="D40" i="9"/>
  <c r="F31" i="9"/>
  <c r="H31" i="9" s="1"/>
  <c r="J23" i="9"/>
  <c r="E12" i="9" l="1"/>
  <c r="E13" i="9" s="1"/>
  <c r="F28" i="9"/>
  <c r="H28" i="9" s="1"/>
  <c r="H32" i="9" s="1"/>
  <c r="H33" i="9" s="1"/>
  <c r="AO195" i="9"/>
  <c r="AO198" i="9"/>
  <c r="AO194" i="9"/>
  <c r="AO189" i="9"/>
  <c r="AO190" i="9"/>
  <c r="AO196" i="9"/>
  <c r="AO191" i="9"/>
  <c r="AO197" i="9"/>
  <c r="AO192" i="9"/>
  <c r="AO193" i="9"/>
  <c r="L2" i="9"/>
  <c r="G3" i="9"/>
  <c r="F72" i="9"/>
  <c r="G72" i="9" s="1"/>
  <c r="I72" i="9" s="1"/>
  <c r="J72" i="9" s="1"/>
  <c r="E55" i="9"/>
  <c r="AP9" i="5"/>
  <c r="AR9" i="5" s="1"/>
  <c r="AS3" i="5" s="1"/>
  <c r="F661" i="2"/>
  <c r="F659" i="2" s="1"/>
  <c r="F662" i="2" s="1"/>
  <c r="I622" i="2"/>
  <c r="F622" i="2"/>
  <c r="F602" i="2"/>
  <c r="I608" i="2" s="1"/>
  <c r="E602" i="2"/>
  <c r="F609" i="2" s="1"/>
  <c r="H590" i="2"/>
  <c r="F588" i="2"/>
  <c r="H588" i="2" s="1"/>
  <c r="H586" i="2"/>
  <c r="H587" i="2"/>
  <c r="H585" i="2"/>
  <c r="H584" i="2"/>
  <c r="E579" i="2"/>
  <c r="E546" i="2"/>
  <c r="E545" i="2"/>
  <c r="F559" i="2" s="1"/>
  <c r="F506" i="2"/>
  <c r="D513" i="2" s="1"/>
  <c r="G486" i="2"/>
  <c r="G487" i="2"/>
  <c r="G488" i="2"/>
  <c r="G489" i="2"/>
  <c r="G490" i="2"/>
  <c r="G491" i="2"/>
  <c r="G492" i="2"/>
  <c r="G493" i="2"/>
  <c r="G494" i="2"/>
  <c r="G496" i="2"/>
  <c r="G497" i="2"/>
  <c r="G498" i="2"/>
  <c r="G499" i="2"/>
  <c r="G500" i="2"/>
  <c r="G501" i="2"/>
  <c r="G502" i="2"/>
  <c r="G503" i="2"/>
  <c r="G504" i="2"/>
  <c r="G485" i="2"/>
  <c r="E505" i="2"/>
  <c r="E509" i="2" s="1"/>
  <c r="F495" i="2"/>
  <c r="F509" i="2" s="1"/>
  <c r="F482" i="2"/>
  <c r="E482" i="2"/>
  <c r="F481" i="2"/>
  <c r="E481" i="2"/>
  <c r="AR427" i="2"/>
  <c r="AR426" i="2"/>
  <c r="AR428" i="2"/>
  <c r="AR429" i="2"/>
  <c r="AR430" i="2"/>
  <c r="AR431" i="2"/>
  <c r="AR432" i="2"/>
  <c r="AR433" i="2"/>
  <c r="AR434" i="2"/>
  <c r="AR435" i="2"/>
  <c r="AR436" i="2"/>
  <c r="AR437" i="2"/>
  <c r="AR438" i="2"/>
  <c r="AQ438" i="2"/>
  <c r="AQ437" i="2"/>
  <c r="AQ436" i="2"/>
  <c r="AQ435" i="2"/>
  <c r="AQ434" i="2"/>
  <c r="AQ433" i="2"/>
  <c r="AQ432" i="2"/>
  <c r="AQ431" i="2"/>
  <c r="AQ430" i="2"/>
  <c r="AQ429" i="2"/>
  <c r="AQ428" i="2"/>
  <c r="AQ427" i="2"/>
  <c r="AQ426" i="2"/>
  <c r="AR425" i="2"/>
  <c r="AQ425" i="2"/>
  <c r="AR424" i="2"/>
  <c r="AQ424" i="2"/>
  <c r="AR423" i="2"/>
  <c r="AQ423" i="2"/>
  <c r="AR422" i="2"/>
  <c r="AQ422" i="2"/>
  <c r="AR421" i="2"/>
  <c r="AQ421" i="2"/>
  <c r="AR420" i="2"/>
  <c r="AQ420" i="2"/>
  <c r="AR419" i="2"/>
  <c r="AQ419" i="2"/>
  <c r="AR418" i="2"/>
  <c r="AQ418" i="2"/>
  <c r="AR417" i="2"/>
  <c r="AQ417" i="2"/>
  <c r="AR416" i="2"/>
  <c r="AQ416" i="2"/>
  <c r="AR415" i="2"/>
  <c r="AQ415" i="2"/>
  <c r="AR414" i="2"/>
  <c r="AQ414" i="2"/>
  <c r="AR413" i="2"/>
  <c r="AQ413" i="2"/>
  <c r="AR412" i="2"/>
  <c r="AQ412" i="2"/>
  <c r="AR411" i="2"/>
  <c r="AQ411" i="2"/>
  <c r="AR410" i="2"/>
  <c r="AQ410" i="2"/>
  <c r="AR409" i="2"/>
  <c r="AQ409" i="2"/>
  <c r="AR408" i="2"/>
  <c r="AQ408" i="2"/>
  <c r="AR407" i="2"/>
  <c r="AQ407" i="2"/>
  <c r="AR406" i="2"/>
  <c r="AQ406" i="2"/>
  <c r="AR405" i="2"/>
  <c r="AQ405" i="2"/>
  <c r="AR404" i="2"/>
  <c r="AQ404" i="2"/>
  <c r="AR403" i="2"/>
  <c r="AT403" i="2" s="1"/>
  <c r="AQ403" i="2"/>
  <c r="AS371" i="2"/>
  <c r="AS370" i="2"/>
  <c r="AS369" i="2"/>
  <c r="AS368" i="2"/>
  <c r="AS367" i="2"/>
  <c r="AS366" i="2"/>
  <c r="AS365" i="2"/>
  <c r="AS364" i="2"/>
  <c r="AS363" i="2"/>
  <c r="AQ363" i="2"/>
  <c r="BE359" i="2"/>
  <c r="BG359" i="2" s="1"/>
  <c r="BE358" i="2"/>
  <c r="BG358" i="2" s="1"/>
  <c r="BE357" i="2"/>
  <c r="BG357" i="2" s="1"/>
  <c r="BE356" i="2"/>
  <c r="BG356" i="2" s="1"/>
  <c r="BE355" i="2"/>
  <c r="BG355" i="2" s="1"/>
  <c r="BE354" i="2"/>
  <c r="BG354" i="2" s="1"/>
  <c r="BE353" i="2"/>
  <c r="BG353" i="2" s="1"/>
  <c r="BE352" i="2"/>
  <c r="BG352" i="2" s="1"/>
  <c r="BE351" i="2"/>
  <c r="BG351" i="2" s="1"/>
  <c r="BE350" i="2"/>
  <c r="BG350" i="2" s="1"/>
  <c r="BE349" i="2"/>
  <c r="BG349" i="2" s="1"/>
  <c r="BE348" i="2"/>
  <c r="BG348" i="2" s="1"/>
  <c r="BE347" i="2"/>
  <c r="BG347" i="2" s="1"/>
  <c r="BE346" i="2"/>
  <c r="BG346" i="2" s="1"/>
  <c r="BE345" i="2"/>
  <c r="BG345" i="2" s="1"/>
  <c r="BE344" i="2"/>
  <c r="BG344" i="2" s="1"/>
  <c r="BE343" i="2"/>
  <c r="BG343" i="2" s="1"/>
  <c r="BE342" i="2"/>
  <c r="BG342" i="2" s="1"/>
  <c r="BE341" i="2"/>
  <c r="BG341" i="2" s="1"/>
  <c r="BE340" i="2"/>
  <c r="BG340" i="2" s="1"/>
  <c r="BE339" i="2"/>
  <c r="BG339" i="2" s="1"/>
  <c r="BE338" i="2"/>
  <c r="BG338" i="2" s="1"/>
  <c r="BE337" i="2"/>
  <c r="BG337" i="2" s="1"/>
  <c r="BE336" i="2"/>
  <c r="BG336" i="2" s="1"/>
  <c r="BE335" i="2"/>
  <c r="BG335" i="2" s="1"/>
  <c r="BE334" i="2"/>
  <c r="BG334" i="2" s="1"/>
  <c r="BE333" i="2"/>
  <c r="BG333" i="2" s="1"/>
  <c r="BE332" i="2"/>
  <c r="BG332" i="2" s="1"/>
  <c r="BE331" i="2"/>
  <c r="BG331" i="2" s="1"/>
  <c r="BE330" i="2"/>
  <c r="BG330" i="2" s="1"/>
  <c r="BE329" i="2"/>
  <c r="BG329" i="2" s="1"/>
  <c r="BE328" i="2"/>
  <c r="BG328" i="2" s="1"/>
  <c r="BE327" i="2"/>
  <c r="BG327" i="2" s="1"/>
  <c r="BE326" i="2"/>
  <c r="BG326" i="2" s="1"/>
  <c r="BE325" i="2"/>
  <c r="BG325" i="2" s="1"/>
  <c r="BH324" i="2"/>
  <c r="BH325" i="2" s="1"/>
  <c r="BH326" i="2" s="1"/>
  <c r="BH327" i="2" s="1"/>
  <c r="BH328" i="2" s="1"/>
  <c r="BH329" i="2" s="1"/>
  <c r="BH330" i="2" s="1"/>
  <c r="BH331" i="2" s="1"/>
  <c r="BH332" i="2" s="1"/>
  <c r="BH333" i="2" s="1"/>
  <c r="BH334" i="2" s="1"/>
  <c r="BH335" i="2" s="1"/>
  <c r="BH336" i="2" s="1"/>
  <c r="BH337" i="2" s="1"/>
  <c r="BH338" i="2" s="1"/>
  <c r="BH339" i="2" s="1"/>
  <c r="BH340" i="2" s="1"/>
  <c r="BH341" i="2" s="1"/>
  <c r="BH342" i="2" s="1"/>
  <c r="BH343" i="2" s="1"/>
  <c r="BH344" i="2" s="1"/>
  <c r="BH345" i="2" s="1"/>
  <c r="BH346" i="2" s="1"/>
  <c r="BH347" i="2" s="1"/>
  <c r="BH348" i="2" s="1"/>
  <c r="BH349" i="2" s="1"/>
  <c r="BH350" i="2" s="1"/>
  <c r="BH351" i="2" s="1"/>
  <c r="BH352" i="2" s="1"/>
  <c r="BH353" i="2" s="1"/>
  <c r="BH354" i="2" s="1"/>
  <c r="BH355" i="2" s="1"/>
  <c r="BH356" i="2" s="1"/>
  <c r="BH357" i="2" s="1"/>
  <c r="BH358" i="2" s="1"/>
  <c r="BH359" i="2" s="1"/>
  <c r="BE324" i="2"/>
  <c r="AY326" i="2"/>
  <c r="AY327" i="2"/>
  <c r="AY328" i="2"/>
  <c r="AY329" i="2"/>
  <c r="AY330" i="2"/>
  <c r="AY331" i="2"/>
  <c r="AY332" i="2"/>
  <c r="AY333" i="2"/>
  <c r="AY334" i="2"/>
  <c r="AY335" i="2"/>
  <c r="AY336" i="2"/>
  <c r="AY337" i="2"/>
  <c r="AY338" i="2"/>
  <c r="AY339" i="2"/>
  <c r="AY340" i="2"/>
  <c r="AY341" i="2"/>
  <c r="AY342" i="2"/>
  <c r="AY343" i="2"/>
  <c r="AY344" i="2"/>
  <c r="AY345" i="2"/>
  <c r="AY346" i="2"/>
  <c r="AY347" i="2"/>
  <c r="AY348" i="2"/>
  <c r="AY349" i="2"/>
  <c r="AY350" i="2"/>
  <c r="AY351" i="2"/>
  <c r="AY352" i="2"/>
  <c r="AY353" i="2"/>
  <c r="AY354" i="2"/>
  <c r="AY355" i="2"/>
  <c r="AY356" i="2"/>
  <c r="AY357" i="2"/>
  <c r="AY358" i="2"/>
  <c r="AY359" i="2"/>
  <c r="AY325" i="2"/>
  <c r="AX326" i="2"/>
  <c r="AX327" i="2"/>
  <c r="AX328" i="2"/>
  <c r="AX329" i="2"/>
  <c r="AX330" i="2"/>
  <c r="AX331" i="2"/>
  <c r="AX332" i="2"/>
  <c r="AX333" i="2"/>
  <c r="AX334" i="2"/>
  <c r="AX335" i="2"/>
  <c r="AX336" i="2"/>
  <c r="AX337" i="2"/>
  <c r="AX338" i="2"/>
  <c r="AX339" i="2"/>
  <c r="AX340" i="2"/>
  <c r="AX341" i="2"/>
  <c r="AX342" i="2"/>
  <c r="AX343" i="2"/>
  <c r="AX344" i="2"/>
  <c r="AX345" i="2"/>
  <c r="AX346" i="2"/>
  <c r="AX347" i="2"/>
  <c r="AX348" i="2"/>
  <c r="AX349" i="2"/>
  <c r="AX350" i="2"/>
  <c r="AX351" i="2"/>
  <c r="AX352" i="2"/>
  <c r="AX353" i="2"/>
  <c r="AX354" i="2"/>
  <c r="AX355" i="2"/>
  <c r="AX356" i="2"/>
  <c r="AX357" i="2"/>
  <c r="AX358" i="2"/>
  <c r="AX359" i="2"/>
  <c r="AX325" i="2"/>
  <c r="AX324" i="2"/>
  <c r="AY324" i="2"/>
  <c r="BA324" i="2" s="1"/>
  <c r="AS326" i="2"/>
  <c r="AS327" i="2"/>
  <c r="AS328" i="2"/>
  <c r="AS329" i="2"/>
  <c r="AS330" i="2"/>
  <c r="AS331" i="2"/>
  <c r="AS332" i="2"/>
  <c r="AS333" i="2"/>
  <c r="AS334" i="2"/>
  <c r="AS335" i="2"/>
  <c r="AS336" i="2"/>
  <c r="AS337" i="2"/>
  <c r="AS338" i="2"/>
  <c r="AS339" i="2"/>
  <c r="AS340" i="2"/>
  <c r="AS341" i="2"/>
  <c r="AS342" i="2"/>
  <c r="AS343" i="2"/>
  <c r="AS344" i="2"/>
  <c r="AS345" i="2"/>
  <c r="AS346" i="2"/>
  <c r="AS347" i="2"/>
  <c r="AS348" i="2"/>
  <c r="AS349" i="2"/>
  <c r="AS350" i="2"/>
  <c r="AS351" i="2"/>
  <c r="AS352" i="2"/>
  <c r="AS353" i="2"/>
  <c r="AS354" i="2"/>
  <c r="AS355" i="2"/>
  <c r="AS356" i="2"/>
  <c r="AS357" i="2"/>
  <c r="AS358" i="2"/>
  <c r="AS359" i="2"/>
  <c r="AS325" i="2"/>
  <c r="AS324" i="2"/>
  <c r="F564" i="2" l="1"/>
  <c r="F561" i="2"/>
  <c r="F557" i="2"/>
  <c r="F554" i="2"/>
  <c r="F562" i="2"/>
  <c r="F553" i="2"/>
  <c r="F556" i="2"/>
  <c r="H589" i="2"/>
  <c r="F611" i="2"/>
  <c r="F565" i="2"/>
  <c r="F555" i="2"/>
  <c r="F608" i="2"/>
  <c r="AS426" i="2"/>
  <c r="F616" i="2"/>
  <c r="F563" i="2"/>
  <c r="I609" i="2"/>
  <c r="F615" i="2"/>
  <c r="F614" i="2"/>
  <c r="F558" i="2"/>
  <c r="F613" i="2"/>
  <c r="F612" i="2"/>
  <c r="F513" i="2"/>
  <c r="E513" i="2"/>
  <c r="I610" i="2"/>
  <c r="F593" i="2"/>
  <c r="G505" i="2"/>
  <c r="F560" i="2"/>
  <c r="F566" i="2"/>
  <c r="F610" i="2"/>
  <c r="I611" i="2"/>
  <c r="G495" i="2"/>
  <c r="E506" i="2"/>
  <c r="D511" i="2" s="1"/>
  <c r="F55" i="9"/>
  <c r="D56" i="9" s="1"/>
  <c r="E56" i="9" s="1"/>
  <c r="H55" i="9"/>
  <c r="J55" i="9" s="1"/>
  <c r="D73" i="9"/>
  <c r="E73" i="9" s="1"/>
  <c r="H73" i="9" s="1"/>
  <c r="J4" i="9"/>
  <c r="J5" i="9"/>
  <c r="J3" i="9"/>
  <c r="H3" i="9"/>
  <c r="K3" i="9"/>
  <c r="AS428" i="2"/>
  <c r="AS429" i="2"/>
  <c r="AS434" i="2"/>
  <c r="AS438" i="2"/>
  <c r="AS414" i="2"/>
  <c r="AS437" i="2"/>
  <c r="AS420" i="2"/>
  <c r="AS413" i="2"/>
  <c r="AT404" i="2"/>
  <c r="AT405" i="2" s="1"/>
  <c r="AT406" i="2" s="1"/>
  <c r="AT407" i="2" s="1"/>
  <c r="AT408" i="2" s="1"/>
  <c r="AT409" i="2" s="1"/>
  <c r="AT410" i="2" s="1"/>
  <c r="AT411" i="2" s="1"/>
  <c r="AT412" i="2" s="1"/>
  <c r="AT413" i="2" s="1"/>
  <c r="AT414" i="2" s="1"/>
  <c r="AT415" i="2" s="1"/>
  <c r="AT416" i="2" s="1"/>
  <c r="AT417" i="2" s="1"/>
  <c r="AT418" i="2" s="1"/>
  <c r="AT419" i="2" s="1"/>
  <c r="AT420" i="2" s="1"/>
  <c r="AT421" i="2" s="1"/>
  <c r="AT422" i="2" s="1"/>
  <c r="AT423" i="2" s="1"/>
  <c r="AT424" i="2" s="1"/>
  <c r="AT425" i="2" s="1"/>
  <c r="AT426" i="2" s="1"/>
  <c r="AS407" i="2"/>
  <c r="AS412" i="2"/>
  <c r="AS432" i="2"/>
  <c r="AS436" i="2"/>
  <c r="AS405" i="2"/>
  <c r="AS404" i="2"/>
  <c r="AS415" i="2"/>
  <c r="AS423" i="2"/>
  <c r="AS421" i="2"/>
  <c r="AS410" i="2"/>
  <c r="AS422" i="2"/>
  <c r="AS431" i="2"/>
  <c r="AS435" i="2"/>
  <c r="AS406" i="2"/>
  <c r="AS425" i="2"/>
  <c r="AS418" i="2"/>
  <c r="AS430" i="2"/>
  <c r="AS419" i="2"/>
  <c r="AS409" i="2"/>
  <c r="AS416" i="2"/>
  <c r="AS433" i="2"/>
  <c r="AS427" i="2"/>
  <c r="AS417" i="2"/>
  <c r="AS411" i="2"/>
  <c r="AS424" i="2"/>
  <c r="AP364" i="2"/>
  <c r="AQ364" i="2" s="1"/>
  <c r="AP365" i="2" s="1"/>
  <c r="AQ365" i="2" s="1"/>
  <c r="AP366" i="2" s="1"/>
  <c r="AQ366" i="2" s="1"/>
  <c r="AP367" i="2" s="1"/>
  <c r="AQ367" i="2" s="1"/>
  <c r="AP368" i="2" s="1"/>
  <c r="AQ368" i="2" s="1"/>
  <c r="AS408" i="2"/>
  <c r="AS403" i="2"/>
  <c r="AP404" i="2" s="1"/>
  <c r="AR363" i="2"/>
  <c r="AT363" i="2" s="1"/>
  <c r="BG324" i="2"/>
  <c r="BD325" i="2" s="1"/>
  <c r="BD326" i="2" s="1"/>
  <c r="BD327" i="2" s="1"/>
  <c r="BD328" i="2" s="1"/>
  <c r="BD329" i="2" s="1"/>
  <c r="BD330" i="2" s="1"/>
  <c r="BD331" i="2" s="1"/>
  <c r="BD332" i="2" s="1"/>
  <c r="BD333" i="2" s="1"/>
  <c r="BD334" i="2" s="1"/>
  <c r="BD335" i="2" s="1"/>
  <c r="BD336" i="2" s="1"/>
  <c r="BD337" i="2" s="1"/>
  <c r="BD338" i="2" s="1"/>
  <c r="BD339" i="2" s="1"/>
  <c r="BD340" i="2" s="1"/>
  <c r="BD341" i="2" s="1"/>
  <c r="BD342" i="2" s="1"/>
  <c r="BD343" i="2" s="1"/>
  <c r="BD344" i="2" s="1"/>
  <c r="BD345" i="2" s="1"/>
  <c r="BD346" i="2" s="1"/>
  <c r="BD347" i="2" s="1"/>
  <c r="BD348" i="2" s="1"/>
  <c r="BD349" i="2" s="1"/>
  <c r="BD350" i="2" s="1"/>
  <c r="BD351" i="2" s="1"/>
  <c r="BD352" i="2" s="1"/>
  <c r="BD353" i="2" s="1"/>
  <c r="BD354" i="2" s="1"/>
  <c r="BD355" i="2" s="1"/>
  <c r="BD356" i="2" s="1"/>
  <c r="BD357" i="2" s="1"/>
  <c r="BD358" i="2" s="1"/>
  <c r="BD359" i="2" s="1"/>
  <c r="AZ324" i="2"/>
  <c r="AW325" i="2" s="1"/>
  <c r="AQ324" i="2"/>
  <c r="AP325" i="2" s="1"/>
  <c r="AQ325" i="2" s="1"/>
  <c r="AP326" i="2" s="1"/>
  <c r="AQ326" i="2" s="1"/>
  <c r="AP327" i="2" s="1"/>
  <c r="AQ327" i="2" s="1"/>
  <c r="AP328" i="2" s="1"/>
  <c r="AQ328" i="2" s="1"/>
  <c r="AQ319" i="2"/>
  <c r="AR319" i="2" s="1"/>
  <c r="P35" i="5"/>
  <c r="Q25" i="5"/>
  <c r="R25" i="5"/>
  <c r="P29" i="5"/>
  <c r="Q26" i="5"/>
  <c r="Q20" i="5"/>
  <c r="Q21" i="5" s="1"/>
  <c r="G506" i="2" l="1"/>
  <c r="D510" i="2" s="1"/>
  <c r="D512" i="2" s="1"/>
  <c r="I612" i="2"/>
  <c r="I613" i="2" s="1"/>
  <c r="I614" i="2" s="1"/>
  <c r="I625" i="2" s="1"/>
  <c r="I3" i="9"/>
  <c r="G4" i="9" s="1"/>
  <c r="F567" i="2"/>
  <c r="F617" i="2"/>
  <c r="F618" i="2" s="1"/>
  <c r="F630" i="2" s="1"/>
  <c r="AT427" i="2"/>
  <c r="AT428" i="2" s="1"/>
  <c r="AT429" i="2" s="1"/>
  <c r="AT430" i="2" s="1"/>
  <c r="AT431" i="2" s="1"/>
  <c r="AT432" i="2" s="1"/>
  <c r="AT433" i="2" s="1"/>
  <c r="AT434" i="2" s="1"/>
  <c r="AT435" i="2" s="1"/>
  <c r="AT436" i="2" s="1"/>
  <c r="AT437" i="2" s="1"/>
  <c r="AT438" i="2" s="1"/>
  <c r="F511" i="2"/>
  <c r="E511" i="2"/>
  <c r="F56" i="9"/>
  <c r="D57" i="9" s="1"/>
  <c r="E57" i="9" s="1"/>
  <c r="H56" i="9"/>
  <c r="J56" i="9" s="1"/>
  <c r="H4" i="9"/>
  <c r="I4" i="9" s="1"/>
  <c r="G5" i="9" s="1"/>
  <c r="K4" i="9"/>
  <c r="D74" i="9"/>
  <c r="E74" i="9" s="1"/>
  <c r="H74" i="9" s="1"/>
  <c r="G73" i="9"/>
  <c r="I73" i="9" s="1"/>
  <c r="J73" i="9" s="1"/>
  <c r="AP405" i="2"/>
  <c r="AP406" i="2" s="1"/>
  <c r="AP407" i="2" s="1"/>
  <c r="AP408" i="2" s="1"/>
  <c r="AP409" i="2" s="1"/>
  <c r="AP410" i="2" s="1"/>
  <c r="AP411" i="2" s="1"/>
  <c r="AP412" i="2" s="1"/>
  <c r="AP413" i="2" s="1"/>
  <c r="AP414" i="2" s="1"/>
  <c r="AP415" i="2" s="1"/>
  <c r="AP416" i="2" s="1"/>
  <c r="AP417" i="2" s="1"/>
  <c r="AP418" i="2" s="1"/>
  <c r="AP419" i="2" s="1"/>
  <c r="AP420" i="2" s="1"/>
  <c r="AP421" i="2" s="1"/>
  <c r="AP422" i="2" s="1"/>
  <c r="AP423" i="2" s="1"/>
  <c r="AP424" i="2" s="1"/>
  <c r="AP425" i="2" s="1"/>
  <c r="AP426" i="2" s="1"/>
  <c r="AP427" i="2" s="1"/>
  <c r="AP428" i="2" s="1"/>
  <c r="AP429" i="2" s="1"/>
  <c r="AP430" i="2" s="1"/>
  <c r="AP431" i="2" s="1"/>
  <c r="AP432" i="2" s="1"/>
  <c r="AP433" i="2" s="1"/>
  <c r="AP434" i="2" s="1"/>
  <c r="AP435" i="2" s="1"/>
  <c r="AP436" i="2" s="1"/>
  <c r="AP437" i="2" s="1"/>
  <c r="AP438" i="2" s="1"/>
  <c r="AR365" i="2"/>
  <c r="AR364" i="2"/>
  <c r="AT364" i="2" s="1"/>
  <c r="AR367" i="2"/>
  <c r="AR366" i="2"/>
  <c r="AR368" i="2"/>
  <c r="AP369" i="2"/>
  <c r="AQ369" i="2" s="1"/>
  <c r="AP329" i="2"/>
  <c r="AQ329" i="2" s="1"/>
  <c r="AR329" i="2" s="1"/>
  <c r="AR328" i="2"/>
  <c r="AR327" i="2"/>
  <c r="AR324" i="2"/>
  <c r="AT324" i="2" s="1"/>
  <c r="AR326" i="2"/>
  <c r="AR325" i="2"/>
  <c r="Q17" i="5"/>
  <c r="P14" i="5"/>
  <c r="I183" i="2"/>
  <c r="J184" i="2" s="1"/>
  <c r="I206" i="2"/>
  <c r="I207" i="2"/>
  <c r="E185" i="2"/>
  <c r="G186" i="2" s="1"/>
  <c r="G185" i="2"/>
  <c r="G178" i="2"/>
  <c r="H178" i="2" s="1"/>
  <c r="E172" i="2"/>
  <c r="E173" i="2" s="1"/>
  <c r="H170" i="2"/>
  <c r="H172" i="2" s="1"/>
  <c r="H171" i="2"/>
  <c r="N158" i="2"/>
  <c r="N160" i="2" s="1"/>
  <c r="O162" i="2" s="1"/>
  <c r="E160" i="2"/>
  <c r="E158" i="2"/>
  <c r="E159" i="2"/>
  <c r="I165" i="2" s="1"/>
  <c r="E152" i="2"/>
  <c r="E153" i="2" s="1"/>
  <c r="F154" i="2" s="1"/>
  <c r="F155" i="2" s="1"/>
  <c r="E510" i="2" l="1"/>
  <c r="F631" i="2"/>
  <c r="F510" i="2"/>
  <c r="F625" i="2"/>
  <c r="D514" i="2"/>
  <c r="E512" i="2"/>
  <c r="F512" i="2"/>
  <c r="F57" i="9"/>
  <c r="D58" i="9" s="1"/>
  <c r="E58" i="9" s="1"/>
  <c r="H57" i="9"/>
  <c r="J57" i="9" s="1"/>
  <c r="D75" i="9"/>
  <c r="E75" i="9" s="1"/>
  <c r="H75" i="9" s="1"/>
  <c r="G74" i="9"/>
  <c r="I74" i="9" s="1"/>
  <c r="J74" i="9" s="1"/>
  <c r="K5" i="9"/>
  <c r="H5" i="9"/>
  <c r="I5" i="9" s="1"/>
  <c r="AT365" i="2"/>
  <c r="AT366" i="2" s="1"/>
  <c r="AT367" i="2" s="1"/>
  <c r="AT368" i="2" s="1"/>
  <c r="AP370" i="2"/>
  <c r="AQ370" i="2" s="1"/>
  <c r="AR369" i="2"/>
  <c r="AP330" i="2"/>
  <c r="AQ330" i="2" s="1"/>
  <c r="AR330" i="2" s="1"/>
  <c r="AT325" i="2"/>
  <c r="AT326" i="2" s="1"/>
  <c r="AT327" i="2" s="1"/>
  <c r="AT328" i="2" s="1"/>
  <c r="AT329" i="2" s="1"/>
  <c r="AZ328" i="2"/>
  <c r="AZ325" i="2"/>
  <c r="AW326" i="2" s="1"/>
  <c r="AZ326" i="2" s="1"/>
  <c r="AW327" i="2" s="1"/>
  <c r="AZ327" i="2" s="1"/>
  <c r="AW328" i="2" s="1"/>
  <c r="BA325" i="2"/>
  <c r="K184" i="2"/>
  <c r="J185" i="2"/>
  <c r="H165" i="2"/>
  <c r="H166" i="2" s="1"/>
  <c r="J165" i="2"/>
  <c r="J166" i="2" s="1"/>
  <c r="H173" i="2"/>
  <c r="J173" i="2" s="1"/>
  <c r="K173" i="2" s="1"/>
  <c r="L173" i="2" s="1"/>
  <c r="M173" i="2" s="1"/>
  <c r="N173" i="2" s="1"/>
  <c r="O173" i="2" s="1"/>
  <c r="P173" i="2" s="1"/>
  <c r="J183" i="2"/>
  <c r="K183" i="2" s="1"/>
  <c r="G179" i="2"/>
  <c r="G180" i="2" s="1"/>
  <c r="N159" i="2"/>
  <c r="I166" i="2"/>
  <c r="F514" i="2" l="1"/>
  <c r="E514" i="2"/>
  <c r="F58" i="9"/>
  <c r="D59" i="9" s="1"/>
  <c r="E59" i="9" s="1"/>
  <c r="H58" i="9"/>
  <c r="J58" i="9" s="1"/>
  <c r="D76" i="9"/>
  <c r="E76" i="9" s="1"/>
  <c r="H76" i="9" s="1"/>
  <c r="G75" i="9"/>
  <c r="I75" i="9" s="1"/>
  <c r="J75" i="9" s="1"/>
  <c r="AT369" i="2"/>
  <c r="AR370" i="2"/>
  <c r="AP371" i="2"/>
  <c r="AQ371" i="2" s="1"/>
  <c r="AW329" i="2"/>
  <c r="AT330" i="2"/>
  <c r="AP331" i="2"/>
  <c r="AQ331" i="2" s="1"/>
  <c r="AR331" i="2" s="1"/>
  <c r="BA326" i="2"/>
  <c r="BA327" i="2" s="1"/>
  <c r="BA328" i="2" s="1"/>
  <c r="AZ329" i="2"/>
  <c r="J207" i="2"/>
  <c r="K207" i="2" s="1"/>
  <c r="J186" i="2"/>
  <c r="K185" i="2"/>
  <c r="H174" i="2"/>
  <c r="H175" i="2" s="1"/>
  <c r="H176" i="2" s="1"/>
  <c r="E166" i="2"/>
  <c r="N161" i="2" s="1"/>
  <c r="AE128" i="9" l="1"/>
  <c r="AH127" i="9"/>
  <c r="AK127" i="9"/>
  <c r="AL127" i="9" s="1"/>
  <c r="F59" i="9"/>
  <c r="D60" i="9" s="1"/>
  <c r="E60" i="9" s="1"/>
  <c r="H59" i="9"/>
  <c r="J59" i="9" s="1"/>
  <c r="D77" i="9"/>
  <c r="G76" i="9"/>
  <c r="I76" i="9" s="1"/>
  <c r="J76" i="9" s="1"/>
  <c r="AT370" i="2"/>
  <c r="AP372" i="2"/>
  <c r="AR371" i="2"/>
  <c r="AT331" i="2"/>
  <c r="AW330" i="2"/>
  <c r="AP332" i="2"/>
  <c r="AQ332" i="2" s="1"/>
  <c r="AP333" i="2" s="1"/>
  <c r="AQ333" i="2" s="1"/>
  <c r="AZ330" i="2"/>
  <c r="BA329" i="2"/>
  <c r="BA330" i="2" s="1"/>
  <c r="J187" i="2"/>
  <c r="K186" i="2"/>
  <c r="P157" i="2"/>
  <c r="N162" i="2"/>
  <c r="AF128" i="9" l="1"/>
  <c r="AE129" i="9"/>
  <c r="AJ128" i="9"/>
  <c r="H60" i="9"/>
  <c r="J60" i="9" s="1"/>
  <c r="F60" i="9"/>
  <c r="D61" i="9" s="1"/>
  <c r="D78" i="9"/>
  <c r="E77" i="9"/>
  <c r="AT371" i="2"/>
  <c r="AS376" i="2"/>
  <c r="AS384" i="2"/>
  <c r="AS392" i="2"/>
  <c r="AQ372" i="2"/>
  <c r="AS377" i="2"/>
  <c r="AS385" i="2"/>
  <c r="AS393" i="2"/>
  <c r="AS397" i="2"/>
  <c r="AS374" i="2"/>
  <c r="AS383" i="2"/>
  <c r="AS378" i="2"/>
  <c r="AS386" i="2"/>
  <c r="AS394" i="2"/>
  <c r="AS381" i="2"/>
  <c r="AS390" i="2"/>
  <c r="AS391" i="2"/>
  <c r="AS379" i="2"/>
  <c r="AS387" i="2"/>
  <c r="AS395" i="2"/>
  <c r="AS373" i="2"/>
  <c r="AS398" i="2"/>
  <c r="AS372" i="2"/>
  <c r="AS380" i="2"/>
  <c r="AS388" i="2"/>
  <c r="AS396" i="2"/>
  <c r="AS389" i="2"/>
  <c r="AS382" i="2"/>
  <c r="AS375" i="2"/>
  <c r="AW331" i="2"/>
  <c r="AR332" i="2"/>
  <c r="AT332" i="2" s="1"/>
  <c r="AZ331" i="2"/>
  <c r="AP334" i="2"/>
  <c r="AQ334" i="2" s="1"/>
  <c r="AR333" i="2"/>
  <c r="J188" i="2"/>
  <c r="K187" i="2"/>
  <c r="P158" i="2"/>
  <c r="O160" i="2" s="1"/>
  <c r="O164" i="2" s="1"/>
  <c r="AJ129" i="9" l="1"/>
  <c r="AF129" i="9"/>
  <c r="AE130" i="9"/>
  <c r="AI128" i="9"/>
  <c r="AH128" i="9"/>
  <c r="G77" i="9"/>
  <c r="I77" i="9" s="1"/>
  <c r="H77" i="9"/>
  <c r="E61" i="9"/>
  <c r="H61" i="9" s="1"/>
  <c r="G62" i="9"/>
  <c r="G63" i="9"/>
  <c r="G64" i="9"/>
  <c r="I64" i="9" s="1"/>
  <c r="G65" i="9"/>
  <c r="I65" i="9" s="1"/>
  <c r="G66" i="9"/>
  <c r="I66" i="9" s="1"/>
  <c r="G61" i="9"/>
  <c r="E78" i="9"/>
  <c r="D79" i="9"/>
  <c r="AR372" i="2"/>
  <c r="AT372" i="2" s="1"/>
  <c r="AP373" i="2"/>
  <c r="AQ373" i="2" s="1"/>
  <c r="AR373" i="2" s="1"/>
  <c r="AW332" i="2"/>
  <c r="AT333" i="2"/>
  <c r="AZ332" i="2"/>
  <c r="BA331" i="2"/>
  <c r="BA332" i="2" s="1"/>
  <c r="AP335" i="2"/>
  <c r="AQ335" i="2" s="1"/>
  <c r="AR334" i="2"/>
  <c r="J189" i="2"/>
  <c r="K188" i="2"/>
  <c r="AK128" i="9" l="1"/>
  <c r="AL128" i="9" s="1"/>
  <c r="J77" i="9"/>
  <c r="AI129" i="9"/>
  <c r="AH129" i="9"/>
  <c r="AJ130" i="9"/>
  <c r="AF130" i="9"/>
  <c r="I63" i="9"/>
  <c r="I62" i="9"/>
  <c r="G78" i="9"/>
  <c r="I78" i="9" s="1"/>
  <c r="H78" i="9"/>
  <c r="I61" i="9"/>
  <c r="J61" i="9" s="1"/>
  <c r="F61" i="9"/>
  <c r="D62" i="9" s="1"/>
  <c r="E62" i="9" s="1"/>
  <c r="H62" i="9" s="1"/>
  <c r="E79" i="9"/>
  <c r="D80" i="9"/>
  <c r="AT373" i="2"/>
  <c r="AP374" i="2"/>
  <c r="AQ374" i="2" s="1"/>
  <c r="AW333" i="2"/>
  <c r="AT334" i="2"/>
  <c r="AZ333" i="2"/>
  <c r="AP336" i="2"/>
  <c r="AQ336" i="2" s="1"/>
  <c r="AR335" i="2"/>
  <c r="J190" i="2"/>
  <c r="K189" i="2"/>
  <c r="J78" i="9" l="1"/>
  <c r="AK129" i="9"/>
  <c r="AL129" i="9" s="1"/>
  <c r="J62" i="9"/>
  <c r="AP195" i="9" s="1"/>
  <c r="AP196" i="9"/>
  <c r="AP197" i="9"/>
  <c r="AP193" i="9"/>
  <c r="AP198" i="9"/>
  <c r="AI130" i="9"/>
  <c r="AH130" i="9"/>
  <c r="AP190" i="9"/>
  <c r="AP191" i="9"/>
  <c r="AP192" i="9"/>
  <c r="AP189" i="9"/>
  <c r="F62" i="9"/>
  <c r="D63" i="9" s="1"/>
  <c r="E63" i="9" s="1"/>
  <c r="G79" i="9"/>
  <c r="I79" i="9" s="1"/>
  <c r="H79" i="9"/>
  <c r="E80" i="9"/>
  <c r="D81" i="9"/>
  <c r="AP375" i="2"/>
  <c r="AQ375" i="2" s="1"/>
  <c r="AW334" i="2"/>
  <c r="AT335" i="2"/>
  <c r="BA333" i="2"/>
  <c r="BA334" i="2" s="1"/>
  <c r="AZ334" i="2"/>
  <c r="AP337" i="2"/>
  <c r="AQ337" i="2" s="1"/>
  <c r="AR336" i="2"/>
  <c r="J191" i="2"/>
  <c r="K190" i="2"/>
  <c r="AP194" i="9" l="1"/>
  <c r="AK130" i="9"/>
  <c r="AL130" i="9" s="1"/>
  <c r="AL131" i="9" s="1"/>
  <c r="AL132" i="9" s="1"/>
  <c r="AD136" i="9"/>
  <c r="G80" i="9"/>
  <c r="I80" i="9" s="1"/>
  <c r="H80" i="9"/>
  <c r="J79" i="9"/>
  <c r="H63" i="9"/>
  <c r="J63" i="9" s="1"/>
  <c r="F63" i="9"/>
  <c r="D64" i="9" s="1"/>
  <c r="E64" i="9" s="1"/>
  <c r="E81" i="9"/>
  <c r="D82" i="9"/>
  <c r="AP376" i="2"/>
  <c r="AQ376" i="2" s="1"/>
  <c r="AR374" i="2"/>
  <c r="AT374" i="2" s="1"/>
  <c r="AW335" i="2"/>
  <c r="AT336" i="2"/>
  <c r="AZ335" i="2"/>
  <c r="BA335" i="2"/>
  <c r="AR337" i="2"/>
  <c r="AP338" i="2"/>
  <c r="AQ338" i="2" s="1"/>
  <c r="J192" i="2"/>
  <c r="K191" i="2"/>
  <c r="AL133" i="9" l="1"/>
  <c r="G81" i="9"/>
  <c r="I81" i="9" s="1"/>
  <c r="H81" i="9"/>
  <c r="J81" i="9" s="1"/>
  <c r="H64" i="9"/>
  <c r="J64" i="9" s="1"/>
  <c r="F64" i="9"/>
  <c r="D65" i="9" s="1"/>
  <c r="E65" i="9" s="1"/>
  <c r="J80" i="9"/>
  <c r="E82" i="9"/>
  <c r="D83" i="9"/>
  <c r="E83" i="9" s="1"/>
  <c r="AR375" i="2"/>
  <c r="AT375" i="2" s="1"/>
  <c r="AR376" i="2"/>
  <c r="AW336" i="2"/>
  <c r="AT337" i="2"/>
  <c r="AZ336" i="2"/>
  <c r="AP339" i="2"/>
  <c r="AQ339" i="2" s="1"/>
  <c r="AR338" i="2"/>
  <c r="J193" i="2"/>
  <c r="K192" i="2"/>
  <c r="H65" i="9" l="1"/>
  <c r="J65" i="9" s="1"/>
  <c r="F65" i="9"/>
  <c r="D66" i="9" s="1"/>
  <c r="E66" i="9" s="1"/>
  <c r="G83" i="9"/>
  <c r="I83" i="9" s="1"/>
  <c r="H83" i="9"/>
  <c r="G82" i="9"/>
  <c r="I82" i="9" s="1"/>
  <c r="H82" i="9"/>
  <c r="AT376" i="2"/>
  <c r="AP377" i="2"/>
  <c r="AQ377" i="2" s="1"/>
  <c r="AW337" i="2"/>
  <c r="AT338" i="2"/>
  <c r="AZ337" i="2"/>
  <c r="BA336" i="2"/>
  <c r="BA337" i="2" s="1"/>
  <c r="AR339" i="2"/>
  <c r="AP340" i="2"/>
  <c r="AQ340" i="2" s="1"/>
  <c r="J194" i="2"/>
  <c r="K193" i="2"/>
  <c r="J82" i="9" l="1"/>
  <c r="J83" i="9"/>
  <c r="H66" i="9"/>
  <c r="J66" i="9" s="1"/>
  <c r="F66" i="9"/>
  <c r="AP378" i="2"/>
  <c r="AW338" i="2"/>
  <c r="AT339" i="2"/>
  <c r="AZ338" i="2"/>
  <c r="BA338" i="2"/>
  <c r="AP341" i="2"/>
  <c r="AQ341" i="2" s="1"/>
  <c r="AR340" i="2"/>
  <c r="J195" i="2"/>
  <c r="K194" i="2"/>
  <c r="AR377" i="2" l="1"/>
  <c r="AT377" i="2" s="1"/>
  <c r="AQ378" i="2"/>
  <c r="AW339" i="2"/>
  <c r="AT340" i="2"/>
  <c r="AZ339" i="2"/>
  <c r="BA339" i="2"/>
  <c r="AP342" i="2"/>
  <c r="AQ342" i="2" s="1"/>
  <c r="AR341" i="2"/>
  <c r="J196" i="2"/>
  <c r="K195" i="2"/>
  <c r="AP379" i="2" l="1"/>
  <c r="AR378" i="2"/>
  <c r="AT378" i="2" s="1"/>
  <c r="AW340" i="2"/>
  <c r="AT341" i="2"/>
  <c r="AZ340" i="2"/>
  <c r="AP343" i="2"/>
  <c r="AQ343" i="2" s="1"/>
  <c r="AR342" i="2"/>
  <c r="J197" i="2"/>
  <c r="K196" i="2"/>
  <c r="AQ379" i="2" l="1"/>
  <c r="AT342" i="2"/>
  <c r="AW341" i="2"/>
  <c r="AZ341" i="2"/>
  <c r="BA340" i="2"/>
  <c r="BA341" i="2" s="1"/>
  <c r="AP344" i="2"/>
  <c r="AQ344" i="2" s="1"/>
  <c r="AR343" i="2"/>
  <c r="J198" i="2"/>
  <c r="K197" i="2"/>
  <c r="AP380" i="2" l="1"/>
  <c r="AR379" i="2"/>
  <c r="AT379" i="2" s="1"/>
  <c r="AT343" i="2"/>
  <c r="AW342" i="2"/>
  <c r="AZ342" i="2"/>
  <c r="AP345" i="2"/>
  <c r="AQ345" i="2" s="1"/>
  <c r="AR344" i="2"/>
  <c r="J199" i="2"/>
  <c r="K198" i="2"/>
  <c r="AQ380" i="2" l="1"/>
  <c r="AR380" i="2" s="1"/>
  <c r="AT380" i="2" s="1"/>
  <c r="AW343" i="2"/>
  <c r="AT344" i="2"/>
  <c r="AZ343" i="2"/>
  <c r="BA342" i="2"/>
  <c r="AR345" i="2"/>
  <c r="AP346" i="2"/>
  <c r="AQ346" i="2" s="1"/>
  <c r="J200" i="2"/>
  <c r="K199" i="2"/>
  <c r="AP381" i="2" l="1"/>
  <c r="AW344" i="2"/>
  <c r="AT345" i="2"/>
  <c r="AZ344" i="2"/>
  <c r="BA343" i="2"/>
  <c r="AP347" i="2"/>
  <c r="AQ347" i="2" s="1"/>
  <c r="AR346" i="2"/>
  <c r="J201" i="2"/>
  <c r="K200" i="2"/>
  <c r="AQ381" i="2" l="1"/>
  <c r="AW345" i="2"/>
  <c r="AT346" i="2"/>
  <c r="AZ345" i="2"/>
  <c r="BA344" i="2"/>
  <c r="AP348" i="2"/>
  <c r="AQ348" i="2" s="1"/>
  <c r="AR347" i="2"/>
  <c r="J202" i="2"/>
  <c r="K201" i="2"/>
  <c r="AP382" i="2" l="1"/>
  <c r="AQ382" i="2" s="1"/>
  <c r="AR381" i="2"/>
  <c r="AT381" i="2" s="1"/>
  <c r="AW346" i="2"/>
  <c r="AT347" i="2"/>
  <c r="AZ346" i="2"/>
  <c r="BA345" i="2"/>
  <c r="BA346" i="2" s="1"/>
  <c r="AP349" i="2"/>
  <c r="AQ349" i="2" s="1"/>
  <c r="AR348" i="2"/>
  <c r="J203" i="2"/>
  <c r="K202" i="2"/>
  <c r="AR382" i="2" l="1"/>
  <c r="AT382" i="2" s="1"/>
  <c r="AW347" i="2"/>
  <c r="AT348" i="2"/>
  <c r="AZ347" i="2"/>
  <c r="BA347" i="2"/>
  <c r="AP350" i="2"/>
  <c r="AQ350" i="2" s="1"/>
  <c r="AR349" i="2"/>
  <c r="J204" i="2"/>
  <c r="K203" i="2"/>
  <c r="AP383" i="2" l="1"/>
  <c r="AQ383" i="2" s="1"/>
  <c r="AR383" i="2" s="1"/>
  <c r="AT383" i="2" s="1"/>
  <c r="AW348" i="2"/>
  <c r="AT349" i="2"/>
  <c r="AZ348" i="2"/>
  <c r="BA348" i="2"/>
  <c r="AP351" i="2"/>
  <c r="AQ351" i="2" s="1"/>
  <c r="AR350" i="2"/>
  <c r="J205" i="2"/>
  <c r="K204" i="2"/>
  <c r="AP384" i="2" l="1"/>
  <c r="AW349" i="2"/>
  <c r="AT350" i="2"/>
  <c r="AZ349" i="2"/>
  <c r="AR351" i="2"/>
  <c r="AP352" i="2"/>
  <c r="AQ352" i="2" s="1"/>
  <c r="J206" i="2"/>
  <c r="K206" i="2" s="1"/>
  <c r="K205" i="2"/>
  <c r="AQ384" i="2" l="1"/>
  <c r="AR384" i="2" s="1"/>
  <c r="AT384" i="2" s="1"/>
  <c r="AW350" i="2"/>
  <c r="AT351" i="2"/>
  <c r="AZ350" i="2"/>
  <c r="BA349" i="2"/>
  <c r="BA350" i="2" s="1"/>
  <c r="AP353" i="2"/>
  <c r="AQ353" i="2" s="1"/>
  <c r="AR352" i="2"/>
  <c r="K208" i="2"/>
  <c r="K209" i="2" s="1"/>
  <c r="AP385" i="2" l="1"/>
  <c r="AW351" i="2"/>
  <c r="AT352" i="2"/>
  <c r="AZ351" i="2"/>
  <c r="AR353" i="2"/>
  <c r="AP354" i="2"/>
  <c r="AQ354" i="2" s="1"/>
  <c r="Y131" i="2"/>
  <c r="X131" i="2"/>
  <c r="V132" i="2"/>
  <c r="V133" i="2" s="1"/>
  <c r="V134" i="2" s="1"/>
  <c r="AA297" i="2"/>
  <c r="Z296" i="2"/>
  <c r="X296" i="2"/>
  <c r="Y293" i="2" s="1"/>
  <c r="Z293" i="2" s="1"/>
  <c r="W296" i="2"/>
  <c r="Y294" i="2" s="1"/>
  <c r="Z294" i="2" s="1"/>
  <c r="T291" i="2"/>
  <c r="T292" i="2"/>
  <c r="T293" i="2"/>
  <c r="T294" i="2"/>
  <c r="T295" i="2"/>
  <c r="T290" i="2"/>
  <c r="AA291" i="2"/>
  <c r="AA295" i="2"/>
  <c r="AA296" i="2"/>
  <c r="AA290" i="2"/>
  <c r="Z291" i="2"/>
  <c r="Z295" i="2"/>
  <c r="Z290" i="2"/>
  <c r="W272" i="2"/>
  <c r="W271" i="2"/>
  <c r="W270" i="2"/>
  <c r="W269" i="2"/>
  <c r="V270" i="2"/>
  <c r="V269" i="2"/>
  <c r="Y246" i="2"/>
  <c r="Y247" i="2"/>
  <c r="Y249" i="2"/>
  <c r="Y250" i="2"/>
  <c r="Y252" i="2"/>
  <c r="Y253" i="2"/>
  <c r="Y255" i="2"/>
  <c r="Y256" i="2"/>
  <c r="Y258" i="2"/>
  <c r="Y259" i="2"/>
  <c r="Y261" i="2"/>
  <c r="Y262" i="2"/>
  <c r="Y263" i="2"/>
  <c r="Y245" i="2"/>
  <c r="X257" i="2"/>
  <c r="X251" i="2"/>
  <c r="W260" i="2"/>
  <c r="Y260" i="2" s="1"/>
  <c r="W257" i="2"/>
  <c r="W254" i="2"/>
  <c r="Y254" i="2" s="1"/>
  <c r="W251" i="2"/>
  <c r="W248" i="2"/>
  <c r="Y248" i="2" s="1"/>
  <c r="AB239" i="2"/>
  <c r="AC239" i="2"/>
  <c r="AD237" i="2"/>
  <c r="AD238" i="2"/>
  <c r="AD236"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BV142" i="2"/>
  <c r="BW142" i="2"/>
  <c r="BX142" i="2"/>
  <c r="BY142" i="2"/>
  <c r="BZ142" i="2"/>
  <c r="CA142" i="2"/>
  <c r="CB142" i="2"/>
  <c r="CC142" i="2"/>
  <c r="CD142" i="2"/>
  <c r="CE142" i="2"/>
  <c r="CF142" i="2"/>
  <c r="CG142" i="2"/>
  <c r="CH142" i="2"/>
  <c r="CI142" i="2"/>
  <c r="CJ142" i="2"/>
  <c r="CK142" i="2"/>
  <c r="CL142" i="2"/>
  <c r="CM142" i="2"/>
  <c r="CN142" i="2"/>
  <c r="CO142" i="2"/>
  <c r="CP142" i="2"/>
  <c r="CQ142" i="2"/>
  <c r="CR142" i="2"/>
  <c r="CS142" i="2"/>
  <c r="CT142" i="2"/>
  <c r="CU142" i="2"/>
  <c r="CV142" i="2"/>
  <c r="CW142" i="2"/>
  <c r="CX142" i="2"/>
  <c r="CY142" i="2"/>
  <c r="CZ142" i="2"/>
  <c r="DA142" i="2"/>
  <c r="DB142" i="2"/>
  <c r="DC142" i="2"/>
  <c r="DD142" i="2"/>
  <c r="DE142" i="2"/>
  <c r="DF142" i="2"/>
  <c r="DG142" i="2"/>
  <c r="DH142" i="2"/>
  <c r="DI142" i="2"/>
  <c r="DJ142" i="2"/>
  <c r="DK142" i="2"/>
  <c r="DL142" i="2"/>
  <c r="DM142" i="2"/>
  <c r="DN142" i="2"/>
  <c r="DO142" i="2"/>
  <c r="DP142" i="2"/>
  <c r="DQ142" i="2"/>
  <c r="DR142" i="2"/>
  <c r="DS142" i="2"/>
  <c r="V142" i="2"/>
  <c r="V137" i="2"/>
  <c r="G145" i="2"/>
  <c r="G146" i="2" s="1"/>
  <c r="E145" i="2" s="1"/>
  <c r="E146" i="2" s="1"/>
  <c r="D131" i="2"/>
  <c r="D133" i="2"/>
  <c r="D134" i="2"/>
  <c r="D135" i="2" s="1"/>
  <c r="D137" i="2" s="1"/>
  <c r="AQ385" i="2" l="1"/>
  <c r="AW352" i="2"/>
  <c r="AT353" i="2"/>
  <c r="AZ352" i="2"/>
  <c r="BA351" i="2"/>
  <c r="BA352" i="2" s="1"/>
  <c r="AP355" i="2"/>
  <c r="AQ355" i="2" s="1"/>
  <c r="AR354" i="2"/>
  <c r="Y251" i="2"/>
  <c r="V273" i="2"/>
  <c r="X264" i="2"/>
  <c r="V138" i="2"/>
  <c r="T296" i="2"/>
  <c r="Y292" i="2" s="1"/>
  <c r="Z292" i="2" s="1"/>
  <c r="W264" i="2"/>
  <c r="V141" i="2"/>
  <c r="X132" i="2"/>
  <c r="X133" i="2" s="1"/>
  <c r="Y257" i="2"/>
  <c r="Z297" i="2"/>
  <c r="AA294" i="2"/>
  <c r="AA293" i="2"/>
  <c r="W273" i="2"/>
  <c r="AD239" i="2"/>
  <c r="E141" i="2"/>
  <c r="AZ141" i="2"/>
  <c r="BP141" i="2"/>
  <c r="DL141" i="2"/>
  <c r="F141" i="2"/>
  <c r="N141" i="2"/>
  <c r="U141" i="2"/>
  <c r="AC141" i="2"/>
  <c r="AK141" i="2"/>
  <c r="AS141" i="2"/>
  <c r="BA141" i="2"/>
  <c r="BI141" i="2"/>
  <c r="BQ141" i="2"/>
  <c r="BY141" i="2"/>
  <c r="CG141" i="2"/>
  <c r="CO141" i="2"/>
  <c r="CW141" i="2"/>
  <c r="DE141" i="2"/>
  <c r="DM141" i="2"/>
  <c r="AR141" i="2"/>
  <c r="CV141" i="2"/>
  <c r="G141" i="2"/>
  <c r="O141" i="2"/>
  <c r="AD141" i="2"/>
  <c r="AL141" i="2"/>
  <c r="AT141" i="2"/>
  <c r="BB141" i="2"/>
  <c r="BJ141" i="2"/>
  <c r="BR141" i="2"/>
  <c r="BZ141" i="2"/>
  <c r="CH141" i="2"/>
  <c r="CP141" i="2"/>
  <c r="CX141" i="2"/>
  <c r="DF141" i="2"/>
  <c r="DN141" i="2"/>
  <c r="BH141" i="2"/>
  <c r="DD141" i="2"/>
  <c r="H141" i="2"/>
  <c r="P141" i="2"/>
  <c r="W141" i="2"/>
  <c r="AE141" i="2"/>
  <c r="AM141" i="2"/>
  <c r="AU141" i="2"/>
  <c r="BC141" i="2"/>
  <c r="BK141" i="2"/>
  <c r="BS141" i="2"/>
  <c r="CA141" i="2"/>
  <c r="CI141" i="2"/>
  <c r="CQ141" i="2"/>
  <c r="CY141" i="2"/>
  <c r="DG141" i="2"/>
  <c r="DO141" i="2"/>
  <c r="AB141" i="2"/>
  <c r="CN141" i="2"/>
  <c r="I141" i="2"/>
  <c r="Q141" i="2"/>
  <c r="X141" i="2"/>
  <c r="AF141" i="2"/>
  <c r="AN141" i="2"/>
  <c r="AV141" i="2"/>
  <c r="BD141" i="2"/>
  <c r="BL141" i="2"/>
  <c r="BT141" i="2"/>
  <c r="CB141" i="2"/>
  <c r="CJ141" i="2"/>
  <c r="CR141" i="2"/>
  <c r="CZ141" i="2"/>
  <c r="DH141" i="2"/>
  <c r="DP141" i="2"/>
  <c r="J141" i="2"/>
  <c r="R141" i="2"/>
  <c r="Y141" i="2"/>
  <c r="AG141" i="2"/>
  <c r="AO141" i="2"/>
  <c r="AW141" i="2"/>
  <c r="BE141" i="2"/>
  <c r="BM141" i="2"/>
  <c r="BU141" i="2"/>
  <c r="CC141" i="2"/>
  <c r="CK141" i="2"/>
  <c r="CS141" i="2"/>
  <c r="DA141" i="2"/>
  <c r="DI141" i="2"/>
  <c r="DQ141" i="2"/>
  <c r="M141" i="2"/>
  <c r="CF141" i="2"/>
  <c r="K141" i="2"/>
  <c r="S141" i="2"/>
  <c r="Z141" i="2"/>
  <c r="AH141" i="2"/>
  <c r="AP141" i="2"/>
  <c r="AX141" i="2"/>
  <c r="BF141" i="2"/>
  <c r="BN141" i="2"/>
  <c r="BV141" i="2"/>
  <c r="CD141" i="2"/>
  <c r="CL141" i="2"/>
  <c r="CT141" i="2"/>
  <c r="DB141" i="2"/>
  <c r="DJ141" i="2"/>
  <c r="DR141" i="2"/>
  <c r="AJ141" i="2"/>
  <c r="BX141" i="2"/>
  <c r="L141" i="2"/>
  <c r="T141" i="2"/>
  <c r="AA141" i="2"/>
  <c r="AI141" i="2"/>
  <c r="AQ141" i="2"/>
  <c r="AY141" i="2"/>
  <c r="BG141" i="2"/>
  <c r="BO141" i="2"/>
  <c r="BW141" i="2"/>
  <c r="CE141" i="2"/>
  <c r="CM141" i="2"/>
  <c r="CU141" i="2"/>
  <c r="DC141" i="2"/>
  <c r="DK141" i="2"/>
  <c r="DS141" i="2"/>
  <c r="F130" i="2"/>
  <c r="AR385" i="2" l="1"/>
  <c r="AT385" i="2" s="1"/>
  <c r="AP386" i="2"/>
  <c r="AW353" i="2"/>
  <c r="AT354" i="2"/>
  <c r="AZ353" i="2"/>
  <c r="AR355" i="2"/>
  <c r="AP356" i="2"/>
  <c r="AQ356" i="2" s="1"/>
  <c r="AA292" i="2"/>
  <c r="X267" i="2"/>
  <c r="D130" i="2"/>
  <c r="E130" i="2" s="1"/>
  <c r="D26" i="7"/>
  <c r="E3" i="7"/>
  <c r="E25" i="7"/>
  <c r="E19" i="7"/>
  <c r="G19" i="7" s="1"/>
  <c r="D20" i="7" s="1"/>
  <c r="G15" i="7"/>
  <c r="F16" i="7" s="1"/>
  <c r="G16" i="7" s="1"/>
  <c r="E13" i="7"/>
  <c r="G12" i="7"/>
  <c r="AQ386" i="2" l="1"/>
  <c r="AR386" i="2" s="1"/>
  <c r="AT386" i="2" s="1"/>
  <c r="AT355" i="2"/>
  <c r="AW354" i="2"/>
  <c r="AZ354" i="2"/>
  <c r="BA353" i="2"/>
  <c r="AP357" i="2"/>
  <c r="AQ357" i="2" s="1"/>
  <c r="AR356" i="2"/>
  <c r="E9" i="7"/>
  <c r="D10" i="7" s="1"/>
  <c r="F10" i="7" s="1"/>
  <c r="D6" i="7"/>
  <c r="G13" i="7" s="1"/>
  <c r="H13" i="7" s="1"/>
  <c r="D128" i="2"/>
  <c r="G120" i="2"/>
  <c r="E122" i="2"/>
  <c r="G121" i="2" s="1"/>
  <c r="G108" i="2"/>
  <c r="G110" i="2" s="1"/>
  <c r="G107" i="2"/>
  <c r="G109" i="2" s="1"/>
  <c r="E110" i="2"/>
  <c r="I110" i="2" s="1"/>
  <c r="I107" i="2"/>
  <c r="E102" i="2"/>
  <c r="G98" i="2"/>
  <c r="G100" i="2" s="1"/>
  <c r="G97" i="2"/>
  <c r="G99" i="2" s="1"/>
  <c r="G89" i="2"/>
  <c r="G91" i="2" s="1"/>
  <c r="K86" i="2"/>
  <c r="K85" i="2"/>
  <c r="I85" i="2"/>
  <c r="J85" i="2" s="1"/>
  <c r="F90" i="2"/>
  <c r="F92" i="2" s="1"/>
  <c r="E90" i="2"/>
  <c r="E92" i="2" s="1"/>
  <c r="E91" i="2"/>
  <c r="E88" i="2"/>
  <c r="E89" i="2"/>
  <c r="AP387" i="2" l="1"/>
  <c r="AW355" i="2"/>
  <c r="AT356" i="2"/>
  <c r="BA354" i="2"/>
  <c r="AZ355" i="2"/>
  <c r="AP358" i="2"/>
  <c r="AQ358" i="2" s="1"/>
  <c r="AR357" i="2"/>
  <c r="H120" i="2"/>
  <c r="H122" i="2" s="1"/>
  <c r="H123" i="2" s="1"/>
  <c r="H124" i="2" s="1"/>
  <c r="I97" i="2"/>
  <c r="F89" i="2"/>
  <c r="F91" i="2" s="1"/>
  <c r="G90" i="2"/>
  <c r="G92" i="2" s="1"/>
  <c r="J54" i="3"/>
  <c r="J55" i="3"/>
  <c r="J56" i="3"/>
  <c r="J57" i="3"/>
  <c r="J58" i="3"/>
  <c r="J59" i="3"/>
  <c r="J53" i="3"/>
  <c r="K33" i="3"/>
  <c r="AQ387" i="2" l="1"/>
  <c r="AR387" i="2" s="1"/>
  <c r="AT387" i="2" s="1"/>
  <c r="AW356" i="2"/>
  <c r="AT357" i="2"/>
  <c r="AZ356" i="2"/>
  <c r="BA355" i="2"/>
  <c r="AP359" i="2"/>
  <c r="AQ359" i="2" s="1"/>
  <c r="AR359" i="2" s="1"/>
  <c r="AR358" i="2"/>
  <c r="F88" i="2"/>
  <c r="F85" i="2"/>
  <c r="E85" i="2"/>
  <c r="D85" i="2"/>
  <c r="D84" i="2"/>
  <c r="AA69" i="2"/>
  <c r="AG69" i="2" s="1"/>
  <c r="AA70" i="2"/>
  <c r="AG70" i="2" s="1"/>
  <c r="AA71" i="2"/>
  <c r="AA72" i="2"/>
  <c r="AG72" i="2" s="1"/>
  <c r="AA73" i="2"/>
  <c r="AG73" i="2" s="1"/>
  <c r="AA68" i="2"/>
  <c r="AI68" i="2" s="1"/>
  <c r="Z69" i="2"/>
  <c r="Z70" i="2"/>
  <c r="Z71" i="2"/>
  <c r="Z72" i="2"/>
  <c r="Z73" i="2"/>
  <c r="Z68" i="2"/>
  <c r="W69" i="2"/>
  <c r="L69" i="2"/>
  <c r="L70" i="2"/>
  <c r="L71" i="2"/>
  <c r="L72" i="2"/>
  <c r="L73" i="2"/>
  <c r="L68" i="2"/>
  <c r="I68" i="2"/>
  <c r="O68" i="2" s="1"/>
  <c r="I70" i="2"/>
  <c r="O70" i="2" s="1"/>
  <c r="I71" i="2"/>
  <c r="Q71" i="2" s="1"/>
  <c r="I72" i="2"/>
  <c r="P72" i="2" s="1"/>
  <c r="I73" i="2"/>
  <c r="Q73" i="2" s="1"/>
  <c r="I69" i="2"/>
  <c r="Q69" i="2" s="1"/>
  <c r="H69" i="2"/>
  <c r="H70" i="2"/>
  <c r="H71" i="2"/>
  <c r="H72" i="2"/>
  <c r="H73" i="2"/>
  <c r="F59" i="2"/>
  <c r="G59" i="2" s="1"/>
  <c r="F58" i="2"/>
  <c r="G58" i="2" s="1"/>
  <c r="H210" i="3"/>
  <c r="H211" i="3"/>
  <c r="H212" i="3"/>
  <c r="H213" i="3"/>
  <c r="H214" i="3"/>
  <c r="H215" i="3"/>
  <c r="H216" i="3"/>
  <c r="H217" i="3"/>
  <c r="H218" i="3"/>
  <c r="H209" i="3"/>
  <c r="E210" i="3"/>
  <c r="G210" i="3" s="1"/>
  <c r="E211" i="3"/>
  <c r="E212" i="3"/>
  <c r="E213" i="3"/>
  <c r="G214" i="3" s="1"/>
  <c r="E214" i="3"/>
  <c r="E215" i="3"/>
  <c r="F215" i="3" s="1"/>
  <c r="E216" i="3"/>
  <c r="E217" i="3"/>
  <c r="F217" i="3" s="1"/>
  <c r="E218" i="3"/>
  <c r="G218" i="3" s="1"/>
  <c r="E209" i="3"/>
  <c r="G209" i="3" s="1"/>
  <c r="F216" i="3"/>
  <c r="G215" i="3"/>
  <c r="F214" i="3"/>
  <c r="G213" i="3"/>
  <c r="F213" i="3"/>
  <c r="G212" i="3"/>
  <c r="F212" i="3"/>
  <c r="G211" i="3"/>
  <c r="F211" i="3"/>
  <c r="F209" i="3"/>
  <c r="E208" i="3"/>
  <c r="C209" i="3"/>
  <c r="C210" i="3"/>
  <c r="C211" i="3"/>
  <c r="C212" i="3"/>
  <c r="C213" i="3"/>
  <c r="C214" i="3"/>
  <c r="C215" i="3"/>
  <c r="C216" i="3"/>
  <c r="C217" i="3"/>
  <c r="C218" i="3"/>
  <c r="C205" i="1"/>
  <c r="D210" i="3"/>
  <c r="D211" i="3"/>
  <c r="D212" i="3"/>
  <c r="D213" i="3"/>
  <c r="D214" i="3"/>
  <c r="D215" i="3"/>
  <c r="D216" i="3"/>
  <c r="D217" i="3"/>
  <c r="D218" i="3"/>
  <c r="D209" i="3"/>
  <c r="B211" i="3"/>
  <c r="B212" i="3"/>
  <c r="B213" i="3"/>
  <c r="B214" i="3"/>
  <c r="B215" i="3"/>
  <c r="B216" i="3"/>
  <c r="B217" i="3"/>
  <c r="B218" i="3"/>
  <c r="B210" i="3"/>
  <c r="B209" i="3"/>
  <c r="AP388" i="2" l="1"/>
  <c r="AW357" i="2"/>
  <c r="AT358" i="2"/>
  <c r="AT359" i="2" s="1"/>
  <c r="AZ357" i="2"/>
  <c r="BA356" i="2"/>
  <c r="J69" i="2"/>
  <c r="N69" i="2" s="1"/>
  <c r="K78" i="2"/>
  <c r="L78" i="2" s="1"/>
  <c r="AI73" i="2"/>
  <c r="AB73" i="2"/>
  <c r="AF73" i="2" s="1"/>
  <c r="J72" i="2"/>
  <c r="N72" i="2" s="1"/>
  <c r="AB71" i="2"/>
  <c r="AF71" i="2" s="1"/>
  <c r="J73" i="2"/>
  <c r="K73" i="2" s="1"/>
  <c r="M73" i="2" s="1"/>
  <c r="AH69" i="2"/>
  <c r="J68" i="2"/>
  <c r="K68" i="2" s="1"/>
  <c r="M68" i="2" s="1"/>
  <c r="O73" i="2"/>
  <c r="J70" i="2"/>
  <c r="K70" i="2" s="1"/>
  <c r="M70" i="2" s="1"/>
  <c r="Q68" i="2"/>
  <c r="K79" i="2"/>
  <c r="L79" i="2" s="1"/>
  <c r="J71" i="2"/>
  <c r="K71" i="2" s="1"/>
  <c r="M71" i="2" s="1"/>
  <c r="P68" i="2"/>
  <c r="P73" i="2"/>
  <c r="K80" i="2"/>
  <c r="L80" i="2" s="1"/>
  <c r="P71" i="2"/>
  <c r="AH73" i="2"/>
  <c r="O72" i="2"/>
  <c r="P70" i="2"/>
  <c r="AH72" i="2"/>
  <c r="AI72" i="2"/>
  <c r="O71" i="2"/>
  <c r="AH71" i="2"/>
  <c r="AH70" i="2"/>
  <c r="Q72" i="2"/>
  <c r="P69" i="2"/>
  <c r="Q70" i="2"/>
  <c r="AB72" i="2"/>
  <c r="AC72" i="2" s="1"/>
  <c r="O69" i="2"/>
  <c r="AB70" i="2"/>
  <c r="AC70" i="2" s="1"/>
  <c r="AB69" i="2"/>
  <c r="AF69" i="2" s="1"/>
  <c r="AG71" i="2"/>
  <c r="AI69" i="2"/>
  <c r="AI71" i="2"/>
  <c r="AB68" i="2"/>
  <c r="AC68" i="2" s="1"/>
  <c r="AH68" i="2"/>
  <c r="AG68" i="2"/>
  <c r="AD73" i="2"/>
  <c r="AD68" i="2"/>
  <c r="AD70" i="2"/>
  <c r="AD72" i="2"/>
  <c r="AD69" i="2"/>
  <c r="AD71" i="2"/>
  <c r="AI70" i="2"/>
  <c r="I58" i="2"/>
  <c r="F65" i="2" s="1"/>
  <c r="G216" i="3"/>
  <c r="G217" i="3"/>
  <c r="F210" i="3"/>
  <c r="F218" i="3"/>
  <c r="AQ388" i="2" l="1"/>
  <c r="AR388" i="2" s="1"/>
  <c r="AT388" i="2" s="1"/>
  <c r="AW358" i="2"/>
  <c r="AZ358" i="2"/>
  <c r="BA357" i="2"/>
  <c r="K72" i="2"/>
  <c r="M72" i="2" s="1"/>
  <c r="K69" i="2"/>
  <c r="M69" i="2" s="1"/>
  <c r="AC73" i="2"/>
  <c r="AE73" i="2" s="1"/>
  <c r="N70" i="2"/>
  <c r="N73" i="2"/>
  <c r="AC71" i="2"/>
  <c r="AE71" i="2" s="1"/>
  <c r="N68" i="2"/>
  <c r="AF72" i="2"/>
  <c r="N71" i="2"/>
  <c r="AE72" i="2"/>
  <c r="AF70" i="2"/>
  <c r="AF68" i="2"/>
  <c r="AC69" i="2"/>
  <c r="AE69" i="2" s="1"/>
  <c r="AE68" i="2"/>
  <c r="AE70" i="2"/>
  <c r="AW359" i="2" l="1"/>
  <c r="AZ359" i="2" s="1"/>
  <c r="AP389" i="2"/>
  <c r="AQ389" i="2" s="1"/>
  <c r="BA358" i="2"/>
  <c r="BA359" i="2" s="1"/>
  <c r="I59" i="2"/>
  <c r="AP390" i="2" l="1"/>
  <c r="AR389" i="2"/>
  <c r="AT389" i="2" s="1"/>
  <c r="K53" i="2"/>
  <c r="K49" i="2"/>
  <c r="K50" i="2" s="1"/>
  <c r="K51" i="2" s="1"/>
  <c r="AQ390" i="2" l="1"/>
  <c r="AR390" i="2" s="1"/>
  <c r="AT390" i="2" s="1"/>
  <c r="BN39" i="2"/>
  <c r="BM41" i="2" s="1"/>
  <c r="BJ36" i="2"/>
  <c r="BJ37" i="2" s="1"/>
  <c r="BJ34" i="2"/>
  <c r="AP391" i="2" l="1"/>
  <c r="BR25" i="2"/>
  <c r="BJ25" i="2"/>
  <c r="BQ21" i="2"/>
  <c r="AQ391" i="2" l="1"/>
  <c r="AR391" i="2" s="1"/>
  <c r="AT391" i="2" s="1"/>
  <c r="AW35" i="2"/>
  <c r="AP392" i="2" l="1"/>
  <c r="AW36" i="2"/>
  <c r="AW30" i="2"/>
  <c r="AW29" i="2" s="1"/>
  <c r="AK29" i="2"/>
  <c r="AK32" i="2" s="1"/>
  <c r="AY20" i="2"/>
  <c r="AM19" i="2"/>
  <c r="AY19" i="2"/>
  <c r="BC19" i="2"/>
  <c r="AQ19" i="2"/>
  <c r="AM20" i="2"/>
  <c r="AQ392" i="2" l="1"/>
  <c r="AR392" i="2" s="1"/>
  <c r="AT392" i="2" s="1"/>
  <c r="AO34" i="2"/>
  <c r="AQ36" i="2" s="1"/>
  <c r="AM34" i="2"/>
  <c r="AW31" i="2"/>
  <c r="BB29" i="2"/>
  <c r="BB27" i="2" s="1"/>
  <c r="W41" i="2"/>
  <c r="W45" i="2" s="1"/>
  <c r="X41" i="2"/>
  <c r="X45" i="2" s="1"/>
  <c r="AP393" i="2" l="1"/>
  <c r="AB31" i="2"/>
  <c r="Y23" i="2"/>
  <c r="AC22" i="2"/>
  <c r="J25" i="2"/>
  <c r="J24" i="2"/>
  <c r="O23" i="2"/>
  <c r="AQ393" i="2" l="1"/>
  <c r="AR393" i="2" s="1"/>
  <c r="AT393" i="2" s="1"/>
  <c r="H22" i="2"/>
  <c r="J19" i="2"/>
  <c r="J20" i="2"/>
  <c r="AP394" i="2" l="1"/>
  <c r="AC11" i="2"/>
  <c r="AC10" i="2"/>
  <c r="X3" i="2"/>
  <c r="X2" i="2"/>
  <c r="X4" i="2"/>
  <c r="Y3" i="2"/>
  <c r="Y2" i="2"/>
  <c r="I15" i="2"/>
  <c r="I14" i="2"/>
  <c r="I9" i="2"/>
  <c r="I10" i="2"/>
  <c r="J6" i="2"/>
  <c r="J4" i="2"/>
  <c r="K3" i="2" s="1"/>
  <c r="AQ394" i="2" l="1"/>
  <c r="AR394" i="2" s="1"/>
  <c r="AT394" i="2" s="1"/>
  <c r="Y5" i="2"/>
  <c r="I12" i="2"/>
  <c r="Y6" i="2"/>
  <c r="I13" i="2"/>
  <c r="K4" i="2"/>
  <c r="K6" i="2" s="1"/>
  <c r="D6" i="2"/>
  <c r="F4" i="2"/>
  <c r="F5" i="2"/>
  <c r="AP395" i="2" l="1"/>
  <c r="C194" i="3"/>
  <c r="C193" i="3"/>
  <c r="C188" i="3"/>
  <c r="C190" i="3" s="1"/>
  <c r="C192" i="3" s="1"/>
  <c r="C187" i="3"/>
  <c r="C189" i="3" s="1"/>
  <c r="C191" i="3" s="1"/>
  <c r="C171" i="3"/>
  <c r="C172" i="3" s="1"/>
  <c r="E145" i="3"/>
  <c r="D144" i="3"/>
  <c r="E138" i="3"/>
  <c r="D138" i="3"/>
  <c r="D139" i="3" s="1"/>
  <c r="D130" i="3"/>
  <c r="D128" i="3"/>
  <c r="I114" i="3"/>
  <c r="I113" i="3"/>
  <c r="M113" i="3" s="1"/>
  <c r="D113" i="3"/>
  <c r="D115" i="3" s="1"/>
  <c r="D112" i="3"/>
  <c r="D116" i="3" s="1"/>
  <c r="H103" i="3"/>
  <c r="H101" i="3"/>
  <c r="H98" i="3"/>
  <c r="D65" i="3"/>
  <c r="C65" i="3"/>
  <c r="K59" i="3"/>
  <c r="L59" i="3"/>
  <c r="L58" i="3"/>
  <c r="K58" i="3"/>
  <c r="D58" i="3"/>
  <c r="C58" i="3"/>
  <c r="K57" i="3"/>
  <c r="L57" i="3"/>
  <c r="D57" i="3"/>
  <c r="C57" i="3"/>
  <c r="K56" i="3"/>
  <c r="K68" i="3" s="1"/>
  <c r="L56" i="3"/>
  <c r="D56" i="3"/>
  <c r="C56" i="3"/>
  <c r="L55" i="3"/>
  <c r="K55" i="3"/>
  <c r="D55" i="3"/>
  <c r="C55" i="3"/>
  <c r="K54" i="3"/>
  <c r="K64" i="3" s="1"/>
  <c r="J66" i="3"/>
  <c r="D54" i="3"/>
  <c r="C54" i="3"/>
  <c r="K53" i="3"/>
  <c r="L53" i="3"/>
  <c r="D53" i="3"/>
  <c r="D63" i="3" s="1"/>
  <c r="C53" i="3"/>
  <c r="C63" i="3" s="1"/>
  <c r="E43" i="3"/>
  <c r="E44" i="3" s="1"/>
  <c r="E42" i="3"/>
  <c r="D39" i="3"/>
  <c r="D38" i="3"/>
  <c r="D37" i="3"/>
  <c r="D36" i="3"/>
  <c r="F17" i="3"/>
  <c r="F16" i="3"/>
  <c r="F15" i="3"/>
  <c r="F14" i="3"/>
  <c r="AQ395" i="2" l="1"/>
  <c r="AR395" i="2" s="1"/>
  <c r="AT395" i="2" s="1"/>
  <c r="E140" i="3"/>
  <c r="E139" i="3"/>
  <c r="K66" i="3"/>
  <c r="L54" i="3"/>
  <c r="J68" i="3"/>
  <c r="J64" i="3"/>
  <c r="AP396" i="2" l="1"/>
  <c r="B321" i="1"/>
  <c r="B320" i="1"/>
  <c r="B311" i="1"/>
  <c r="B310" i="1"/>
  <c r="D309" i="1"/>
  <c r="C304" i="1"/>
  <c r="B303" i="1"/>
  <c r="F280" i="1"/>
  <c r="F281" i="1"/>
  <c r="F282" i="1"/>
  <c r="F283" i="1"/>
  <c r="F284" i="1"/>
  <c r="F285" i="1"/>
  <c r="F286" i="1"/>
  <c r="F287" i="1"/>
  <c r="F288" i="1"/>
  <c r="F289" i="1"/>
  <c r="F290" i="1"/>
  <c r="F291" i="1"/>
  <c r="F292" i="1"/>
  <c r="F279" i="1"/>
  <c r="D280" i="1"/>
  <c r="D281" i="1"/>
  <c r="D282" i="1"/>
  <c r="D283" i="1"/>
  <c r="D284" i="1"/>
  <c r="D285" i="1"/>
  <c r="D286" i="1"/>
  <c r="D287" i="1"/>
  <c r="D288" i="1"/>
  <c r="D289" i="1"/>
  <c r="D290" i="1"/>
  <c r="D291" i="1"/>
  <c r="D292" i="1"/>
  <c r="D279" i="1"/>
  <c r="B284" i="1"/>
  <c r="C284" i="1" s="1"/>
  <c r="E284" i="1" s="1"/>
  <c r="B285" i="1"/>
  <c r="C285" i="1" s="1"/>
  <c r="E285" i="1" s="1"/>
  <c r="B286" i="1"/>
  <c r="C286" i="1" s="1"/>
  <c r="B287" i="1"/>
  <c r="C287" i="1" s="1"/>
  <c r="B288" i="1"/>
  <c r="C288" i="1" s="1"/>
  <c r="B289" i="1"/>
  <c r="C289" i="1" s="1"/>
  <c r="E289" i="1" s="1"/>
  <c r="B290" i="1"/>
  <c r="C290" i="1" s="1"/>
  <c r="B291" i="1"/>
  <c r="C291" i="1" s="1"/>
  <c r="B292" i="1"/>
  <c r="C292" i="1" s="1"/>
  <c r="E292" i="1" s="1"/>
  <c r="B280" i="1"/>
  <c r="C280" i="1" s="1"/>
  <c r="E280" i="1" s="1"/>
  <c r="B279" i="1"/>
  <c r="C279" i="1" s="1"/>
  <c r="B282" i="1"/>
  <c r="C282" i="1" s="1"/>
  <c r="B283" i="1"/>
  <c r="C283" i="1" s="1"/>
  <c r="B281" i="1"/>
  <c r="C281" i="1" s="1"/>
  <c r="E281" i="1" s="1"/>
  <c r="B233" i="1"/>
  <c r="B234" i="1"/>
  <c r="B235" i="1"/>
  <c r="B232" i="1"/>
  <c r="F222" i="1"/>
  <c r="F221" i="1"/>
  <c r="D263" i="1"/>
  <c r="D264" i="1"/>
  <c r="D265" i="1"/>
  <c r="D266" i="1"/>
  <c r="D267" i="1"/>
  <c r="D262" i="1"/>
  <c r="C262" i="1"/>
  <c r="C263" i="1"/>
  <c r="C264" i="1"/>
  <c r="C265" i="1"/>
  <c r="C266" i="1"/>
  <c r="C267" i="1"/>
  <c r="C261" i="1"/>
  <c r="B263" i="1"/>
  <c r="B265" i="1"/>
  <c r="B267" i="1"/>
  <c r="B261" i="1"/>
  <c r="B262" i="1" s="1"/>
  <c r="AQ396" i="2" l="1"/>
  <c r="AR396" i="2" s="1"/>
  <c r="AT396" i="2" s="1"/>
  <c r="E283" i="1"/>
  <c r="E287" i="1"/>
  <c r="E288" i="1"/>
  <c r="E279" i="1"/>
  <c r="E282" i="1"/>
  <c r="E286" i="1"/>
  <c r="E291" i="1"/>
  <c r="E290" i="1"/>
  <c r="D235" i="1"/>
  <c r="D234" i="1"/>
  <c r="C234" i="1"/>
  <c r="C233" i="1"/>
  <c r="C235" i="1"/>
  <c r="D233" i="1"/>
  <c r="F224" i="1"/>
  <c r="D269" i="1"/>
  <c r="D270" i="1"/>
  <c r="E271" i="1"/>
  <c r="C219" i="1"/>
  <c r="B196" i="1"/>
  <c r="B197" i="1"/>
  <c r="B198" i="1"/>
  <c r="B199" i="1"/>
  <c r="B200" i="1"/>
  <c r="C200" i="1" s="1"/>
  <c r="B201" i="1"/>
  <c r="C201" i="1" s="1"/>
  <c r="B202" i="1"/>
  <c r="C202" i="1" s="1"/>
  <c r="B203" i="1"/>
  <c r="B204" i="1"/>
  <c r="B205" i="1"/>
  <c r="B195" i="1"/>
  <c r="C195" i="1" s="1"/>
  <c r="E172" i="1"/>
  <c r="E174" i="1" s="1"/>
  <c r="C170" i="1"/>
  <c r="C172" i="1" s="1"/>
  <c r="C173" i="1" s="1"/>
  <c r="B159" i="1"/>
  <c r="F157" i="1"/>
  <c r="D157" i="1"/>
  <c r="D156" i="1"/>
  <c r="F147" i="1"/>
  <c r="C143" i="1"/>
  <c r="C147" i="1" s="1"/>
  <c r="C140" i="1"/>
  <c r="B111" i="1"/>
  <c r="E111" i="1" s="1"/>
  <c r="B120" i="1"/>
  <c r="D120" i="1" s="1"/>
  <c r="B115" i="1"/>
  <c r="D115" i="1" s="1"/>
  <c r="B116" i="1"/>
  <c r="D116" i="1" s="1"/>
  <c r="B118" i="1"/>
  <c r="E118" i="1" s="1"/>
  <c r="B119" i="1"/>
  <c r="E119" i="1" s="1"/>
  <c r="B114" i="1"/>
  <c r="D114" i="1" s="1"/>
  <c r="A117" i="1"/>
  <c r="B117" i="1" s="1"/>
  <c r="B106" i="1"/>
  <c r="E106" i="1" s="1"/>
  <c r="B107" i="1"/>
  <c r="E107" i="1" s="1"/>
  <c r="B109" i="1"/>
  <c r="E109" i="1" s="1"/>
  <c r="B110" i="1"/>
  <c r="D110" i="1" s="1"/>
  <c r="B105" i="1"/>
  <c r="D105" i="1" s="1"/>
  <c r="C101" i="1"/>
  <c r="A108" i="1" s="1"/>
  <c r="B108" i="1" s="1"/>
  <c r="E78" i="1"/>
  <c r="H74" i="1"/>
  <c r="G74" i="1"/>
  <c r="E77" i="1"/>
  <c r="B89" i="1"/>
  <c r="B90" i="1" s="1"/>
  <c r="A89" i="1"/>
  <c r="A90" i="1" s="1"/>
  <c r="A84" i="1"/>
  <c r="A86" i="1" s="1"/>
  <c r="B84" i="1"/>
  <c r="B86" i="1" s="1"/>
  <c r="D37" i="1"/>
  <c r="D35" i="1"/>
  <c r="D34" i="1"/>
  <c r="C33" i="1"/>
  <c r="B23" i="1"/>
  <c r="E24" i="1" s="1"/>
  <c r="B16" i="1"/>
  <c r="C47" i="1"/>
  <c r="C43" i="1"/>
  <c r="C44" i="1" s="1"/>
  <c r="C46" i="1" s="1"/>
  <c r="AP397" i="2" l="1"/>
  <c r="C237" i="1"/>
  <c r="D271" i="1"/>
  <c r="D198" i="1"/>
  <c r="D199" i="1"/>
  <c r="D203" i="1"/>
  <c r="D204" i="1"/>
  <c r="D196" i="1"/>
  <c r="C198" i="1"/>
  <c r="C199" i="1"/>
  <c r="D202" i="1"/>
  <c r="D201" i="1"/>
  <c r="D205" i="1"/>
  <c r="D197" i="1"/>
  <c r="C197" i="1"/>
  <c r="D200" i="1"/>
  <c r="C204" i="1"/>
  <c r="C196" i="1"/>
  <c r="C203" i="1"/>
  <c r="F156" i="1"/>
  <c r="E116" i="1"/>
  <c r="E115" i="1"/>
  <c r="D111" i="1"/>
  <c r="E105" i="1"/>
  <c r="D119" i="1"/>
  <c r="E120" i="1"/>
  <c r="D109" i="1"/>
  <c r="D118" i="1"/>
  <c r="C51" i="1"/>
  <c r="B87" i="1"/>
  <c r="E108" i="1"/>
  <c r="D108" i="1"/>
  <c r="E117" i="1"/>
  <c r="D117" i="1"/>
  <c r="D84" i="1"/>
  <c r="E110" i="1"/>
  <c r="D107" i="1"/>
  <c r="E114" i="1"/>
  <c r="D106" i="1"/>
  <c r="C145" i="1"/>
  <c r="D83" i="1"/>
  <c r="B91" i="1"/>
  <c r="B85" i="1"/>
  <c r="D40" i="1"/>
  <c r="D39" i="1"/>
  <c r="C7" i="1"/>
  <c r="D9" i="1" s="1"/>
  <c r="AQ397" i="2" l="1"/>
  <c r="AR397" i="2" s="1"/>
  <c r="AT397" i="2" s="1"/>
  <c r="D8" i="1"/>
  <c r="AP398" i="2" l="1"/>
  <c r="AQ398" i="2" l="1"/>
  <c r="AR398" i="2" s="1"/>
  <c r="AT39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AO22" authorId="0" shapeId="0" xr:uid="{39EA7B0B-6C6C-4FB6-9AE5-02E922347AFB}">
      <text>
        <r>
          <rPr>
            <b/>
            <sz val="9"/>
            <color indexed="81"/>
            <rFont val="Tahoma"/>
            <family val="2"/>
          </rPr>
          <t>Federico Lopez:</t>
        </r>
        <r>
          <rPr>
            <sz val="9"/>
            <color indexed="81"/>
            <rFont val="Tahoma"/>
            <family val="2"/>
          </rPr>
          <t xml:space="preserve">
PEDIR PESOS, DESPUES TIENE MAS INTERES QUE PEDIR USD</t>
        </r>
      </text>
    </comment>
    <comment ref="AO323" authorId="0" shapeId="0" xr:uid="{36F8175B-835F-470C-B3E1-72903AFD03EB}">
      <text>
        <r>
          <rPr>
            <b/>
            <sz val="9"/>
            <color indexed="81"/>
            <rFont val="Tahoma"/>
            <family val="2"/>
          </rPr>
          <t>Federico Lopez:</t>
        </r>
        <r>
          <rPr>
            <sz val="9"/>
            <color indexed="81"/>
            <rFont val="Tahoma"/>
            <family val="2"/>
          </rPr>
          <t xml:space="preserve">
ARRANCA EN 1 NO EN 0
</t>
        </r>
      </text>
    </comment>
    <comment ref="AV323" authorId="0" shapeId="0" xr:uid="{03CE25F0-42DA-4452-9A39-C6903C5FE927}">
      <text>
        <r>
          <rPr>
            <b/>
            <sz val="9"/>
            <color indexed="81"/>
            <rFont val="Tahoma"/>
            <family val="2"/>
          </rPr>
          <t>Federico Lopez:</t>
        </r>
        <r>
          <rPr>
            <sz val="9"/>
            <color indexed="81"/>
            <rFont val="Tahoma"/>
            <family val="2"/>
          </rPr>
          <t xml:space="preserve">
ARRANCA EN 1 NO EN 0
</t>
        </r>
      </text>
    </comment>
    <comment ref="BC323" authorId="0" shapeId="0" xr:uid="{DB72F640-54D4-46CF-A052-41AF4AFE9FA0}">
      <text>
        <r>
          <rPr>
            <b/>
            <sz val="9"/>
            <color indexed="81"/>
            <rFont val="Tahoma"/>
            <family val="2"/>
          </rPr>
          <t>Federico Lopez:</t>
        </r>
        <r>
          <rPr>
            <sz val="9"/>
            <color indexed="81"/>
            <rFont val="Tahoma"/>
            <family val="2"/>
          </rPr>
          <t xml:space="preserve">
ARRANCA EN 1 NO EN 0
</t>
        </r>
      </text>
    </comment>
    <comment ref="AO362" authorId="0" shapeId="0" xr:uid="{C932AFB0-5EA0-4528-945A-511BF0640F56}">
      <text>
        <r>
          <rPr>
            <b/>
            <sz val="9"/>
            <color indexed="81"/>
            <rFont val="Tahoma"/>
            <family val="2"/>
          </rPr>
          <t>Federico Lopez:</t>
        </r>
        <r>
          <rPr>
            <sz val="9"/>
            <color indexed="81"/>
            <rFont val="Tahoma"/>
            <family val="2"/>
          </rPr>
          <t xml:space="preserve">
ARRANCA EN 1 NO EN 0
</t>
        </r>
      </text>
    </comment>
    <comment ref="AO402" authorId="0" shapeId="0" xr:uid="{2026A049-0B52-4DE8-9E17-86C6E02CC693}">
      <text>
        <r>
          <rPr>
            <b/>
            <sz val="9"/>
            <color indexed="81"/>
            <rFont val="Tahoma"/>
            <family val="2"/>
          </rPr>
          <t>Federico Lopez:</t>
        </r>
        <r>
          <rPr>
            <sz val="9"/>
            <color indexed="81"/>
            <rFont val="Tahoma"/>
            <family val="2"/>
          </rPr>
          <t xml:space="preserve">
ARRANCA EN 1 NO EN 0
</t>
        </r>
      </text>
    </comment>
    <comment ref="G868" authorId="0" shapeId="0" xr:uid="{E22022A2-D7BB-434F-A532-DC29FA3CF900}">
      <text>
        <r>
          <rPr>
            <b/>
            <sz val="9"/>
            <color indexed="81"/>
            <rFont val="Tahoma"/>
            <family val="2"/>
          </rPr>
          <t>Federico Lopez:</t>
        </r>
        <r>
          <rPr>
            <sz val="9"/>
            <color indexed="81"/>
            <rFont val="Tahoma"/>
            <family val="2"/>
          </rPr>
          <t xml:space="preserve">
DOS TERRENOS</t>
        </r>
      </text>
    </comment>
    <comment ref="H868" authorId="0" shapeId="0" xr:uid="{DBD77A54-FCA6-4FE1-A608-05BEDDD68BC8}">
      <text>
        <r>
          <rPr>
            <b/>
            <sz val="9"/>
            <color indexed="81"/>
            <rFont val="Tahoma"/>
            <family val="2"/>
          </rPr>
          <t>Federico Lopez:</t>
        </r>
        <r>
          <rPr>
            <sz val="9"/>
            <color indexed="81"/>
            <rFont val="Tahoma"/>
            <family val="2"/>
          </rPr>
          <t xml:space="preserve">
SON CRECIENTES AL 0,08
</t>
        </r>
      </text>
    </comment>
    <comment ref="H869" authorId="0" shapeId="0" xr:uid="{F1C159B4-F134-4B10-A88A-0332CB6136A7}">
      <text>
        <r>
          <rPr>
            <b/>
            <sz val="9"/>
            <color indexed="81"/>
            <rFont val="Tahoma"/>
            <family val="2"/>
          </rPr>
          <t>Federico Lopez:</t>
        </r>
        <r>
          <rPr>
            <sz val="9"/>
            <color indexed="81"/>
            <rFont val="Tahoma"/>
            <family val="2"/>
          </rPr>
          <t xml:space="preserve">
SON CRECIENTES AL 0,08
</t>
        </r>
      </text>
    </comment>
    <comment ref="G871" authorId="0" shapeId="0" xr:uid="{E74FB72C-DC99-4AD2-97CA-E5749E7AFD5D}">
      <text>
        <r>
          <rPr>
            <b/>
            <sz val="9"/>
            <color indexed="81"/>
            <rFont val="Tahoma"/>
            <family val="2"/>
          </rPr>
          <t>Federico Lopez:</t>
        </r>
        <r>
          <rPr>
            <sz val="9"/>
            <color indexed="81"/>
            <rFont val="Tahoma"/>
            <family val="2"/>
          </rPr>
          <t xml:space="preserve">
amortizaciones totales que arrancan del año 2
</t>
        </r>
      </text>
    </comment>
    <comment ref="E882" authorId="0" shapeId="0" xr:uid="{2C0009DD-497F-4C2E-AA62-CDF20D4C8A65}">
      <text>
        <r>
          <rPr>
            <b/>
            <sz val="9"/>
            <color indexed="81"/>
            <rFont val="Tahoma"/>
            <family val="2"/>
          </rPr>
          <t>Federico Lopez:</t>
        </r>
        <r>
          <rPr>
            <sz val="9"/>
            <color indexed="81"/>
            <rFont val="Tahoma"/>
            <family val="2"/>
          </rPr>
          <t xml:space="preserve">
2 millones de comrpar dos terrenos comprados al comienzo del primer año
</t>
        </r>
      </text>
    </comment>
    <comment ref="F882" authorId="0" shapeId="0" xr:uid="{36796EDE-417D-4C0B-9EBF-7FD6433366DC}">
      <text>
        <r>
          <rPr>
            <b/>
            <sz val="9"/>
            <color indexed="81"/>
            <rFont val="Tahoma"/>
            <family val="2"/>
          </rPr>
          <t>Federico Lopez:</t>
        </r>
        <r>
          <rPr>
            <sz val="9"/>
            <color indexed="81"/>
            <rFont val="Tahoma"/>
            <family val="2"/>
          </rPr>
          <t xml:space="preserve">
total de inversiones
</t>
        </r>
      </text>
    </comment>
    <comment ref="G882" authorId="0" shapeId="0" xr:uid="{AD255564-0C3D-4C0C-BEAB-3BEC9419378F}">
      <text>
        <r>
          <rPr>
            <b/>
            <sz val="9"/>
            <color indexed="81"/>
            <rFont val="Tahoma"/>
            <family val="2"/>
          </rPr>
          <t>Federico Lopez:</t>
        </r>
        <r>
          <rPr>
            <sz val="9"/>
            <color indexed="81"/>
            <rFont val="Tahoma"/>
            <family val="2"/>
          </rPr>
          <t xml:space="preserve">
anterior menos amort
</t>
        </r>
      </text>
    </comment>
    <comment ref="E883" authorId="0" shapeId="0" xr:uid="{354E7330-B77C-4C75-BB10-3C193500351A}">
      <text>
        <r>
          <rPr>
            <b/>
            <sz val="9"/>
            <color indexed="81"/>
            <rFont val="Tahoma"/>
            <family val="2"/>
          </rPr>
          <t>Federico Lopez:</t>
        </r>
        <r>
          <rPr>
            <sz val="9"/>
            <color indexed="81"/>
            <rFont val="Tahoma"/>
            <family val="2"/>
          </rPr>
          <t xml:space="preserve">
igual que el activo no cirriente
</t>
        </r>
      </text>
    </comment>
    <comment ref="F883" authorId="0" shapeId="0" xr:uid="{B0670A79-97CB-428F-8CA5-D495B459A8EF}">
      <text>
        <r>
          <rPr>
            <b/>
            <sz val="9"/>
            <color indexed="81"/>
            <rFont val="Tahoma"/>
            <family val="2"/>
          </rPr>
          <t>Federico Lopez:</t>
        </r>
        <r>
          <rPr>
            <sz val="9"/>
            <color indexed="81"/>
            <rFont val="Tahoma"/>
            <family val="2"/>
          </rPr>
          <t xml:space="preserve">
lo que se invirtio en el año
</t>
        </r>
      </text>
    </comment>
    <comment ref="G883" authorId="0" shapeId="0" xr:uid="{A5075CCF-B73D-408E-8731-ED8ED94DB792}">
      <text>
        <r>
          <rPr>
            <b/>
            <sz val="9"/>
            <color indexed="81"/>
            <rFont val="Tahoma"/>
            <family val="2"/>
          </rPr>
          <t>Federico Lopez:</t>
        </r>
        <r>
          <rPr>
            <sz val="9"/>
            <color indexed="81"/>
            <rFont val="Tahoma"/>
            <family val="2"/>
          </rPr>
          <t xml:space="preserve">
no hubo nuevas inversiones en activos fijos ni nada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AP49" authorId="0" shapeId="0" xr:uid="{DEC31AFD-C4D8-4DAC-9E78-361AEDAA8E7C}">
      <text>
        <r>
          <rPr>
            <b/>
            <sz val="9"/>
            <color indexed="81"/>
            <rFont val="Tahoma"/>
            <family val="2"/>
          </rPr>
          <t>Federico Lopez:</t>
        </r>
        <r>
          <rPr>
            <sz val="9"/>
            <color indexed="81"/>
            <rFont val="Tahoma"/>
            <family val="2"/>
          </rPr>
          <t xml:space="preserve">
PEDIR PESOS, DESPUES TIENE MAS INTERES QUE PEDIR USD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AP49" authorId="0" shapeId="0" xr:uid="{EF7DE94E-BCBE-4112-837B-2DECA7D11104}">
      <text>
        <r>
          <rPr>
            <b/>
            <sz val="9"/>
            <color indexed="81"/>
            <rFont val="Tahoma"/>
            <family val="2"/>
          </rPr>
          <t>Federico Lopez:</t>
        </r>
        <r>
          <rPr>
            <sz val="9"/>
            <color indexed="81"/>
            <rFont val="Tahoma"/>
            <family val="2"/>
          </rPr>
          <t xml:space="preserve">
PEDIR PESOS, DESPUES TIENE MAS INTERES QUE PEDIR USD</t>
        </r>
      </text>
    </comment>
  </commentList>
</comments>
</file>

<file path=xl/sharedStrings.xml><?xml version="1.0" encoding="utf-8"?>
<sst xmlns="http://schemas.openxmlformats.org/spreadsheetml/2006/main" count="2397" uniqueCount="1589">
  <si>
    <t>C[T]</t>
  </si>
  <si>
    <t>C[T+1]</t>
  </si>
  <si>
    <t>ADELANTADA / VENCIDA</t>
  </si>
  <si>
    <t>TASA DE INFLACIÓN</t>
  </si>
  <si>
    <t>EJEMPLO</t>
  </si>
  <si>
    <t>INTERES</t>
  </si>
  <si>
    <t>INTERES/C[T+1]</t>
  </si>
  <si>
    <t>INTERES/C[T]</t>
  </si>
  <si>
    <t>C[T+1]-C[T]</t>
  </si>
  <si>
    <t>Capital a invertir,  medido en pesos</t>
  </si>
  <si>
    <t>C t =</t>
  </si>
  <si>
    <t>Monto a recibir,  medido en pesos</t>
  </si>
  <si>
    <t>C t+1 =</t>
  </si>
  <si>
    <t>Datos</t>
  </si>
  <si>
    <t>Precio inicial de la canasta de bines de consumo</t>
  </si>
  <si>
    <t xml:space="preserve">P t = </t>
  </si>
  <si>
    <t>Precio final de la canasta de bienes de consumo</t>
  </si>
  <si>
    <t>P t+1 =</t>
  </si>
  <si>
    <t>Tasa de inflación esperada =</t>
  </si>
  <si>
    <t>Capital medido en bienes de consumo</t>
  </si>
  <si>
    <t>K t =</t>
  </si>
  <si>
    <t>Monto medido en bienes de consumo</t>
  </si>
  <si>
    <t>K t+1 =</t>
  </si>
  <si>
    <t xml:space="preserve">Tasa de interés aparente </t>
  </si>
  <si>
    <t>i t , t+1 =</t>
  </si>
  <si>
    <t>Calculada a partir del Capital y del Monto</t>
  </si>
  <si>
    <t xml:space="preserve">Tasa de interés real </t>
  </si>
  <si>
    <r>
      <rPr>
        <b/>
        <sz val="11"/>
        <color theme="1"/>
        <rFont val="Calibri"/>
        <family val="2"/>
      </rPr>
      <t>ρ</t>
    </r>
    <r>
      <rPr>
        <b/>
        <sz val="11"/>
        <color theme="1"/>
        <rFont val="Calibri"/>
        <family val="2"/>
        <scheme val="minor"/>
      </rPr>
      <t xml:space="preserve"> t, t+1 =</t>
    </r>
  </si>
  <si>
    <t>Calculada a través de la fórmula de Fisher</t>
  </si>
  <si>
    <t xml:space="preserve">Si la inversión tuviera un Monto esperado de </t>
  </si>
  <si>
    <t xml:space="preserve"> y su costo de oportunidad del capital (tasa exigida) </t>
  </si>
  <si>
    <t xml:space="preserve">fuera, en términos de tasa de interés aparente, igual al </t>
  </si>
  <si>
    <t>¿Cuál sería el Valor del proyecto? ¿Sería un buen proyecto de inversión?</t>
  </si>
  <si>
    <t>Valor por DCF (flujos descontados) =</t>
  </si>
  <si>
    <t>(Calculado)</t>
  </si>
  <si>
    <t>Precio =</t>
  </si>
  <si>
    <t>(Dato)</t>
  </si>
  <si>
    <t>No vale la pena comprar, dado que está caro. Su precio es mayor que su valor.</t>
  </si>
  <si>
    <t>poco comun</t>
  </si>
  <si>
    <t>FLUJOS DESCONTADOS</t>
  </si>
  <si>
    <t>?</t>
  </si>
  <si>
    <t>TASA VENCIDA</t>
  </si>
  <si>
    <t>C[T+1]/(1+i[T, T+1])</t>
  </si>
  <si>
    <t>i[T, T+1]</t>
  </si>
  <si>
    <t>TASA ADELANTADA</t>
  </si>
  <si>
    <t>EJEMPLO = TENES UN CHEQUE DE 50,000 A COBRAR EN [T+1]. LO VENDES EN [T] POR 48750. ES UNA OPERACION DE DESCUENTO</t>
  </si>
  <si>
    <t>EJEMPLO= QUERES TENER 50,000 EN [T+1], ENCONTRAS UNA INVERSION QUE DA INTERESES DE 0,5. CUANTO CAPTITAL EN [T] HABRIA QUE PONER PARA LOGRAR EL MONTO DESEADO</t>
  </si>
  <si>
    <t>LO QUE TENDRIAS QUE PONER PARA LOGRAR TENER 50,000 EN [T+1] INVIRTIENDO AHI</t>
  </si>
  <si>
    <t>EJEMPLO= UNA ACCION TIENE UN CIERTO RIESGO, DECIDIS QUE LA TASA EXIGIDA DEBE SER 0,3</t>
  </si>
  <si>
    <t>TASA EXIGIDA</t>
  </si>
  <si>
    <t>VALOR FUTURO ESTIMADO</t>
  </si>
  <si>
    <t>MAXIMO QUE PAGARIA</t>
  </si>
  <si>
    <t>SI EL VALOR DE LA ACCION ESTA MAS ALTO, NO LA COMPRAS. SI ESTA MAS BAJO ESTA SUBVALUADA</t>
  </si>
  <si>
    <t>si estuvieran</t>
  </si>
  <si>
    <t>sobrevaladas = no compro</t>
  </si>
  <si>
    <t>subvaluadas = comprar</t>
  </si>
  <si>
    <t>Diferencia =4</t>
  </si>
  <si>
    <t>VAN</t>
  </si>
  <si>
    <t>VAN = VALOR - PRECIO</t>
  </si>
  <si>
    <t>VAN NEGATIVO SE RECHAZA</t>
  </si>
  <si>
    <t>TIPO DE CAMBIO</t>
  </si>
  <si>
    <t>DEFINICIONES</t>
  </si>
  <si>
    <t>AMERICAN</t>
  </si>
  <si>
    <t>MD / ME</t>
  </si>
  <si>
    <t>EUROPEA</t>
  </si>
  <si>
    <t>ME / MD</t>
  </si>
  <si>
    <t>DOLAR POR CADA EURO</t>
  </si>
  <si>
    <t>PRECIO DE LO QUE ESTÁ EN EL DENOMINADOR</t>
  </si>
  <si>
    <t>S[T]</t>
  </si>
  <si>
    <t>F[T, T+1]</t>
  </si>
  <si>
    <t>[T+1]</t>
  </si>
  <si>
    <t>[T]</t>
  </si>
  <si>
    <t>[T, T+1]</t>
  </si>
  <si>
    <t>FUTURO</t>
  </si>
  <si>
    <t>SPOT</t>
  </si>
  <si>
    <t>PACTADO</t>
  </si>
  <si>
    <t>Capital medido en pesos</t>
  </si>
  <si>
    <t xml:space="preserve">  $,$</t>
  </si>
  <si>
    <t>Tasa de interés en pesos, generada por una inversión en pesos</t>
  </si>
  <si>
    <t>i t, t+1 =</t>
  </si>
  <si>
    <t xml:space="preserve">  €,€</t>
  </si>
  <si>
    <t>Tasa de interés en euros, generada por una inversión en euros</t>
  </si>
  <si>
    <t>Precio del euro en el momento t</t>
  </si>
  <si>
    <t>S t =</t>
  </si>
  <si>
    <t>Precio del euro en el momento t+1</t>
  </si>
  <si>
    <t>S t+1 =</t>
  </si>
  <si>
    <t>Tasa de interés en pesos, generada por una inversión en euros</t>
  </si>
  <si>
    <t>Calculadas por fórmula</t>
  </si>
  <si>
    <t>Tasa de interés en euros, generada por una inversión en pesos</t>
  </si>
  <si>
    <t>i[ME, MD]</t>
  </si>
  <si>
    <t>i[MD, ME]</t>
  </si>
  <si>
    <t>(1+i[MD, MD]) * S[T]/S[T+1] - 1</t>
  </si>
  <si>
    <t>(1+i[ME, ME]) * S[T+1]/S[T] - 1</t>
  </si>
  <si>
    <t>i[MD, MD]</t>
  </si>
  <si>
    <t>i[ME, ME]</t>
  </si>
  <si>
    <t>INVERSION EN MONEDA DOMESTICA, TASA EN MD</t>
  </si>
  <si>
    <t>INVERSION EN MONEDA EXTRANJERA, TASA EN ME</t>
  </si>
  <si>
    <t>S[t]</t>
  </si>
  <si>
    <t>S[T+1]</t>
  </si>
  <si>
    <t>EN EQUILIBRIO?</t>
  </si>
  <si>
    <t>(1+i[MD, MD])/(1+i[ME, ME])*S[T]</t>
  </si>
  <si>
    <t>PRECIO DEL OFICIAL QUE DEBERIA TENER EN T+1 PARA QUE ESTE INDIFERENTE ENTRE INVERTIR EN MD O ME. EL PRECIO AL QUE DEBERIAS PODER VENDER EN EL MERCADO OFICIAL PARA INDIFERENCIA</t>
  </si>
  <si>
    <t>S[T+1]Eq</t>
  </si>
  <si>
    <t>si el S[T+1] estimado o de futuros fuera mas alto, invertir en dolares</t>
  </si>
  <si>
    <t>VAN" "</t>
  </si>
  <si>
    <t>EJEMPLO INTERES EN MD</t>
  </si>
  <si>
    <t>EJEMPLO INTERES EN ME</t>
  </si>
  <si>
    <t>INVERTIR EN</t>
  </si>
  <si>
    <t>ARBITRAJE</t>
  </si>
  <si>
    <t>EN DESEQUILIBRIO ES POSIBLE EL ARBITRAJE</t>
  </si>
  <si>
    <t>CARO</t>
  </si>
  <si>
    <t>BARATO</t>
  </si>
  <si>
    <t>DOLAR EN EL MERCADO DE FUTUROS</t>
  </si>
  <si>
    <t>DOLAR DE MERCADO SPOT [COMPARADO CON EL DE EQUILIBRIO]</t>
  </si>
  <si>
    <t>Alquiler de dolares</t>
  </si>
  <si>
    <t>alquiler de pesos</t>
  </si>
  <si>
    <t>t</t>
  </si>
  <si>
    <t>t+1</t>
  </si>
  <si>
    <t>vender 1 dolar en F</t>
  </si>
  <si>
    <t>entrego 1 dolar</t>
  </si>
  <si>
    <t>usd</t>
  </si>
  <si>
    <t>recibo pes</t>
  </si>
  <si>
    <t>pes</t>
  </si>
  <si>
    <t>invierto en dolares i=0,07</t>
  </si>
  <si>
    <t>Retirar dolares de inversion en dol</t>
  </si>
  <si>
    <t>compro esos dolares por vender los pesos necesarios</t>
  </si>
  <si>
    <t>vendo pesos para tener los dolares para invertir</t>
  </si>
  <si>
    <t>Pido esa cantidad de pesos prestado</t>
  </si>
  <si>
    <t>Cancelo esa deuda</t>
  </si>
  <si>
    <t>precio de futuro sintetico = al futurp</t>
  </si>
  <si>
    <t>EJEMPLO 1</t>
  </si>
  <si>
    <t>EJEMPLO 2</t>
  </si>
  <si>
    <t>si esta encima o debajo del equilibrio</t>
  </si>
  <si>
    <t>SPOT[T] deberia ser mas bajo para que haya equilibrio</t>
  </si>
  <si>
    <t>alquilar dolares [obtengo mas que alquilando pesos]</t>
  </si>
  <si>
    <t>alquilar pesos [obtengo menos que alquilando dolares]</t>
  </si>
  <si>
    <t>Futuro = es menos que el s[t+1] de equilibrio</t>
  </si>
  <si>
    <t>S[T+1]EQUILIBRIO</t>
  </si>
  <si>
    <t>compro 1 dolar futuro</t>
  </si>
  <si>
    <t>recibo dol f</t>
  </si>
  <si>
    <t>con eso que pedi paso a pes</t>
  </si>
  <si>
    <t>doy en alquiler esos pesos</t>
  </si>
  <si>
    <t>recibo result de dar en alquiler los peso</t>
  </si>
  <si>
    <t>pido dolar para cambiarlo a pes y comprar ese dolF</t>
  </si>
  <si>
    <t>pago por el dol f</t>
  </si>
  <si>
    <t>cancelo deuda de 0,95 dol + interes de 0,05</t>
  </si>
  <si>
    <t>INTERES SIMPLE</t>
  </si>
  <si>
    <t xml:space="preserve">TNA </t>
  </si>
  <si>
    <t>TASA NOMINAL ANUAL</t>
  </si>
  <si>
    <t>N</t>
  </si>
  <si>
    <t>AÑOS</t>
  </si>
  <si>
    <t>INTERESES</t>
  </si>
  <si>
    <t>TNA * C[0]</t>
  </si>
  <si>
    <t>TNA * N * C[0]</t>
  </si>
  <si>
    <t>RELACION LINEAL ENTRE INTERES Y TIEMPO EN INTRES SIMPLE</t>
  </si>
  <si>
    <t>NOMNIAL PORQUE SOLO EL APITAL N INICIAL GENERA INTERESES</t>
  </si>
  <si>
    <t>C[0]</t>
  </si>
  <si>
    <t>CAPITAL INICIAL</t>
  </si>
  <si>
    <t>C[N]</t>
  </si>
  <si>
    <t>CAPITAL LUEGO DE N AÑOS</t>
  </si>
  <si>
    <t>C[0]*(1+TNA*N)</t>
  </si>
  <si>
    <t>TNA</t>
  </si>
  <si>
    <t>TNA=0,1 Y C[0] = 100000</t>
  </si>
  <si>
    <t>TEA</t>
  </si>
  <si>
    <t>INTERES SIMPLE = TASA EFECTIVA ANUAL DECRECIENTE</t>
  </si>
  <si>
    <t>TNA ES  CONSTANTE = TEA ES DECRECIENTE</t>
  </si>
  <si>
    <t>C[N]/(1+TNA*N)</t>
  </si>
  <si>
    <t>VALOR FUTURO</t>
  </si>
  <si>
    <t>VALOR ACTUAL</t>
  </si>
  <si>
    <t>DOCUMENTOS EQUIVALENTES</t>
  </si>
  <si>
    <t>MISMO VALOR EN UN MOMENTO DETERMINADO</t>
  </si>
  <si>
    <t>EN UN PUTNO FOCAL</t>
  </si>
  <si>
    <t>EMPRESA DEBE PAGAR 100,000 EN 30/09</t>
  </si>
  <si>
    <t>NO VA A PODER, SOLICITA PROLONGAR EL PLAZO</t>
  </si>
  <si>
    <t>ACUERDA CON ACREEDOR CANCELAR EL 30/10</t>
  </si>
  <si>
    <t>CUAL ES EL IMPORTE QUE DEBERIA COMPROMETERSE A PAGAR EL 30/10</t>
  </si>
  <si>
    <t>SUPONIENDO TNA (365) 0,56</t>
  </si>
  <si>
    <t>CN</t>
  </si>
  <si>
    <t xml:space="preserve">PUNTO FOCAL </t>
  </si>
  <si>
    <t>30 DE SEPTIEMBRE</t>
  </si>
  <si>
    <t>INTERES COMPUESTO</t>
  </si>
  <si>
    <t>i</t>
  </si>
  <si>
    <t>TNA / m</t>
  </si>
  <si>
    <t>n</t>
  </si>
  <si>
    <t>m*N</t>
  </si>
  <si>
    <t>C[0]*(1+i)^n</t>
  </si>
  <si>
    <t>C[0]*(1+TNA/m)^mN</t>
  </si>
  <si>
    <t>periodo</t>
  </si>
  <si>
    <t>Período</t>
  </si>
  <si>
    <t>Capital al inicio</t>
  </si>
  <si>
    <t>Intereses</t>
  </si>
  <si>
    <t>Monto al final del período</t>
  </si>
  <si>
    <t>…</t>
  </si>
  <si>
    <t>m</t>
  </si>
  <si>
    <t>capitalizaciones que hay por año</t>
  </si>
  <si>
    <t>numero de años</t>
  </si>
  <si>
    <t>intervalo entre capitalizaciones</t>
  </si>
  <si>
    <t>Ejemplo:</t>
  </si>
  <si>
    <t>TNA = 50%</t>
  </si>
  <si>
    <t>Co (1+TNA x N)</t>
  </si>
  <si>
    <t>Años</t>
  </si>
  <si>
    <t>Monto</t>
  </si>
  <si>
    <t>m = 1</t>
  </si>
  <si>
    <t>m = 2</t>
  </si>
  <si>
    <t>Interés simple (m = 1/N)</t>
  </si>
  <si>
    <t>En N = 2, intereses totales:</t>
  </si>
  <si>
    <t>Intereses sobre el capital:</t>
  </si>
  <si>
    <t>Intereses sobre intereses:</t>
  </si>
  <si>
    <t>fin - lo que deposito</t>
  </si>
  <si>
    <t>vto =30 DIAS</t>
  </si>
  <si>
    <t>vto =90 DIAS</t>
  </si>
  <si>
    <t>TNA(360)</t>
  </si>
  <si>
    <t>VALOR EN T[30]</t>
  </si>
  <si>
    <t>VALOR EN T[90]</t>
  </si>
  <si>
    <t>VALOR EN T[60] DE LOS DOS</t>
  </si>
  <si>
    <t>VALOR EN T[60] DE LOS DOS?</t>
  </si>
  <si>
    <t>VALOR EN T[60]</t>
  </si>
  <si>
    <t>MONTO</t>
  </si>
  <si>
    <t>Capital al inicio del primer periodo</t>
  </si>
  <si>
    <t>Tasa Nominal Anual</t>
  </si>
  <si>
    <t>Numero de periodos</t>
  </si>
  <si>
    <t>C[0]*(1+TNA/m)^(m*N)</t>
  </si>
  <si>
    <t>c[0]</t>
  </si>
  <si>
    <t>tna</t>
  </si>
  <si>
    <t>INTERESES SOBRE CAPITAL</t>
  </si>
  <si>
    <t>INTERESES SOBRE INTERESES</t>
  </si>
  <si>
    <t>INTERESES TOTALES</t>
  </si>
  <si>
    <t>MONTO - C[0]</t>
  </si>
  <si>
    <t>TNA * C[0] * N</t>
  </si>
  <si>
    <t>SI SOLO EL CAPITAL GENERARA INTRESES</t>
  </si>
  <si>
    <t>MONTO C[N]</t>
  </si>
  <si>
    <t>Documentos equivalentes:</t>
  </si>
  <si>
    <t>aplicando el concepto de que dos o más documentos son equivalentes si tienen el mismo valor en un momento dado, resolver:</t>
  </si>
  <si>
    <t>1) Se desea reemplazar un documento de $100.000 que vence dentro de 30 días por otro con vencimiento dentro de 65 días.</t>
  </si>
  <si>
    <t>1.a) Suponiendo que la TNA (360 días) acordada es del 24%, calcular el importe del nuevo documento.</t>
  </si>
  <si>
    <t>1.b) Suponiendo que la TEA (360 días) acordada es del 24%, calcular el importe del nuevo documento.</t>
  </si>
  <si>
    <t>1.a)</t>
  </si>
  <si>
    <t>Bajo el supuesto de que la TNA dada se aplique con capitalizaciones cada 35 días y que tomemos como punto focal el día 65, el importe del nuevo documento es:</t>
  </si>
  <si>
    <t>C1=</t>
  </si>
  <si>
    <t xml:space="preserve">1.b) </t>
  </si>
  <si>
    <t>C (35/365)=</t>
  </si>
  <si>
    <t>2) Se desea reemplazar un documento de $100.000 con vencimiento dentro de 30 días por otro con vencimiento dentro de 65 días</t>
  </si>
  <si>
    <t>La tasa anual de inflación se estima en un 30%.</t>
  </si>
  <si>
    <t>2.a) Suponiendo que la TNA Real (360 días) acordada es del 5%, calcular el importe del nuevo documento</t>
  </si>
  <si>
    <t>2.b) Suponiendo que la TEA Real (365 días) acordada es del 5%, calcular el importe del nuevo documento</t>
  </si>
  <si>
    <t>2.a)</t>
  </si>
  <si>
    <t>Siendo dato la TNA, debo suponer la frecuencia de capitalización. Si m es 360/35, es decir, se suponen capitalizaciones cada 35 días,</t>
  </si>
  <si>
    <t>entonces, la TEA Real es</t>
  </si>
  <si>
    <t>y la TEA Aparente es</t>
  </si>
  <si>
    <t>Por lo que el importe del nuevo documento sería:</t>
  </si>
  <si>
    <t>2.b)</t>
  </si>
  <si>
    <t>Siendo dato la TEA Real no debo suponer la frecuencia de capitalización. La misma está dada. La TEA supone m=1 por definición.</t>
  </si>
  <si>
    <t>Entonces, solamente debo calcular la TEA Aparente y luego el importe del nuevo documento.</t>
  </si>
  <si>
    <t>TEA Aparente =</t>
  </si>
  <si>
    <t>1A</t>
  </si>
  <si>
    <t>1B</t>
  </si>
  <si>
    <t>FREQUENCIA DE CAPITALIZACIONES</t>
  </si>
  <si>
    <t>TNA NO SUPONE CAPITALIZACIONES</t>
  </si>
  <si>
    <t>elijo la quie quiero (en este caso dias</t>
  </si>
  <si>
    <t>COMRPAR DEPTO</t>
  </si>
  <si>
    <t>VENTA</t>
  </si>
  <si>
    <t>TEM</t>
  </si>
  <si>
    <t>EFECTIVA = m =1</t>
  </si>
  <si>
    <t>15 02 21</t>
  </si>
  <si>
    <t>15 01 20</t>
  </si>
  <si>
    <t>tea</t>
  </si>
  <si>
    <t>tna aparente</t>
  </si>
  <si>
    <t>30 08 22</t>
  </si>
  <si>
    <t>recibe prestamo</t>
  </si>
  <si>
    <t xml:space="preserve">Interés Compuesto </t>
  </si>
  <si>
    <t>TNA:</t>
  </si>
  <si>
    <t xml:space="preserve">Tasa Nominal Anual </t>
  </si>
  <si>
    <t>n=mN</t>
  </si>
  <si>
    <t>(número de capitalizaciones totales es igual a</t>
  </si>
  <si>
    <t xml:space="preserve">m: </t>
  </si>
  <si>
    <t>número de capitalizaciones por año</t>
  </si>
  <si>
    <t xml:space="preserve">número de capitalizaciones por año multiplicado por número de </t>
  </si>
  <si>
    <t xml:space="preserve">N: </t>
  </si>
  <si>
    <t>número de años que dura la operación (inversión o financiación)</t>
  </si>
  <si>
    <t>años que dura la operación)</t>
  </si>
  <si>
    <t xml:space="preserve"> Co:</t>
  </si>
  <si>
    <t>capital inicial</t>
  </si>
  <si>
    <t>TNA/m = i</t>
  </si>
  <si>
    <t>(la tasa de interés correspondiente al período entre capitalizaciones es</t>
  </si>
  <si>
    <t>mN</t>
  </si>
  <si>
    <t>la TNA dividida por el número de capitalizaciones por año)</t>
  </si>
  <si>
    <t>CmN =</t>
  </si>
  <si>
    <t>Co x (1+TNA/m)</t>
  </si>
  <si>
    <t xml:space="preserve"> =</t>
  </si>
  <si>
    <t>Cn=</t>
  </si>
  <si>
    <t>Co x (1+i)</t>
  </si>
  <si>
    <t>Monto en función del número de capitalizaciones por año</t>
  </si>
  <si>
    <t>TNA=</t>
  </si>
  <si>
    <t>CmN</t>
  </si>
  <si>
    <t>N=</t>
  </si>
  <si>
    <t>Co=</t>
  </si>
  <si>
    <t>A mayor número de capitalizaciones por año, m, mayor es el monto (ceteris paribus)</t>
  </si>
  <si>
    <t>Tasa  proporcional de interés:</t>
  </si>
  <si>
    <t>es la tasa de interés proporcional a una TNA dada, para un subperíodo específico.</t>
  </si>
  <si>
    <t>Ejemplos:</t>
  </si>
  <si>
    <t>si la TNA se refiere a un plazo de 360 días, la tasa de interés proporcional mensual es TNA/12</t>
  </si>
  <si>
    <t>si la TNA se refiere a un plazo de 365 días, la tasa de interés proporcional mensual es (TNA/365)x 30</t>
  </si>
  <si>
    <t>Importante: la TNA no se puede dividir por un número arbitrario. Ese número, m, debe representar la cantidad de veces en un año que se suman los intereses al capital.</t>
  </si>
  <si>
    <t>Tasa efectiva de interés:</t>
  </si>
  <si>
    <t>es la efectiva o verdadera variación porcentual del capital en un plazo determinado.</t>
  </si>
  <si>
    <t>Tasa Efectiva Anual (TEA): es la efectiva o verdadera variación porcentual del capital en el plazo de un año. En otras palabras, es la TNA que con una sola capitalizacion por año (m=1) es equivalente a la TNA dada.</t>
  </si>
  <si>
    <t>Tasa Efectiva Mensual (TEM): es la efectiva o verdadera variación porcentual del capital en el plazo de un mes. En otras palabras, es la tasa proporcional mensual que con una capitalizacion por mes (m=12 o m=365/30, según el caso) es equivalente a la tasa dada.</t>
  </si>
  <si>
    <t xml:space="preserve">TNA/m   </t>
  </si>
  <si>
    <t>es la tasa efectiva del período entre capitalizaciones, habiendo m períodos en un año.</t>
  </si>
  <si>
    <t>En el ejemplo de la tabla</t>
  </si>
  <si>
    <t>a partir de la relación entre el capital inicial y el monto obtenido al cabo de un año, se puede ver que :</t>
  </si>
  <si>
    <t>cuando m = 1, la TEA es :</t>
  </si>
  <si>
    <t xml:space="preserve"> y TNA/m  </t>
  </si>
  <si>
    <t>es TNA/1 = TEA</t>
  </si>
  <si>
    <t>cuando m = 2, la TEA es:</t>
  </si>
  <si>
    <t>es TNA/2 = TES (Tasa Efectiva Semestral)</t>
  </si>
  <si>
    <t>cuando m = 3, la TEA es:</t>
  </si>
  <si>
    <t>cuando m = 12, la TEA es:</t>
  </si>
  <si>
    <t>es  TNA/12 = TEM (Tasa Efectiva Mensual)</t>
  </si>
  <si>
    <t>Monto en función del número de años y del número de capitalizaciones por año</t>
  </si>
  <si>
    <t>TNA =</t>
  </si>
  <si>
    <t>Capital =</t>
  </si>
  <si>
    <t>a) m = 1</t>
  </si>
  <si>
    <t>Monto a interés compuesto</t>
  </si>
  <si>
    <t>Monto a interés simple</t>
  </si>
  <si>
    <t>b) m = 2</t>
  </si>
  <si>
    <t>N (años)</t>
  </si>
  <si>
    <t>Intereses sobre intereses</t>
  </si>
  <si>
    <t>TEA con interés compuesto</t>
  </si>
  <si>
    <t>TEA con interés simple</t>
  </si>
  <si>
    <t>semestres</t>
  </si>
  <si>
    <t>TES con interés compuesto</t>
  </si>
  <si>
    <t>TES con interés simple</t>
  </si>
  <si>
    <t>Tasas de interés equivalentes:</t>
  </si>
  <si>
    <t>son equivalentes dos  o más tasas de interés que, dado un capital y un número de años, generan el mismo monto.</t>
  </si>
  <si>
    <t>Para obtener una fórmula de la TEA en función de la TNA, igualamos el monto calculado en función de una con el monto calculado en función de la otra tasa:</t>
  </si>
  <si>
    <t>=</t>
  </si>
  <si>
    <t>Co x (1+TEA)</t>
  </si>
  <si>
    <t>despejando se obtiene:</t>
  </si>
  <si>
    <t xml:space="preserve">TEA </t>
  </si>
  <si>
    <t>(1+TNA/m)</t>
  </si>
  <si>
    <t>Para obtener una fórmula de la TEM en función de la TNA, igualamos el monto calculado en función de una con el monto calculado en función de la otra tasa:</t>
  </si>
  <si>
    <t>12N</t>
  </si>
  <si>
    <t>(365/30)N</t>
  </si>
  <si>
    <t>Donde m=</t>
  </si>
  <si>
    <t>365/D</t>
  </si>
  <si>
    <t>Co x (1+TEM)</t>
  </si>
  <si>
    <t>ó</t>
  </si>
  <si>
    <t>(siendo D la cantidad de días entre capitalizaciones que correponde a la TNA)</t>
  </si>
  <si>
    <t>(m/12)</t>
  </si>
  <si>
    <t>30/D</t>
  </si>
  <si>
    <t>(1+TNA/m)              -1</t>
  </si>
  <si>
    <t>1) Se realiza un depósito a Plazo Fijo. El capital depositado es de $100.000, la TNA (365 días) es del 24%, y es un Plazo Fijo a 90 días.</t>
  </si>
  <si>
    <t>(m = 365/90)</t>
  </si>
  <si>
    <t>1.a) Calcular la TEA</t>
  </si>
  <si>
    <t>1.b) Calcular la TEM</t>
  </si>
  <si>
    <t>1.c) Calcular el monto que se retiraría al cabo de 180 días, suponiendo que al vencer el plazo de 90 días se renueve el plazo fijo, incluyendo los intereses como parte del capital</t>
  </si>
  <si>
    <t>(365/90)</t>
  </si>
  <si>
    <t>(1+0,24 x 90/365)  -1</t>
  </si>
  <si>
    <t>(30/90)</t>
  </si>
  <si>
    <t>1.b)</t>
  </si>
  <si>
    <t>1.c)</t>
  </si>
  <si>
    <t>C2</t>
  </si>
  <si>
    <t xml:space="preserve">100.000 x </t>
  </si>
  <si>
    <t>(1+0,24 x 90/365)</t>
  </si>
  <si>
    <t>2) Si se adquirió un departamento a un precio de u$s 200.000 y se lo vendió 496 días después a un precio de u$S 219.000, siendo que el precio del dólar era</t>
  </si>
  <si>
    <t>de $43,50 al momento de comprarlo y de $75,90 al momento de venderlo y, sabiendo además, que la tasa de inflación anual en Pesos ha sido del 30%, calcule:</t>
  </si>
  <si>
    <t>2.a) La TEA (365 días) en Dólares</t>
  </si>
  <si>
    <t>2.b) La TEA (365 días)en Pesos</t>
  </si>
  <si>
    <t>2.c) La TEA Real (365 días)</t>
  </si>
  <si>
    <t>2.d) La TEM en Dólares</t>
  </si>
  <si>
    <t>TEA en Dólares =</t>
  </si>
  <si>
    <t>TEA en Pesos =</t>
  </si>
  <si>
    <t>$Co =</t>
  </si>
  <si>
    <t>Tasa Efectiva de 496 días=</t>
  </si>
  <si>
    <t>$C1 =</t>
  </si>
  <si>
    <t>2.c)</t>
  </si>
  <si>
    <t>TEA Real =</t>
  </si>
  <si>
    <t>2.d)</t>
  </si>
  <si>
    <t>TEM en Dólares =</t>
  </si>
  <si>
    <t>Interés Compuesto con capitalizaciones continuas:</t>
  </si>
  <si>
    <t>Si m tiende a infinito, el monto calculado como:</t>
  </si>
  <si>
    <t>TNAxN</t>
  </si>
  <si>
    <t xml:space="preserve">tiende a </t>
  </si>
  <si>
    <t>Co x e</t>
  </si>
  <si>
    <t>A la TNA, cuando las capitalizaciones son infinitas, es decir, son continas, se la denomina Tasa Instantánea Anual</t>
  </si>
  <si>
    <t>Igualando montos:</t>
  </si>
  <si>
    <t xml:space="preserve">se obtiene que </t>
  </si>
  <si>
    <t>TEA =</t>
  </si>
  <si>
    <t xml:space="preserve">e     </t>
  </si>
  <si>
    <t>Ejemplo 1:</t>
  </si>
  <si>
    <t>Suponga que se depositan $10.000 a una TNA del 24%, con capitalizaciones continuas, durante un año.</t>
  </si>
  <si>
    <t>Calcule:</t>
  </si>
  <si>
    <t>1) El monto que se obtendría con dicha inversión</t>
  </si>
  <si>
    <t>2) La TEA equivalente a la TNA dada</t>
  </si>
  <si>
    <t>1) C1 =</t>
  </si>
  <si>
    <t>2) TEA =</t>
  </si>
  <si>
    <t>Ejemplo 2:</t>
  </si>
  <si>
    <t>Suponga que adquirió acciones de VERIZON a u$s 102 y las vendió treinta días después a u$s 104,34</t>
  </si>
  <si>
    <t>El precio del dólar al momento de comprar las acciones era de $69,50 y al momento de venderlas era de $80,50.</t>
  </si>
  <si>
    <t>1) La TEA en dólares obtenida.</t>
  </si>
  <si>
    <t>2) La TEA en pesos obtenida.</t>
  </si>
  <si>
    <t>3) La Tasa Instantánea Anual en dólares obtenida</t>
  </si>
  <si>
    <t>4) La Tasa Instantánea Anual en pesos obtenida.</t>
  </si>
  <si>
    <t>5) La Tasa Instantánea Mensual en dólares obtenida.</t>
  </si>
  <si>
    <t>6) La Tasa Instantánea Mensual en pesos obtenida.</t>
  </si>
  <si>
    <t>7) La TEM en dóleres obtenida.</t>
  </si>
  <si>
    <t>8) La TEM en pesos obtenida.</t>
  </si>
  <si>
    <t>1)</t>
  </si>
  <si>
    <t>2)</t>
  </si>
  <si>
    <t>3)</t>
  </si>
  <si>
    <t>4)</t>
  </si>
  <si>
    <t>5)</t>
  </si>
  <si>
    <t>6)</t>
  </si>
  <si>
    <t>7)</t>
  </si>
  <si>
    <t>8)</t>
  </si>
  <si>
    <t>UNIDAD 1</t>
  </si>
  <si>
    <t>Calcular la tasa de interés mensual real:</t>
  </si>
  <si>
    <t>Calcule, en base a los datos referidos al Índice de Precios al Consumidor Nivel General que están disponibles en Campus Virtual, en la hoja Índices IPC cobertura nacional, las siguientes tasas de inflación:</t>
  </si>
  <si>
    <t>Un capital de $200.000 se depositó durante 30 días, al cabo de los cuales se retiraron $206.300.</t>
  </si>
  <si>
    <t>Suponga que el precio del dólar era de $160 hace seis meses y que hoy es de $290. Si la tasa de interés semestral en pesos (ofrecida a inversiones semestrales en pesos) vigente al comienzo del semestre era del 28%, mientras que la tasa de interés semestral en dólares (ofrecida a inversiones semestrales en dólares) era del 3% ¿En qué moneda le hubiera convenido invertir?</t>
  </si>
  <si>
    <t>GUIA 2</t>
  </si>
  <si>
    <t>Luego haga lo mismo suponiendo que el precio del dólar en el mercado de Futuros, también para contratos con vencimiento en seis meses, es de $109.</t>
  </si>
  <si>
    <t>Si el precio del dólar en el mercado “spot” es $140, en el mercado de Futuros es $170 y la tasa de interés en dólares es 3% ¿Cuál es la tasa de interés en pesos que lo dejaría indiferente entre invertir en pesos o invertir en dólares? Si la tasa de interés en pesos fuera del 23% ¿en qué moneda invertiría? ¿podría realizar un arbitraje? En caso afirmativo, muestre cómo hacerlo.</t>
  </si>
  <si>
    <t>Volviendo al ejercicio 3, suponga que el precio del dólar en el mercado de Futuros, para contratos con vencimiento dentro de un semestre es $106. En ese caso, diga qué está barato y qué está caro. Muestre el arbitraje que haría para aprovechar la situación de desequilibrio.</t>
  </si>
  <si>
    <t>La tasa de interés semestral en dólares es del 0,9950% mientras que la tasa de interés semestral en pesos es del 17%. El precio del dólar en el mercado “spot” es $93. Calcule el precio de equilibrio del dólar en el mercado de Futuros, para contratos con vencimiento dentro de un semestre. Si el precio del dólar en el mercado de Futuros, para contratos con vencimiento dentro de seis meses fuera $105 ¿en qué moneda invertiría? Justifíquelo a partir del cálculo de la tasa de interés en cada moneda habiendo invertido en la otra. También calcule el monto que reuniría en cada moneda habiendo invertido en la otra. Suponga que dispone de un capital de $100.000 (cien mil pesos).</t>
  </si>
  <si>
    <t xml:space="preserve">La tasa de interés anual en dólares es del 2% mientras que la tasa de interés anual en pesos es del 35%. El precio del dólar en el mercado de Futuros, para contratos con vencimiento dentro de un año es $124. Calcule el precio de equilibrio del dólar en el mercado “spot”. Si el precio del dólar en el mercado “spot” fuera $95 ¿en qué moneda convendría invertir? </t>
  </si>
  <si>
    <t>El precio del dólar es hoy de $93 en el mercado “spot”. La tasa de interés mensual en pesos, ofrecida por inversiones en pesos, es del 5% mientras que el precio del dólar en el mercado de Futuros, para contratos con vencimiento dentro de un mes es $97. ¿Cuál es la tasa de interés mensual en dólares que dejaría indiferentes a los inversores entre invertir en pesos o en dólares? Si los inversores pudieran acceder a una tasa mensual en dólares del 0,10% ¿en qué moneda les convendría invertir?</t>
  </si>
  <si>
    <t>UNIDAD 1 Tasa de Interés y Tipo de Cambio</t>
  </si>
  <si>
    <t>GUIA 3</t>
  </si>
  <si>
    <t>UNIDAD 1 Interés Simple e Interés Compuesto</t>
  </si>
  <si>
    <t>El importe de las cuotas en dólares que, para el vendedor, serían equivalentes a las cuotas en pesos previamente calculadas</t>
  </si>
  <si>
    <t xml:space="preserve">Un comerciante ofrece un artículo, cuyo precio de contado es de $100.000, a cambio de dos cuotas iguales. Uno de dichos pagos vence dentro de 30 y el otro vence dentro de 60 días. El comerciante cobra una TNA (360 días) del 24% en las financiaciones en pesos que ofrece a sus clientes. La TNA (360 días) en dólares, a la que el comerciante puede acceder al invertir su capital, es del 3%. </t>
  </si>
  <si>
    <t>El precio del dólar en el mercado Spot es de $80.</t>
  </si>
  <si>
    <t xml:space="preserve">El importe de las cuotas en pesos que debería pagar el comprador, en caso de acceder a la financiación. </t>
  </si>
  <si>
    <t>a</t>
  </si>
  <si>
    <t>b</t>
  </si>
  <si>
    <t>c</t>
  </si>
  <si>
    <t>¿La tasa de inflación del período bianual 31/12/2017 – 31/12/2019 es igual a la suma de las tasas de inflación anuales correspondientes a 2018 y 2019? ¿Por qué?</t>
  </si>
  <si>
    <t>La tasa de inflación correspondiente al período 31/12/2017 – 31/12/2019</t>
  </si>
  <si>
    <t>Las tasas anuales de inflación correspondientes a los años 2018 y 2019</t>
  </si>
  <si>
    <t>Suponiendo que el deudor devuelva el capital y pague los intereses 60 días luego de recibido el préstamo:</t>
  </si>
  <si>
    <t xml:space="preserve">Calcule la TNA promedio. </t>
  </si>
  <si>
    <t xml:space="preserve">Calcule el Monto a pagar </t>
  </si>
  <si>
    <t xml:space="preserve">Un préstamo de $100.000 sería devuelto al cabo de 30 días. La TNA (360 días) pactada para ese intervalo de tiempo es del 50%. En el caso de que el deudor incumpla con su obligación, atrasándose en el pago comprometido, la TNA (360 días) que se aplicaría sobre el capital inicial a partir del día 31 y hasta la fecha de cancelación de la deuda sería del 60%.  </t>
  </si>
  <si>
    <t>Además, diga qué parte del Monto corresponde a intereses sobre el Capital y qué parte corresponde a intereses sobre los intereses.</t>
  </si>
  <si>
    <t>Calcule el Monto y la TEA (360 días) que un Capital de $1.000.000 generaría en el caso de invertirse por un año a una TNA (360 días) del 20%, suponiendo capitalizaciones:</t>
  </si>
  <si>
    <t>Cada 360 días</t>
  </si>
  <si>
    <t>Cada 180 días</t>
  </si>
  <si>
    <t>Cada 90 días</t>
  </si>
  <si>
    <t>d</t>
  </si>
  <si>
    <t>e</t>
  </si>
  <si>
    <t>f</t>
  </si>
  <si>
    <t>Cada día</t>
  </si>
  <si>
    <t>Cada 30 días</t>
  </si>
  <si>
    <t>Cada 60 días</t>
  </si>
  <si>
    <t>Diga, en cada caso, a qué intervalo de tiempo (hora, día, semana, quincena, mes, bimestre, trimestre, etc.) corresponde un período.</t>
  </si>
  <si>
    <t xml:space="preserve">a)     bajo el supuesto de que la inversión se hubiera realizado el último día de octubre de 2019 </t>
  </si>
  <si>
    <t>b)      bajo el supuesto de que se hubiera realizado el último día de noviembre del mismo año (tome como referencia los datos referidos al Índice de Precios al Consumidor Nivel General que están disponibles en Campus Virtual).</t>
  </si>
  <si>
    <t xml:space="preserve"> El precio del dólar americano en Rusia es de ₽65 (65 rublos). En Argentina, el precio del dólar americano es de $290 (290 pesos) ¿Cuál es el precio del rublo medido en pesos?</t>
  </si>
  <si>
    <t>Calcule el número de períodos (no tiene por qué ser un número entero) que debería estar depositado un capital de $100.000 para que se incremente un 50%, en el caso de invertirse a una TNA (360 días) del 50%, suponiendo capitalizaciones:</t>
  </si>
  <si>
    <t>Diga en cada caso si efectúa una transformación lineal o exponencial.</t>
  </si>
  <si>
    <t>Calcule la TNA (365 días), la TEA (365 días), la TES (180 días) y la TEM (30 días) en dólares que generarían las siguientes inversiones:</t>
  </si>
  <si>
    <t>Se compra un departamento a un precio de 200.000 dólares y se lo vende 365 días después a un precio de 220.000 dólares.</t>
  </si>
  <si>
    <t>Se compran acciones de una firma a un precio unitario de 100 dólares y se las vende 180 días después a un precio unitario de 103 dólares. A su vez, en la fecha de la venta se cobran 7 dólares en concepto de dividendos.</t>
  </si>
  <si>
    <t>Se depositan 3.000 dólares en un Plazo Fijo que ofrece una TNA (365 días) en dólares del 6%. Se trata de un Plazo Fijo a 30 días que es renovado una vez, retirándose el Monto al cabo de 60 días.</t>
  </si>
  <si>
    <t xml:space="preserve">La TNA (365 días) en dólares, para operaciones con capitalizaciones cada 30 días, es del 4%. La TNA (365 días) en pesos, también para operaciones con capitalizaciones cada 30 días, es del 42%. El precio del dólar en el mercado “spot” es $93. Calcule el precio de equilibrio del dólar en el mercado de Futuros, para contratos con vencimiento dentro de un semestre (180 días). Si el precio del dólar en el mercado de Futuros, para contratos con vencimiento dentro de seis meses fuera $108 ¿en qué moneda invertiría? Justifíquelo a partir del cálculo del monto que reuniría en cada moneda habiendo invertido en la otra. Suponga que dispone de un capital de $100.000 (cien mil pesos). </t>
  </si>
  <si>
    <t>El precio del dólar en el mercado “spot” es de $80.</t>
  </si>
  <si>
    <t>El importe de las cuotas en pesos que debería pagar el comprador, en caso de acceder a la financiación.</t>
  </si>
  <si>
    <t>El importe de las cuotas en dólares que, para el vendedor, serían equivalentes a las cuotas en pesos previamente calculadas.</t>
  </si>
  <si>
    <t xml:space="preserve">Un préstamo de $100.000 sería devuelto al cabo de 30 días. La TNA (360 días) pactada para ese intervalo de tiempo es del 50%, tasa que capitaliza intereses cada 30 días. En el caso de que el deudor incumpla con su obligación, atrasándose en el pago comprometido, la TEA (360 días) que se aplicaría sobre la deuda a partir del día 31 y hasta la fecha de cancelación de la deuda sería del 60%. </t>
  </si>
  <si>
    <t xml:space="preserve">Calcule la TEA promedio. </t>
  </si>
  <si>
    <t>Calcule el Monto a pagar.</t>
  </si>
  <si>
    <t xml:space="preserve"> Remítase al enunciado del ejercicio 3) y calcule la Tasa Instantánea Anual equivalente la TNA dada en cada uno de los ítems de dicho ejercicio.</t>
  </si>
  <si>
    <t>Calcule el máximo Monto que un Capital de $100.000 podría producir en el caso de ser invertido durante un año a una TNA (365 días) del 20%.</t>
  </si>
  <si>
    <t>GUIA 4</t>
  </si>
  <si>
    <t>UNIDAD 2 Rentas</t>
  </si>
  <si>
    <t xml:space="preserve">Un inversor comparía un inmueble haciendo una entrega inicial de $200.000 y comprometiéndose a pagar $4.000 cada mes durante los próximos 10 años.  La primera cuota de $4.000 vencería un mes después del pago de $200.000. Suponiendo una TNA del 6%. </t>
  </si>
  <si>
    <t>¿Cuál es el valor de contado equivalente?</t>
  </si>
  <si>
    <t>Después de haber hecho 18 pagos de $4.000, el comprador desea liquidar el saldo existente mediante un pago único en el vencimiento de la 19° cuota. ¿Cuánto debe pagar?</t>
  </si>
  <si>
    <t>Una deuda está instrumentada a través de un Bono típico. El capital o valor Nominal del Bono es de $1.000.000. El título genera pagos semestrales en concepto de intereses, por un importe de $25.000, y vence dentro de diez años. Suponiendo un costo de oportunidad Nominal Anual del 8%, calcule el valor del Bono en la fecha de hoy. ¿Compraría este título si cotizara a $890.000 en el mercado?</t>
  </si>
  <si>
    <t>El alquiler de un departamento es de $90.000, pagaderos al principio de cada mes. ¿Cuál es el alquiler anual equivalente pagadero al principio de cada año, para una TNA del 48%?</t>
  </si>
  <si>
    <t>La deuda contraída sería cancelada a través de 12 pagos vencidos, uno por semestre, con un plazo de gracia de ocho meses contados desde el 30 de abril.</t>
  </si>
  <si>
    <t>Suponiendo que la empresa paga por este préstamo, en función de la calificación crediticia de su deuda, una TNA del 12%,</t>
  </si>
  <si>
    <t xml:space="preserve">Una empresa recibirá un préstamo de $2.000.000 de la siguiente manera: $700.000 el 30 de abril, $800.000 el 30 de mayo y $500.000 el 30 de junio. </t>
  </si>
  <si>
    <t>Suponga que la empresa planea depositar en una cuenta, al principio de cada mes, el dinero necesario para reunir al final de cada semestre el importe para pagar cada cuota semestral, comenzando a depositar al inicio de cada semestre, y que la tasa que obtiene por dichos depósitos es una TNA del 9% con capitalizaciones cada 60 días ¿de qué importe debería ser cada uno de los depósitos mensuales?</t>
  </si>
  <si>
    <t>Calcule el importe de las cuotas.</t>
  </si>
  <si>
    <t>Una cadena hotelera internacional estudia el proyecto de abrir ocho establecimientos en el país. El proyecto consiste en inaugurar un hotel por semestre, el primero dentro de dos años. Cada hotel generaría, por año de operación, un flujo neto vencido de u$s 300.000. Suponiendo que los flujos anuales sean constantes y que se espere vender cada hotel en u$s 2.500.000 diez años después de inaugurado, calcule:</t>
  </si>
  <si>
    <t>Cuánto debería invertir la firma en la fecha de hoy, para ganar una TEA en dólares del 15%.</t>
  </si>
  <si>
    <t>De qué importe debería ser cada desembolso si la inversión se hiciera en 6 cuotas consecutivas, una por semestre, abonándose la primera en la fecha de hoy.</t>
  </si>
  <si>
    <t>Los dividendos se perciben una vez al año y faltan dos meses para la fecha de cobro de los próximos. La tasa de retorno exigida a la inversión, en función de su riesgo de mercado, es del 10% efectivo anual</t>
  </si>
  <si>
    <t>Diga cuanto pagaría hoy por las acciones ordinarias de una firma si espera que los próximos dividendos por acción sean de $100, dividendos que se incrementarían un 3% por año, a perpetuidad.</t>
  </si>
  <si>
    <t>Estime el VAN del proyecto de invertir en la compra de un inmueble que podría alquilar inmediatamente en $26.000 el primer mes, con una cláusula de ajuste por inflación. Estima que conservaría el inmueble durante dos años, al cabo de los cuales espera poder vender la propiedad en $3.000.000. La tasa mensual de inflación estimada para los próximos dos años es de un 0,5% en promedio. Los contratos de alquiler son bianuales e incluyen una cláusula por la cual el inquilino abona un mes de depósito al firmar el contrato, depósito que es devuelto por el propietario al vencimiento de aquél. La rentabilidad anual que el inversor pretende obtener es del 12% nominal anual. El precio del inmueble es hoy de $2.870.000.</t>
  </si>
  <si>
    <t>UNIDAD 3 Evaluacion de Proyectos</t>
  </si>
  <si>
    <t>1) Suponga los siguientes proyectos:</t>
  </si>
  <si>
    <t>A (-100, 65, 30, 25, 5)</t>
  </si>
  <si>
    <t>B (-100, 10, 10, 10, 110)</t>
  </si>
  <si>
    <t xml:space="preserve"> Grafique el VAN de ambos, mostrando la ordenada al origen de las funciones, el límite de cada VAN cuando el costo de oportunidad del capital tiende a infinito y el costo de oportunidad que iguala ambas funciones.</t>
  </si>
  <si>
    <t>Grafique el VAN de ambos, mostrando la ordenada al origen de las funciones, el límite de cada VAN cuando el costo de oportunidad del capital tiende a infinito y el costo de oportunidad que iguala ambas funciones.</t>
  </si>
  <si>
    <t xml:space="preserve">Calcular el Período de Recupero Descontado y el VAN de los proyectos, A y B del ejercicio 1), suponiendo un costo de oportunidad del capital Efectivo Anual del 8%. </t>
  </si>
  <si>
    <t>Decir qué proyecto recomienda en base a los cálculos hechos, justificando su recomendación.</t>
  </si>
  <si>
    <t>3) Suponga los siguientes proyectos:</t>
  </si>
  <si>
    <t>C (100, -65, -30, -25, -5)</t>
  </si>
  <si>
    <t>D (100, -10, -10, -10, -110)</t>
  </si>
  <si>
    <t>Calcular el VAN de los proyectos, C y D del ejercicio 3), suponiendo un costo de oportunidad del capital Efectivo Anual del:</t>
  </si>
  <si>
    <t>Decir qué proyecto recomienda, tanto en caso de que el costo de oportunidad del capital sea 8% como en caso de que sea 14%, justificando su recomendación.</t>
  </si>
  <si>
    <t>Suponga el siguiente proyecto:</t>
  </si>
  <si>
    <t>(-100, 200, -75)</t>
  </si>
  <si>
    <t>1) -50%   2) -12%   3) 5%   4) 50%</t>
  </si>
  <si>
    <t>¿Cuál/les de las siguientes tasas de descuento hacen el VAN del proyecto igual a cero?</t>
  </si>
  <si>
    <t>¿Cuál es el máximo número de tasas de descuento podrían anular su VAN (hacer su VAN igual a cero)?</t>
  </si>
  <si>
    <t xml:space="preserve">8%. </t>
  </si>
  <si>
    <t>Considere los siguientes proyectos:</t>
  </si>
  <si>
    <t>A (-400.000, 241.000, 293.000)</t>
  </si>
  <si>
    <t>B (-200.000, 131.000, 172.000)</t>
  </si>
  <si>
    <t>El costo de oportunidad del capital es 8% para ambos.</t>
  </si>
  <si>
    <t>Diga cuáles son los motivos por los cuales, al evaluar dos proyectos de inversión simples, mayor TIR no implica, necesariamente, mayor VAN.</t>
  </si>
  <si>
    <t>El costo de oportunidad del capital es del 10% efectivo anual y los flujos esperados de los equipos, durante sus respectivas vidas útiles, son:</t>
  </si>
  <si>
    <t>A (-100.000, 45.000, 45.000, 45.000)</t>
  </si>
  <si>
    <t>B (-160.000, 40.000, 40.000, 40.000, 40.000, 40.000, 40.000)</t>
  </si>
  <si>
    <t>USD</t>
  </si>
  <si>
    <t>1 rublo =</t>
  </si>
  <si>
    <t>1 peso =</t>
  </si>
  <si>
    <t>ars</t>
  </si>
  <si>
    <t>rus</t>
  </si>
  <si>
    <t>1 dolar=</t>
  </si>
  <si>
    <t xml:space="preserve">precio del rublo medido en pesos = </t>
  </si>
  <si>
    <t>pesos/rublos</t>
  </si>
  <si>
    <t>rublos / pesos</t>
  </si>
  <si>
    <t>cuantos pesos cuesta un rublo</t>
  </si>
  <si>
    <t>cuantos rublos compra un peso</t>
  </si>
  <si>
    <t>unidad[ES] de pesos por 1 solo rublo =</t>
  </si>
  <si>
    <t>rublos en usd / pesos en usd</t>
  </si>
  <si>
    <t>pesos en usd / rublos en usd</t>
  </si>
  <si>
    <t>precio del rublo en pesos</t>
  </si>
  <si>
    <t>precio del peso en rublos</t>
  </si>
  <si>
    <t>PRECIO DEL DOLAR (1 DOLAR) EN TERMINOS DE EUROS</t>
  </si>
  <si>
    <t>PRECIO DEL DOLAR MEDIDO EN EUROS</t>
  </si>
  <si>
    <t xml:space="preserve"> EURO</t>
  </si>
  <si>
    <t>1 DOLAR =  0,87 EUROS</t>
  </si>
  <si>
    <t>1 EURO = 1,15 DOLARES</t>
  </si>
  <si>
    <t>0,87 EUR/USD</t>
  </si>
  <si>
    <t>PRECIO DEL EURO EN TERMINOS DEL DOLAR</t>
  </si>
  <si>
    <t>PRECIO DEL EURO MEDIDO EN DOLARES</t>
  </si>
  <si>
    <t>1,15 USD/EURO</t>
  </si>
  <si>
    <t>65 RUS = 290 PESOS</t>
  </si>
  <si>
    <t>GUIA 5</t>
  </si>
  <si>
    <t>VENTA[T+1]</t>
  </si>
  <si>
    <t>PRECIO[T]</t>
  </si>
  <si>
    <t>1 USD = 290 ARS</t>
  </si>
  <si>
    <t>RETORNO EXIGIDO EN UN SEMSTRE</t>
  </si>
  <si>
    <t>MAXIMO PAGAR (EXIGIDO)</t>
  </si>
  <si>
    <t>RETORNO QUE OBTENDRÍA</t>
  </si>
  <si>
    <t xml:space="preserve"> Un inversor está dispuesto a pagar hasta 166.666,67 pesos por títulos que espera poder vender por un total de 200.000 pesos al cabo de semestre y que hoy tienen un precio de 160.000 pesos. El precio del dólar es hoy de $290. a¿Cuál es la tasa de interés semestral en pesos exigida por el inversor? b¿Cuál es la tasa de interés semestral en pesos que efectivamente obtendría en caso de realizar la inversión? c¿Cuál es la tasa de interés semestral en dólares que efectivamente obtendría en caso de realizar la inversión, bajo el supuesto de que el dólar cotice a $350 al final del semestre?</t>
  </si>
  <si>
    <t>TC[T]</t>
  </si>
  <si>
    <t>TC[T+1]</t>
  </si>
  <si>
    <t>1USD = 350 ARS</t>
  </si>
  <si>
    <t>OBTENIDO DOL</t>
  </si>
  <si>
    <t>EXIGIDO EN DOL</t>
  </si>
  <si>
    <t>USD[T]</t>
  </si>
  <si>
    <t>PERIODOS SEMSTRALES</t>
  </si>
  <si>
    <t>TASA SEMESTRAL USD [T]</t>
  </si>
  <si>
    <t>TASA SEMESTRAL PESO [T]</t>
  </si>
  <si>
    <t>USD[T+1]</t>
  </si>
  <si>
    <t>TASA EN PESOS INVIRTENDO EN PESOS</t>
  </si>
  <si>
    <t>TASA EN USD  INVIRTENDO EN USD</t>
  </si>
  <si>
    <t>TASA EN USD  INVIRTENDO EN PESOS</t>
  </si>
  <si>
    <t>TASA EN PESOS INVIRTENDO EN USD</t>
  </si>
  <si>
    <t>&lt;</t>
  </si>
  <si>
    <t>&gt;</t>
  </si>
  <si>
    <t>INVERIR EN DOLARES</t>
  </si>
  <si>
    <t>1 USD[T] SPOT</t>
  </si>
  <si>
    <t>ARS</t>
  </si>
  <si>
    <t>i[ars,ars]</t>
  </si>
  <si>
    <t>mensual</t>
  </si>
  <si>
    <t>1 USD[T+1] FUTUROS</t>
  </si>
  <si>
    <t>i[usd,usd]</t>
  </si>
  <si>
    <t>i[usd,ars]</t>
  </si>
  <si>
    <t>i[ars,usd]</t>
  </si>
  <si>
    <t>x</t>
  </si>
  <si>
    <t>(1/97*1,05)/(1/93)-1</t>
  </si>
  <si>
    <t>(1*97*(x+1))/(1*93)-1</t>
  </si>
  <si>
    <t>tasa en usd equilibrio</t>
  </si>
  <si>
    <t>si i[usd, usd] = 0,1</t>
  </si>
  <si>
    <t>(1*97*(0,1+1))/(1*93)-1</t>
  </si>
  <si>
    <t>F[T+1]</t>
  </si>
  <si>
    <t>AÑO</t>
  </si>
  <si>
    <t>S[T] EQ</t>
  </si>
  <si>
    <t>0,02 = i[usd,ARS]</t>
  </si>
  <si>
    <t>0,02= (1/124*1,35)/(1/X) -1</t>
  </si>
  <si>
    <t>1,02=1,35/124*X</t>
  </si>
  <si>
    <t>1,02/(1,35/124)=X</t>
  </si>
  <si>
    <t>i[usd,ARS]</t>
  </si>
  <si>
    <t>i[usd, usd]</t>
  </si>
  <si>
    <t>sem</t>
  </si>
  <si>
    <t>F[T+1] EQ</t>
  </si>
  <si>
    <t>i[usd, ars]</t>
  </si>
  <si>
    <t>i[usd, ars] = (1/X*1,17)/(1/93)-1</t>
  </si>
  <si>
    <t>0,00995 = i[usd, ARS]</t>
  </si>
  <si>
    <t>0,00995+1=(1,17/X)*93</t>
  </si>
  <si>
    <t>1,00995*X=1,17*93</t>
  </si>
  <si>
    <t>X=</t>
  </si>
  <si>
    <t>X=1,17*93/1,00995</t>
  </si>
  <si>
    <t>i[ars,USD]</t>
  </si>
  <si>
    <t>i[ars, usd]</t>
  </si>
  <si>
    <t>S[T+1] EQ</t>
  </si>
  <si>
    <t>CONVIENE PESOS</t>
  </si>
  <si>
    <t>ALQ ARS</t>
  </si>
  <si>
    <t>ALQ USD</t>
  </si>
  <si>
    <t>CONVIENE dolares</t>
  </si>
  <si>
    <t>pedir dol</t>
  </si>
  <si>
    <t>pedir pes</t>
  </si>
  <si>
    <t>T</t>
  </si>
  <si>
    <t>T+1</t>
  </si>
  <si>
    <t>PEDIR DOLARES PRESTADOS</t>
  </si>
  <si>
    <t>CONTRATO DE FUTURO</t>
  </si>
  <si>
    <t>PAGAR 106 POR DOLAR FUTURO</t>
  </si>
  <si>
    <t>RECIBO 1 DOLAR</t>
  </si>
  <si>
    <t>ENTREGO PESOS</t>
  </si>
  <si>
    <t>PAGAR 1 DE ALQUILER DE DOLARES</t>
  </si>
  <si>
    <t>VENDO DOLARES SPOT</t>
  </si>
  <si>
    <t>RECIBO</t>
  </si>
  <si>
    <t xml:space="preserve">GANANCIA </t>
  </si>
  <si>
    <t>PESOS</t>
  </si>
  <si>
    <t>contrato futuro</t>
  </si>
  <si>
    <t>vendo dolar</t>
  </si>
  <si>
    <t>compro dolares</t>
  </si>
  <si>
    <t>recibo</t>
  </si>
  <si>
    <t>presto dolares</t>
  </si>
  <si>
    <t>pido pesos</t>
  </si>
  <si>
    <t>pago intres</t>
  </si>
  <si>
    <t>CORRECTO</t>
  </si>
  <si>
    <t>-</t>
  </si>
  <si>
    <t>i[USD,USD]</t>
  </si>
  <si>
    <t>i[ARS,ARS]</t>
  </si>
  <si>
    <t>X</t>
  </si>
  <si>
    <t>0,03=(1/170*(X+1))/(1/140)-1</t>
  </si>
  <si>
    <t>1,03/140=(X+1)/170</t>
  </si>
  <si>
    <t>1,03/140*170=X+1</t>
  </si>
  <si>
    <t>1,03/140*170-1=X</t>
  </si>
  <si>
    <t>i[ARS,USD]</t>
  </si>
  <si>
    <t>CONVIENE EN DOLARES</t>
  </si>
  <si>
    <t>S EQ</t>
  </si>
  <si>
    <t>(X*1,03)/(140)-1=0,23</t>
  </si>
  <si>
    <t>B</t>
  </si>
  <si>
    <t>A</t>
  </si>
  <si>
    <t>CONTRATO FUTURO</t>
  </si>
  <si>
    <t xml:space="preserve">ENTREGO </t>
  </si>
  <si>
    <t>COMPRO SPOT</t>
  </si>
  <si>
    <t>PRESTO DOLARES</t>
  </si>
  <si>
    <t>ALQ PES</t>
  </si>
  <si>
    <t>PIDO ARS PRESTADOS</t>
  </si>
  <si>
    <t>PAGO INTERS</t>
  </si>
  <si>
    <t>GANANCIA</t>
  </si>
  <si>
    <t>PRECIO</t>
  </si>
  <si>
    <t>30 DIAS</t>
  </si>
  <si>
    <t>60 DIAS</t>
  </si>
  <si>
    <t>1 CUOTA</t>
  </si>
  <si>
    <t>TNA USD</t>
  </si>
  <si>
    <t>TNA ARS</t>
  </si>
  <si>
    <t>X/(1+0,24*60/360)</t>
  </si>
  <si>
    <t>X/(1+0,24*30/360)</t>
  </si>
  <si>
    <t>X/(1+0,03*30/360)</t>
  </si>
  <si>
    <t>X/(1+0,03*60/360)</t>
  </si>
  <si>
    <t>100000=X*(1/(1+0,24*30/360) + 1/(1+0,24*60/360))</t>
  </si>
  <si>
    <t>100000=X*(1/(1+0,03*30/360) + 1/(1+0,03*60/360))</t>
  </si>
  <si>
    <t>2 CUOTA F</t>
  </si>
  <si>
    <t>1 CUOTA F</t>
  </si>
  <si>
    <t>TNA D</t>
  </si>
  <si>
    <t>2 CUOTA E</t>
  </si>
  <si>
    <t>T[0]</t>
  </si>
  <si>
    <t>SIMPLE</t>
  </si>
  <si>
    <t>COMPUESTO</t>
  </si>
  <si>
    <t>109166,67=100000*(1+TNA*60/360)</t>
  </si>
  <si>
    <t xml:space="preserve">109166,67/100000-1= TNA * 60/360 </t>
  </si>
  <si>
    <t>INVERSION DE UN AÑO</t>
  </si>
  <si>
    <t>TNA (360)</t>
  </si>
  <si>
    <t>C[1]</t>
  </si>
  <si>
    <t>DIAS</t>
  </si>
  <si>
    <t>DIAS CADA CUANTO CAPITALIZA</t>
  </si>
  <si>
    <t>INTERES SOBRE C[0] (TNA * C[0])</t>
  </si>
  <si>
    <t>INTERES SOBRE INTERES</t>
  </si>
  <si>
    <t>CAPITALIZACIONES TOTALES EN EL AÑO (M)</t>
  </si>
  <si>
    <t>CAPITALIZACION COMO PROPORCION DEL AÑO (N)</t>
  </si>
  <si>
    <t>C[0]*(1+TNA/M)^(M*N)</t>
  </si>
  <si>
    <t>PERIODO 1</t>
  </si>
  <si>
    <t>PERIODO 2</t>
  </si>
  <si>
    <t>PERIODO 3</t>
  </si>
  <si>
    <t>C[0]*(1+TNA/CAPITALIZACIONES)^(CAPITALIZACIONES * PERIODOS)</t>
  </si>
  <si>
    <t>MISMO =</t>
  </si>
  <si>
    <t>C[0]*(1+TNA*PROPORCION DEL AÑO QUE REPRESENTA CAPITALIZACION)^(CAPITALIZACIONES * PERIODOS)</t>
  </si>
  <si>
    <t>TMA (360)</t>
  </si>
  <si>
    <t>CAPITALIZACION COMO PROPORCION DEL MES (N)</t>
  </si>
  <si>
    <t>CAPITALIZACIONES TOTALES EN EL MES (M)</t>
  </si>
  <si>
    <t>CAPITALIZACIONES</t>
  </si>
  <si>
    <t>CAPITALIZACIONES CADA</t>
  </si>
  <si>
    <t>1,5 = 1*(1+TNA/CAPITALIZACIONES)^(CAPITALIZACIONES * PERIODOS)</t>
  </si>
  <si>
    <t>C[1] * 1,5 = C[0]*(1+TNA/CAPITALIZACIONES)^(CAPITALIZACIONES * PERIODOS)</t>
  </si>
  <si>
    <t>1,5 = (1+TNA/CAPITALIZACIONES)^(CAPITALIZACIONES)^(PERIODOS)</t>
  </si>
  <si>
    <t>LOG(1,5) = LOG ((1+TNA/CAPITALIZACIONES)^(CAPITALIZACIONES)^(PERIODOS))</t>
  </si>
  <si>
    <t>LOG(1,5) = LOG ((1+TNA/CAPITALIZACIONES)^(CAPITALIZACIONES))) * (PERIODOS)</t>
  </si>
  <si>
    <t>LOG(1,5) / LOG ((1+TNA/CAPITALIZACIONES)^(CAPITALIZACIONES))) = (PERIODOS)</t>
  </si>
  <si>
    <t>TNA 365</t>
  </si>
  <si>
    <t>TEA 365</t>
  </si>
  <si>
    <t>TEM 30</t>
  </si>
  <si>
    <t>TES 180</t>
  </si>
  <si>
    <t>TNA * 30/360</t>
  </si>
  <si>
    <t>TNA * 30/365</t>
  </si>
  <si>
    <t>TPM</t>
  </si>
  <si>
    <t>FLUJOS</t>
  </si>
  <si>
    <t>VA</t>
  </si>
  <si>
    <t>es TNA/3 = TEC (Tasa Efectiva Cuatrimestral)</t>
  </si>
  <si>
    <t>C</t>
  </si>
  <si>
    <t>TEAd</t>
  </si>
  <si>
    <t>TEAp</t>
  </si>
  <si>
    <t>TESd</t>
  </si>
  <si>
    <t>TESp</t>
  </si>
  <si>
    <t>futuro</t>
  </si>
  <si>
    <t>TNAd</t>
  </si>
  <si>
    <t>TNAp</t>
  </si>
  <si>
    <t>id d</t>
  </si>
  <si>
    <t>id p</t>
  </si>
  <si>
    <t>dos cuotas de</t>
  </si>
  <si>
    <t>c[0]d</t>
  </si>
  <si>
    <t>TEMp</t>
  </si>
  <si>
    <t>TEMd</t>
  </si>
  <si>
    <t>DEVUELTO EN 30 DIAS</t>
  </si>
  <si>
    <t>1TNA360pC30</t>
  </si>
  <si>
    <t>2TEA360P</t>
  </si>
  <si>
    <t>2TEM30P</t>
  </si>
  <si>
    <t>TASA 1RA CUOTA</t>
  </si>
  <si>
    <t>TASA 2DA CUOTA</t>
  </si>
  <si>
    <t>TEA PROMEDIO</t>
  </si>
  <si>
    <t>GUIA 6</t>
  </si>
  <si>
    <t>UNIDAD 3</t>
  </si>
  <si>
    <t>ANO</t>
  </si>
  <si>
    <t>FLUJOS DE FONDOS</t>
  </si>
  <si>
    <t>Usted puede determinar el horizonte de inversión, así como la/s tasa/as de interés con la/s cual/es calcular el valor actual de los flujos negativos y el valor futuro de los flujos positivos, entre las que figuran a continuación:</t>
  </si>
  <si>
    <t>Las tasas dadas son promedios en base a series históricas. Suponga que son estimaciones razonables de los rendimientos futuros.</t>
  </si>
  <si>
    <t xml:space="preserve"> Grafique el VAN del proyecto original, como función del costo de oportunidad del capital. </t>
  </si>
  <si>
    <t>b) Diga cuál es el rango de costos de oportunidad para el cual conviene optar por cada uno de los proyectos dados.</t>
  </si>
  <si>
    <t>c) Suponiendo un costo de oportunidad del capital del 5% efectivo anual, diga cuál de los proyectos recomienda:</t>
  </si>
  <si>
    <t>c.i) En base al criterio TIR</t>
  </si>
  <si>
    <t>c.ii) En base al criterio VAN</t>
  </si>
  <si>
    <t>1)      a) Grafique el VAN de los siguientes proyectos:</t>
  </si>
  <si>
    <t>3) Suponga que una firma debe optar por uno de los dos proyectos siguientes:</t>
  </si>
  <si>
    <t xml:space="preserve"> </t>
  </si>
  <si>
    <t>B (-160.000, 0, 0, 0, 0, 0, 300.000)</t>
  </si>
  <si>
    <t>A efectos de justificar su recomendación aplique en primer lugar el criterio VAN y, en segundo lugar, el criterio TIR (recuerde que usar el criterio TIR en una Decisión Tipo II significa aplicar el criterio TIR al proyecto incremental)</t>
  </si>
  <si>
    <t>1)      Calcule la TIR de cada uno</t>
  </si>
  <si>
    <t>2)      Diga cuáles son los motivos por los que el proyecto de mayor TIR no es necesariamente el de mayor VAN, suponiendo que ambos tengan el mismo costo de oportunidad.</t>
  </si>
  <si>
    <t>3)      ¿Cuál de los dos proyectos sería preferido en un contexto de alta tasa exigida (alta inflación y/o elevado riesgo)?</t>
  </si>
  <si>
    <t>4)      Diga cuál de los proyectos sería elegido en caso de que la tasa exigida fuera del:</t>
  </si>
  <si>
    <t>a)      5%</t>
  </si>
  <si>
    <t>b)      9,65%</t>
  </si>
  <si>
    <t>c)      10%</t>
  </si>
  <si>
    <t>GUIA 7</t>
  </si>
  <si>
    <t>UNIDAD 4 SISTEMAS DE AMORTIZACIÓN DE PRÉSTAMOS</t>
  </si>
  <si>
    <t>1.a) Francés</t>
  </si>
  <si>
    <t>1.b) Alemán</t>
  </si>
  <si>
    <t>1.c) Americano</t>
  </si>
  <si>
    <t>1)      Construya el cuadro de marcha correspondiente a un préstamo de $100.000, otorgado por una Banco que cobra una TNA=24%, suponiendo que se vayan a pagar 36 cuotas vencidas, una por mes,  para el caso en que se solicite el préstamo a través del sistema:</t>
  </si>
  <si>
    <t>  Construir el cuadro de marcha correspondiente al préstamo del ejercicio 1.b) suponiendo que junto con el pago de la cuota 24 se realiza una amortización adicional del capital adeudado por un importe de $500.</t>
  </si>
  <si>
    <t>Construir el cuadro de marcha correspondiente al préstamo del ejercicio 1.a) suponiendo que la tasa de interés sube hasta el 36% Nominal Anual a partir del inicio del décimo mes.</t>
  </si>
  <si>
    <t>En ambas alternativas las cuotas serían 24, una por mes.</t>
  </si>
  <si>
    <t>La alícuota del IVA sobre los Gastos Administrativos y sobre los intereses es del 21%</t>
  </si>
  <si>
    <t>La alícuota del impuesto que grava las ganancias de la firma es del 35%.</t>
  </si>
  <si>
    <t>Calcular, suponiendo que no tiene el cuadro de marcha correspondiente, con qué cuota habrá devuelto el 50% del capital en el caso del préstamo del ejercicio 1, suponiendo que el sistema es el Alemán.</t>
  </si>
  <si>
    <t>Diga si se puede usar el criterio TIR para evaluar cuál de los dos proyectos conviene, si es que alguno.</t>
  </si>
  <si>
    <t>Calcule el Costo Financiero después de impuestos correspondiente a ambas alternativas de financiación.</t>
  </si>
  <si>
    <t>Calcule el CFT efectivo anual de cada una de las alternativas de financiación.</t>
  </si>
  <si>
    <t xml:space="preserve"> Una firma solicitaría un préstamo de $1.000.000 y tiene dos alternativas. La primera es solicitarlo en un Banco que cobra el 2% del capital solicitado en concepto Gastos Administrativos. La TNA sería del 24%. El Sistema de Amortización sería el Francés. La segunda alternativa es solicitarlo en un Banco que le cobraría un 1% del capital solicitado en concepto de Gastos Administrativos. La TNA sería del 24%. El Sistema de Amortización sería el Alemán.</t>
  </si>
  <si>
    <t>1)      a) Calcule la TIR Modificada del siguiente proyecto:</t>
  </si>
  <si>
    <t>Calcule el conjunto de flujos de fondos de cada alternativa de financiación, incluyendo el Escudo Fiscal generado por el pago de intereses.</t>
  </si>
  <si>
    <t>La interpretación de los enunciados es parte de lo que se evalúa a través de este examen.</t>
  </si>
  <si>
    <t>2.1) Una TEA (365 días) Aparente en pesos del 30%</t>
  </si>
  <si>
    <t>2.2) Una TEA (365 días) Real del 30%</t>
  </si>
  <si>
    <t>2.3) Una Tasa Instantánea Anual (365 días) Aparente en pesos del 30%</t>
  </si>
  <si>
    <t>2.4) Una TNA (365 días) Aparente y Vencida en pesos del 30%, suponiendo capitalizaciones cada 30 días</t>
  </si>
  <si>
    <t>2.5) Una TEA (365 días) Aparente en rublos de 18%</t>
  </si>
  <si>
    <t>TNA (365 días) en pesos = 38%, capitalizable anualmente.</t>
  </si>
  <si>
    <t xml:space="preserve">TNA (365 días) en dólares = 3%, capitalizable anualmente. </t>
  </si>
  <si>
    <r>
      <t>1)</t>
    </r>
    <r>
      <rPr>
        <b/>
        <sz val="10"/>
        <color theme="1"/>
        <rFont val="Times New Roman"/>
        <family val="1"/>
      </rPr>
      <t xml:space="preserve">      </t>
    </r>
    <r>
      <rPr>
        <b/>
        <sz val="10"/>
        <color theme="1"/>
        <rFont val="Calibri"/>
        <family val="2"/>
        <scheme val="minor"/>
      </rPr>
      <t xml:space="preserve">El precio del rublo en el mercado </t>
    </r>
    <r>
      <rPr>
        <b/>
        <i/>
        <sz val="10"/>
        <color theme="1"/>
        <rFont val="Calibri"/>
        <family val="2"/>
        <scheme val="minor"/>
      </rPr>
      <t>Spot</t>
    </r>
    <r>
      <rPr>
        <b/>
        <sz val="10"/>
        <color theme="1"/>
        <rFont val="Calibri"/>
        <family val="2"/>
        <scheme val="minor"/>
      </rPr>
      <t xml:space="preserve"> es hoy de $0,80. En el mercado de Futuros, para contratos que vencen en 120 días, el precio del rublo es de $0,90. Se espera que la tasa anual (365 días) de inflación en pesos sea del 40%. Suponiendo una inversión de $1.000.000 con un plazo de 120 días, la que se espera genere un único monto al cabo de ese período, calcule el importe de los intereses, medidos en pesos, bajo el supuesto de que la inversión genere:</t>
    </r>
  </si>
  <si>
    <r>
      <t>2)</t>
    </r>
    <r>
      <rPr>
        <b/>
        <sz val="10"/>
        <color theme="1"/>
        <rFont val="Times New Roman"/>
        <family val="1"/>
      </rPr>
      <t xml:space="preserve">      </t>
    </r>
    <r>
      <rPr>
        <b/>
        <sz val="10"/>
        <color theme="1"/>
        <rFont val="Calibri"/>
        <family val="2"/>
        <scheme val="minor"/>
      </rPr>
      <t>De una definición de tasas de interés equivalentes. De acuerdo con su definición diga, bajo el supuesto de que el dólar cotice hoy a $39,00 en el mercado</t>
    </r>
    <r>
      <rPr>
        <b/>
        <i/>
        <sz val="10"/>
        <color theme="1"/>
        <rFont val="Calibri"/>
        <family val="2"/>
        <scheme val="minor"/>
      </rPr>
      <t xml:space="preserve"> Spot</t>
    </r>
    <r>
      <rPr>
        <b/>
        <sz val="10"/>
        <color theme="1"/>
        <rFont val="Calibri"/>
        <family val="2"/>
        <scheme val="minor"/>
      </rPr>
      <t xml:space="preserve"> y a $45 en contratos que vencen dentro de 180 días correspondientes al mercado de Futuros, si las siguientes tasas son equivalentes:</t>
    </r>
  </si>
  <si>
    <r>
      <t>3)</t>
    </r>
    <r>
      <rPr>
        <b/>
        <sz val="10"/>
        <color theme="1"/>
        <rFont val="Times New Roman"/>
        <family val="1"/>
      </rPr>
      <t xml:space="preserve">      </t>
    </r>
    <r>
      <rPr>
        <b/>
        <sz val="10"/>
        <color theme="1"/>
        <rFont val="Calibri"/>
        <family val="2"/>
        <scheme val="minor"/>
      </rPr>
      <t>Si la tasa de inflación de marzo fue del 2,30%, la de abril 3%, la de mayo 3,5% y la del cuatrimestre marzo-junio fue del 13,11%:</t>
    </r>
  </si>
  <si>
    <r>
      <t>a)</t>
    </r>
    <r>
      <rPr>
        <b/>
        <sz val="10"/>
        <color theme="1"/>
        <rFont val="Times New Roman"/>
        <family val="1"/>
      </rPr>
      <t xml:space="preserve">      </t>
    </r>
    <r>
      <rPr>
        <b/>
        <sz val="10"/>
        <color theme="1"/>
        <rFont val="Calibri"/>
        <family val="2"/>
        <scheme val="minor"/>
      </rPr>
      <t xml:space="preserve">¿Cuál fue la tasa de inflación de junio? </t>
    </r>
  </si>
  <si>
    <r>
      <t>b)</t>
    </r>
    <r>
      <rPr>
        <b/>
        <sz val="10"/>
        <color theme="1"/>
        <rFont val="Times New Roman"/>
        <family val="1"/>
      </rPr>
      <t xml:space="preserve">      </t>
    </r>
    <r>
      <rPr>
        <b/>
        <sz val="10"/>
        <color theme="1"/>
        <rFont val="Calibri"/>
        <family val="2"/>
        <scheme val="minor"/>
      </rPr>
      <t>¿Cuál sería la tasa semestral de inflación equivalente?</t>
    </r>
  </si>
  <si>
    <r>
      <t>4)</t>
    </r>
    <r>
      <rPr>
        <b/>
        <sz val="10"/>
        <color theme="1"/>
        <rFont val="Times New Roman"/>
        <family val="1"/>
      </rPr>
      <t xml:space="preserve">      </t>
    </r>
    <r>
      <rPr>
        <b/>
        <sz val="10"/>
        <color theme="1"/>
        <rFont val="Calibri"/>
        <family val="2"/>
        <scheme val="minor"/>
      </rPr>
      <t>El precio del Euro en el mercado “Spot” es hoy de $45,00. La TNA (365 días) en Pesos, generada por inversiones en Pesos que capitalizan intereses cada 30 días, es del 48%. La TES (180 días) en Euros, generada por inversiones en Euros, es del 1,5%.</t>
    </r>
  </si>
  <si>
    <r>
      <t>A)</t>
    </r>
    <r>
      <rPr>
        <b/>
        <sz val="10"/>
        <color theme="1"/>
        <rFont val="Times New Roman"/>
        <family val="1"/>
      </rPr>
      <t xml:space="preserve">      </t>
    </r>
    <r>
      <rPr>
        <b/>
        <sz val="10"/>
        <color theme="1"/>
        <rFont val="Calibri"/>
        <family val="2"/>
        <scheme val="minor"/>
      </rPr>
      <t>Calcule, en función de las tasas de interés dadas, el precio de equilibrio del Euro en el mercado de Futuros, correspondiente a contratos con vencimiento en 180 días.</t>
    </r>
  </si>
  <si>
    <r>
      <t>B)</t>
    </r>
    <r>
      <rPr>
        <b/>
        <sz val="10"/>
        <color theme="1"/>
        <rFont val="Times New Roman"/>
        <family val="1"/>
      </rPr>
      <t xml:space="preserve">      </t>
    </r>
    <r>
      <rPr>
        <b/>
        <sz val="10"/>
        <color theme="1"/>
        <rFont val="Calibri"/>
        <family val="2"/>
        <scheme val="minor"/>
      </rPr>
      <t>Si el precio del Euro observado en el mercado de Futuros con vencimiento dentro de 180 días fuera de $53 ¿en qué moneda convendría invertir? ¿Por qué?</t>
    </r>
  </si>
  <si>
    <t>S</t>
  </si>
  <si>
    <t>0,8 pesos = 1 rublo</t>
  </si>
  <si>
    <t>F120</t>
  </si>
  <si>
    <t>0,9 PESOS = 1 RUBLO</t>
  </si>
  <si>
    <t>PI365</t>
  </si>
  <si>
    <t>pi120</t>
  </si>
  <si>
    <t>c0</t>
  </si>
  <si>
    <t>TE120 APARENTE</t>
  </si>
  <si>
    <t>TE365 APARENTE</t>
  </si>
  <si>
    <t>TE365 REAL</t>
  </si>
  <si>
    <t>TE120 REAL</t>
  </si>
  <si>
    <t>TE365 APA</t>
  </si>
  <si>
    <t>TE120 APA</t>
  </si>
  <si>
    <t>TI365 APA</t>
  </si>
  <si>
    <t>TN365 APA C30</t>
  </si>
  <si>
    <t xml:space="preserve">TE365RUS APA </t>
  </si>
  <si>
    <t>TE120RUS APA</t>
  </si>
  <si>
    <t>C[0]RUS</t>
  </si>
  <si>
    <t>PER</t>
  </si>
  <si>
    <t>PAGOS</t>
  </si>
  <si>
    <t>VN</t>
  </si>
  <si>
    <t>TES</t>
  </si>
  <si>
    <t>NO CONVIENE</t>
  </si>
  <si>
    <t>PAGADO</t>
  </si>
  <si>
    <t>QUEDA PAGAR</t>
  </si>
  <si>
    <t>TIPO 2 = COMPARAR</t>
  </si>
  <si>
    <t>TIPO 1= SI/NO</t>
  </si>
  <si>
    <t>ACEPTA SI ES MAYOR O IGUAL A 0</t>
  </si>
  <si>
    <r>
      <t xml:space="preserve">ACEPTA EL QUE EL </t>
    </r>
    <r>
      <rPr>
        <b/>
        <sz val="11"/>
        <color theme="1"/>
        <rFont val="Calibri"/>
        <family val="2"/>
        <scheme val="minor"/>
      </rPr>
      <t xml:space="preserve">VAN TOTAL </t>
    </r>
    <r>
      <rPr>
        <sz val="11"/>
        <color theme="1"/>
        <rFont val="Calibri"/>
        <family val="2"/>
        <scheme val="minor"/>
      </rPr>
      <t>SEA MAYOR IGUAL A 0</t>
    </r>
  </si>
  <si>
    <t>TIR</t>
  </si>
  <si>
    <t>NORMAL</t>
  </si>
  <si>
    <t>NO SE PUEDE USAR TIR</t>
  </si>
  <si>
    <t>INVERSION</t>
  </si>
  <si>
    <t>FINANCIACION</t>
  </si>
  <si>
    <t>ACEPTA SI TIR MAYOR IGUAL A K</t>
  </si>
  <si>
    <t>NO NORMAL (+ DE UN CAMBIO DE SIGNO)</t>
  </si>
  <si>
    <t>TIR MENOR O IGUAL A K</t>
  </si>
  <si>
    <t>CON PROYECTO INCREMENTAL</t>
  </si>
  <si>
    <t>K</t>
  </si>
  <si>
    <t>INCREMENTAL</t>
  </si>
  <si>
    <t>ACEPTO A Y RECHAZO B</t>
  </si>
  <si>
    <t>k0,1</t>
  </si>
  <si>
    <t>TIRmod</t>
  </si>
  <si>
    <t>retorno total de la inversion</t>
  </si>
  <si>
    <t>VA0 -</t>
  </si>
  <si>
    <t>VF7</t>
  </si>
  <si>
    <t>(VF H (FLUJOS +) / VA0 (FLUJOS -))^(1/H)-1</t>
  </si>
  <si>
    <t>VAN A</t>
  </si>
  <si>
    <t>VAN B</t>
  </si>
  <si>
    <t>A-B</t>
  </si>
  <si>
    <t>RATE</t>
  </si>
  <si>
    <r>
      <t>Suponiendo interés simple en todos sus cálculos,</t>
    </r>
    <r>
      <rPr>
        <sz val="10"/>
        <color theme="1"/>
        <rFont val="Times New Roman"/>
        <family val="1"/>
      </rPr>
      <t xml:space="preserve"> se le solicita:</t>
    </r>
  </si>
  <si>
    <r>
      <t xml:space="preserve">Un comerciante ofrece un artículo, cuyo precio de contado es de $100.000, a cambio de dos cuotas </t>
    </r>
    <r>
      <rPr>
        <b/>
        <sz val="10"/>
        <color theme="1"/>
        <rFont val="Times New Roman"/>
        <family val="1"/>
      </rPr>
      <t>iguales</t>
    </r>
    <r>
      <rPr>
        <sz val="10"/>
        <color theme="1"/>
        <rFont val="Times New Roman"/>
        <family val="1"/>
      </rPr>
      <t xml:space="preserve">. Uno de dichos pagos vence dentro de 30 y el otro vence dentro de 60 días. El comerciante cobra una TNA (360 días) del 24% en las financiaciones en pesos que ofrece a sus clientes, tasa que capitaliza cada 30 días.  La TNA (360 días) en dólares, a la que el comerciante puede acceder al invertir su capital en operaciones con capitalizaciones anuales es del 3%. </t>
    </r>
  </si>
  <si>
    <r>
      <t xml:space="preserve">Diga cuál es el proyecto por el que debería optarse utilizando el criterio TIR </t>
    </r>
    <r>
      <rPr>
        <i/>
        <sz val="10"/>
        <color theme="1"/>
        <rFont val="Calibri"/>
        <family val="2"/>
        <scheme val="minor"/>
      </rPr>
      <t>(ayuda: aplique el criterio TIR al proyecto incremental)</t>
    </r>
  </si>
  <si>
    <r>
      <t xml:space="preserve">Suponga que una firma debe decidir entre dos tecnologías para instalar en una de sus plantas de producción. Una de ellas implica incorporar maquinaria que tiene una vida útil esperada de tres años y la otra implica incorporar maquinaria que tiene una vida útil espera de seis años. </t>
    </r>
    <r>
      <rPr>
        <b/>
        <sz val="10"/>
        <color theme="1"/>
        <rFont val="Calibri"/>
        <family val="2"/>
        <scheme val="minor"/>
      </rPr>
      <t>Independientemente de cuál de las tecnologías se utilice, la firma estima que va a necesitar estos equipos para fabricar sus productos durante los próximos dieciocho años.</t>
    </r>
  </si>
  <si>
    <r>
      <t xml:space="preserve">Todas las tasas dadas son TEA. Los T-Bills son bonos que vencen en un año o menos, los </t>
    </r>
    <r>
      <rPr>
        <i/>
        <sz val="10"/>
        <color theme="1"/>
        <rFont val="Times New Roman"/>
        <family val="1"/>
      </rPr>
      <t>Intermediate Bonds</t>
    </r>
    <r>
      <rPr>
        <sz val="10"/>
        <color theme="1"/>
        <rFont val="Times New Roman"/>
        <family val="1"/>
      </rPr>
      <t xml:space="preserve"> vencen un plazo que va a de uno a cinco años y los </t>
    </r>
    <r>
      <rPr>
        <i/>
        <sz val="10"/>
        <color theme="1"/>
        <rFont val="Times New Roman"/>
        <family val="1"/>
      </rPr>
      <t>Long Term Bonds</t>
    </r>
    <r>
      <rPr>
        <sz val="10"/>
        <color theme="1"/>
        <rFont val="Times New Roman"/>
        <family val="1"/>
      </rPr>
      <t xml:space="preserve"> son bonos que vencen en más de cinco años.</t>
    </r>
  </si>
  <si>
    <t>pagos totales</t>
  </si>
  <si>
    <t>hizo</t>
  </si>
  <si>
    <t>quedan</t>
  </si>
  <si>
    <t>PV</t>
  </si>
  <si>
    <t>VALOR DEL PAGO DE TODOS LOS MESES DEL AÑO PAGADOS EL PRIMER DIA DEL AÑO</t>
  </si>
  <si>
    <t>ADELANTAR LOS PAGOS DEL AÑO AL PRIMER DIA DEL AÑO</t>
  </si>
  <si>
    <t>ADELANTO UN MES (PORQUE SE PAGA EN EL MOMENTO 0)</t>
  </si>
  <si>
    <t>VA DE LOS PAGOS A HACERSE EN EL AÑO</t>
  </si>
  <si>
    <t>RECIBE</t>
  </si>
  <si>
    <t>1ER PAGO</t>
  </si>
  <si>
    <t>CUOTAS</t>
  </si>
  <si>
    <t>SE PAGA EN EL 30 =</t>
  </si>
  <si>
    <t>VALOR EL 1RO =</t>
  </si>
  <si>
    <t>Y AL PRINCIPIO DEL SEMESTRE VALEN</t>
  </si>
  <si>
    <t>EL 6-MONTH ANNUITY FACTOR CON TNA 9% ES</t>
  </si>
  <si>
    <t>ENTONCES LOS DEPOSITOS TIENEN QUE SER DE</t>
  </si>
  <si>
    <t>FLUJOS DE PRIMER HOTEL</t>
  </si>
  <si>
    <t>VA DEL 1ER HOTEL =</t>
  </si>
  <si>
    <t>VA DE VENDERLO =</t>
  </si>
  <si>
    <t>g</t>
  </si>
  <si>
    <t>0,03 ANUAL</t>
  </si>
  <si>
    <t>exigido</t>
  </si>
  <si>
    <t>PRECIO HOY</t>
  </si>
  <si>
    <t>rTNA</t>
  </si>
  <si>
    <t>g Mensual</t>
  </si>
  <si>
    <t>venta en 2 ans</t>
  </si>
  <si>
    <t>ALQUILERS</t>
  </si>
  <si>
    <t>r MENSUAL</t>
  </si>
  <si>
    <t>MESES</t>
  </si>
  <si>
    <t>INGRESOS</t>
  </si>
  <si>
    <t>INFLACIONADOS</t>
  </si>
  <si>
    <t>ACTUALIZADOS</t>
  </si>
  <si>
    <t>VA =</t>
  </si>
  <si>
    <t>POSITIVO</t>
  </si>
  <si>
    <t>pi365</t>
  </si>
  <si>
    <t>primeros 30</t>
  </si>
  <si>
    <t>TEM30 real</t>
  </si>
  <si>
    <t>TEM30 aparente</t>
  </si>
  <si>
    <t>pi30</t>
  </si>
  <si>
    <t>segundos30</t>
  </si>
  <si>
    <t>TEA365</t>
  </si>
  <si>
    <t>TEA365 real</t>
  </si>
  <si>
    <t>ultimos 120</t>
  </si>
  <si>
    <t>TNA365 apa c/120</t>
  </si>
  <si>
    <t>CAPITAL</t>
  </si>
  <si>
    <t>TEA365 aparente</t>
  </si>
  <si>
    <t>TEM30 APARENTE</t>
  </si>
  <si>
    <t>TASA EN 1 PER</t>
  </si>
  <si>
    <t>bono</t>
  </si>
  <si>
    <t>bono tipico</t>
  </si>
  <si>
    <t>parte y parte</t>
  </si>
  <si>
    <t>cuadro de marcha</t>
  </si>
  <si>
    <t>el progreso</t>
  </si>
  <si>
    <t xml:space="preserve">prestamo de </t>
  </si>
  <si>
    <t>CUOTAS VENCIDAS</t>
  </si>
  <si>
    <t>menuales y vencidas ( como suelen ser)</t>
  </si>
  <si>
    <t>m = 12</t>
  </si>
  <si>
    <t>para que quede anual (y el periodo es mensual)</t>
  </si>
  <si>
    <t>TIEMPO</t>
  </si>
  <si>
    <t>SALDO AL INICIO</t>
  </si>
  <si>
    <t>INTRESES</t>
  </si>
  <si>
    <t>CUOTA PUR</t>
  </si>
  <si>
    <t>AMORTIZADO</t>
  </si>
  <si>
    <t>PAGO</t>
  </si>
  <si>
    <t>0,24/12</t>
  </si>
  <si>
    <t>FRANCES</t>
  </si>
  <si>
    <t>C/36</t>
  </si>
  <si>
    <t>ALEMAN</t>
  </si>
  <si>
    <t>100000/2</t>
  </si>
  <si>
    <t>V/n</t>
  </si>
  <si>
    <t>*p</t>
  </si>
  <si>
    <t>100000/36</t>
  </si>
  <si>
    <t>18 p</t>
  </si>
  <si>
    <t>despues de haber pagado 18 devuelve 50000</t>
  </si>
  <si>
    <t>GUIA 8</t>
  </si>
  <si>
    <t>UNIDAD 5</t>
  </si>
  <si>
    <t>Está evaluando invertir en uno de los siguientes Bonos Típicos:</t>
  </si>
  <si>
    <t>VAN = pq mide la generacion de valor</t>
  </si>
  <si>
    <t>Van o tir, tenes que tener un k de costo de oprtunidad para comparar</t>
  </si>
  <si>
    <t>entonces hay que graficar y interpretar</t>
  </si>
  <si>
    <t>tasa de fisher (cociente incremental)</t>
  </si>
  <si>
    <t>BONO A: N = $100, Precio = $102, n = 10, m = 2, TC = 10%</t>
  </si>
  <si>
    <t>BONO B: N = $100, Precio = $102, n =5, m = 2, TC = 15%</t>
  </si>
  <si>
    <t>van a = van b</t>
  </si>
  <si>
    <t>La estructura de tasas es plana (se exige la misma tasa a todos los Bonos cero cupón, independientemente de cuando vencen).</t>
  </si>
  <si>
    <t xml:space="preserve">Suponiendo que se le pida optar por alguno de los dos, teniendo como objetivo maximizar la generación de valor, y no contando con más información que la dada, diga cuál sería su respuesta. </t>
  </si>
  <si>
    <t>N =</t>
  </si>
  <si>
    <t>TC</t>
  </si>
  <si>
    <t>BONO = titulo de deuda gob o emrpesa</t>
  </si>
  <si>
    <t>amortizacion americana</t>
  </si>
  <si>
    <t>cuotas iguales = tna/m * saldo al inicio</t>
  </si>
  <si>
    <t>pero la ultima cuota se paga el total C</t>
  </si>
  <si>
    <t>CUPONES</t>
  </si>
  <si>
    <t>TC/m*N</t>
  </si>
  <si>
    <t>M*n</t>
  </si>
  <si>
    <t>n = años entre hoy y el vencimiento en terminos de cupones</t>
  </si>
  <si>
    <t>tiempo</t>
  </si>
  <si>
    <t xml:space="preserve">0 (precio) </t>
  </si>
  <si>
    <t>VAN A = VAN B</t>
  </si>
  <si>
    <t xml:space="preserve">VAN A </t>
  </si>
  <si>
    <t>Calcule el precio, por cada 100 dólares de valor Nominal, del Bono Global 2027, bajo el supuesto de que la TIR dada sea una TNA y corresponda al 26/01/2020.</t>
  </si>
  <si>
    <t>Vencimiento</t>
  </si>
  <si>
    <t>Mod. Duration (años)</t>
  </si>
  <si>
    <t>Valor Residual</t>
  </si>
  <si>
    <t xml:space="preserve">Símbolo: </t>
  </si>
  <si>
    <t>A2E7</t>
  </si>
  <si>
    <t xml:space="preserve">Emisor: </t>
  </si>
  <si>
    <t>Gobierno Nacional</t>
  </si>
  <si>
    <t xml:space="preserve">Denominación: </t>
  </si>
  <si>
    <t>BONOS INTERNACIONALES DE LA REPÚBLICA ARGENTINA EN DÓLARES ESTADOUNIDENSES 6,875% 2027 - REGISTRADOS SEC</t>
  </si>
  <si>
    <t xml:space="preserve">Tipo de Especie: </t>
  </si>
  <si>
    <t>Títulos Públicos</t>
  </si>
  <si>
    <t xml:space="preserve">Tipo de Obligación: </t>
  </si>
  <si>
    <t>Valores Públicos Nacionales</t>
  </si>
  <si>
    <t xml:space="preserve">Moneda de emisión: </t>
  </si>
  <si>
    <t>Dólares</t>
  </si>
  <si>
    <t xml:space="preserve">Fecha de Emisión: </t>
  </si>
  <si>
    <t xml:space="preserve">Fecha Vencimiento: </t>
  </si>
  <si>
    <t xml:space="preserve">Monto nominal vigente en la moneda original de emisión: </t>
  </si>
  <si>
    <t xml:space="preserve">Monto residual en la moneda original de emisión: </t>
  </si>
  <si>
    <t xml:space="preserve">Interés: </t>
  </si>
  <si>
    <t>Devengarán una tasa de 6,875% anual y serán pagaderos semestralmente. Las fechas de pago de intereses serán los días 26 de julio y 26 de enero de cada año hasta el vencimiento.</t>
  </si>
  <si>
    <t xml:space="preserve">Forma de amortización: </t>
  </si>
  <si>
    <t>Íntegramente al vencimiento. [AMERICANO]</t>
  </si>
  <si>
    <t>VA 0 de flujos descontados a tir (exigida / esperada)</t>
  </si>
  <si>
    <t>VALOR</t>
  </si>
  <si>
    <t>VA 0 de flujos descontados a K (costo de oportunidad) [cuanto vale , para mi]</t>
  </si>
  <si>
    <t>VALOR - PRECIO = k - tir</t>
  </si>
  <si>
    <t>(semestral)</t>
  </si>
  <si>
    <t>HOY</t>
  </si>
  <si>
    <t>26 1 2020</t>
  </si>
  <si>
    <t>26 1 2027</t>
  </si>
  <si>
    <t>TIR TNA</t>
  </si>
  <si>
    <t>FECHA</t>
  </si>
  <si>
    <t>FLUJO</t>
  </si>
  <si>
    <t>SI LA FECHA PRESENTE CORRESPONDE A UNA FECHA DE PAGO</t>
  </si>
  <si>
    <t>NO SE TE PAGA, LE CORRESPONDE AL DUEÑO ANTERIOR</t>
  </si>
  <si>
    <t>26 7 2020</t>
  </si>
  <si>
    <t>26 1 2021</t>
  </si>
  <si>
    <t>26 7 2021</t>
  </si>
  <si>
    <t>26 1 2022</t>
  </si>
  <si>
    <t>26 7 2022</t>
  </si>
  <si>
    <t>26 1 2023</t>
  </si>
  <si>
    <t>26 7 2023</t>
  </si>
  <si>
    <t>26 1 2024</t>
  </si>
  <si>
    <t>26 7 2024</t>
  </si>
  <si>
    <t>26 1 2025</t>
  </si>
  <si>
    <t>26 7 2025</t>
  </si>
  <si>
    <t>26 1 2026</t>
  </si>
  <si>
    <t>26 7 2026</t>
  </si>
  <si>
    <t>3) El 30 de marzo de 2020 se encuentra valuando un Bono que paga cupones los 30 de marzo y 30 de septiembre. La Tasa del Cupón es del 3%. El título vence el 30 de septiembre de 2022. Las tasas “spot” son: 2%, 2,2%, 2,5%, 2,8% y 3,20% en base al rendimiento de Bonos que vencen el 30 de septiembre de 2020, 30 de marzo de 2021, 30 de septiembre de 2021, 30 de marzo de 2022 y 30 de septiembre de 2022, respectivamente. Esas tasas son TES.</t>
  </si>
  <si>
    <t>Suponiendo años de 360 días:</t>
  </si>
  <si>
    <t>3.1) Calcule el valor de este Bono el 30 de marzo de 2020, por cada $100 de Valor Nominal.</t>
  </si>
  <si>
    <t>3.2) Calcule el  Retorno Corriente y la TIR de este título, suponiendo que el 30 de marzo de 2020 cotice a $92,35</t>
  </si>
  <si>
    <t>M</t>
  </si>
  <si>
    <t>PAGA CUPONES</t>
  </si>
  <si>
    <t>30/03 Y 30/09</t>
  </si>
  <si>
    <t>VENCE</t>
  </si>
  <si>
    <t>30,3,2022</t>
  </si>
  <si>
    <t>30,3,2020</t>
  </si>
  <si>
    <t>CUPON</t>
  </si>
  <si>
    <t>30,8,2020</t>
  </si>
  <si>
    <t>30,3,2021</t>
  </si>
  <si>
    <t>30,8,2021</t>
  </si>
  <si>
    <t>30,8,2022</t>
  </si>
  <si>
    <t>VA 0 FLUJOS</t>
  </si>
  <si>
    <t>VAN = VAL - PRECIO</t>
  </si>
  <si>
    <t>RC</t>
  </si>
  <si>
    <t>4) El 30 de septiembre de 2016 cuenta con los siguientes datos acerca de dos bonos emitidos por corporaciones:</t>
  </si>
  <si>
    <t xml:space="preserve">   BONO A: su valor nominal es de $100, Tasa del Cupón 12,30%, paga cupones los 30 de enero, 30 de mayo y 30 de septiembre.   Vence el 30 de septiembre de 2019. Su costo de oportunidad es del 12% Nominal Anual. Su precio de mercado es de $97.</t>
  </si>
  <si>
    <t xml:space="preserve">   BONO B: su valor nominal es de $100, su Tasa del Cupón es del 14,50%, paga cupones los 30 de octubre y 30 de abril. Vence el 30 de abril de 2018.  Su costo de oportunidad es del 14 % Nominal Anual. Su precio de mercado es de $104.</t>
  </si>
  <si>
    <t>4.1) Diga en cuál de los bonos sería conveniente invertir teniendo en cuenta el objetivo de aumentar la riqueza del inversor.  Suponga que dispone de $100.000 para invertir.</t>
  </si>
  <si>
    <t>4.2) Suponga que adquiere el bono que considera conveniente comprar y que planea conservarlo hasta el 30 de diciembre de 2017, fecha en la que lo vendería. Espera tenga una TIR del 12% Nominal Anual al momento de venderlo. Los cupones se reinvertirían a una TEA del 8,16%.  En base a esos datos, estime la TIR Modificada o Retorno Total de la inversión.</t>
  </si>
  <si>
    <t>30/1 Y 30/5 Y 30/9</t>
  </si>
  <si>
    <t>30/4 Y 30/10</t>
  </si>
  <si>
    <t>30 9 2016</t>
  </si>
  <si>
    <t xml:space="preserve">30 9 2019 </t>
  </si>
  <si>
    <t>30 4 2018</t>
  </si>
  <si>
    <t>V 30/09/2016</t>
  </si>
  <si>
    <t>VAL 30/09/2016</t>
  </si>
  <si>
    <t>V 30/04/2016</t>
  </si>
  <si>
    <t>VAN TOTAL = VAN INDIVIDUAL * # BONOS</t>
  </si>
  <si>
    <t>C A INVERTIR</t>
  </si>
  <si>
    <t>N DE BONOS</t>
  </si>
  <si>
    <t>VAN TOTAL ES MAYOR</t>
  </si>
  <si>
    <t>IR = VAN IND / PRECIO</t>
  </si>
  <si>
    <t>IR A</t>
  </si>
  <si>
    <t>IR B</t>
  </si>
  <si>
    <t>EL AS GRANDE</t>
  </si>
  <si>
    <t>TIR M // RETORNO DE LA INVERSION</t>
  </si>
  <si>
    <t>TIR M = VF  H (FLUJOS POSITICOS ) / VA0 (  FLUJOS NEGATIVOS)   ^   (1/H)-1</t>
  </si>
  <si>
    <t>H HORIZONTE</t>
  </si>
  <si>
    <t>TIEMPO QUE DURA LA INVERSION</t>
  </si>
  <si>
    <t>VF H FLUJOS +</t>
  </si>
  <si>
    <t>VA 0 FLUJOS -</t>
  </si>
  <si>
    <t xml:space="preserve"> 15 / 12 </t>
  </si>
  <si>
    <t>15 MESES DE INVERION / 12 QUE ES TEA</t>
  </si>
  <si>
    <t xml:space="preserve">CUPONES REINVERTIDOS </t>
  </si>
  <si>
    <t>TEC</t>
  </si>
  <si>
    <t>1+TEA ) ^ (1/3) - 1</t>
  </si>
  <si>
    <t>VF 12/09/17</t>
  </si>
  <si>
    <t>VF 12/12/17</t>
  </si>
  <si>
    <t>La empresa XYZ SA estudia contratar un sistema de ahorro y préstamo para la compra de un utilitario por el que deben abonarse cuatro cuotas iguales trimestrales adelantadas de $ 101.250.- cada una, a efectos de obtener al final del año la entrega del vehículo valuado en $ 1.350.000.- Sabiendo que todos los importes ahorrados ganan una tasa de interés anual nominal vencido sobre saldos del 26%, y que el saldo de la deuda debe pagarse en tres cuotas anuales vencidas iguales, después de la entrega del vehículo:</t>
  </si>
  <si>
    <t>1) Determinar el importe de la cuota pura (capital más intereses) de la deuda contraída al momento de recibir el vehículo, si la tasa de interés nominal anual  que se abona por el mismo es del 55%.</t>
  </si>
  <si>
    <t>2) Si se abona al contado, en el momento de la entrega, el 2% de comisión sobre el precio del auto, las cuotas de amortización tienen cada una un recargo del 1% del saldo, en concepto de seguros, y la empresa está exenta del impuesto a las ganancias. ¿Cuál es el costo financiero total efectivo anual del préstamo para XYZ SA?</t>
  </si>
  <si>
    <t>Suponga un Bono Típico cuyo valor Nominal es $100, que paga cupones los 30 de marzo y 30 de septiembre, que vence el 30 de septiembre de 2023 y que tiene una tasa del cupón del 6%. Hoy es 30 de septiembre de 2021 y el Bono tiene un Precio de mercado de $98.</t>
  </si>
  <si>
    <t>Por otro lado, conoce los precios de mercado correspondientes a cuatro Bonos Cero Cupón, de valor Nominal = $100, y fechas de vencimiento iguales a las fechas de vencimiento de los cupones del Bono Típico antes mencionado:</t>
  </si>
  <si>
    <t>PORQUE TENES VARIOS COSTOS DE OPORTUI=NIDAD</t>
  </si>
  <si>
    <t>TIR ES UNICA (EL VAN 0 )</t>
  </si>
  <si>
    <t>SEMESTR</t>
  </si>
  <si>
    <t>TASA C ANUAL</t>
  </si>
  <si>
    <t>TASA SPOT</t>
  </si>
  <si>
    <t>K1</t>
  </si>
  <si>
    <t>K2</t>
  </si>
  <si>
    <t>K3</t>
  </si>
  <si>
    <t>K4</t>
  </si>
  <si>
    <t>BONO1</t>
  </si>
  <si>
    <t>BONO2</t>
  </si>
  <si>
    <t>BONO3</t>
  </si>
  <si>
    <t>BONO4</t>
  </si>
  <si>
    <t>El Director de Operaciones de una línea aérea ha recomendado la compra de diez nuevas aeronaves.</t>
  </si>
  <si>
    <t>El precio de lista unitario es de 60 millones.</t>
  </si>
  <si>
    <t>Se está evaluando la posibilidad de financiar el 70% de la inversión a través de un préstamo bancario. </t>
  </si>
  <si>
    <t>El fabricante de las aeronaves ofrece un descuento del 7,50% por pago al contado. </t>
  </si>
  <si>
    <t>La institución financiera que otorgaría el préstamo permite optar por el sistema de amortización Francés</t>
  </si>
  <si>
    <t>o por el sistema de amortización Alemán.</t>
  </si>
  <si>
    <t>Independientemente del sistema de amortización, se devolvería el préstamo por medio de 12 cuotas,</t>
  </si>
  <si>
    <t>una por semestre, la primera a abonar un semestre después de recibido el préstamo.</t>
  </si>
  <si>
    <t>La TNA sería del 12% durante los primeros seis semestres y del 18% durante los seis últimos.</t>
  </si>
  <si>
    <t>El Banco no cobraría Gastos Administrativos.</t>
  </si>
  <si>
    <t>Las ganancias de la línea aérea están gravadas con una tasa del 35%.</t>
  </si>
  <si>
    <t>El costo de oportunidad (tasa que debería pagarse por el préstamo) es del 14% Nominal Anual después de impuestos</t>
  </si>
  <si>
    <t>(es decir, incluyendo el Escudo Fiscal).</t>
  </si>
  <si>
    <t>1) Construir el cuadro de marcha correspondiente a cada uno de los dos sistemas.</t>
  </si>
  <si>
    <t>2) Calcular el Costo Financiero  Total y el Costo Financiero después de impuestos (TEA) de ambos sistemas.</t>
  </si>
  <si>
    <t>3) Decir si podría aplicar el criterio TIR para decir cuál de los dos sistemas le conviene elegir a la línea aéra. En caso afirmativo, aplique el criterio TIR para recomendar uno de los dos proyectos. En caso negativo, aplique el criterio que considere adecuado, justificando su selección.</t>
  </si>
  <si>
    <t>Suponga que no existe el IVA.</t>
  </si>
  <si>
    <t>V</t>
  </si>
  <si>
    <t>555*0,7</t>
  </si>
  <si>
    <t>F0</t>
  </si>
  <si>
    <t>V- GASTOS - IVA SOBRE GASTOS</t>
  </si>
  <si>
    <t>O Gastos</t>
  </si>
  <si>
    <t>6 semestres</t>
  </si>
  <si>
    <t>saldo</t>
  </si>
  <si>
    <t>interes</t>
  </si>
  <si>
    <t>cuota pura</t>
  </si>
  <si>
    <t>capital</t>
  </si>
  <si>
    <t>escudo fiscal</t>
  </si>
  <si>
    <t>flujo con e</t>
  </si>
  <si>
    <t>flujo sin</t>
  </si>
  <si>
    <t>FRANCES = CUOTAPURA CONSTANTE</t>
  </si>
  <si>
    <t>ALEMAN CAPITAL CONSTANTE</t>
  </si>
  <si>
    <t>VF PAGOS</t>
  </si>
  <si>
    <t>YA PAGADO =</t>
  </si>
  <si>
    <t>DEUDA</t>
  </si>
  <si>
    <t>SALDO</t>
  </si>
  <si>
    <t>CUOTA PURA</t>
  </si>
  <si>
    <t>SEGURO</t>
  </si>
  <si>
    <t>FLUJP-O</t>
  </si>
  <si>
    <t>check</t>
  </si>
  <si>
    <t>una annuitiy que con 4 pagos y de g=0,25 r=0,14 tenga PV 10450000</t>
  </si>
  <si>
    <t>1/r-g</t>
  </si>
  <si>
    <t>1-(((1+g)^4)/((1+r)^4))</t>
  </si>
  <si>
    <t>VA -1</t>
  </si>
  <si>
    <t>VA 0</t>
  </si>
  <si>
    <t>IRR</t>
  </si>
  <si>
    <t>FALTA PAGAR</t>
  </si>
  <si>
    <t>SEIS CUOTAS S. FRANCES</t>
  </si>
  <si>
    <t>VALOR AUTO EN 5</t>
  </si>
  <si>
    <t>DIF</t>
  </si>
  <si>
    <t>INTERESES * GANANCUAS</t>
  </si>
  <si>
    <t>Ejercicios de Test 2</t>
  </si>
  <si>
    <t>TNA FR</t>
  </si>
  <si>
    <t>cancela</t>
  </si>
  <si>
    <t>g admin</t>
  </si>
  <si>
    <t>Monto que el vendedor reconoce como cancelado a partir de las cuotas de 85.000 =</t>
  </si>
  <si>
    <t>Este valor está medido el  día de la entrega del vehículo</t>
  </si>
  <si>
    <t>Saldo de la deuda al momento de pagar la última cuota de 15.000 =</t>
  </si>
  <si>
    <t>1.1)</t>
  </si>
  <si>
    <t>TEM x Saldo</t>
  </si>
  <si>
    <t>Mes</t>
  </si>
  <si>
    <t>Saldo al inicio</t>
  </si>
  <si>
    <t>Capital</t>
  </si>
  <si>
    <t>Cuota Pura</t>
  </si>
  <si>
    <t>IVA sobre intereses</t>
  </si>
  <si>
    <t>Cuota Total</t>
  </si>
  <si>
    <t>Flujos de Fondos</t>
  </si>
  <si>
    <t>Fo =</t>
  </si>
  <si>
    <t>V-Gastos Adm-0,21x Gastos Administrativos</t>
  </si>
  <si>
    <t>TIR TEM =</t>
  </si>
  <si>
    <t>1.2)</t>
  </si>
  <si>
    <t>CFT TEA =</t>
  </si>
  <si>
    <t>CFT TNA =</t>
  </si>
  <si>
    <t>1.3)</t>
  </si>
  <si>
    <t xml:space="preserve">VAN = </t>
  </si>
  <si>
    <t>Se debería rechazar el proyecto de financiación</t>
  </si>
  <si>
    <t>Monto que el vendedor reconoce como cancelado a partir de las cuotas de 15.000 =</t>
  </si>
  <si>
    <t>Este monto está medido el día de la entrega del vehículo</t>
  </si>
  <si>
    <t>2.1)</t>
  </si>
  <si>
    <t>Seguro</t>
  </si>
  <si>
    <t>2.2)</t>
  </si>
  <si>
    <t>2.3)</t>
  </si>
  <si>
    <t>Se debería aceptar el proyecto de financiación</t>
  </si>
  <si>
    <t>Financiación otorgada por el fabricante</t>
  </si>
  <si>
    <t>(sistema Francés)</t>
  </si>
  <si>
    <t>V - Gastos administrativos- IVA sobre intereses</t>
  </si>
  <si>
    <t>3.1)</t>
  </si>
  <si>
    <t>9.500.000-1.500.000</t>
  </si>
  <si>
    <t xml:space="preserve">Intereses </t>
  </si>
  <si>
    <t>Escudo Fiscal</t>
  </si>
  <si>
    <t>Flujos de fondos antes de Escudo Fiscal</t>
  </si>
  <si>
    <t>Flujos de Fondos después de Escudo Fiscal</t>
  </si>
  <si>
    <t>TIR TEM</t>
  </si>
  <si>
    <t>3.2)</t>
  </si>
  <si>
    <t>CFT TEA</t>
  </si>
  <si>
    <t>CF después de impuestos</t>
  </si>
  <si>
    <t>(TEA)</t>
  </si>
  <si>
    <t>CFT TNA</t>
  </si>
  <si>
    <t>(TNA)</t>
  </si>
  <si>
    <t>Financiación bancaria</t>
  </si>
  <si>
    <t>(sistema Alemán)</t>
  </si>
  <si>
    <t>V - Gastos administrativos- IVA sobre gastos</t>
  </si>
  <si>
    <t>TEM =</t>
  </si>
  <si>
    <t>V(1-0,008-0,21*0,008)</t>
  </si>
  <si>
    <t>k</t>
  </si>
  <si>
    <t>VAN fabricante</t>
  </si>
  <si>
    <t>VAN préstamo bancario</t>
  </si>
  <si>
    <t>3.3)</t>
  </si>
  <si>
    <t>VAN préstamo otorgado por el Banco =</t>
  </si>
  <si>
    <t>VAN préstamo otorgado por el fabricante =</t>
  </si>
  <si>
    <t>Optaría por el préstamo bancario</t>
  </si>
  <si>
    <t>Fecha</t>
  </si>
  <si>
    <t>Flujos</t>
  </si>
  <si>
    <t>k (TES)</t>
  </si>
  <si>
    <t>VA de cada Flujo</t>
  </si>
  <si>
    <t>a)</t>
  </si>
  <si>
    <t>Valor 30/4/2022 =</t>
  </si>
  <si>
    <t>b)</t>
  </si>
  <si>
    <t>Precio 30/4/2022 =</t>
  </si>
  <si>
    <t>c)</t>
  </si>
  <si>
    <t>VAN 30/4/2022 =</t>
  </si>
  <si>
    <t>Dado que el VAN de la inversión es positivo, se recomienda comprar el Bono</t>
  </si>
  <si>
    <t xml:space="preserve">d) </t>
  </si>
  <si>
    <t>VA de los Flujos Negativos es el precio de compra =</t>
  </si>
  <si>
    <t>VF de los Flujos Positivos es el valor futuro de los cupones percibidos más el precio de venta.</t>
  </si>
  <si>
    <t>Precio de venta (Precio del 30/4/2024) =</t>
  </si>
  <si>
    <t>VF de los cupones percibidos (monto reunido el 30/4/2024) =</t>
  </si>
  <si>
    <t>VF de los Flujos Positivos =</t>
  </si>
  <si>
    <t>(1+TIRM (TEA))^2</t>
  </si>
  <si>
    <t>TIRM (TEA) =</t>
  </si>
  <si>
    <t>iva</t>
  </si>
  <si>
    <t>cuota total</t>
  </si>
  <si>
    <t>irr</t>
  </si>
  <si>
    <t>cft tna</t>
  </si>
  <si>
    <t>cft tea</t>
  </si>
  <si>
    <t>van</t>
  </si>
  <si>
    <t>C PURA</t>
  </si>
  <si>
    <t>IVA S/ INT</t>
  </si>
  <si>
    <t>C TOTAL</t>
  </si>
  <si>
    <t>IVA</t>
  </si>
  <si>
    <t>DE C/ SALDO</t>
  </si>
  <si>
    <t>SOBRE INTER</t>
  </si>
  <si>
    <t>G ADMIN</t>
  </si>
  <si>
    <t>RECIBE EL VEHICULO QUE VALE =</t>
  </si>
  <si>
    <t>SIN</t>
  </si>
  <si>
    <t>CON</t>
  </si>
  <si>
    <t>ESC CON 35 G</t>
  </si>
  <si>
    <t>SOBRE C TOTAL O C PURA?</t>
  </si>
  <si>
    <t>LO PAGADO =</t>
  </si>
  <si>
    <t>SUM CUOTAS ADELANTADAS AL MOMENTO 12 Y LA 12</t>
  </si>
  <si>
    <t>ANTICIPO</t>
  </si>
  <si>
    <t>24 CUOTAS</t>
  </si>
  <si>
    <t>TNA 16%</t>
  </si>
  <si>
    <t>P CONTADO</t>
  </si>
  <si>
    <t>FINANCIACION 1=</t>
  </si>
  <si>
    <t>FINANCIACION 2=</t>
  </si>
  <si>
    <t>24 MESES</t>
  </si>
  <si>
    <t>TEA 24%</t>
  </si>
  <si>
    <t>ALEMAN MENSUALES</t>
  </si>
  <si>
    <t>FRANCES MENSUALES</t>
  </si>
  <si>
    <t>CUATRI</t>
  </si>
  <si>
    <t>LO QUE DURA EL PROYECTO</t>
  </si>
  <si>
    <t xml:space="preserve">HORIZONTE </t>
  </si>
  <si>
    <t>VA 0 FLUJOS NEGS</t>
  </si>
  <si>
    <t>VF H FLUJOS POS</t>
  </si>
  <si>
    <t>frances</t>
  </si>
  <si>
    <t>aleman</t>
  </si>
  <si>
    <t>BONO A</t>
  </si>
  <si>
    <t>VALOR NOMINAL</t>
  </si>
  <si>
    <t>TASA CUPON</t>
  </si>
  <si>
    <t>30 ENERO</t>
  </si>
  <si>
    <t>30 MAYO</t>
  </si>
  <si>
    <t>OPORTUNIDAD</t>
  </si>
  <si>
    <t>BONO B</t>
  </si>
  <si>
    <t>30 ABRIL 2018</t>
  </si>
  <si>
    <t>30 ABRIL</t>
  </si>
  <si>
    <t>30 OCTUBRE</t>
  </si>
  <si>
    <t>30 SE 2019</t>
  </si>
  <si>
    <t>30 SE</t>
  </si>
  <si>
    <t>COMPRA</t>
  </si>
  <si>
    <t>INVERSIONES TOT</t>
  </si>
  <si>
    <t>BONOS QUE COMPRO</t>
  </si>
  <si>
    <t>VAN TOTAL</t>
  </si>
  <si>
    <t>CONVIENE A, CON VAN TOTAL MAYOR</t>
  </si>
  <si>
    <t>REINVERSION</t>
  </si>
  <si>
    <t>TIR NA</t>
  </si>
  <si>
    <t>CFT SE CALCULA SIN ESCUDO</t>
  </si>
  <si>
    <t>FLUJOS NEG</t>
  </si>
  <si>
    <t>FLUJOS POS</t>
  </si>
  <si>
    <t>H (TIEMPO QUE DURA)</t>
  </si>
  <si>
    <t>+</t>
  </si>
  <si>
    <t>CUATRIMESTRES</t>
  </si>
  <si>
    <t>CUPONES REINERTIDOS</t>
  </si>
  <si>
    <t>PARA LA VENTA</t>
  </si>
  <si>
    <t>VF REINVERTIDOS</t>
  </si>
  <si>
    <t>VA FUTUROS</t>
  </si>
  <si>
    <t>F POS</t>
  </si>
  <si>
    <t>TIRM TEA</t>
  </si>
  <si>
    <t xml:space="preserve">Bono Típico </t>
  </si>
  <si>
    <t>Semestre</t>
  </si>
  <si>
    <t>Flujo</t>
  </si>
  <si>
    <t>con curva de tasas "spot" no plana</t>
  </si>
  <si>
    <t>con curva de tasas "spot" plana</t>
  </si>
  <si>
    <t xml:space="preserve">n = </t>
  </si>
  <si>
    <t>m =</t>
  </si>
  <si>
    <t>T.C =</t>
  </si>
  <si>
    <t>k1 =</t>
  </si>
  <si>
    <t>Valor =</t>
  </si>
  <si>
    <t xml:space="preserve">k2 = </t>
  </si>
  <si>
    <t>k3 =</t>
  </si>
  <si>
    <t>Supongamos que Precio =</t>
  </si>
  <si>
    <t>k4 =</t>
  </si>
  <si>
    <t>¿Cuál sería la TIR?</t>
  </si>
  <si>
    <t>Bono cero cupón</t>
  </si>
  <si>
    <t>Capital estimado por un inversor</t>
  </si>
  <si>
    <t>VALOR 0 =</t>
  </si>
  <si>
    <t>N x T.C.</t>
  </si>
  <si>
    <t>((1+k/m)^mn)-1</t>
  </si>
  <si>
    <t>(suponiendo k constante)</t>
  </si>
  <si>
    <t>(k/m)(1+k/m)^mn</t>
  </si>
  <si>
    <t>(1+k/m)^mn</t>
  </si>
  <si>
    <t>Capital que el mercado exige invertir</t>
  </si>
  <si>
    <t>Precio 0 =</t>
  </si>
  <si>
    <t>((1+TIR/m)^mn)-1</t>
  </si>
  <si>
    <t>(TIR/m)(1+TIR/m)^mn</t>
  </si>
  <si>
    <t>(1+TIR/m)^mn</t>
  </si>
  <si>
    <t>tanto k, como TIR y T.C. son TNA en estas fórmulas</t>
  </si>
  <si>
    <t>Capital que figura en el prospecto o</t>
  </si>
  <si>
    <t>((1+TC/m)^mn)-1</t>
  </si>
  <si>
    <t>contrato de emisión (capital legal)</t>
  </si>
  <si>
    <t>(TC/m)(1+TC/m)^mn</t>
  </si>
  <si>
    <t>(1+T.C./m)^mn</t>
  </si>
  <si>
    <t>¿Cuál es el Precio del Bono si TIR y T.C. ?</t>
  </si>
  <si>
    <t>((1+T.C./m)^mn)-1</t>
  </si>
  <si>
    <t xml:space="preserve">N x </t>
  </si>
  <si>
    <t>(T.C./m)(1+T.C./m)^mn</t>
  </si>
  <si>
    <t>El Bono cotiza sobre la par, si Precio 0 supera a N</t>
  </si>
  <si>
    <t>El Bono cotiza a la par, si Precio 0 es igual a N</t>
  </si>
  <si>
    <t>El Bono cotiza bajo la par, si Precio 0 es inferior a N</t>
  </si>
  <si>
    <t>Supongamos un Bono Típico, del que tenemos la siguinte información:</t>
  </si>
  <si>
    <t>Paga cupones los 30 de abril y 30 de octubre</t>
  </si>
  <si>
    <t>Vence el 30 de octubre de 2022</t>
  </si>
  <si>
    <t>Además, en función de los precios de Bonos cero cupón de riesgo similar,</t>
  </si>
  <si>
    <t>sabemos que la curva de tasas "spot" es plana:</t>
  </si>
  <si>
    <t>Precio el 30/10/2020, por cada $100 de Valor Nominal</t>
  </si>
  <si>
    <t>Calculemos el Valor de nuestro Bono, en las siguientes fechas</t>
  </si>
  <si>
    <t>Valor</t>
  </si>
  <si>
    <t>VA de los cupones</t>
  </si>
  <si>
    <t>VA del Nominal</t>
  </si>
  <si>
    <t>Ahora, calculemos el Valor de nuestro Bono en las siguientes fechas que están entre dos cupones:</t>
  </si>
  <si>
    <t>( A la par)</t>
  </si>
  <si>
    <t>T.C. =</t>
  </si>
  <si>
    <t>(Bajo la par)</t>
  </si>
  <si>
    <t>(Sobre la par)</t>
  </si>
  <si>
    <t>TIR (TNA) =</t>
  </si>
  <si>
    <t>RC =</t>
  </si>
  <si>
    <t>BONOS CERO CUPÓN de N = $100</t>
  </si>
  <si>
    <t>VA o =</t>
  </si>
  <si>
    <t>Bono 1</t>
  </si>
  <si>
    <t>Bono 2</t>
  </si>
  <si>
    <t>Bono 3</t>
  </si>
  <si>
    <t>TIR (TES)</t>
  </si>
  <si>
    <t>TIR (TNA)</t>
  </si>
  <si>
    <t>Tasas Spot</t>
  </si>
  <si>
    <t>k1</t>
  </si>
  <si>
    <t>k2</t>
  </si>
  <si>
    <t>k3</t>
  </si>
  <si>
    <t>Año</t>
  </si>
  <si>
    <t>Cuota</t>
  </si>
  <si>
    <t>TIR = 10% TNA</t>
  </si>
  <si>
    <t>TC = 10%</t>
  </si>
  <si>
    <t>Precio = ?</t>
  </si>
  <si>
    <t>TES =</t>
  </si>
  <si>
    <t>TIR (TNA) = k (TNA)</t>
  </si>
  <si>
    <t>porque k es constante</t>
  </si>
  <si>
    <t>y el VAN = 0, es decir, el Precio es igual al Valor</t>
  </si>
  <si>
    <t>6) Tasa "forward"</t>
  </si>
  <si>
    <t>5) TIR Modificada</t>
  </si>
  <si>
    <t xml:space="preserve">4) TIR </t>
  </si>
  <si>
    <t>3) Retorno Corriente</t>
  </si>
  <si>
    <t>2) Tasa exigida, k (tasa spot o TIR de Bonos cero cupón)</t>
  </si>
  <si>
    <t>1) Tasa del Cupón: sirve para calcular los pagos en concepto de intereses</t>
  </si>
  <si>
    <t>Tasas vinculadas con Bonos Típicos:</t>
  </si>
  <si>
    <t>TIR (TEA)</t>
  </si>
  <si>
    <t>(5+5)/100</t>
  </si>
  <si>
    <t>(5+5)/90 &gt; TC = 10% =</t>
  </si>
  <si>
    <t>Cotiza bajo la par, hay ganancia de capital</t>
  </si>
  <si>
    <t>TIR (TEA) =</t>
  </si>
  <si>
    <t>c) Flujos</t>
  </si>
  <si>
    <t>b) Flujos</t>
  </si>
  <si>
    <t>a) Flujos</t>
  </si>
  <si>
    <t>Precio</t>
  </si>
  <si>
    <t>N x TC</t>
  </si>
  <si>
    <t>positivos</t>
  </si>
  <si>
    <t>Inversión</t>
  </si>
  <si>
    <t xml:space="preserve">3) Reinversión de flujos </t>
  </si>
  <si>
    <t>Intereses anuales</t>
  </si>
  <si>
    <t>Retorno Corriente =</t>
  </si>
  <si>
    <t>2) Ganancia de capital</t>
  </si>
  <si>
    <t>1) Cobro de cupones</t>
  </si>
  <si>
    <t>C OPORTUNIDAD</t>
  </si>
  <si>
    <t>PRECIO =</t>
  </si>
  <si>
    <t>RETORNO CORRIENTE</t>
  </si>
  <si>
    <t>tasa * N / precio</t>
  </si>
  <si>
    <t>tc</t>
  </si>
  <si>
    <t>cupones</t>
  </si>
  <si>
    <t>pagos</t>
  </si>
  <si>
    <t>spot</t>
  </si>
  <si>
    <t>VALOSRES ACTUALES</t>
  </si>
  <si>
    <t>TIR TNA EL</t>
  </si>
  <si>
    <t>TIR TES</t>
  </si>
  <si>
    <t>TIR TEA</t>
  </si>
  <si>
    <t>ES POSITIVO, ASI QUE ES RECOMENDABLE INVERTIR</t>
  </si>
  <si>
    <t>NEGATIVOS</t>
  </si>
  <si>
    <t>POSITIVOS</t>
  </si>
  <si>
    <t>AL 30/04/2024</t>
  </si>
  <si>
    <t>H</t>
  </si>
  <si>
    <t>2 AÑOS</t>
  </si>
  <si>
    <t>TIR M = ( FLUJOS POSITICOS ) / ( FLUJOS NEGATIVOS )   ^   (1/H)-1</t>
  </si>
  <si>
    <t>TIR M</t>
  </si>
  <si>
    <t>9 500 000 = V - V*0,008 - V*0,008*0,21</t>
  </si>
  <si>
    <t>9 500 000 = V( 1 - 1*0,008 - 1*0,008*0,21)</t>
  </si>
  <si>
    <t>VALOR = V =</t>
  </si>
  <si>
    <t>ESCUDO</t>
  </si>
  <si>
    <t>FLUJOS CON</t>
  </si>
  <si>
    <t>FLUJOS SIN</t>
  </si>
  <si>
    <t>VAN 1</t>
  </si>
  <si>
    <t>VAN 2</t>
  </si>
  <si>
    <t>P?</t>
  </si>
  <si>
    <t>PC</t>
  </si>
  <si>
    <t>TIR (TES) =</t>
  </si>
  <si>
    <t xml:space="preserve">3.2) </t>
  </si>
  <si>
    <t>Valor del Bono =</t>
  </si>
  <si>
    <t>Tasa spot</t>
  </si>
  <si>
    <t>Bono A</t>
  </si>
  <si>
    <t>Bono B</t>
  </si>
  <si>
    <t xml:space="preserve">VALOR el </t>
  </si>
  <si>
    <t>VALOR el</t>
  </si>
  <si>
    <t>VAN el</t>
  </si>
  <si>
    <t>4.1)</t>
  </si>
  <si>
    <t>Supongo un capital disponible de $100.000, con el cual podría comprar las siguientes cantidades de cada Bono:</t>
  </si>
  <si>
    <t>N° A =</t>
  </si>
  <si>
    <t>N° B =</t>
  </si>
  <si>
    <t>Entonces, el VAN total de la inversión en cada uno sería:</t>
  </si>
  <si>
    <t>VAN total A =</t>
  </si>
  <si>
    <t>VAN total B =</t>
  </si>
  <si>
    <t>Por lo que compraría 1030 unidades de A</t>
  </si>
  <si>
    <t>4.2)</t>
  </si>
  <si>
    <t>VA de los flujos negativos el 30/09/2016 =</t>
  </si>
  <si>
    <t>(por cada Bono A que compre)</t>
  </si>
  <si>
    <t>VF de los flujos positivos el 30/12/2017 =</t>
  </si>
  <si>
    <t>VF de los cupones percibidos el 30/09/2017=</t>
  </si>
  <si>
    <t>TEC =</t>
  </si>
  <si>
    <t>VF de los cupones percibidos el 30/12/2017 =</t>
  </si>
  <si>
    <t>Precio de venta el 30/12/17 =</t>
  </si>
  <si>
    <t>TIR M (TEA )</t>
  </si>
  <si>
    <t>TC =</t>
  </si>
  <si>
    <t>Precio :</t>
  </si>
  <si>
    <t>Flujos de A</t>
  </si>
  <si>
    <t>Flujos de B</t>
  </si>
  <si>
    <t>Flujos de A - Flujos de B</t>
  </si>
  <si>
    <t>Costo de oportunidad (TES)</t>
  </si>
  <si>
    <t>VAN de A</t>
  </si>
  <si>
    <t>VAN de B</t>
  </si>
  <si>
    <t>Si el costo de oportunidad Efectivo Semestral fuera menor que 1,96%, optaría por A</t>
  </si>
  <si>
    <t>Si el costo de oportunidad Efectivo Semestral fuera igual a 1,96%, estaría indiferente entre A o B</t>
  </si>
  <si>
    <t>Si el costo de oportunidad Efectivo Semestral  fuera mayor que 1,96% pero menor o igual que 7,21%, optaría por B</t>
  </si>
  <si>
    <t>Si el costo de oportunidad Efectivo Semestral fuera mayor que 7,21%, rechazaría ambas inversiones</t>
  </si>
  <si>
    <t>GUIA 9</t>
  </si>
  <si>
    <t>SPOT SEMESTRALES</t>
  </si>
  <si>
    <t>TASAS SPOT TES</t>
  </si>
  <si>
    <t>TASAS FORWARD TES</t>
  </si>
  <si>
    <t>precio</t>
  </si>
  <si>
    <t>Valor actual de los flujos descontados a la tir</t>
  </si>
  <si>
    <t>ACTUALES</t>
  </si>
  <si>
    <t>FORWARD (TIR)</t>
  </si>
  <si>
    <t>PRECIO EL 01/12/2022</t>
  </si>
  <si>
    <t>MAS QUE TIR TNA PORQUE LA TIR CUENTA QUE SE PAGA UN PRECIO &gt; A N</t>
  </si>
  <si>
    <t>V NEG</t>
  </si>
  <si>
    <t>V POS</t>
  </si>
  <si>
    <t>TIR M TNA</t>
  </si>
  <si>
    <t>H AN</t>
  </si>
  <si>
    <t>VA DE CADA FLUJO DESCONTADO POR TIR</t>
  </si>
  <si>
    <t>VA DE CADA FLUJO /PRECIO</t>
  </si>
  <si>
    <t>MOMENTO * VAS / PRECOP</t>
  </si>
  <si>
    <t>DURATION</t>
  </si>
  <si>
    <t>2A</t>
  </si>
  <si>
    <t>SI BIEN INCIDE, LA IRR MIDE VOLATILIDAD</t>
  </si>
  <si>
    <t>2B</t>
  </si>
  <si>
    <t>LA TIR ES LA QUE INDICA,, ENTONCES SI,, TIR MAS BAJA ES ES MAS VOLATIL EL PRECIO</t>
  </si>
  <si>
    <t>FUNCION PRECIO ES DECRECIENTE CONVEXA CON RESPECTO A LA TIR</t>
  </si>
  <si>
    <t>2C</t>
  </si>
  <si>
    <t>FALSO,,, MENOS POR UNA EXCEPCION == IGUAL CUANDO ES BONO 0 CUPON</t>
  </si>
  <si>
    <t>2D</t>
  </si>
  <si>
    <t xml:space="preserve">FALSO </t>
  </si>
  <si>
    <t>GUIA 10</t>
  </si>
  <si>
    <t>VENTAS</t>
  </si>
  <si>
    <t>COSTOS VARAIBLES EROGABLES</t>
  </si>
  <si>
    <t>CSTOS FIJOS EROGABLES</t>
  </si>
  <si>
    <t>COSTOS NO EROGABLES (AMORTIZACIONES)</t>
  </si>
  <si>
    <t>RESULTADO POR VENTA DE ACTIVOS</t>
  </si>
  <si>
    <t>EBIT</t>
  </si>
  <si>
    <t>IMPUESTO A LAS GANANCIAS</t>
  </si>
  <si>
    <t>ACTIVO CORRIENTE</t>
  </si>
  <si>
    <t>PASIVO CORRIENTE</t>
  </si>
  <si>
    <t>CAPITAL DE TRABAJO</t>
  </si>
  <si>
    <t>INVERSION EN CAPITAL DE TRABAJO</t>
  </si>
  <si>
    <t>FLUJOS DE FONDO OPERATIVOS</t>
  </si>
  <si>
    <t>ACTIVO NO CORRIENTE</t>
  </si>
  <si>
    <t>FLUJO DE FONDOS LIBRES</t>
  </si>
  <si>
    <t>EBIT = SUMA DE FLUJOS DE POSITIVOS - SUMA DE MOD FLUJOS NEGATIVOS === VENTAS - COSTO.VARIABLE - COSTO.FIJO - AMORTIZACIONES + RESULTADO.POR.VENTA.DE.ACTIVO.FIJO[INUSUAL]</t>
  </si>
  <si>
    <t>CAPITAL DE TRABAJO = ACTIVO CORRIENTE - PASIVO CORRIENTE</t>
  </si>
  <si>
    <t>INVERSION EN CAPITAL DE TRABAJO = EL NETO= LA DIF CON EL AÑO ANTERIOR</t>
  </si>
  <si>
    <t>COSTOS NO EROGABLES = COSTO / AÑOS DE VIDA</t>
  </si>
  <si>
    <t>FFO = EBIT + AMORTIZACIONES - GANANCIAS - INVERSION.EN.CAPITAL.DE.TRABAJO</t>
  </si>
  <si>
    <t>INVERSION EN ACTIVO CORRIENTE (valor libros)</t>
  </si>
  <si>
    <t>tir tea</t>
  </si>
  <si>
    <t>prd</t>
  </si>
  <si>
    <t>descontados</t>
  </si>
  <si>
    <t>flujos descontados acumulados</t>
  </si>
  <si>
    <t>momento de recupero</t>
  </si>
  <si>
    <t>proyecto incremental</t>
  </si>
  <si>
    <t>comparar flujos comprando la maquina con flujos sin comprarla</t>
  </si>
  <si>
    <t>amortizaciones</t>
  </si>
  <si>
    <t>maquina</t>
  </si>
  <si>
    <t>costo</t>
  </si>
  <si>
    <t>años de vida util</t>
  </si>
  <si>
    <t>m vieja</t>
  </si>
  <si>
    <t xml:space="preserve">costo </t>
  </si>
  <si>
    <t>años de vida</t>
  </si>
  <si>
    <t>costo/vida util</t>
  </si>
  <si>
    <t>res venta activo fijo</t>
  </si>
  <si>
    <t>p. venta - valor contable residual</t>
  </si>
  <si>
    <t>m nueva</t>
  </si>
  <si>
    <t>p de venta</t>
  </si>
  <si>
    <t>v contable residual</t>
  </si>
  <si>
    <t>amortizaciones no consumidas [amortizados solo 5 de los 10 ños]</t>
  </si>
  <si>
    <t>RESULTADO POR VENTA DE ACTIVOS FIJOS</t>
  </si>
  <si>
    <t>VENTS*DIAS CLIENTES/365</t>
  </si>
  <si>
    <t>COSTO VARIABLE * DIAS PROVEEDOR/365</t>
  </si>
  <si>
    <t>FORZARLO A 0 PORQUE TERMINA EN MOMENTO 5 []</t>
  </si>
  <si>
    <t>ACTIVO NO CORRIENTE [NETO DE AMORT]</t>
  </si>
  <si>
    <t>FORZARLO A 0 PARA RECUPERAR EL VALOR A LA VENTA</t>
  </si>
  <si>
    <t>Flujos de fondos Linres</t>
  </si>
  <si>
    <t>operativos - inversion en activo no corriente</t>
  </si>
  <si>
    <t>entrada y salida de efectivo o erquivalentes</t>
  </si>
  <si>
    <t>para los accionistas</t>
  </si>
  <si>
    <t xml:space="preserve">seria lo que se puede distribuir a accionistas </t>
  </si>
  <si>
    <t>suponiendo que son los iunicos aportantes</t>
  </si>
  <si>
    <t>NO ES REALMENTE = porque no tiene en cuanta las deudas</t>
  </si>
  <si>
    <t>para que sea mas real ( cuanto va aquedar libre ) //</t>
  </si>
  <si>
    <t>deuda sirve para escudo fiscal</t>
  </si>
  <si>
    <t>1. sumar escudo fiscal</t>
  </si>
  <si>
    <t>escudo + flujos libres</t>
  </si>
  <si>
    <t>lo que realmente va a distribuirse</t>
  </si>
  <si>
    <t>si contas que la deuda ahorra impuestos</t>
  </si>
  <si>
    <t>accionistas =//= acreedore</t>
  </si>
  <si>
    <t>accionistas son solo un tipo de aportante de capital ==</t>
  </si>
  <si>
    <t>empresa distribuye entra ccionistas  Y ACREEDORES tambien</t>
  </si>
  <si>
    <t>ademas de pagando untereses, paga a acreedores tomando decisiones que suban el valor de los bonos</t>
  </si>
  <si>
    <t>ejemplo,, que baje el riesgo</t>
  </si>
  <si>
    <t>bajar el riesgo de la empresa sube el valor de los bonos y paga a los acreedores</t>
  </si>
  <si>
    <t>(eso no es lo que se quiere contar)</t>
  </si>
  <si>
    <t>sumo escudo</t>
  </si>
  <si>
    <t>resto intereses</t>
  </si>
  <si>
    <t>valuacion de acciones por flujos descontados</t>
  </si>
  <si>
    <t>FLUJP DE FPONDOS LIBRES</t>
  </si>
  <si>
    <t>VAL accion</t>
  </si>
  <si>
    <t>patrimonio que se habia invertido antes</t>
  </si>
  <si>
    <t>para obtener una medida de lo que se invirtió</t>
  </si>
  <si>
    <t>0,09 TNA</t>
  </si>
  <si>
    <t>DURACION</t>
  </si>
  <si>
    <t>7 AÑOS + PERPETUIDAD</t>
  </si>
  <si>
    <t>en millones</t>
  </si>
  <si>
    <t>terrenos</t>
  </si>
  <si>
    <t>2 millones // 1 mill cada ino</t>
  </si>
  <si>
    <t>construccion</t>
  </si>
  <si>
    <t>1,6 cada uno</t>
  </si>
  <si>
    <t>2,2 cada uno</t>
  </si>
  <si>
    <t>AMORTIZACION</t>
  </si>
  <si>
    <t>CONSTRUCCION</t>
  </si>
  <si>
    <t>total</t>
  </si>
  <si>
    <t>vida util</t>
  </si>
  <si>
    <t>isntalacion</t>
  </si>
  <si>
    <t>total amort</t>
  </si>
  <si>
    <t>activos</t>
  </si>
  <si>
    <t>HONORARIOS NO SE CUENTAN PARA LOS FFFFLL</t>
  </si>
  <si>
    <t>SON COSTO HUNIDADO NO AFECTA EL VAN PORQUE IBAS A GASTARLO SI O SI</t>
  </si>
  <si>
    <t>c vaiables * 100/365</t>
  </si>
  <si>
    <t>perpetuidad</t>
  </si>
  <si>
    <t>guia 11</t>
  </si>
  <si>
    <t>Defina VANOC, en el contexto de valuación de acciones y diga para qué es útil su estimación.</t>
  </si>
  <si>
    <t>Diga qué se entiende por flujo de fondos incremental, en el contexto de la evaluación de un proyecto. Mencione un ejemplo de un flujo de fondos que no sería incremental y un ejemplo de uno que sí lo sería, en algún proyecto en particular.</t>
  </si>
  <si>
    <t>DIFERENCIA ENTRE EL VALOR DE UNA ACCION SUPONIENDO LA REINVERSION DE UTILIDADES POR LA EMPRESA CON SI NO LO HICIERA</t>
  </si>
  <si>
    <t>diferencia entre suponer b&gt;0 y b=0</t>
  </si>
  <si>
    <t>sirve para decidir si se reinvierte o no / cuanto se reinvierte de las utilidades</t>
  </si>
  <si>
    <t>pero no para decidir si comprar o no las acciones</t>
  </si>
  <si>
    <t>van para inverir en una accion [ precio, va de flujos ]</t>
  </si>
  <si>
    <t xml:space="preserve">el incremento en los flujos por un proyecto </t>
  </si>
  <si>
    <t>dif entre flujos sin el proyecto  - con el flujo si si</t>
  </si>
  <si>
    <t>no es incremental = el costo hundido</t>
  </si>
  <si>
    <t>c oportunidad del bono tipico</t>
  </si>
  <si>
    <t>es invertir en los 0 cupon</t>
  </si>
  <si>
    <t>30/11/0224</t>
  </si>
  <si>
    <t>spot 0-1</t>
  </si>
  <si>
    <t>VAN ES 0</t>
  </si>
  <si>
    <t>va flujos descontados a tir</t>
  </si>
  <si>
    <t>ve cad flujo</t>
  </si>
  <si>
    <t>smestre</t>
  </si>
  <si>
    <t>duration en semestre</t>
  </si>
  <si>
    <t>modified duration</t>
  </si>
  <si>
    <t>promedio hasta el vencimiento / en promedio hay q esperar eso para cobrar</t>
  </si>
  <si>
    <t>apv</t>
  </si>
  <si>
    <t>wacc</t>
  </si>
  <si>
    <t>incorporar efectos de deuda</t>
  </si>
  <si>
    <t>van financiado sin deuda financciera *//// * + sumar escrudo fisca;</t>
  </si>
  <si>
    <t>APV = VAN sin deuda fin + VA de los escudos fiscales</t>
  </si>
  <si>
    <t xml:space="preserve">VAN sin deud afin = </t>
  </si>
  <si>
    <t>SUM ( ffl/(1+k)^t</t>
  </si>
  <si>
    <t>k que supone solo capital de accionistas</t>
  </si>
  <si>
    <t>reduce la tasa en el denominador</t>
  </si>
  <si>
    <t>tir del bono para descontar</t>
  </si>
  <si>
    <t>comparar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</si>
</sst>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4" formatCode="_-&quot;£&quot;* #,##0.00_-;\-&quot;£&quot;* #,##0.00_-;_-&quot;£&quot;* &quot;-&quot;??_-;_-@_-"/>
    <numFmt numFmtId="43" formatCode="_-* #,##0.00_-;\-* #,##0.00_-;_-* &quot;-&quot;??_-;_-@_-"/>
    <numFmt numFmtId="164" formatCode="#,##0.00000"/>
    <numFmt numFmtId="165" formatCode="0.000%"/>
    <numFmt numFmtId="166" formatCode="_-&quot;$&quot;\ * #,##0.00_-;\-&quot;$&quot;\ * #,##0.00_-;_-&quot;$&quot;\ * &quot;-&quot;??_-;_-@_-"/>
    <numFmt numFmtId="167" formatCode="0.0000"/>
    <numFmt numFmtId="168" formatCode="0.00000"/>
    <numFmt numFmtId="169" formatCode="0.0000000000"/>
    <numFmt numFmtId="170" formatCode="#,##0.000000000"/>
    <numFmt numFmtId="171" formatCode="_-&quot;$&quot;* #,##0.00_-;\-&quot;$&quot;* #,##0.00_-;_-&quot;$&quot;* &quot;-&quot;??_-;_-@_-"/>
    <numFmt numFmtId="172" formatCode="0.0000%"/>
    <numFmt numFmtId="173" formatCode="&quot;$&quot;\ #,##0;[Red]\-&quot;$&quot;\ #,##0"/>
    <numFmt numFmtId="174" formatCode="0.000000000000%"/>
    <numFmt numFmtId="175" formatCode="0.0"/>
    <numFmt numFmtId="176" formatCode="#,##0.000000"/>
    <numFmt numFmtId="177" formatCode="#,##0.0000"/>
    <numFmt numFmtId="178" formatCode="0.00000%"/>
    <numFmt numFmtId="179" formatCode="#,##0.0000000"/>
    <numFmt numFmtId="180" formatCode="0.0000000%"/>
    <numFmt numFmtId="181" formatCode="0.0000000"/>
    <numFmt numFmtId="182" formatCode="[$USD]\ #,##0.00"/>
    <numFmt numFmtId="183" formatCode="[$ARS]\ #,##0.00"/>
    <numFmt numFmtId="184" formatCode="#,##0.0000000000"/>
    <numFmt numFmtId="185" formatCode="#,##0.00000000000"/>
    <numFmt numFmtId="186" formatCode="#,##0.000000000000"/>
    <numFmt numFmtId="187" formatCode="#,##0.00000_ ;[Red]\-#,##0.00000\ "/>
    <numFmt numFmtId="188" formatCode="#,##0.00000000"/>
    <numFmt numFmtId="189" formatCode="#,##0.000"/>
    <numFmt numFmtId="190" formatCode="#,##0.0000000000000"/>
    <numFmt numFmtId="191" formatCode="#,##0.0"/>
    <numFmt numFmtId="192" formatCode="#,##0.00000000000000"/>
    <numFmt numFmtId="193" formatCode="0.000000%"/>
    <numFmt numFmtId="194" formatCode="&quot;$&quot;\ #,##0.00;[Red]\-&quot;$&quot;\ #,##0.00"/>
    <numFmt numFmtId="195" formatCode="0.0%"/>
    <numFmt numFmtId="196" formatCode="0.00000000"/>
    <numFmt numFmtId="197" formatCode="_-&quot;$&quot;\ * #,##0.00000_-;\-&quot;$&quot;\ * #,##0.00000_-;_-&quot;$&quot;\ * &quot;-&quot;??_-;_-@_-"/>
    <numFmt numFmtId="198" formatCode="0.000000"/>
  </numFmts>
  <fonts count="3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1"/>
      <name val="Calibri"/>
      <family val="2"/>
    </font>
    <font>
      <sz val="11"/>
      <color rgb="FFFF0000"/>
      <name val="Calibri"/>
      <family val="2"/>
      <scheme val="minor"/>
    </font>
    <font>
      <sz val="8"/>
      <color theme="1"/>
      <name val="Calibri"/>
      <family val="2"/>
      <scheme val="minor"/>
    </font>
    <font>
      <b/>
      <u/>
      <sz val="11"/>
      <color theme="1"/>
      <name val="Calibri"/>
      <family val="2"/>
      <scheme val="minor"/>
    </font>
    <font>
      <b/>
      <i/>
      <sz val="11"/>
      <color theme="1"/>
      <name val="Calibri"/>
      <family val="2"/>
      <scheme val="minor"/>
    </font>
    <font>
      <sz val="8"/>
      <name val="Calibri"/>
      <family val="2"/>
      <scheme val="minor"/>
    </font>
    <font>
      <b/>
      <i/>
      <u/>
      <sz val="11"/>
      <color theme="1"/>
      <name val="Calibri"/>
      <family val="2"/>
      <scheme val="minor"/>
    </font>
    <font>
      <u/>
      <sz val="11"/>
      <color theme="1"/>
      <name val="Calibri"/>
      <family val="2"/>
      <scheme val="minor"/>
    </font>
    <font>
      <sz val="8"/>
      <color theme="1"/>
      <name val="Arial"/>
      <family val="2"/>
    </font>
    <font>
      <b/>
      <sz val="8"/>
      <color theme="1"/>
      <name val="Arial"/>
      <family val="2"/>
    </font>
    <font>
      <sz val="9"/>
      <color indexed="81"/>
      <name val="Tahoma"/>
      <family val="2"/>
    </font>
    <font>
      <b/>
      <sz val="9"/>
      <color indexed="81"/>
      <name val="Tahoma"/>
      <family val="2"/>
    </font>
    <font>
      <b/>
      <sz val="10"/>
      <color theme="1"/>
      <name val="Calibri"/>
      <family val="2"/>
      <scheme val="minor"/>
    </font>
    <font>
      <b/>
      <sz val="10"/>
      <color theme="1"/>
      <name val="Times New Roman"/>
      <family val="1"/>
    </font>
    <font>
      <b/>
      <i/>
      <sz val="10"/>
      <color theme="1"/>
      <name val="Calibri"/>
      <family val="2"/>
      <scheme val="minor"/>
    </font>
    <font>
      <sz val="10"/>
      <color theme="1"/>
      <name val="Times New Roman"/>
      <family val="1"/>
    </font>
    <font>
      <sz val="10"/>
      <color theme="1"/>
      <name val="Calibri"/>
      <family val="2"/>
      <scheme val="minor"/>
    </font>
    <font>
      <i/>
      <sz val="10"/>
      <color theme="1"/>
      <name val="Calibri"/>
      <family val="2"/>
      <scheme val="minor"/>
    </font>
    <font>
      <i/>
      <sz val="10"/>
      <color theme="1"/>
      <name val="Times New Roman"/>
      <family val="1"/>
    </font>
    <font>
      <sz val="10.5"/>
      <color rgb="FF444444"/>
      <name val="Arial"/>
      <family val="2"/>
    </font>
    <font>
      <b/>
      <sz val="10.5"/>
      <color rgb="FF444444"/>
      <name val="Arial"/>
      <family val="2"/>
    </font>
    <font>
      <sz val="9"/>
      <color rgb="FF00434E"/>
      <name val="Segoe UI"/>
      <family val="2"/>
    </font>
    <font>
      <b/>
      <sz val="9"/>
      <color rgb="FF00434E"/>
      <name val="Segoe UI"/>
      <family val="2"/>
    </font>
    <font>
      <b/>
      <i/>
      <sz val="9"/>
      <color rgb="FF00434E"/>
      <name val="Segoe UI"/>
      <family val="2"/>
    </font>
    <font>
      <sz val="9"/>
      <color theme="1"/>
      <name val="Calibri"/>
      <family val="2"/>
      <scheme val="minor"/>
    </font>
    <font>
      <b/>
      <sz val="9"/>
      <color theme="1"/>
      <name val="Calibri"/>
      <family val="2"/>
      <scheme val="minor"/>
    </font>
    <font>
      <b/>
      <u/>
      <sz val="8"/>
      <color theme="1"/>
      <name val="Calibri"/>
      <family val="2"/>
      <scheme val="minor"/>
    </font>
    <font>
      <b/>
      <sz val="8"/>
      <color theme="1"/>
      <name val="Calibri"/>
      <family val="2"/>
      <scheme val="minor"/>
    </font>
    <font>
      <b/>
      <i/>
      <sz val="14"/>
      <color theme="1"/>
      <name val="Calibri"/>
      <family val="2"/>
      <scheme val="minor"/>
    </font>
    <font>
      <b/>
      <sz val="12"/>
      <color theme="1"/>
      <name val="Calibri"/>
      <family val="2"/>
      <scheme val="minor"/>
    </font>
    <font>
      <u val="singleAccounting"/>
      <sz val="11"/>
      <color theme="1"/>
      <name val="Calibri"/>
      <family val="2"/>
      <scheme val="minor"/>
    </font>
    <font>
      <b/>
      <i/>
      <u/>
      <sz val="16"/>
      <color theme="1"/>
      <name val="Arial"/>
      <family val="2"/>
    </font>
  </fonts>
  <fills count="20">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FFFF"/>
        <bgColor indexed="64"/>
      </patternFill>
    </fill>
    <fill>
      <patternFill patternType="solid">
        <fgColor rgb="FFF9F9F9"/>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tint="-0.249977111117893"/>
        <bgColor indexed="64"/>
      </patternFill>
    </fill>
  </fills>
  <borders count="4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rgb="FFDDDDDD"/>
      </top>
      <bottom style="medium">
        <color rgb="FFE4E4E7"/>
      </bottom>
      <diagonal/>
    </border>
    <border>
      <left/>
      <right/>
      <top/>
      <bottom style="medium">
        <color rgb="FFE4E4E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04">
    <xf numFmtId="0" fontId="0" fillId="0" borderId="0" xfId="0"/>
    <xf numFmtId="4" fontId="0" fillId="0" borderId="0" xfId="0" applyNumberFormat="1"/>
    <xf numFmtId="4" fontId="0" fillId="0" borderId="3" xfId="0" applyNumberFormat="1" applyBorder="1"/>
    <xf numFmtId="4" fontId="0" fillId="2" borderId="3" xfId="0" applyNumberFormat="1" applyFill="1" applyBorder="1"/>
    <xf numFmtId="4" fontId="0" fillId="2" borderId="0" xfId="0" applyNumberFormat="1" applyFill="1"/>
    <xf numFmtId="4" fontId="0" fillId="0" borderId="0" xfId="3" applyNumberFormat="1" applyFont="1"/>
    <xf numFmtId="4" fontId="0" fillId="0" borderId="0" xfId="3" applyNumberFormat="1" applyFont="1" applyFill="1"/>
    <xf numFmtId="4" fontId="0" fillId="0" borderId="0" xfId="0" applyNumberFormat="1" applyAlignment="1">
      <alignment horizontal="left" wrapText="1"/>
    </xf>
    <xf numFmtId="4" fontId="2" fillId="0" borderId="0" xfId="0" applyNumberFormat="1" applyFont="1"/>
    <xf numFmtId="4" fontId="2" fillId="3" borderId="1" xfId="0" applyNumberFormat="1" applyFont="1" applyFill="1" applyBorder="1"/>
    <xf numFmtId="4" fontId="0" fillId="3" borderId="2" xfId="2" applyNumberFormat="1" applyFont="1" applyFill="1" applyBorder="1"/>
    <xf numFmtId="4" fontId="3" fillId="0" borderId="0" xfId="0" applyNumberFormat="1" applyFont="1"/>
    <xf numFmtId="4" fontId="2" fillId="0" borderId="0" xfId="3" applyNumberFormat="1" applyFont="1"/>
    <xf numFmtId="4" fontId="2" fillId="0" borderId="1" xfId="0" applyNumberFormat="1" applyFont="1" applyBorder="1"/>
    <xf numFmtId="4" fontId="0" fillId="0" borderId="2" xfId="1" applyNumberFormat="1" applyFont="1" applyBorder="1"/>
    <xf numFmtId="4" fontId="0" fillId="0" borderId="0" xfId="1" applyNumberFormat="1" applyFont="1"/>
    <xf numFmtId="4" fontId="0" fillId="0" borderId="2" xfId="3" applyNumberFormat="1" applyFont="1" applyBorder="1"/>
    <xf numFmtId="4" fontId="0" fillId="0" borderId="0" xfId="2" applyNumberFormat="1" applyFont="1"/>
    <xf numFmtId="4" fontId="0" fillId="3" borderId="0" xfId="0" applyNumberFormat="1" applyFill="1"/>
    <xf numFmtId="4" fontId="2" fillId="3" borderId="5" xfId="0" applyNumberFormat="1" applyFont="1" applyFill="1" applyBorder="1"/>
    <xf numFmtId="4" fontId="0" fillId="3" borderId="6" xfId="2" applyNumberFormat="1" applyFont="1" applyFill="1" applyBorder="1"/>
    <xf numFmtId="4" fontId="2" fillId="3" borderId="7" xfId="0" applyNumberFormat="1" applyFont="1" applyFill="1" applyBorder="1"/>
    <xf numFmtId="4" fontId="5" fillId="0" borderId="8" xfId="2" applyNumberFormat="1" applyFont="1" applyFill="1" applyBorder="1"/>
    <xf numFmtId="4" fontId="0" fillId="3" borderId="8" xfId="3" applyNumberFormat="1" applyFont="1" applyFill="1" applyBorder="1"/>
    <xf numFmtId="4" fontId="5" fillId="0" borderId="0" xfId="3" applyNumberFormat="1" applyFont="1" applyFill="1"/>
    <xf numFmtId="4" fontId="6" fillId="0" borderId="0" xfId="0" applyNumberFormat="1" applyFont="1"/>
    <xf numFmtId="4" fontId="0" fillId="0" borderId="0" xfId="0" applyNumberFormat="1" applyAlignment="1">
      <alignment horizontal="center" vertical="center"/>
    </xf>
    <xf numFmtId="4" fontId="5" fillId="0" borderId="0" xfId="0" applyNumberFormat="1" applyFont="1"/>
    <xf numFmtId="4" fontId="0" fillId="0" borderId="4" xfId="0" applyNumberFormat="1" applyBorder="1"/>
    <xf numFmtId="4" fontId="0" fillId="0" borderId="9" xfId="0" applyNumberFormat="1" applyBorder="1"/>
    <xf numFmtId="4" fontId="0" fillId="0" borderId="10" xfId="0" applyNumberFormat="1" applyBorder="1"/>
    <xf numFmtId="4" fontId="7" fillId="0" borderId="0" xfId="0" applyNumberFormat="1" applyFont="1"/>
    <xf numFmtId="4" fontId="0" fillId="0" borderId="3" xfId="0" applyNumberFormat="1" applyBorder="1" applyAlignment="1">
      <alignment horizontal="center" wrapText="1"/>
    </xf>
    <xf numFmtId="164" fontId="0" fillId="0" borderId="0" xfId="0" applyNumberFormat="1"/>
    <xf numFmtId="4" fontId="0" fillId="0" borderId="12" xfId="0" applyNumberFormat="1" applyBorder="1"/>
    <xf numFmtId="10" fontId="0" fillId="0" borderId="0" xfId="3" applyNumberFormat="1" applyFont="1"/>
    <xf numFmtId="0" fontId="8" fillId="4" borderId="14" xfId="0" applyFont="1" applyFill="1" applyBorder="1" applyAlignment="1">
      <alignment horizontal="center"/>
    </xf>
    <xf numFmtId="0" fontId="0" fillId="0" borderId="14" xfId="0" applyBorder="1" applyAlignment="1">
      <alignment horizontal="right"/>
    </xf>
    <xf numFmtId="0" fontId="0" fillId="0" borderId="14" xfId="0" applyBorder="1"/>
    <xf numFmtId="4" fontId="0" fillId="0" borderId="0" xfId="0" applyNumberFormat="1" applyAlignment="1">
      <alignment horizontal="center" vertical="center" wrapText="1"/>
    </xf>
    <xf numFmtId="4" fontId="0" fillId="5" borderId="0" xfId="0" applyNumberFormat="1" applyFill="1"/>
    <xf numFmtId="4" fontId="0" fillId="5" borderId="3" xfId="0" applyNumberFormat="1" applyFill="1" applyBorder="1"/>
    <xf numFmtId="9" fontId="0" fillId="0" borderId="0" xfId="3" applyFont="1"/>
    <xf numFmtId="2" fontId="0" fillId="0" borderId="0" xfId="3" applyNumberFormat="1" applyFont="1"/>
    <xf numFmtId="4" fontId="0" fillId="0" borderId="14" xfId="0" applyNumberFormat="1" applyBorder="1"/>
    <xf numFmtId="4" fontId="0" fillId="5" borderId="14" xfId="0" applyNumberFormat="1" applyFill="1" applyBorder="1"/>
    <xf numFmtId="0" fontId="7" fillId="0" borderId="0" xfId="0" applyFont="1"/>
    <xf numFmtId="44" fontId="0" fillId="0" borderId="0" xfId="2" applyFont="1"/>
    <xf numFmtId="167" fontId="0" fillId="0" borderId="0" xfId="0" applyNumberFormat="1"/>
    <xf numFmtId="168" fontId="0" fillId="0" borderId="0" xfId="0" applyNumberFormat="1"/>
    <xf numFmtId="169" fontId="0" fillId="0" borderId="0" xfId="0" applyNumberFormat="1"/>
    <xf numFmtId="170" fontId="0" fillId="0" borderId="0" xfId="0" applyNumberFormat="1"/>
    <xf numFmtId="0" fontId="0" fillId="0" borderId="5" xfId="0" applyBorder="1"/>
    <xf numFmtId="0" fontId="0" fillId="0" borderId="15" xfId="0" applyBorder="1" applyAlignment="1">
      <alignment horizontal="right"/>
    </xf>
    <xf numFmtId="0" fontId="0" fillId="0" borderId="15" xfId="0" applyBorder="1"/>
    <xf numFmtId="0" fontId="0" fillId="0" borderId="6" xfId="0" applyBorder="1" applyAlignment="1">
      <alignment horizontal="right"/>
    </xf>
    <xf numFmtId="0" fontId="0" fillId="0" borderId="16" xfId="0" applyBorder="1"/>
    <xf numFmtId="0" fontId="0" fillId="0" borderId="0" xfId="0" applyAlignment="1">
      <alignment horizontal="center"/>
    </xf>
    <xf numFmtId="0" fontId="0" fillId="0" borderId="0" xfId="0" applyAlignment="1">
      <alignment horizontal="right"/>
    </xf>
    <xf numFmtId="0" fontId="0" fillId="0" borderId="17" xfId="0" applyBorder="1" applyAlignment="1">
      <alignment horizontal="center"/>
    </xf>
    <xf numFmtId="0" fontId="0" fillId="0" borderId="7" xfId="0" applyBorder="1"/>
    <xf numFmtId="0" fontId="0" fillId="0" borderId="18" xfId="0" applyBorder="1"/>
    <xf numFmtId="0" fontId="0" fillId="0" borderId="18" xfId="0" applyBorder="1" applyAlignment="1">
      <alignment horizontal="center"/>
    </xf>
    <xf numFmtId="0" fontId="0" fillId="0" borderId="8" xfId="0" applyBorder="1"/>
    <xf numFmtId="9" fontId="0" fillId="0" borderId="0" xfId="0" applyNumberFormat="1"/>
    <xf numFmtId="0" fontId="0" fillId="4" borderId="1" xfId="0" applyFill="1" applyBorder="1" applyAlignment="1">
      <alignment horizontal="center"/>
    </xf>
    <xf numFmtId="0" fontId="0" fillId="4" borderId="19" xfId="0" applyFill="1" applyBorder="1" applyAlignment="1">
      <alignment horizontal="center"/>
    </xf>
    <xf numFmtId="44" fontId="0" fillId="0" borderId="20" xfId="2" applyFont="1" applyBorder="1" applyAlignment="1">
      <alignment horizontal="center"/>
    </xf>
    <xf numFmtId="0" fontId="0" fillId="0" borderId="21" xfId="0" applyBorder="1" applyAlignment="1">
      <alignment horizontal="center"/>
    </xf>
    <xf numFmtId="171" fontId="0" fillId="0" borderId="0" xfId="0" applyNumberFormat="1"/>
    <xf numFmtId="44" fontId="0" fillId="0" borderId="22" xfId="2" applyFont="1" applyBorder="1" applyAlignment="1">
      <alignment horizontal="center"/>
    </xf>
    <xf numFmtId="0" fontId="0" fillId="0" borderId="23" xfId="0" applyBorder="1" applyAlignment="1">
      <alignment horizontal="center"/>
    </xf>
    <xf numFmtId="44" fontId="0" fillId="0" borderId="7" xfId="2" applyFont="1" applyBorder="1" applyAlignment="1">
      <alignment horizontal="center"/>
    </xf>
    <xf numFmtId="0" fontId="0" fillId="0" borderId="24" xfId="0" applyBorder="1" applyAlignment="1">
      <alignment horizontal="center"/>
    </xf>
    <xf numFmtId="0" fontId="10" fillId="0" borderId="0" xfId="0" applyFont="1"/>
    <xf numFmtId="0" fontId="8" fillId="0" borderId="0" xfId="0" applyFont="1"/>
    <xf numFmtId="0" fontId="11" fillId="0" borderId="0" xfId="0" applyFont="1"/>
    <xf numFmtId="0" fontId="2" fillId="6" borderId="0" xfId="0" applyFont="1" applyFill="1"/>
    <xf numFmtId="0" fontId="2" fillId="0" borderId="0" xfId="0" applyFont="1"/>
    <xf numFmtId="10" fontId="0" fillId="0" borderId="0" xfId="0" applyNumberFormat="1"/>
    <xf numFmtId="172" fontId="0" fillId="0" borderId="0" xfId="0" applyNumberFormat="1"/>
    <xf numFmtId="173" fontId="0" fillId="0" borderId="0" xfId="0" applyNumberFormat="1"/>
    <xf numFmtId="0" fontId="2" fillId="4" borderId="14" xfId="0" applyFont="1" applyFill="1" applyBorder="1" applyAlignment="1">
      <alignment horizontal="center"/>
    </xf>
    <xf numFmtId="0" fontId="2" fillId="0" borderId="0" xfId="0" applyFont="1" applyAlignment="1">
      <alignment horizontal="center"/>
    </xf>
    <xf numFmtId="0" fontId="8" fillId="0" borderId="0" xfId="0" applyFont="1" applyAlignment="1">
      <alignment horizontal="center"/>
    </xf>
    <xf numFmtId="0" fontId="0" fillId="0" borderId="14" xfId="0" applyBorder="1" applyAlignment="1">
      <alignment horizontal="center"/>
    </xf>
    <xf numFmtId="44" fontId="0" fillId="0" borderId="14" xfId="2" applyFont="1" applyBorder="1"/>
    <xf numFmtId="166" fontId="0" fillId="0" borderId="14" xfId="0" applyNumberFormat="1" applyBorder="1" applyAlignment="1">
      <alignment horizontal="center"/>
    </xf>
    <xf numFmtId="44" fontId="0" fillId="0" borderId="0" xfId="2" applyFont="1" applyFill="1" applyBorder="1"/>
    <xf numFmtId="0" fontId="8" fillId="7" borderId="14" xfId="0" applyFont="1" applyFill="1" applyBorder="1" applyAlignment="1">
      <alignment horizontal="center"/>
    </xf>
    <xf numFmtId="0" fontId="2" fillId="7" borderId="14" xfId="0" applyFont="1" applyFill="1" applyBorder="1" applyAlignment="1">
      <alignment horizontal="center"/>
    </xf>
    <xf numFmtId="9" fontId="0" fillId="0" borderId="14" xfId="3" applyFont="1" applyBorder="1"/>
    <xf numFmtId="10" fontId="0" fillId="0" borderId="14" xfId="3" applyNumberFormat="1" applyFont="1" applyBorder="1"/>
    <xf numFmtId="0" fontId="0" fillId="8" borderId="14" xfId="0" applyFill="1" applyBorder="1" applyAlignment="1">
      <alignment horizontal="center"/>
    </xf>
    <xf numFmtId="10" fontId="0" fillId="8" borderId="14" xfId="3" applyNumberFormat="1" applyFont="1" applyFill="1" applyBorder="1"/>
    <xf numFmtId="9" fontId="0" fillId="8" borderId="14" xfId="3" applyFont="1" applyFill="1" applyBorder="1"/>
    <xf numFmtId="165" fontId="0" fillId="8" borderId="14" xfId="3" applyNumberFormat="1" applyFont="1" applyFill="1" applyBorder="1"/>
    <xf numFmtId="9" fontId="0" fillId="0" borderId="0" xfId="3" applyFont="1" applyBorder="1"/>
    <xf numFmtId="10" fontId="0" fillId="0" borderId="0" xfId="3" applyNumberFormat="1" applyFont="1" applyBorder="1"/>
    <xf numFmtId="172" fontId="11" fillId="0" borderId="0" xfId="0" applyNumberFormat="1" applyFont="1"/>
    <xf numFmtId="0" fontId="0" fillId="0" borderId="15" xfId="0" applyBorder="1" applyAlignment="1">
      <alignment horizontal="center"/>
    </xf>
    <xf numFmtId="0" fontId="0" fillId="0" borderId="8" xfId="0" applyBorder="1" applyAlignment="1">
      <alignment horizontal="center"/>
    </xf>
    <xf numFmtId="0" fontId="0" fillId="0" borderId="6" xfId="0" applyBorder="1"/>
    <xf numFmtId="0" fontId="0" fillId="0" borderId="16" xfId="0" applyBorder="1" applyAlignment="1">
      <alignment horizontal="right"/>
    </xf>
    <xf numFmtId="0" fontId="0" fillId="0" borderId="17" xfId="0" applyBorder="1" applyAlignment="1">
      <alignment horizontal="left"/>
    </xf>
    <xf numFmtId="0" fontId="0" fillId="0" borderId="6" xfId="0" applyBorder="1" applyAlignment="1">
      <alignment horizontal="center"/>
    </xf>
    <xf numFmtId="0" fontId="0" fillId="0" borderId="7" xfId="0" applyBorder="1" applyAlignment="1">
      <alignment horizontal="right"/>
    </xf>
    <xf numFmtId="0" fontId="0" fillId="0" borderId="8" xfId="0" applyBorder="1" applyAlignment="1">
      <alignment horizontal="left"/>
    </xf>
    <xf numFmtId="0" fontId="0" fillId="0" borderId="18" xfId="0" applyBorder="1" applyAlignment="1">
      <alignment horizontal="left"/>
    </xf>
    <xf numFmtId="0" fontId="0" fillId="0" borderId="11" xfId="0" applyBorder="1"/>
    <xf numFmtId="44" fontId="0" fillId="0" borderId="13" xfId="2" applyFont="1" applyBorder="1"/>
    <xf numFmtId="0" fontId="0" fillId="0" borderId="13" xfId="0" applyBorder="1"/>
    <xf numFmtId="10" fontId="0" fillId="0" borderId="25" xfId="3" applyNumberFormat="1" applyFont="1" applyBorder="1"/>
    <xf numFmtId="0" fontId="0" fillId="0" borderId="12" xfId="0" applyBorder="1"/>
    <xf numFmtId="44" fontId="0" fillId="0" borderId="9" xfId="2" applyFont="1" applyBorder="1"/>
    <xf numFmtId="0" fontId="0" fillId="0" borderId="9" xfId="0" applyBorder="1"/>
    <xf numFmtId="0" fontId="0" fillId="0" borderId="10" xfId="0" applyBorder="1"/>
    <xf numFmtId="174" fontId="0" fillId="0" borderId="0" xfId="3" applyNumberFormat="1" applyFont="1"/>
    <xf numFmtId="0" fontId="0" fillId="0" borderId="6" xfId="0" applyBorder="1" applyAlignment="1">
      <alignment horizontal="left"/>
    </xf>
    <xf numFmtId="0" fontId="0" fillId="0" borderId="17" xfId="0" applyBorder="1"/>
    <xf numFmtId="0" fontId="2" fillId="0" borderId="1" xfId="0" applyFont="1" applyBorder="1"/>
    <xf numFmtId="0" fontId="2" fillId="0" borderId="26" xfId="0" applyFont="1" applyBorder="1"/>
    <xf numFmtId="0" fontId="2" fillId="0" borderId="2" xfId="0" applyFont="1" applyBorder="1"/>
    <xf numFmtId="172" fontId="0" fillId="0" borderId="0" xfId="3" applyNumberFormat="1" applyFont="1"/>
    <xf numFmtId="4" fontId="2" fillId="2" borderId="14" xfId="0" applyNumberFormat="1" applyFont="1" applyFill="1" applyBorder="1" applyAlignment="1">
      <alignment horizontal="center" vertical="center"/>
    </xf>
    <xf numFmtId="4" fontId="0" fillId="2" borderId="0" xfId="0" applyNumberFormat="1" applyFill="1" applyAlignment="1">
      <alignment horizontal="center" vertical="center"/>
    </xf>
    <xf numFmtId="4" fontId="0" fillId="2" borderId="0" xfId="0" applyNumberFormat="1" applyFill="1" applyAlignment="1">
      <alignment horizontal="center" vertical="center" wrapText="1"/>
    </xf>
    <xf numFmtId="4" fontId="0" fillId="0" borderId="0" xfId="0" applyNumberFormat="1" applyAlignment="1">
      <alignment horizontal="left" vertical="center"/>
    </xf>
    <xf numFmtId="4" fontId="0" fillId="2" borderId="0" xfId="0" applyNumberFormat="1" applyFill="1" applyAlignment="1">
      <alignment horizontal="left" vertical="center"/>
    </xf>
    <xf numFmtId="176" fontId="0" fillId="0" borderId="0" xfId="0" applyNumberFormat="1" applyAlignment="1">
      <alignment horizontal="left" vertical="center"/>
    </xf>
    <xf numFmtId="4" fontId="0" fillId="0" borderId="0" xfId="0" applyNumberFormat="1" applyAlignment="1">
      <alignment horizontal="left" vertical="center" wrapText="1"/>
    </xf>
    <xf numFmtId="4" fontId="13" fillId="0" borderId="0" xfId="0" applyNumberFormat="1" applyFont="1" applyAlignment="1">
      <alignment horizontal="left" vertical="center"/>
    </xf>
    <xf numFmtId="4" fontId="0" fillId="0" borderId="0" xfId="3" applyNumberFormat="1" applyFont="1" applyFill="1" applyAlignment="1">
      <alignment horizontal="left" vertical="center"/>
    </xf>
    <xf numFmtId="164" fontId="0" fillId="0" borderId="0" xfId="0" applyNumberFormat="1" applyAlignment="1">
      <alignment horizontal="left" vertical="center"/>
    </xf>
    <xf numFmtId="4" fontId="0" fillId="0" borderId="0" xfId="3" applyNumberFormat="1" applyFont="1" applyAlignment="1">
      <alignment horizontal="left" vertical="center"/>
    </xf>
    <xf numFmtId="0" fontId="0" fillId="0" borderId="0" xfId="0" applyAlignment="1">
      <alignment horizontal="left" vertical="center"/>
    </xf>
    <xf numFmtId="4" fontId="0" fillId="0" borderId="0" xfId="0" applyNumberFormat="1" applyAlignment="1">
      <alignment vertical="center"/>
    </xf>
    <xf numFmtId="4" fontId="0" fillId="2" borderId="0" xfId="0" applyNumberFormat="1" applyFill="1" applyAlignment="1">
      <alignment horizontal="left" vertical="center" wrapText="1"/>
    </xf>
    <xf numFmtId="4" fontId="12" fillId="0" borderId="27" xfId="0" applyNumberFormat="1" applyFont="1" applyBorder="1" applyAlignment="1">
      <alignment horizontal="left" vertical="center"/>
    </xf>
    <xf numFmtId="4" fontId="0" fillId="2" borderId="14" xfId="0" applyNumberFormat="1" applyFill="1" applyBorder="1" applyAlignment="1">
      <alignment horizontal="left" vertical="center"/>
    </xf>
    <xf numFmtId="4" fontId="0" fillId="0" borderId="14" xfId="0" applyNumberFormat="1" applyBorder="1" applyAlignment="1">
      <alignment horizontal="left" vertical="center"/>
    </xf>
    <xf numFmtId="176" fontId="0" fillId="0" borderId="14" xfId="0" applyNumberFormat="1" applyBorder="1" applyAlignment="1">
      <alignment horizontal="left" vertical="center"/>
    </xf>
    <xf numFmtId="17" fontId="12" fillId="0" borderId="14" xfId="0" applyNumberFormat="1" applyFont="1" applyBorder="1" applyAlignment="1">
      <alignment horizontal="left" vertical="center"/>
    </xf>
    <xf numFmtId="175" fontId="13" fillId="0" borderId="14" xfId="0" applyNumberFormat="1" applyFont="1" applyBorder="1" applyAlignment="1">
      <alignment horizontal="left"/>
    </xf>
    <xf numFmtId="164" fontId="0" fillId="0" borderId="14" xfId="0" applyNumberFormat="1" applyBorder="1" applyAlignment="1">
      <alignment horizontal="left" vertical="center"/>
    </xf>
    <xf numFmtId="4" fontId="2" fillId="0" borderId="0" xfId="0" applyNumberFormat="1" applyFont="1" applyAlignment="1">
      <alignment horizontal="left" vertical="center"/>
    </xf>
    <xf numFmtId="9" fontId="2" fillId="0" borderId="0" xfId="3" applyFont="1" applyAlignment="1">
      <alignment horizontal="left" vertical="center"/>
    </xf>
    <xf numFmtId="165" fontId="2" fillId="0" borderId="0" xfId="3" applyNumberFormat="1" applyFont="1" applyAlignment="1">
      <alignment horizontal="left" vertical="center"/>
    </xf>
    <xf numFmtId="172" fontId="2" fillId="0" borderId="0" xfId="3" applyNumberFormat="1" applyFont="1" applyAlignment="1">
      <alignment horizontal="left" vertical="center"/>
    </xf>
    <xf numFmtId="9" fontId="0" fillId="0" borderId="0" xfId="3" applyFont="1" applyAlignment="1">
      <alignment horizontal="left" vertical="center"/>
    </xf>
    <xf numFmtId="10" fontId="0" fillId="0" borderId="0" xfId="3" applyNumberFormat="1" applyFont="1" applyAlignment="1">
      <alignment horizontal="left" vertical="center"/>
    </xf>
    <xf numFmtId="165" fontId="0" fillId="0" borderId="0" xfId="3" applyNumberFormat="1" applyFont="1" applyAlignment="1">
      <alignment horizontal="left" vertical="center"/>
    </xf>
    <xf numFmtId="172" fontId="0" fillId="0" borderId="0" xfId="3" applyNumberFormat="1" applyFont="1" applyAlignment="1">
      <alignment horizontal="left" vertical="center"/>
    </xf>
    <xf numFmtId="164" fontId="0" fillId="2" borderId="0" xfId="0" applyNumberFormat="1" applyFill="1" applyAlignment="1">
      <alignment horizontal="left" vertical="center"/>
    </xf>
    <xf numFmtId="4" fontId="2" fillId="2" borderId="0" xfId="0" applyNumberFormat="1" applyFont="1" applyFill="1" applyAlignment="1">
      <alignment horizontal="left" vertical="center"/>
    </xf>
    <xf numFmtId="178" fontId="0" fillId="0" borderId="0" xfId="3" applyNumberFormat="1" applyFont="1" applyAlignment="1">
      <alignment horizontal="left" vertical="center"/>
    </xf>
    <xf numFmtId="178" fontId="0" fillId="5" borderId="0" xfId="3" applyNumberFormat="1" applyFont="1" applyFill="1" applyAlignment="1">
      <alignment horizontal="left" vertical="center"/>
    </xf>
    <xf numFmtId="4" fontId="0" fillId="0" borderId="13" xfId="0" applyNumberFormat="1" applyBorder="1" applyAlignment="1">
      <alignment horizontal="left" vertical="center"/>
    </xf>
    <xf numFmtId="165" fontId="0" fillId="0" borderId="13" xfId="3" applyNumberFormat="1" applyFont="1" applyBorder="1" applyAlignment="1">
      <alignment horizontal="left" vertical="center"/>
    </xf>
    <xf numFmtId="179" fontId="0" fillId="0" borderId="0" xfId="0" applyNumberFormat="1" applyAlignment="1">
      <alignment horizontal="left" vertical="center"/>
    </xf>
    <xf numFmtId="180" fontId="0" fillId="0" borderId="0" xfId="3" applyNumberFormat="1" applyFont="1" applyAlignment="1">
      <alignment horizontal="left" vertical="center"/>
    </xf>
    <xf numFmtId="2" fontId="0" fillId="0" borderId="0" xfId="3" applyNumberFormat="1" applyFont="1" applyAlignment="1">
      <alignment horizontal="left" vertical="center"/>
    </xf>
    <xf numFmtId="181" fontId="0" fillId="0" borderId="0" xfId="3" applyNumberFormat="1" applyFont="1" applyAlignment="1">
      <alignment horizontal="left" vertical="center"/>
    </xf>
    <xf numFmtId="182" fontId="0" fillId="0" borderId="0" xfId="0" applyNumberFormat="1" applyAlignment="1">
      <alignment horizontal="left" vertical="center"/>
    </xf>
    <xf numFmtId="183" fontId="0" fillId="0" borderId="0" xfId="0" applyNumberFormat="1" applyAlignment="1">
      <alignment horizontal="left" vertical="center"/>
    </xf>
    <xf numFmtId="172" fontId="0" fillId="2" borderId="0" xfId="3" applyNumberFormat="1" applyFont="1" applyFill="1" applyAlignment="1">
      <alignment horizontal="left" vertical="center"/>
    </xf>
    <xf numFmtId="4" fontId="0" fillId="2" borderId="0" xfId="3" applyNumberFormat="1" applyFont="1" applyFill="1"/>
    <xf numFmtId="4" fontId="2" fillId="2" borderId="0" xfId="0" applyNumberFormat="1" applyFont="1" applyFill="1"/>
    <xf numFmtId="4" fontId="0" fillId="2" borderId="0" xfId="0" applyNumberFormat="1" applyFill="1" applyAlignment="1">
      <alignment horizontal="right"/>
    </xf>
    <xf numFmtId="4" fontId="11" fillId="0" borderId="0" xfId="0" applyNumberFormat="1" applyFont="1" applyAlignment="1">
      <alignment horizontal="left" vertical="center"/>
    </xf>
    <xf numFmtId="172" fontId="1" fillId="0" borderId="0" xfId="3" applyNumberFormat="1" applyFont="1" applyAlignment="1">
      <alignment horizontal="left" vertical="center"/>
    </xf>
    <xf numFmtId="9" fontId="1" fillId="0" borderId="0" xfId="3" applyFont="1" applyAlignment="1">
      <alignment horizontal="left" vertical="center"/>
    </xf>
    <xf numFmtId="165" fontId="0" fillId="0" borderId="0" xfId="3" applyNumberFormat="1" applyFont="1" applyBorder="1" applyAlignment="1">
      <alignment horizontal="left" vertical="center"/>
    </xf>
    <xf numFmtId="0" fontId="0" fillId="2" borderId="3" xfId="0" applyFill="1" applyBorder="1"/>
    <xf numFmtId="0" fontId="0" fillId="2" borderId="0" xfId="0" applyFill="1"/>
    <xf numFmtId="0" fontId="0" fillId="2" borderId="9" xfId="0" applyFill="1" applyBorder="1"/>
    <xf numFmtId="176" fontId="0" fillId="2" borderId="0" xfId="0" applyNumberFormat="1" applyFill="1" applyAlignment="1">
      <alignment horizontal="left" vertical="center"/>
    </xf>
    <xf numFmtId="4" fontId="0" fillId="2" borderId="9" xfId="0" applyNumberFormat="1" applyFill="1" applyBorder="1" applyAlignment="1">
      <alignment horizontal="left" vertical="center"/>
    </xf>
    <xf numFmtId="4" fontId="0" fillId="0" borderId="0" xfId="0" quotePrefix="1" applyNumberFormat="1" applyAlignment="1">
      <alignment horizontal="left" vertical="center"/>
    </xf>
    <xf numFmtId="170" fontId="0" fillId="0" borderId="0" xfId="0" applyNumberFormat="1" applyAlignment="1">
      <alignment horizontal="left" vertical="center"/>
    </xf>
    <xf numFmtId="4" fontId="0" fillId="0" borderId="9" xfId="0" applyNumberFormat="1" applyBorder="1" applyAlignment="1">
      <alignment horizontal="left" vertical="center"/>
    </xf>
    <xf numFmtId="177" fontId="0" fillId="0" borderId="9" xfId="0" applyNumberFormat="1" applyBorder="1" applyAlignment="1">
      <alignment horizontal="left" vertical="center"/>
    </xf>
    <xf numFmtId="170" fontId="0" fillId="0" borderId="0" xfId="0" quotePrefix="1" applyNumberFormat="1" applyAlignment="1">
      <alignment horizontal="left" vertical="center"/>
    </xf>
    <xf numFmtId="4" fontId="0" fillId="2" borderId="0" xfId="0" quotePrefix="1" applyNumberFormat="1" applyFill="1" applyAlignment="1">
      <alignment horizontal="left" vertical="center"/>
    </xf>
    <xf numFmtId="184" fontId="0" fillId="2" borderId="0" xfId="0" applyNumberFormat="1" applyFill="1" applyAlignment="1">
      <alignment horizontal="left" vertical="center"/>
    </xf>
    <xf numFmtId="4" fontId="0" fillId="2" borderId="13" xfId="0" applyNumberFormat="1" applyFill="1" applyBorder="1" applyAlignment="1">
      <alignment vertical="center"/>
    </xf>
    <xf numFmtId="185" fontId="0" fillId="0" borderId="0" xfId="0" applyNumberFormat="1" applyAlignment="1">
      <alignment horizontal="left" vertical="center"/>
    </xf>
    <xf numFmtId="186" fontId="0" fillId="0" borderId="0" xfId="0" applyNumberFormat="1" applyAlignment="1">
      <alignment horizontal="left" vertical="center"/>
    </xf>
    <xf numFmtId="4" fontId="0" fillId="0" borderId="14" xfId="0" applyNumberFormat="1" applyBorder="1" applyAlignment="1">
      <alignment horizontal="center" vertical="center"/>
    </xf>
    <xf numFmtId="4" fontId="0" fillId="2" borderId="14" xfId="0" applyNumberFormat="1" applyFill="1" applyBorder="1" applyAlignment="1">
      <alignment horizontal="center" vertical="center"/>
    </xf>
    <xf numFmtId="187" fontId="0" fillId="0" borderId="0" xfId="0" applyNumberFormat="1"/>
    <xf numFmtId="187" fontId="0" fillId="2" borderId="0" xfId="0" applyNumberFormat="1" applyFill="1"/>
    <xf numFmtId="187" fontId="0" fillId="9" borderId="0" xfId="0" applyNumberFormat="1" applyFill="1"/>
    <xf numFmtId="165" fontId="0" fillId="0" borderId="0" xfId="3" applyNumberFormat="1" applyFont="1"/>
    <xf numFmtId="4" fontId="0" fillId="9" borderId="14" xfId="0" applyNumberFormat="1" applyFill="1" applyBorder="1" applyAlignment="1">
      <alignment horizontal="left" vertical="center"/>
    </xf>
    <xf numFmtId="4" fontId="0" fillId="9" borderId="0" xfId="0" applyNumberFormat="1" applyFill="1" applyAlignment="1">
      <alignment horizontal="left" vertical="center"/>
    </xf>
    <xf numFmtId="188" fontId="0" fillId="0" borderId="0" xfId="0" applyNumberFormat="1" applyAlignment="1">
      <alignment horizontal="left" vertical="center"/>
    </xf>
    <xf numFmtId="4" fontId="0" fillId="9" borderId="0" xfId="0" applyNumberFormat="1" applyFill="1" applyAlignment="1">
      <alignment horizontal="left" vertical="center" wrapText="1"/>
    </xf>
    <xf numFmtId="4" fontId="0" fillId="0" borderId="3" xfId="0" applyNumberFormat="1" applyBorder="1" applyAlignment="1">
      <alignment horizontal="left" vertical="center"/>
    </xf>
    <xf numFmtId="4" fontId="0" fillId="9" borderId="0" xfId="0" applyNumberFormat="1" applyFill="1"/>
    <xf numFmtId="170" fontId="0" fillId="9" borderId="0" xfId="0" applyNumberFormat="1" applyFill="1" applyAlignment="1">
      <alignment horizontal="left" vertical="center"/>
    </xf>
    <xf numFmtId="179" fontId="0" fillId="2" borderId="0" xfId="0" applyNumberFormat="1" applyFill="1" applyAlignment="1">
      <alignment horizontal="left" vertical="center"/>
    </xf>
    <xf numFmtId="4" fontId="13" fillId="2" borderId="0" xfId="0" applyNumberFormat="1" applyFont="1" applyFill="1" applyAlignment="1">
      <alignment horizontal="left" vertical="center"/>
    </xf>
    <xf numFmtId="0" fontId="16" fillId="0" borderId="0" xfId="0" applyFont="1" applyAlignment="1">
      <alignment vertical="center" wrapText="1"/>
    </xf>
    <xf numFmtId="0" fontId="16" fillId="0" borderId="0" xfId="0" applyFont="1" applyAlignment="1">
      <alignment horizontal="justify" vertical="center" wrapText="1"/>
    </xf>
    <xf numFmtId="0" fontId="16" fillId="0" borderId="0" xfId="0" applyFont="1" applyAlignment="1">
      <alignment horizontal="left" vertical="center" wrapText="1"/>
    </xf>
    <xf numFmtId="0" fontId="16" fillId="0" borderId="0" xfId="0" applyFont="1" applyAlignment="1">
      <alignment horizontal="center" vertical="center" wrapText="1"/>
    </xf>
    <xf numFmtId="179" fontId="13" fillId="0" borderId="0" xfId="0" applyNumberFormat="1" applyFont="1" applyAlignment="1">
      <alignment horizontal="left" vertical="center"/>
    </xf>
    <xf numFmtId="188" fontId="13" fillId="0" borderId="0" xfId="0" applyNumberFormat="1" applyFont="1" applyAlignment="1">
      <alignment horizontal="left" vertical="center"/>
    </xf>
    <xf numFmtId="189" fontId="0" fillId="0" borderId="0" xfId="0" applyNumberFormat="1" applyAlignment="1">
      <alignment horizontal="left" vertical="center"/>
    </xf>
    <xf numFmtId="189" fontId="0" fillId="0" borderId="0" xfId="0" applyNumberFormat="1" applyAlignment="1">
      <alignment horizontal="center" vertical="center"/>
    </xf>
    <xf numFmtId="189" fontId="0" fillId="0" borderId="14" xfId="0" applyNumberFormat="1" applyBorder="1" applyAlignment="1">
      <alignment horizontal="left" vertical="center"/>
    </xf>
    <xf numFmtId="177" fontId="0" fillId="0" borderId="14" xfId="0" applyNumberFormat="1" applyBorder="1" applyAlignment="1">
      <alignment horizontal="left" vertical="center"/>
    </xf>
    <xf numFmtId="4" fontId="0" fillId="9" borderId="0" xfId="0" applyNumberFormat="1" applyFill="1" applyAlignment="1">
      <alignment horizontal="center" vertical="center"/>
    </xf>
    <xf numFmtId="188" fontId="0" fillId="9" borderId="0" xfId="0" applyNumberFormat="1" applyFill="1" applyAlignment="1">
      <alignment horizontal="left" vertical="center"/>
    </xf>
    <xf numFmtId="4" fontId="0" fillId="0" borderId="29" xfId="0" applyNumberFormat="1" applyBorder="1" applyAlignment="1">
      <alignment horizontal="left" vertical="center"/>
    </xf>
    <xf numFmtId="4" fontId="0" fillId="0" borderId="14" xfId="0" applyNumberFormat="1" applyBorder="1" applyAlignment="1">
      <alignment horizontal="left" vertical="center" wrapText="1"/>
    </xf>
    <xf numFmtId="4" fontId="2" fillId="9" borderId="14" xfId="0" applyNumberFormat="1" applyFont="1" applyFill="1" applyBorder="1" applyAlignment="1">
      <alignment horizontal="left" vertical="center" wrapText="1"/>
    </xf>
    <xf numFmtId="4" fontId="0" fillId="10" borderId="0" xfId="0" applyNumberFormat="1" applyFill="1" applyAlignment="1">
      <alignment horizontal="center" vertical="center"/>
    </xf>
    <xf numFmtId="4" fontId="0" fillId="10" borderId="14" xfId="0" applyNumberFormat="1" applyFill="1" applyBorder="1" applyAlignment="1">
      <alignment horizontal="left" vertical="center"/>
    </xf>
    <xf numFmtId="4" fontId="0" fillId="10" borderId="0" xfId="0" applyNumberFormat="1" applyFill="1" applyAlignment="1">
      <alignment horizontal="left" vertical="center"/>
    </xf>
    <xf numFmtId="190" fontId="0" fillId="0" borderId="0" xfId="0" applyNumberFormat="1" applyAlignment="1">
      <alignment horizontal="left" vertical="center"/>
    </xf>
    <xf numFmtId="4" fontId="16" fillId="2" borderId="28" xfId="0" applyNumberFormat="1" applyFont="1" applyFill="1" applyBorder="1" applyAlignment="1">
      <alignment horizontal="center" vertical="center"/>
    </xf>
    <xf numFmtId="4" fontId="19" fillId="2" borderId="0" xfId="0" applyNumberFormat="1" applyFont="1" applyFill="1" applyAlignment="1">
      <alignment horizontal="left" vertical="center" wrapText="1"/>
    </xf>
    <xf numFmtId="4" fontId="20" fillId="0" borderId="0" xfId="0" applyNumberFormat="1" applyFont="1" applyAlignment="1">
      <alignment horizontal="left" vertical="center"/>
    </xf>
    <xf numFmtId="4" fontId="19" fillId="2" borderId="0" xfId="0" applyNumberFormat="1" applyFont="1" applyFill="1" applyAlignment="1">
      <alignment horizontal="justify" vertical="center"/>
    </xf>
    <xf numFmtId="4" fontId="20" fillId="0" borderId="0" xfId="0" applyNumberFormat="1" applyFont="1" applyAlignment="1">
      <alignment horizontal="center" vertical="center"/>
    </xf>
    <xf numFmtId="4" fontId="19" fillId="0" borderId="0" xfId="0" applyNumberFormat="1" applyFont="1" applyAlignment="1">
      <alignment horizontal="justify" vertical="center"/>
    </xf>
    <xf numFmtId="4" fontId="17" fillId="2" borderId="0" xfId="0" applyNumberFormat="1" applyFont="1" applyFill="1" applyAlignment="1">
      <alignment horizontal="justify" vertical="center"/>
    </xf>
    <xf numFmtId="4" fontId="19" fillId="0" borderId="0" xfId="0" applyNumberFormat="1" applyFont="1" applyAlignment="1">
      <alignment horizontal="center" vertical="center"/>
    </xf>
    <xf numFmtId="4" fontId="19" fillId="0" borderId="0" xfId="0" applyNumberFormat="1" applyFont="1" applyAlignment="1">
      <alignment horizontal="center" vertical="center" wrapText="1"/>
    </xf>
    <xf numFmtId="4" fontId="19" fillId="0" borderId="0" xfId="0" applyNumberFormat="1" applyFont="1" applyAlignment="1">
      <alignment vertical="center" wrapText="1"/>
    </xf>
    <xf numFmtId="4" fontId="19" fillId="0" borderId="0" xfId="0" applyNumberFormat="1" applyFont="1" applyAlignment="1">
      <alignment horizontal="left" vertical="center" indent="5"/>
    </xf>
    <xf numFmtId="4" fontId="19" fillId="0" borderId="0" xfId="0" applyNumberFormat="1" applyFont="1" applyAlignment="1">
      <alignment horizontal="left" vertical="top" wrapText="1" indent="5"/>
    </xf>
    <xf numFmtId="4" fontId="19" fillId="0" borderId="0" xfId="0" applyNumberFormat="1" applyFont="1" applyAlignment="1">
      <alignment horizontal="left" vertical="center" wrapText="1" indent="5"/>
    </xf>
    <xf numFmtId="189" fontId="19" fillId="0" borderId="0" xfId="0" applyNumberFormat="1" applyFont="1" applyAlignment="1">
      <alignment horizontal="center" vertical="center" wrapText="1"/>
    </xf>
    <xf numFmtId="4" fontId="19" fillId="0" borderId="0" xfId="0" applyNumberFormat="1" applyFont="1" applyAlignment="1">
      <alignment wrapText="1"/>
    </xf>
    <xf numFmtId="4" fontId="19" fillId="9" borderId="0" xfId="0" applyNumberFormat="1" applyFont="1" applyFill="1" applyAlignment="1">
      <alignment wrapText="1"/>
    </xf>
    <xf numFmtId="0" fontId="19" fillId="0" borderId="0" xfId="0" applyFont="1" applyAlignment="1">
      <alignment horizontal="justify" vertical="center"/>
    </xf>
    <xf numFmtId="4" fontId="19" fillId="0" borderId="4" xfId="0" applyNumberFormat="1" applyFont="1" applyBorder="1" applyAlignment="1">
      <alignment vertical="center" wrapText="1"/>
    </xf>
    <xf numFmtId="4" fontId="19" fillId="10" borderId="4" xfId="0" applyNumberFormat="1" applyFont="1" applyFill="1" applyBorder="1" applyAlignment="1">
      <alignment vertical="center" wrapText="1"/>
    </xf>
    <xf numFmtId="0" fontId="19" fillId="10" borderId="0" xfId="0" applyFont="1" applyFill="1" applyAlignment="1">
      <alignment horizontal="justify" vertical="center"/>
    </xf>
    <xf numFmtId="0" fontId="19" fillId="0" borderId="0" xfId="0" applyFont="1" applyAlignment="1">
      <alignment horizontal="left" vertical="center"/>
    </xf>
    <xf numFmtId="4" fontId="19" fillId="0" borderId="0" xfId="0" applyNumberFormat="1" applyFont="1" applyAlignment="1">
      <alignment horizontal="left" vertical="center"/>
    </xf>
    <xf numFmtId="188" fontId="0" fillId="10" borderId="0" xfId="0" applyNumberFormat="1" applyFill="1" applyAlignment="1">
      <alignment horizontal="left" vertical="center"/>
    </xf>
    <xf numFmtId="176" fontId="0" fillId="10" borderId="0" xfId="0" applyNumberFormat="1" applyFill="1" applyAlignment="1">
      <alignment horizontal="left" vertical="center"/>
    </xf>
    <xf numFmtId="188" fontId="0" fillId="2" borderId="0" xfId="0" applyNumberFormat="1" applyFill="1" applyAlignment="1">
      <alignment horizontal="left" vertical="center"/>
    </xf>
    <xf numFmtId="14" fontId="0" fillId="0" borderId="0" xfId="0" applyNumberFormat="1" applyAlignment="1">
      <alignment horizontal="left" vertical="center"/>
    </xf>
    <xf numFmtId="191" fontId="0" fillId="0" borderId="0" xfId="0" applyNumberFormat="1" applyAlignment="1">
      <alignment horizontal="left" vertical="center"/>
    </xf>
    <xf numFmtId="14" fontId="0" fillId="10" borderId="0" xfId="0" applyNumberFormat="1" applyFill="1" applyAlignment="1">
      <alignment horizontal="left" vertical="center"/>
    </xf>
    <xf numFmtId="4" fontId="0" fillId="10" borderId="14" xfId="0" applyNumberFormat="1" applyFill="1" applyBorder="1" applyAlignment="1">
      <alignment horizontal="center" vertical="center"/>
    </xf>
    <xf numFmtId="4" fontId="0" fillId="2" borderId="0" xfId="0" applyNumberFormat="1" applyFill="1" applyAlignment="1">
      <alignment vertical="center" wrapText="1"/>
    </xf>
    <xf numFmtId="164" fontId="0" fillId="0" borderId="0" xfId="0" applyNumberFormat="1" applyAlignment="1">
      <alignment horizontal="center" vertical="center"/>
    </xf>
    <xf numFmtId="192" fontId="0" fillId="0" borderId="0" xfId="0" applyNumberFormat="1" applyAlignment="1">
      <alignment horizontal="left" vertical="center"/>
    </xf>
    <xf numFmtId="0" fontId="19" fillId="0" borderId="0" xfId="0" applyFont="1" applyAlignment="1">
      <alignment horizontal="center" vertical="center" wrapText="1"/>
    </xf>
    <xf numFmtId="4" fontId="20" fillId="2" borderId="0" xfId="0" applyNumberFormat="1" applyFont="1" applyFill="1" applyAlignment="1">
      <alignment horizontal="center" vertical="center"/>
    </xf>
    <xf numFmtId="177" fontId="0" fillId="0" borderId="0" xfId="0" applyNumberFormat="1" applyAlignment="1">
      <alignment horizontal="left" vertical="center"/>
    </xf>
    <xf numFmtId="193" fontId="0" fillId="0" borderId="0" xfId="3" applyNumberFormat="1" applyFont="1" applyAlignment="1">
      <alignment horizontal="left" vertical="center"/>
    </xf>
    <xf numFmtId="9" fontId="0" fillId="10" borderId="0" xfId="3" applyFont="1" applyFill="1" applyAlignment="1">
      <alignment horizontal="left" vertical="center"/>
    </xf>
    <xf numFmtId="193" fontId="0" fillId="10" borderId="0" xfId="3" applyNumberFormat="1" applyFont="1" applyFill="1" applyAlignment="1">
      <alignment horizontal="left" vertical="center"/>
    </xf>
    <xf numFmtId="4" fontId="20" fillId="10" borderId="0" xfId="0" applyNumberFormat="1" applyFont="1" applyFill="1" applyAlignment="1">
      <alignment horizontal="center" vertical="center"/>
    </xf>
    <xf numFmtId="0" fontId="23" fillId="12" borderId="31" xfId="0" applyFont="1" applyFill="1" applyBorder="1" applyAlignment="1">
      <alignment vertical="center" wrapText="1"/>
    </xf>
    <xf numFmtId="10" fontId="24" fillId="12" borderId="31" xfId="0" applyNumberFormat="1" applyFont="1" applyFill="1" applyBorder="1" applyAlignment="1">
      <alignment vertical="center" wrapText="1"/>
    </xf>
    <xf numFmtId="14" fontId="24" fillId="12" borderId="31" xfId="0" applyNumberFormat="1" applyFont="1" applyFill="1" applyBorder="1" applyAlignment="1">
      <alignment vertical="center" wrapText="1"/>
    </xf>
    <xf numFmtId="0" fontId="23" fillId="11" borderId="32" xfId="0" applyFont="1" applyFill="1" applyBorder="1" applyAlignment="1">
      <alignment vertical="center" wrapText="1"/>
    </xf>
    <xf numFmtId="0" fontId="24" fillId="11" borderId="32" xfId="0" applyFont="1" applyFill="1" applyBorder="1" applyAlignment="1">
      <alignment vertical="center" wrapText="1"/>
    </xf>
    <xf numFmtId="10" fontId="24" fillId="11" borderId="32" xfId="0" applyNumberFormat="1" applyFont="1" applyFill="1" applyBorder="1" applyAlignment="1">
      <alignment vertical="center" wrapText="1"/>
    </xf>
    <xf numFmtId="0" fontId="0" fillId="0" borderId="0" xfId="0" applyAlignment="1">
      <alignment vertical="center"/>
    </xf>
    <xf numFmtId="14" fontId="0" fillId="0" borderId="0" xfId="0" applyNumberFormat="1" applyAlignment="1">
      <alignment vertical="center"/>
    </xf>
    <xf numFmtId="4" fontId="13" fillId="10" borderId="0" xfId="0" applyNumberFormat="1" applyFont="1" applyFill="1" applyAlignment="1">
      <alignment horizontal="left" vertical="center"/>
    </xf>
    <xf numFmtId="14" fontId="13" fillId="0" borderId="0" xfId="0" applyNumberFormat="1" applyFont="1" applyAlignment="1">
      <alignment horizontal="left" vertical="center"/>
    </xf>
    <xf numFmtId="4" fontId="0" fillId="6" borderId="0" xfId="0" applyNumberFormat="1" applyFill="1" applyAlignment="1">
      <alignment horizontal="left" vertical="center"/>
    </xf>
    <xf numFmtId="4" fontId="13" fillId="0" borderId="14" xfId="0" applyNumberFormat="1" applyFont="1" applyBorder="1" applyAlignment="1">
      <alignment horizontal="left" vertical="center"/>
    </xf>
    <xf numFmtId="4" fontId="13" fillId="0" borderId="3" xfId="0" applyNumberFormat="1" applyFont="1" applyBorder="1" applyAlignment="1">
      <alignment horizontal="left" vertical="center"/>
    </xf>
    <xf numFmtId="4" fontId="13" fillId="15" borderId="0" xfId="0" applyNumberFormat="1" applyFont="1" applyFill="1" applyAlignment="1">
      <alignment horizontal="left" vertical="center"/>
    </xf>
    <xf numFmtId="4" fontId="13" fillId="16" borderId="0" xfId="0" applyNumberFormat="1" applyFont="1" applyFill="1" applyAlignment="1">
      <alignment horizontal="left" vertical="center"/>
    </xf>
    <xf numFmtId="4" fontId="13" fillId="0" borderId="14" xfId="2" applyNumberFormat="1" applyFont="1" applyBorder="1" applyAlignment="1">
      <alignment horizontal="left" vertical="center"/>
    </xf>
    <xf numFmtId="4" fontId="25" fillId="0" borderId="0" xfId="0" applyNumberFormat="1" applyFont="1" applyAlignment="1">
      <alignment horizontal="left" vertical="center" wrapText="1"/>
    </xf>
    <xf numFmtId="4" fontId="26" fillId="0" borderId="0" xfId="0" applyNumberFormat="1" applyFont="1" applyAlignment="1">
      <alignment horizontal="left" vertical="center" wrapText="1"/>
    </xf>
    <xf numFmtId="4" fontId="27" fillId="0" borderId="0" xfId="0" applyNumberFormat="1" applyFont="1" applyAlignment="1">
      <alignment horizontal="left" vertical="center" wrapText="1"/>
    </xf>
    <xf numFmtId="4" fontId="28" fillId="0" borderId="0" xfId="0" applyNumberFormat="1" applyFont="1"/>
    <xf numFmtId="4" fontId="28" fillId="0" borderId="1" xfId="0" applyNumberFormat="1" applyFont="1" applyBorder="1"/>
    <xf numFmtId="4" fontId="28" fillId="0" borderId="26" xfId="0" applyNumberFormat="1" applyFont="1" applyBorder="1"/>
    <xf numFmtId="4" fontId="28" fillId="0" borderId="2" xfId="0" applyNumberFormat="1" applyFont="1" applyBorder="1"/>
    <xf numFmtId="4" fontId="29" fillId="0" borderId="0" xfId="0" applyNumberFormat="1" applyFont="1"/>
    <xf numFmtId="4" fontId="29" fillId="2" borderId="14" xfId="0" applyNumberFormat="1" applyFont="1" applyFill="1" applyBorder="1"/>
    <xf numFmtId="4" fontId="28" fillId="0" borderId="14" xfId="0" applyNumberFormat="1" applyFont="1" applyBorder="1"/>
    <xf numFmtId="4" fontId="28" fillId="0" borderId="14" xfId="2" applyNumberFormat="1" applyFont="1" applyBorder="1"/>
    <xf numFmtId="4" fontId="13" fillId="0" borderId="0" xfId="3" applyNumberFormat="1" applyFont="1" applyAlignment="1">
      <alignment horizontal="left" vertical="center"/>
    </xf>
    <xf numFmtId="4" fontId="29" fillId="0" borderId="1" xfId="0" applyNumberFormat="1" applyFont="1" applyBorder="1"/>
    <xf numFmtId="4" fontId="29" fillId="0" borderId="2" xfId="0" applyNumberFormat="1" applyFont="1" applyBorder="1"/>
    <xf numFmtId="4" fontId="13" fillId="0" borderId="0" xfId="0" applyNumberFormat="1" applyFont="1" applyAlignment="1">
      <alignment horizontal="left" vertical="center" wrapText="1"/>
    </xf>
    <xf numFmtId="4" fontId="30" fillId="0" borderId="0" xfId="0" applyNumberFormat="1" applyFont="1"/>
    <xf numFmtId="4" fontId="31" fillId="2" borderId="14" xfId="0" applyNumberFormat="1" applyFont="1" applyFill="1" applyBorder="1" applyAlignment="1">
      <alignment horizontal="center"/>
    </xf>
    <xf numFmtId="4" fontId="6" fillId="0" borderId="14" xfId="0" applyNumberFormat="1" applyFont="1" applyBorder="1"/>
    <xf numFmtId="4" fontId="6" fillId="0" borderId="14" xfId="2" applyNumberFormat="1" applyFont="1" applyBorder="1"/>
    <xf numFmtId="4" fontId="6" fillId="2" borderId="14" xfId="2" applyNumberFormat="1" applyFont="1" applyFill="1" applyBorder="1"/>
    <xf numFmtId="4" fontId="6" fillId="2" borderId="0" xfId="0" applyNumberFormat="1" applyFont="1" applyFill="1"/>
    <xf numFmtId="4" fontId="6" fillId="13" borderId="0" xfId="0" applyNumberFormat="1" applyFont="1" applyFill="1"/>
    <xf numFmtId="4" fontId="6" fillId="13" borderId="0" xfId="2" applyNumberFormat="1" applyFont="1" applyFill="1"/>
    <xf numFmtId="4" fontId="29" fillId="0" borderId="0" xfId="0" applyNumberFormat="1" applyFont="1" applyAlignment="1">
      <alignment horizontal="center"/>
    </xf>
    <xf numFmtId="4" fontId="28" fillId="0" borderId="0" xfId="2" applyNumberFormat="1" applyFont="1"/>
    <xf numFmtId="4" fontId="28" fillId="2" borderId="1" xfId="0" applyNumberFormat="1" applyFont="1" applyFill="1" applyBorder="1"/>
    <xf numFmtId="4" fontId="28" fillId="2" borderId="2" xfId="0" applyNumberFormat="1" applyFont="1" applyFill="1" applyBorder="1"/>
    <xf numFmtId="4" fontId="28" fillId="14" borderId="2" xfId="0" applyNumberFormat="1" applyFont="1" applyFill="1" applyBorder="1"/>
    <xf numFmtId="189" fontId="13" fillId="0" borderId="0" xfId="0" applyNumberFormat="1" applyFont="1" applyAlignment="1">
      <alignment horizontal="left" vertical="center"/>
    </xf>
    <xf numFmtId="4" fontId="13" fillId="0" borderId="30" xfId="0" applyNumberFormat="1" applyFont="1" applyBorder="1" applyAlignment="1">
      <alignment horizontal="left" vertical="center"/>
    </xf>
    <xf numFmtId="4" fontId="0" fillId="16" borderId="0" xfId="0" applyNumberFormat="1" applyFill="1" applyAlignment="1">
      <alignment horizontal="left" vertical="center"/>
    </xf>
    <xf numFmtId="14" fontId="0" fillId="16" borderId="0" xfId="0" applyNumberFormat="1" applyFill="1" applyAlignment="1">
      <alignment horizontal="left" vertical="center"/>
    </xf>
    <xf numFmtId="177" fontId="0" fillId="10" borderId="0" xfId="0" applyNumberFormat="1" applyFill="1" applyAlignment="1">
      <alignment horizontal="left" vertical="center"/>
    </xf>
    <xf numFmtId="10" fontId="0" fillId="10" borderId="0" xfId="3" applyNumberFormat="1" applyFont="1" applyFill="1" applyAlignment="1">
      <alignment horizontal="left" vertical="center"/>
    </xf>
    <xf numFmtId="0" fontId="32" fillId="0" borderId="5" xfId="0" applyFont="1" applyBorder="1"/>
    <xf numFmtId="0" fontId="2" fillId="2" borderId="33" xfId="0" applyFont="1" applyFill="1" applyBorder="1" applyAlignment="1">
      <alignment horizontal="center"/>
    </xf>
    <xf numFmtId="0" fontId="2" fillId="2" borderId="34" xfId="0" applyFont="1" applyFill="1" applyBorder="1" applyAlignment="1">
      <alignment horizontal="center"/>
    </xf>
    <xf numFmtId="0" fontId="2" fillId="2" borderId="35" xfId="0" applyFont="1" applyFill="1" applyBorder="1" applyAlignment="1">
      <alignment horizontal="center"/>
    </xf>
    <xf numFmtId="0" fontId="32" fillId="0" borderId="7" xfId="0" applyFont="1" applyBorder="1"/>
    <xf numFmtId="0" fontId="32" fillId="0" borderId="18" xfId="0" applyFont="1" applyBorder="1"/>
    <xf numFmtId="0" fontId="0" fillId="0" borderId="36" xfId="0" applyBorder="1"/>
    <xf numFmtId="166" fontId="0" fillId="0" borderId="14" xfId="0" applyNumberFormat="1" applyBorder="1"/>
    <xf numFmtId="166" fontId="0" fillId="0" borderId="37" xfId="0" applyNumberFormat="1" applyBorder="1"/>
    <xf numFmtId="194" fontId="0" fillId="0" borderId="0" xfId="0" applyNumberFormat="1"/>
    <xf numFmtId="0" fontId="2" fillId="0" borderId="12" xfId="0" applyFont="1" applyBorder="1"/>
    <xf numFmtId="44" fontId="0" fillId="0" borderId="10" xfId="2" applyFont="1" applyBorder="1"/>
    <xf numFmtId="44" fontId="0" fillId="0" borderId="37" xfId="2" applyFont="1" applyBorder="1"/>
    <xf numFmtId="0" fontId="2" fillId="0" borderId="28" xfId="0" applyFont="1" applyBorder="1"/>
    <xf numFmtId="0" fontId="0" fillId="0" borderId="30" xfId="0" applyBorder="1"/>
    <xf numFmtId="0" fontId="2" fillId="0" borderId="11" xfId="0" applyFont="1" applyBorder="1"/>
    <xf numFmtId="0" fontId="0" fillId="0" borderId="25" xfId="0" applyBorder="1"/>
    <xf numFmtId="10" fontId="0" fillId="0" borderId="27" xfId="3" applyNumberFormat="1" applyFont="1" applyBorder="1"/>
    <xf numFmtId="0" fontId="0" fillId="0" borderId="38" xfId="0" applyBorder="1"/>
    <xf numFmtId="44" fontId="0" fillId="0" borderId="39" xfId="2" applyFont="1" applyBorder="1"/>
    <xf numFmtId="0" fontId="0" fillId="0" borderId="1" xfId="0" applyBorder="1"/>
    <xf numFmtId="166" fontId="0" fillId="0" borderId="2" xfId="0" applyNumberFormat="1" applyBorder="1"/>
    <xf numFmtId="166" fontId="0" fillId="0" borderId="0" xfId="0" applyNumberFormat="1"/>
    <xf numFmtId="0" fontId="0" fillId="15" borderId="0" xfId="0" applyFill="1"/>
    <xf numFmtId="0" fontId="32" fillId="0" borderId="1" xfId="0" applyFont="1" applyBorder="1"/>
    <xf numFmtId="0" fontId="32" fillId="0" borderId="2" xfId="0" applyFont="1" applyBorder="1"/>
    <xf numFmtId="44" fontId="0" fillId="0" borderId="40" xfId="2" applyFont="1" applyBorder="1"/>
    <xf numFmtId="0" fontId="2" fillId="0" borderId="5" xfId="0" applyFont="1" applyBorder="1"/>
    <xf numFmtId="0" fontId="2" fillId="0" borderId="16" xfId="0" applyFont="1" applyBorder="1"/>
    <xf numFmtId="0" fontId="0" fillId="0" borderId="9" xfId="0" applyBorder="1" applyAlignment="1">
      <alignment horizontal="center"/>
    </xf>
    <xf numFmtId="0" fontId="0" fillId="0" borderId="41" xfId="0" applyBorder="1" applyAlignment="1">
      <alignment horizontal="center"/>
    </xf>
    <xf numFmtId="0" fontId="8" fillId="0" borderId="0" xfId="0" applyFont="1" applyAlignment="1">
      <alignment horizontal="left"/>
    </xf>
    <xf numFmtId="0" fontId="0" fillId="17" borderId="1" xfId="0" applyFill="1" applyBorder="1"/>
    <xf numFmtId="0" fontId="0" fillId="17" borderId="26" xfId="0" applyFill="1" applyBorder="1"/>
    <xf numFmtId="0" fontId="0" fillId="17" borderId="2" xfId="0" applyFill="1" applyBorder="1"/>
    <xf numFmtId="0" fontId="0" fillId="17" borderId="5" xfId="0" applyFill="1" applyBorder="1"/>
    <xf numFmtId="0" fontId="0" fillId="17" borderId="15" xfId="0" applyFill="1" applyBorder="1"/>
    <xf numFmtId="0" fontId="0" fillId="17" borderId="15" xfId="0" applyFill="1" applyBorder="1" applyAlignment="1">
      <alignment horizontal="center"/>
    </xf>
    <xf numFmtId="0" fontId="0" fillId="17" borderId="6" xfId="0" applyFill="1" applyBorder="1"/>
    <xf numFmtId="0" fontId="11" fillId="17" borderId="16" xfId="0" applyFont="1" applyFill="1" applyBorder="1"/>
    <xf numFmtId="0" fontId="0" fillId="17" borderId="9" xfId="0" applyFill="1" applyBorder="1"/>
    <xf numFmtId="0" fontId="0" fillId="17" borderId="0" xfId="0" applyFill="1" applyAlignment="1">
      <alignment horizontal="center"/>
    </xf>
    <xf numFmtId="0" fontId="0" fillId="17" borderId="9" xfId="0" applyFill="1" applyBorder="1" applyAlignment="1">
      <alignment horizontal="center"/>
    </xf>
    <xf numFmtId="0" fontId="0" fillId="17" borderId="0" xfId="0" applyFill="1" applyAlignment="1">
      <alignment horizontal="right"/>
    </xf>
    <xf numFmtId="0" fontId="0" fillId="17" borderId="41" xfId="0" applyFill="1" applyBorder="1" applyAlignment="1">
      <alignment horizontal="center"/>
    </xf>
    <xf numFmtId="0" fontId="0" fillId="17" borderId="16" xfId="0" applyFill="1" applyBorder="1"/>
    <xf numFmtId="0" fontId="0" fillId="17" borderId="0" xfId="0" applyFill="1"/>
    <xf numFmtId="0" fontId="0" fillId="17" borderId="17" xfId="0" applyFill="1" applyBorder="1"/>
    <xf numFmtId="0" fontId="0" fillId="17" borderId="7" xfId="0" applyFill="1" applyBorder="1"/>
    <xf numFmtId="0" fontId="0" fillId="17" borderId="18" xfId="0" applyFill="1" applyBorder="1"/>
    <xf numFmtId="0" fontId="0" fillId="17" borderId="8" xfId="0" applyFill="1" applyBorder="1"/>
    <xf numFmtId="0" fontId="3" fillId="0" borderId="0" xfId="0" applyFont="1"/>
    <xf numFmtId="14" fontId="3" fillId="0" borderId="0" xfId="0" applyNumberFormat="1" applyFont="1"/>
    <xf numFmtId="0" fontId="3" fillId="0" borderId="9" xfId="0" applyFont="1" applyBorder="1"/>
    <xf numFmtId="0" fontId="3" fillId="0" borderId="0" xfId="0" applyFont="1" applyAlignment="1">
      <alignment horizontal="center"/>
    </xf>
    <xf numFmtId="0" fontId="33" fillId="0" borderId="0" xfId="0" applyFont="1"/>
    <xf numFmtId="44" fontId="0" fillId="0" borderId="6" xfId="2" applyFont="1" applyBorder="1"/>
    <xf numFmtId="9" fontId="0" fillId="0" borderId="26" xfId="0" applyNumberFormat="1" applyBorder="1"/>
    <xf numFmtId="0" fontId="0" fillId="0" borderId="2" xfId="0" applyBorder="1"/>
    <xf numFmtId="0" fontId="2" fillId="2" borderId="1" xfId="0" applyFont="1" applyFill="1" applyBorder="1" applyAlignment="1">
      <alignment horizontal="center"/>
    </xf>
    <xf numFmtId="0" fontId="2" fillId="2" borderId="19" xfId="0" applyFont="1" applyFill="1" applyBorder="1" applyAlignment="1">
      <alignment horizontal="center"/>
    </xf>
    <xf numFmtId="0" fontId="2" fillId="2" borderId="2" xfId="0" applyFont="1" applyFill="1" applyBorder="1" applyAlignment="1">
      <alignment horizontal="center"/>
    </xf>
    <xf numFmtId="14" fontId="0" fillId="0" borderId="1" xfId="0" applyNumberFormat="1" applyBorder="1"/>
    <xf numFmtId="44" fontId="0" fillId="0" borderId="19" xfId="2" applyFont="1" applyBorder="1"/>
    <xf numFmtId="195" fontId="0" fillId="0" borderId="2" xfId="0" applyNumberFormat="1" applyBorder="1"/>
    <xf numFmtId="14" fontId="0" fillId="0" borderId="16" xfId="0" applyNumberFormat="1" applyBorder="1"/>
    <xf numFmtId="44" fontId="0" fillId="0" borderId="42" xfId="2" applyFont="1" applyBorder="1"/>
    <xf numFmtId="9" fontId="0" fillId="0" borderId="17" xfId="0" applyNumberFormat="1" applyBorder="1"/>
    <xf numFmtId="9" fontId="0" fillId="0" borderId="2" xfId="0" applyNumberFormat="1" applyBorder="1"/>
    <xf numFmtId="14" fontId="0" fillId="0" borderId="7" xfId="0" applyNumberFormat="1" applyBorder="1"/>
    <xf numFmtId="44" fontId="0" fillId="0" borderId="24" xfId="2" applyFont="1" applyBorder="1"/>
    <xf numFmtId="9" fontId="0" fillId="0" borderId="8" xfId="0" applyNumberFormat="1" applyBorder="1"/>
    <xf numFmtId="0" fontId="2" fillId="2" borderId="0" xfId="0" applyFont="1" applyFill="1" applyAlignment="1">
      <alignment horizontal="center"/>
    </xf>
    <xf numFmtId="0" fontId="0" fillId="0" borderId="19" xfId="0" applyBorder="1"/>
    <xf numFmtId="44" fontId="0" fillId="0" borderId="30" xfId="2" applyFont="1" applyBorder="1"/>
    <xf numFmtId="44" fontId="0" fillId="0" borderId="0" xfId="2" applyFont="1" applyBorder="1"/>
    <xf numFmtId="44" fontId="0" fillId="0" borderId="27" xfId="2" applyFont="1" applyBorder="1"/>
    <xf numFmtId="2" fontId="0" fillId="0" borderId="0" xfId="0" applyNumberFormat="1"/>
    <xf numFmtId="166" fontId="2" fillId="0" borderId="0" xfId="0" applyNumberFormat="1" applyFont="1"/>
    <xf numFmtId="10" fontId="0" fillId="0" borderId="2" xfId="3" applyNumberFormat="1" applyFont="1" applyBorder="1"/>
    <xf numFmtId="0" fontId="8" fillId="2" borderId="0" xfId="0" applyFont="1" applyFill="1" applyAlignment="1">
      <alignment horizontal="left"/>
    </xf>
    <xf numFmtId="0" fontId="3" fillId="18" borderId="0" xfId="0" applyFont="1" applyFill="1"/>
    <xf numFmtId="196" fontId="0" fillId="0" borderId="0" xfId="0" applyNumberFormat="1"/>
    <xf numFmtId="0" fontId="8" fillId="2" borderId="14" xfId="0" applyFont="1" applyFill="1" applyBorder="1" applyAlignment="1">
      <alignment horizontal="left"/>
    </xf>
    <xf numFmtId="0" fontId="3" fillId="18" borderId="14" xfId="0" applyFont="1" applyFill="1" applyBorder="1"/>
    <xf numFmtId="14" fontId="0" fillId="0" borderId="0" xfId="0" applyNumberFormat="1"/>
    <xf numFmtId="0" fontId="3" fillId="0" borderId="14" xfId="0" applyFont="1" applyBorder="1"/>
    <xf numFmtId="196" fontId="3" fillId="0" borderId="14" xfId="0" applyNumberFormat="1" applyFont="1" applyBorder="1"/>
    <xf numFmtId="178" fontId="0" fillId="0" borderId="0" xfId="0" applyNumberFormat="1"/>
    <xf numFmtId="197" fontId="0" fillId="0" borderId="37" xfId="2" applyNumberFormat="1" applyFont="1" applyBorder="1"/>
    <xf numFmtId="172" fontId="0" fillId="15" borderId="0" xfId="3" applyNumberFormat="1" applyFont="1" applyFill="1"/>
    <xf numFmtId="0" fontId="2" fillId="0" borderId="0" xfId="0" applyFont="1" applyAlignment="1">
      <alignment horizontal="left"/>
    </xf>
    <xf numFmtId="0" fontId="2" fillId="18" borderId="14" xfId="0" applyFont="1" applyFill="1" applyBorder="1"/>
    <xf numFmtId="10" fontId="0" fillId="0" borderId="14" xfId="0" applyNumberFormat="1" applyBorder="1"/>
    <xf numFmtId="0" fontId="0" fillId="0" borderId="4" xfId="0" applyBorder="1"/>
    <xf numFmtId="0" fontId="2" fillId="0" borderId="3" xfId="0" applyFont="1" applyBorder="1"/>
    <xf numFmtId="44" fontId="34" fillId="0" borderId="0" xfId="2" applyFont="1" applyBorder="1"/>
    <xf numFmtId="0" fontId="0" fillId="18" borderId="0" xfId="0" applyFill="1"/>
    <xf numFmtId="166" fontId="34" fillId="0" borderId="0" xfId="0" applyNumberFormat="1" applyFont="1"/>
    <xf numFmtId="0" fontId="0" fillId="18" borderId="0" xfId="0" applyFill="1" applyAlignment="1">
      <alignment horizontal="center"/>
    </xf>
    <xf numFmtId="0" fontId="0" fillId="10" borderId="0" xfId="0" applyFill="1"/>
    <xf numFmtId="0" fontId="33" fillId="10" borderId="0" xfId="0" applyFont="1" applyFill="1"/>
    <xf numFmtId="177" fontId="13" fillId="0" borderId="0" xfId="0" applyNumberFormat="1" applyFont="1" applyAlignment="1">
      <alignment horizontal="left" vertical="center"/>
    </xf>
    <xf numFmtId="14" fontId="13" fillId="16" borderId="0" xfId="0" applyNumberFormat="1" applyFont="1" applyFill="1" applyAlignment="1">
      <alignment horizontal="left" vertical="center"/>
    </xf>
    <xf numFmtId="165" fontId="13" fillId="0" borderId="0" xfId="3" applyNumberFormat="1" applyFont="1" applyAlignment="1">
      <alignment horizontal="left" vertical="center"/>
    </xf>
    <xf numFmtId="165" fontId="28" fillId="2" borderId="2" xfId="3" applyNumberFormat="1" applyFont="1" applyFill="1" applyBorder="1"/>
    <xf numFmtId="164" fontId="28" fillId="14" borderId="1" xfId="0" applyNumberFormat="1" applyFont="1" applyFill="1" applyBorder="1"/>
    <xf numFmtId="164" fontId="28" fillId="14" borderId="26" xfId="0" applyNumberFormat="1" applyFont="1" applyFill="1" applyBorder="1"/>
    <xf numFmtId="164" fontId="13" fillId="0" borderId="0" xfId="0" applyNumberFormat="1" applyFont="1" applyAlignment="1">
      <alignment horizontal="left" vertical="center"/>
    </xf>
    <xf numFmtId="10" fontId="13" fillId="0" borderId="0" xfId="3" applyNumberFormat="1" applyFont="1" applyAlignment="1">
      <alignment horizontal="left" vertical="center"/>
    </xf>
    <xf numFmtId="184" fontId="13" fillId="0" borderId="0" xfId="0" applyNumberFormat="1" applyFont="1" applyAlignment="1">
      <alignment horizontal="left" vertical="center"/>
    </xf>
    <xf numFmtId="165" fontId="0" fillId="0" borderId="2" xfId="0" applyNumberFormat="1" applyBorder="1"/>
    <xf numFmtId="166" fontId="0" fillId="0" borderId="29" xfId="0" applyNumberFormat="1" applyBorder="1"/>
    <xf numFmtId="14" fontId="0" fillId="0" borderId="29" xfId="0" applyNumberFormat="1" applyBorder="1"/>
    <xf numFmtId="14" fontId="0" fillId="0" borderId="14" xfId="0" applyNumberFormat="1" applyBorder="1"/>
    <xf numFmtId="0" fontId="2" fillId="2" borderId="14" xfId="0" applyFont="1" applyFill="1" applyBorder="1" applyAlignment="1">
      <alignment horizontal="center"/>
    </xf>
    <xf numFmtId="0" fontId="0" fillId="0" borderId="1" xfId="0" applyBorder="1" applyAlignment="1">
      <alignment horizontal="right"/>
    </xf>
    <xf numFmtId="44" fontId="0" fillId="0" borderId="29" xfId="2" applyFont="1" applyBorder="1"/>
    <xf numFmtId="9" fontId="0" fillId="0" borderId="14" xfId="0" applyNumberFormat="1" applyBorder="1"/>
    <xf numFmtId="189" fontId="0" fillId="2" borderId="0" xfId="0" applyNumberFormat="1" applyFill="1" applyAlignment="1">
      <alignment horizontal="left" vertical="center"/>
    </xf>
    <xf numFmtId="44" fontId="0" fillId="2" borderId="0" xfId="2" applyFont="1" applyFill="1"/>
    <xf numFmtId="194" fontId="0" fillId="2" borderId="0" xfId="0" applyNumberFormat="1" applyFill="1"/>
    <xf numFmtId="0" fontId="0" fillId="0" borderId="26" xfId="0" applyBorder="1"/>
    <xf numFmtId="10" fontId="0" fillId="0" borderId="2" xfId="0" applyNumberFormat="1" applyBorder="1"/>
    <xf numFmtId="165" fontId="0" fillId="0" borderId="0" xfId="0" applyNumberFormat="1"/>
    <xf numFmtId="194" fontId="2" fillId="0" borderId="0" xfId="0" applyNumberFormat="1" applyFont="1"/>
    <xf numFmtId="0" fontId="2" fillId="19" borderId="14" xfId="0" applyFont="1" applyFill="1" applyBorder="1" applyAlignment="1">
      <alignment horizontal="center"/>
    </xf>
    <xf numFmtId="0" fontId="2" fillId="19" borderId="0" xfId="0" applyFont="1" applyFill="1" applyAlignment="1">
      <alignment horizontal="center"/>
    </xf>
    <xf numFmtId="10" fontId="2" fillId="0" borderId="0" xfId="3" applyNumberFormat="1" applyFont="1"/>
    <xf numFmtId="10" fontId="28" fillId="0" borderId="0" xfId="3" applyNumberFormat="1" applyFont="1"/>
    <xf numFmtId="10" fontId="28" fillId="0" borderId="2" xfId="3" applyNumberFormat="1" applyFont="1" applyFill="1" applyBorder="1"/>
    <xf numFmtId="165" fontId="28" fillId="0" borderId="0" xfId="3" applyNumberFormat="1" applyFont="1"/>
    <xf numFmtId="165" fontId="28" fillId="0" borderId="2" xfId="3" applyNumberFormat="1" applyFont="1" applyFill="1" applyBorder="1"/>
    <xf numFmtId="10" fontId="6" fillId="2" borderId="0" xfId="3" applyNumberFormat="1" applyFont="1" applyFill="1"/>
    <xf numFmtId="10" fontId="6" fillId="2" borderId="0" xfId="3" applyNumberFormat="1" applyFont="1" applyFill="1" applyBorder="1"/>
    <xf numFmtId="195" fontId="0" fillId="0" borderId="0" xfId="3" applyNumberFormat="1" applyFont="1" applyAlignment="1">
      <alignment horizontal="left" vertical="center"/>
    </xf>
    <xf numFmtId="10" fontId="0" fillId="2" borderId="0" xfId="3" applyNumberFormat="1" applyFont="1" applyFill="1" applyAlignment="1">
      <alignment horizontal="left" vertical="center"/>
    </xf>
    <xf numFmtId="2" fontId="0" fillId="0" borderId="0" xfId="0" applyNumberFormat="1" applyAlignment="1">
      <alignment horizontal="left" vertical="center"/>
    </xf>
    <xf numFmtId="4" fontId="20" fillId="0" borderId="14" xfId="0" applyNumberFormat="1" applyFont="1" applyBorder="1" applyAlignment="1">
      <alignment horizontal="left" vertical="center"/>
    </xf>
    <xf numFmtId="4" fontId="20" fillId="2" borderId="14" xfId="0" applyNumberFormat="1" applyFont="1" applyFill="1" applyBorder="1" applyAlignment="1">
      <alignment horizontal="left" vertical="center"/>
    </xf>
    <xf numFmtId="4" fontId="20" fillId="2" borderId="0" xfId="0" applyNumberFormat="1" applyFont="1" applyFill="1" applyAlignment="1">
      <alignment horizontal="left" vertical="center"/>
    </xf>
    <xf numFmtId="0" fontId="25" fillId="0" borderId="0" xfId="0" applyFont="1" applyAlignment="1">
      <alignment horizontal="left" vertical="center"/>
    </xf>
    <xf numFmtId="198" fontId="0" fillId="0" borderId="0" xfId="0" applyNumberFormat="1"/>
    <xf numFmtId="198" fontId="0" fillId="2" borderId="0" xfId="0" applyNumberFormat="1" applyFill="1"/>
    <xf numFmtId="4" fontId="28" fillId="2" borderId="0" xfId="0" applyNumberFormat="1" applyFont="1" applyFill="1"/>
    <xf numFmtId="4" fontId="28" fillId="2" borderId="0" xfId="2" applyNumberFormat="1" applyFont="1" applyFill="1"/>
    <xf numFmtId="193" fontId="0" fillId="0" borderId="0" xfId="3" applyNumberFormat="1" applyFont="1"/>
    <xf numFmtId="4" fontId="0" fillId="0" borderId="0" xfId="0" applyNumberFormat="1" applyAlignment="1">
      <alignment horizontal="center" vertical="center" wrapText="1"/>
    </xf>
    <xf numFmtId="4" fontId="0" fillId="0" borderId="9" xfId="0" applyNumberFormat="1" applyBorder="1" applyAlignment="1">
      <alignment horizontal="center" vertical="center" wrapText="1"/>
    </xf>
    <xf numFmtId="4" fontId="0" fillId="0" borderId="13" xfId="0" applyNumberFormat="1" applyBorder="1" applyAlignment="1">
      <alignment horizontal="center" wrapText="1"/>
    </xf>
    <xf numFmtId="4" fontId="0" fillId="0" borderId="0" xfId="0" applyNumberFormat="1" applyAlignment="1">
      <alignment horizontal="center" wrapText="1"/>
    </xf>
    <xf numFmtId="4" fontId="0" fillId="0" borderId="11" xfId="0" applyNumberFormat="1" applyBorder="1" applyAlignment="1">
      <alignment horizontal="center" wrapText="1"/>
    </xf>
    <xf numFmtId="4" fontId="0" fillId="0" borderId="3" xfId="0" applyNumberFormat="1" applyBorder="1" applyAlignment="1">
      <alignment horizontal="center" wrapText="1"/>
    </xf>
    <xf numFmtId="4" fontId="0" fillId="2" borderId="0" xfId="0" applyNumberFormat="1" applyFill="1" applyAlignment="1">
      <alignment horizontal="center"/>
    </xf>
    <xf numFmtId="4" fontId="0" fillId="0" borderId="0" xfId="0" applyNumberFormat="1" applyAlignment="1">
      <alignment horizontal="left" wrapText="1"/>
    </xf>
    <xf numFmtId="4" fontId="0" fillId="0" borderId="4" xfId="0" applyNumberFormat="1" applyBorder="1" applyAlignment="1">
      <alignment horizontal="left" wrapText="1"/>
    </xf>
    <xf numFmtId="4" fontId="0" fillId="0" borderId="12" xfId="0" applyNumberFormat="1" applyBorder="1" applyAlignment="1">
      <alignment horizontal="center" wrapText="1"/>
    </xf>
    <xf numFmtId="4" fontId="0" fillId="0" borderId="3" xfId="0" applyNumberFormat="1" applyBorder="1" applyAlignment="1">
      <alignment horizontal="center" vertical="center" wrapText="1"/>
    </xf>
    <xf numFmtId="187" fontId="0" fillId="2" borderId="0" xfId="0" applyNumberFormat="1" applyFill="1" applyAlignment="1">
      <alignment horizontal="center"/>
    </xf>
    <xf numFmtId="187" fontId="0" fillId="9" borderId="0" xfId="0" applyNumberFormat="1" applyFill="1" applyAlignment="1">
      <alignment horizontal="center"/>
    </xf>
    <xf numFmtId="4" fontId="20" fillId="0" borderId="4" xfId="0" applyNumberFormat="1" applyFont="1" applyBorder="1" applyAlignment="1">
      <alignment horizontal="left" vertical="top" wrapText="1"/>
    </xf>
    <xf numFmtId="4" fontId="20" fillId="0" borderId="4" xfId="0" applyNumberFormat="1" applyFont="1" applyBorder="1" applyAlignment="1">
      <alignment horizontal="left" vertical="center" wrapText="1"/>
    </xf>
    <xf numFmtId="4" fontId="19" fillId="0" borderId="4" xfId="0" applyNumberFormat="1" applyFont="1" applyBorder="1" applyAlignment="1">
      <alignment horizontal="center" wrapText="1"/>
    </xf>
    <xf numFmtId="4" fontId="19" fillId="0" borderId="4" xfId="0" applyNumberFormat="1" applyFont="1" applyBorder="1" applyAlignment="1">
      <alignment horizontal="center" vertical="center" wrapText="1"/>
    </xf>
    <xf numFmtId="4" fontId="19" fillId="0" borderId="0" xfId="0" applyNumberFormat="1" applyFont="1" applyAlignment="1">
      <alignment horizontal="center" vertical="center" wrapText="1"/>
    </xf>
    <xf numFmtId="4" fontId="0" fillId="2" borderId="0" xfId="0" applyNumberFormat="1" applyFill="1" applyAlignment="1">
      <alignment horizontal="center" vertical="center"/>
    </xf>
    <xf numFmtId="4" fontId="0" fillId="2" borderId="9" xfId="0" applyNumberFormat="1" applyFill="1" applyBorder="1" applyAlignment="1">
      <alignment horizontal="center" vertical="center"/>
    </xf>
    <xf numFmtId="4" fontId="0" fillId="0" borderId="0" xfId="0" applyNumberFormat="1" applyAlignment="1">
      <alignment horizontal="center" vertical="center"/>
    </xf>
    <xf numFmtId="4" fontId="19" fillId="0" borderId="13" xfId="0" applyNumberFormat="1" applyFont="1" applyBorder="1" applyAlignment="1">
      <alignment horizontal="center" vertical="center" wrapText="1"/>
    </xf>
    <xf numFmtId="4" fontId="19" fillId="0" borderId="0" xfId="0" applyNumberFormat="1" applyFont="1" applyAlignment="1">
      <alignment horizontal="center" wrapText="1"/>
    </xf>
    <xf numFmtId="4" fontId="19" fillId="2" borderId="0" xfId="0" applyNumberFormat="1" applyFont="1" applyFill="1" applyAlignment="1">
      <alignment horizontal="center" vertical="center" wrapText="1"/>
    </xf>
    <xf numFmtId="4" fontId="0" fillId="2" borderId="0" xfId="0" applyNumberFormat="1" applyFill="1" applyAlignment="1">
      <alignment horizontal="center" vertical="center" wrapText="1"/>
    </xf>
    <xf numFmtId="4" fontId="19" fillId="2" borderId="9" xfId="0" applyNumberFormat="1" applyFont="1" applyFill="1" applyBorder="1" applyAlignment="1">
      <alignment horizontal="center" vertical="center" wrapText="1"/>
    </xf>
    <xf numFmtId="4" fontId="0" fillId="2" borderId="9" xfId="0" applyNumberFormat="1" applyFill="1" applyBorder="1" applyAlignment="1">
      <alignment horizontal="center" vertical="center" wrapText="1"/>
    </xf>
    <xf numFmtId="4" fontId="19" fillId="2" borderId="13" xfId="0" applyNumberFormat="1" applyFont="1" applyFill="1" applyBorder="1" applyAlignment="1">
      <alignment horizontal="center" vertical="center" wrapText="1"/>
    </xf>
    <xf numFmtId="4" fontId="0" fillId="2" borderId="13" xfId="0" applyNumberFormat="1" applyFill="1" applyBorder="1" applyAlignment="1">
      <alignment horizontal="center" vertical="center"/>
    </xf>
    <xf numFmtId="4" fontId="19" fillId="2" borderId="0" xfId="0" applyNumberFormat="1" applyFont="1" applyFill="1" applyAlignment="1">
      <alignment horizontal="left" wrapText="1"/>
    </xf>
    <xf numFmtId="0" fontId="19" fillId="0" borderId="4" xfId="0" applyFont="1" applyBorder="1" applyAlignment="1">
      <alignment horizontal="left" vertical="center" wrapText="1"/>
    </xf>
    <xf numFmtId="0" fontId="19" fillId="0" borderId="4" xfId="0" applyFont="1" applyBorder="1" applyAlignment="1">
      <alignment horizontal="center" vertical="center" wrapText="1"/>
    </xf>
    <xf numFmtId="0" fontId="19" fillId="0" borderId="25" xfId="0" applyFont="1" applyBorder="1" applyAlignment="1">
      <alignment horizontal="center" vertical="center" wrapText="1"/>
    </xf>
    <xf numFmtId="4" fontId="0" fillId="0" borderId="12" xfId="0" applyNumberFormat="1" applyBorder="1" applyAlignment="1">
      <alignment horizontal="center" vertical="center"/>
    </xf>
    <xf numFmtId="4" fontId="0" fillId="0" borderId="10" xfId="0" applyNumberFormat="1" applyBorder="1" applyAlignment="1">
      <alignment horizontal="center" vertical="center"/>
    </xf>
    <xf numFmtId="4" fontId="0" fillId="0" borderId="28" xfId="0" applyNumberFormat="1" applyBorder="1" applyAlignment="1">
      <alignment horizontal="center" vertical="center" wrapText="1"/>
    </xf>
    <xf numFmtId="4" fontId="0" fillId="0" borderId="30" xfId="0" applyNumberFormat="1" applyBorder="1" applyAlignment="1">
      <alignment horizontal="center" vertical="center" wrapText="1"/>
    </xf>
    <xf numFmtId="4" fontId="0" fillId="0" borderId="28" xfId="0" applyNumberFormat="1" applyBorder="1" applyAlignment="1">
      <alignment horizontal="center" vertical="center"/>
    </xf>
    <xf numFmtId="4" fontId="0" fillId="0" borderId="27" xfId="0" applyNumberFormat="1" applyBorder="1" applyAlignment="1">
      <alignment horizontal="center" vertical="center"/>
    </xf>
    <xf numFmtId="4" fontId="20" fillId="0" borderId="4" xfId="0" applyNumberFormat="1"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top" wrapText="1"/>
    </xf>
    <xf numFmtId="0" fontId="16" fillId="0" borderId="0" xfId="0" applyFont="1" applyAlignment="1">
      <alignment horizontal="center" vertical="center" wrapText="1"/>
    </xf>
    <xf numFmtId="4" fontId="35" fillId="10" borderId="0" xfId="0" applyNumberFormat="1" applyFont="1" applyFill="1" applyAlignment="1">
      <alignment horizontal="center" vertical="center"/>
    </xf>
    <xf numFmtId="4" fontId="25" fillId="0" borderId="0" xfId="0" applyNumberFormat="1" applyFont="1" applyAlignment="1">
      <alignment horizontal="center" vertical="center" wrapText="1"/>
    </xf>
    <xf numFmtId="4" fontId="26" fillId="0" borderId="0" xfId="0" applyNumberFormat="1" applyFont="1" applyAlignment="1">
      <alignment horizontal="center" vertical="center" wrapText="1"/>
    </xf>
  </cellXfs>
  <cellStyles count="4">
    <cellStyle name="Comma" xfId="1" builtinId="3"/>
    <cellStyle name="Currency" xfId="2" builtinId="4"/>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45706461547798"/>
          <c:y val="0.13930555555555557"/>
          <c:w val="0.80926201963193911"/>
          <c:h val="0.72088764946048411"/>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NOTAS!$A$279:$A$292</c:f>
              <c:numCache>
                <c:formatCode>#,##0.00</c:formatCode>
                <c:ptCount val="14"/>
                <c:pt idx="0">
                  <c:v>0</c:v>
                </c:pt>
                <c:pt idx="1">
                  <c:v>0.5</c:v>
                </c:pt>
                <c:pt idx="2">
                  <c:v>1</c:v>
                </c:pt>
                <c:pt idx="3">
                  <c:v>2</c:v>
                </c:pt>
                <c:pt idx="4">
                  <c:v>3</c:v>
                </c:pt>
                <c:pt idx="5">
                  <c:v>3.55</c:v>
                </c:pt>
                <c:pt idx="6">
                  <c:v>4.3</c:v>
                </c:pt>
                <c:pt idx="7">
                  <c:v>5.05</c:v>
                </c:pt>
                <c:pt idx="8">
                  <c:v>5.8</c:v>
                </c:pt>
                <c:pt idx="9">
                  <c:v>6.55</c:v>
                </c:pt>
                <c:pt idx="10">
                  <c:v>7.3</c:v>
                </c:pt>
                <c:pt idx="11">
                  <c:v>8.0500000000000007</c:v>
                </c:pt>
                <c:pt idx="12">
                  <c:v>8.8000000000000007</c:v>
                </c:pt>
                <c:pt idx="13">
                  <c:v>9.5500000000000007</c:v>
                </c:pt>
              </c:numCache>
            </c:numRef>
          </c:xVal>
          <c:yVal>
            <c:numRef>
              <c:f>NOTAS!$B$279:$B$292</c:f>
              <c:numCache>
                <c:formatCode>#,##0.00</c:formatCode>
                <c:ptCount val="14"/>
                <c:pt idx="0">
                  <c:v>100000</c:v>
                </c:pt>
                <c:pt idx="1">
                  <c:v>105105.33133201649</c:v>
                </c:pt>
                <c:pt idx="2">
                  <c:v>110471.30674412969</c:v>
                </c:pt>
                <c:pt idx="3">
                  <c:v>122039.0961375559</c:v>
                </c:pt>
                <c:pt idx="4">
                  <c:v>134818.18424188267</c:v>
                </c:pt>
                <c:pt idx="5">
                  <c:v>142408.42846629553</c:v>
                </c:pt>
                <c:pt idx="6">
                  <c:v>153452.09156239996</c:v>
                </c:pt>
                <c:pt idx="7">
                  <c:v>165352.18215997861</c:v>
                </c:pt>
                <c:pt idx="8">
                  <c:v>178175.11554704761</c:v>
                </c:pt>
                <c:pt idx="9">
                  <c:v>191992.45746566006</c:v>
                </c:pt>
                <c:pt idx="10">
                  <c:v>206881.32352561897</c:v>
                </c:pt>
                <c:pt idx="11">
                  <c:v>222924.80959241348</c:v>
                </c:pt>
                <c:pt idx="12">
                  <c:v>240212.45555140611</c:v>
                </c:pt>
                <c:pt idx="13">
                  <c:v>258840.74503657199</c:v>
                </c:pt>
              </c:numCache>
            </c:numRef>
          </c:yVal>
          <c:smooth val="0"/>
          <c:extLst>
            <c:ext xmlns:c16="http://schemas.microsoft.com/office/drawing/2014/chart" uri="{C3380CC4-5D6E-409C-BE32-E72D297353CC}">
              <c16:uniqueId val="{00000000-AD7B-45ED-A46B-D1348DF2FED8}"/>
            </c:ext>
          </c:extLst>
        </c:ser>
        <c:dLbls>
          <c:showLegendKey val="0"/>
          <c:showVal val="0"/>
          <c:showCatName val="0"/>
          <c:showSerName val="0"/>
          <c:showPercent val="0"/>
          <c:showBubbleSize val="0"/>
        </c:dLbls>
        <c:axId val="333333856"/>
        <c:axId val="333337600"/>
      </c:scatterChart>
      <c:valAx>
        <c:axId val="333333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7600"/>
        <c:crosses val="autoZero"/>
        <c:crossBetween val="midCat"/>
      </c:valAx>
      <c:valAx>
        <c:axId val="33333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PRACTICAS!$Z$289</c:f>
              <c:strCache>
                <c:ptCount val="1"/>
                <c:pt idx="0">
                  <c:v>VAN 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PRACTICAS!$Y$290:$Y$297</c:f>
              <c:numCache>
                <c:formatCode>#,##0.0000</c:formatCode>
                <c:ptCount val="8"/>
                <c:pt idx="0">
                  <c:v>0.05</c:v>
                </c:pt>
                <c:pt idx="1">
                  <c:v>0.06</c:v>
                </c:pt>
                <c:pt idx="2">
                  <c:v>6.6509388692389981E-2</c:v>
                </c:pt>
                <c:pt idx="3">
                  <c:v>7.0919542586619144E-2</c:v>
                </c:pt>
                <c:pt idx="4">
                  <c:v>7.5606159995469158E-2</c:v>
                </c:pt>
                <c:pt idx="5">
                  <c:v>0.08</c:v>
                </c:pt>
                <c:pt idx="6">
                  <c:v>0.09</c:v>
                </c:pt>
                <c:pt idx="7">
                  <c:v>0.1</c:v>
                </c:pt>
              </c:numCache>
            </c:numRef>
          </c:cat>
          <c:val>
            <c:numRef>
              <c:f>PRACTICAS!$Z$290:$Z$297</c:f>
              <c:numCache>
                <c:formatCode>#,##0.00</c:formatCode>
                <c:ptCount val="8"/>
                <c:pt idx="0">
                  <c:v>10573.710101684526</c:v>
                </c:pt>
                <c:pt idx="1">
                  <c:v>6271.8961440361454</c:v>
                </c:pt>
                <c:pt idx="2">
                  <c:v>3592.7136871919793</c:v>
                </c:pt>
                <c:pt idx="3">
                  <c:v>1829.4149017949967</c:v>
                </c:pt>
                <c:pt idx="4">
                  <c:v>0</c:v>
                </c:pt>
                <c:pt idx="5">
                  <c:v>-1674.7233778851805</c:v>
                </c:pt>
                <c:pt idx="6">
                  <c:v>-5346.17595404241</c:v>
                </c:pt>
                <c:pt idx="7">
                  <c:v>-8832.6058205165318</c:v>
                </c:pt>
              </c:numCache>
            </c:numRef>
          </c:val>
          <c:smooth val="0"/>
          <c:extLst>
            <c:ext xmlns:c16="http://schemas.microsoft.com/office/drawing/2014/chart" uri="{C3380CC4-5D6E-409C-BE32-E72D297353CC}">
              <c16:uniqueId val="{00000000-F42D-4B81-90C0-D13B4037B76D}"/>
            </c:ext>
          </c:extLst>
        </c:ser>
        <c:ser>
          <c:idx val="1"/>
          <c:order val="1"/>
          <c:tx>
            <c:strRef>
              <c:f>PRACTICAS!$AA$289</c:f>
              <c:strCache>
                <c:ptCount val="1"/>
                <c:pt idx="0">
                  <c:v>VAN 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PRACTICAS!$Y$290:$Y$297</c:f>
              <c:numCache>
                <c:formatCode>#,##0.0000</c:formatCode>
                <c:ptCount val="8"/>
                <c:pt idx="0">
                  <c:v>0.05</c:v>
                </c:pt>
                <c:pt idx="1">
                  <c:v>0.06</c:v>
                </c:pt>
                <c:pt idx="2">
                  <c:v>6.6509388692389981E-2</c:v>
                </c:pt>
                <c:pt idx="3">
                  <c:v>7.0919542586619144E-2</c:v>
                </c:pt>
                <c:pt idx="4">
                  <c:v>7.5606159995469158E-2</c:v>
                </c:pt>
                <c:pt idx="5">
                  <c:v>0.08</c:v>
                </c:pt>
                <c:pt idx="6">
                  <c:v>0.09</c:v>
                </c:pt>
                <c:pt idx="7">
                  <c:v>0.1</c:v>
                </c:pt>
              </c:numCache>
            </c:numRef>
          </c:cat>
          <c:val>
            <c:numRef>
              <c:f>PRACTICAS!$AA$290:$AA$297</c:f>
              <c:numCache>
                <c:formatCode>#,##0.00</c:formatCode>
                <c:ptCount val="8"/>
                <c:pt idx="0">
                  <c:v>17840.357033285865</c:v>
                </c:pt>
                <c:pt idx="1">
                  <c:v>9056.3177351123886</c:v>
                </c:pt>
                <c:pt idx="2">
                  <c:v>3592.7136871919502</c:v>
                </c:pt>
                <c:pt idx="3">
                  <c:v>0</c:v>
                </c:pt>
                <c:pt idx="4">
                  <c:v>-3724.678144210251</c:v>
                </c:pt>
                <c:pt idx="5">
                  <c:v>-7131.8679534267576</c:v>
                </c:pt>
                <c:pt idx="6">
                  <c:v>-14592.462187071098</c:v>
                </c:pt>
                <c:pt idx="7">
                  <c:v>-21665.062619915494</c:v>
                </c:pt>
              </c:numCache>
            </c:numRef>
          </c:val>
          <c:smooth val="0"/>
          <c:extLst>
            <c:ext xmlns:c16="http://schemas.microsoft.com/office/drawing/2014/chart" uri="{C3380CC4-5D6E-409C-BE32-E72D297353CC}">
              <c16:uniqueId val="{00000001-F42D-4B81-90C0-D13B4037B76D}"/>
            </c:ext>
          </c:extLst>
        </c:ser>
        <c:dLbls>
          <c:showLegendKey val="0"/>
          <c:showVal val="0"/>
          <c:showCatName val="0"/>
          <c:showSerName val="0"/>
          <c:showPercent val="0"/>
          <c:showBubbleSize val="0"/>
        </c:dLbls>
        <c:marker val="1"/>
        <c:smooth val="0"/>
        <c:axId val="552673487"/>
        <c:axId val="552683055"/>
      </c:lineChart>
      <c:catAx>
        <c:axId val="552673487"/>
        <c:scaling>
          <c:orientation val="minMax"/>
        </c:scaling>
        <c:delete val="0"/>
        <c:axPos val="b"/>
        <c:numFmt formatCode="#,##0.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83055"/>
        <c:crosses val="autoZero"/>
        <c:auto val="1"/>
        <c:lblAlgn val="ctr"/>
        <c:lblOffset val="100"/>
        <c:noMultiLvlLbl val="0"/>
      </c:catAx>
      <c:valAx>
        <c:axId val="552683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7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PRACTICAS!$E$508</c:f>
              <c:strCache>
                <c:ptCount val="1"/>
                <c:pt idx="0">
                  <c:v>VAN A </c:v>
                </c:pt>
              </c:strCache>
            </c:strRef>
          </c:tx>
          <c:spPr>
            <a:ln w="19050" cap="rnd">
              <a:solidFill>
                <a:schemeClr val="accent1"/>
              </a:solidFill>
              <a:round/>
            </a:ln>
            <a:effectLst/>
          </c:spPr>
          <c:marker>
            <c:symbol val="none"/>
          </c:marker>
          <c:xVal>
            <c:numRef>
              <c:f>PRACTICAS!$D$509:$D$516</c:f>
              <c:numCache>
                <c:formatCode>0.00%</c:formatCode>
                <c:ptCount val="8"/>
                <c:pt idx="0">
                  <c:v>0</c:v>
                </c:pt>
                <c:pt idx="1">
                  <c:v>1.9634241999492597E-2</c:v>
                </c:pt>
                <c:pt idx="2">
                  <c:v>4.8416623456077668E-2</c:v>
                </c:pt>
                <c:pt idx="3">
                  <c:v>6.9634241999492599E-2</c:v>
                </c:pt>
                <c:pt idx="4">
                  <c:v>7.2124422450473791E-2</c:v>
                </c:pt>
                <c:pt idx="5">
                  <c:v>0.1196342419994926</c:v>
                </c:pt>
              </c:numCache>
            </c:numRef>
          </c:xVal>
          <c:yVal>
            <c:numRef>
              <c:f>PRACTICAS!$E$509:$E$516</c:f>
              <c:numCache>
                <c:formatCode>#,##0.00</c:formatCode>
                <c:ptCount val="8"/>
                <c:pt idx="0">
                  <c:v>98</c:v>
                </c:pt>
                <c:pt idx="1">
                  <c:v>47.828069986949885</c:v>
                </c:pt>
                <c:pt idx="2">
                  <c:v>1.6328272067767102E-11</c:v>
                </c:pt>
                <c:pt idx="3">
                  <c:v>-22.85980629413163</c:v>
                </c:pt>
                <c:pt idx="4">
                  <c:v>-25.056568118187798</c:v>
                </c:pt>
                <c:pt idx="5">
                  <c:v>-54.132377616492441</c:v>
                </c:pt>
              </c:numCache>
            </c:numRef>
          </c:yVal>
          <c:smooth val="1"/>
          <c:extLst>
            <c:ext xmlns:c16="http://schemas.microsoft.com/office/drawing/2014/chart" uri="{C3380CC4-5D6E-409C-BE32-E72D297353CC}">
              <c16:uniqueId val="{00000000-02C0-4144-8786-082C8E3D66CD}"/>
            </c:ext>
          </c:extLst>
        </c:ser>
        <c:ser>
          <c:idx val="1"/>
          <c:order val="1"/>
          <c:tx>
            <c:strRef>
              <c:f>PRACTICAS!$F$508</c:f>
              <c:strCache>
                <c:ptCount val="1"/>
                <c:pt idx="0">
                  <c:v>VAN B</c:v>
                </c:pt>
              </c:strCache>
            </c:strRef>
          </c:tx>
          <c:spPr>
            <a:ln w="19050" cap="rnd">
              <a:solidFill>
                <a:schemeClr val="accent2"/>
              </a:solidFill>
              <a:round/>
            </a:ln>
            <a:effectLst/>
          </c:spPr>
          <c:marker>
            <c:symbol val="none"/>
          </c:marker>
          <c:xVal>
            <c:numRef>
              <c:f>PRACTICAS!$D$509:$D$516</c:f>
              <c:numCache>
                <c:formatCode>0.00%</c:formatCode>
                <c:ptCount val="8"/>
                <c:pt idx="0">
                  <c:v>0</c:v>
                </c:pt>
                <c:pt idx="1">
                  <c:v>1.9634241999492597E-2</c:v>
                </c:pt>
                <c:pt idx="2">
                  <c:v>4.8416623456077668E-2</c:v>
                </c:pt>
                <c:pt idx="3">
                  <c:v>6.9634241999492599E-2</c:v>
                </c:pt>
                <c:pt idx="4">
                  <c:v>7.2124422450473791E-2</c:v>
                </c:pt>
                <c:pt idx="5">
                  <c:v>0.1196342419994926</c:v>
                </c:pt>
              </c:numCache>
            </c:numRef>
          </c:xVal>
          <c:yVal>
            <c:numRef>
              <c:f>PRACTICAS!$F$509:$F$516</c:f>
              <c:numCache>
                <c:formatCode>#,##0.00</c:formatCode>
                <c:ptCount val="8"/>
                <c:pt idx="0">
                  <c:v>73</c:v>
                </c:pt>
                <c:pt idx="1">
                  <c:v>47.828069986953494</c:v>
                </c:pt>
                <c:pt idx="2">
                  <c:v>18.685737447324456</c:v>
                </c:pt>
                <c:pt idx="3">
                  <c:v>1.7750639145182845</c:v>
                </c:pt>
                <c:pt idx="4">
                  <c:v>-3.8667735680064652E-11</c:v>
                </c:pt>
                <c:pt idx="5">
                  <c:v>-27.257145700064029</c:v>
                </c:pt>
              </c:numCache>
            </c:numRef>
          </c:yVal>
          <c:smooth val="1"/>
          <c:extLst>
            <c:ext xmlns:c16="http://schemas.microsoft.com/office/drawing/2014/chart" uri="{C3380CC4-5D6E-409C-BE32-E72D297353CC}">
              <c16:uniqueId val="{00000001-02C0-4144-8786-082C8E3D66CD}"/>
            </c:ext>
          </c:extLst>
        </c:ser>
        <c:dLbls>
          <c:showLegendKey val="0"/>
          <c:showVal val="0"/>
          <c:showCatName val="0"/>
          <c:showSerName val="0"/>
          <c:showPercent val="0"/>
          <c:showBubbleSize val="0"/>
        </c:dLbls>
        <c:axId val="936000720"/>
        <c:axId val="936002384"/>
      </c:scatterChart>
      <c:valAx>
        <c:axId val="936000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02384"/>
        <c:crosses val="autoZero"/>
        <c:crossBetween val="midCat"/>
      </c:valAx>
      <c:valAx>
        <c:axId val="936002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00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'[1]Ejercicio 1'!$I$2</c:f>
              <c:strCache>
                <c:ptCount val="1"/>
                <c:pt idx="0">
                  <c:v>VAN de 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'[1]Ejercicio 1'!$H$3:$H$23</c:f>
              <c:numCache>
                <c:formatCode>General</c:formatCode>
                <c:ptCount val="21"/>
                <c:pt idx="0">
                  <c:v>0</c:v>
                </c:pt>
                <c:pt idx="1">
                  <c:v>5.0000000000000001E-3</c:v>
                </c:pt>
                <c:pt idx="2">
                  <c:v>0.01</c:v>
                </c:pt>
                <c:pt idx="3">
                  <c:v>1.4999999999999999E-2</c:v>
                </c:pt>
                <c:pt idx="4">
                  <c:v>1.9634241999492597E-2</c:v>
                </c:pt>
                <c:pt idx="5">
                  <c:v>2.4634241999492597E-2</c:v>
                </c:pt>
                <c:pt idx="6">
                  <c:v>2.9634241999492598E-2</c:v>
                </c:pt>
                <c:pt idx="7">
                  <c:v>3.4634241999492596E-2</c:v>
                </c:pt>
                <c:pt idx="8">
                  <c:v>3.9634241999492593E-2</c:v>
                </c:pt>
                <c:pt idx="9">
                  <c:v>4.4634241999492591E-2</c:v>
                </c:pt>
                <c:pt idx="10">
                  <c:v>4.8416623456077668E-2</c:v>
                </c:pt>
                <c:pt idx="11">
                  <c:v>0.05</c:v>
                </c:pt>
                <c:pt idx="12">
                  <c:v>5.5E-2</c:v>
                </c:pt>
                <c:pt idx="13">
                  <c:v>0.06</c:v>
                </c:pt>
                <c:pt idx="14">
                  <c:v>6.5000000000000002E-2</c:v>
                </c:pt>
                <c:pt idx="15">
                  <c:v>7.2124422450473791E-2</c:v>
                </c:pt>
                <c:pt idx="16">
                  <c:v>0.08</c:v>
                </c:pt>
                <c:pt idx="17">
                  <c:v>8.5000000000000006E-2</c:v>
                </c:pt>
                <c:pt idx="18">
                  <c:v>9.0000000000000011E-2</c:v>
                </c:pt>
                <c:pt idx="19">
                  <c:v>9.5000000000000015E-2</c:v>
                </c:pt>
                <c:pt idx="20">
                  <c:v>0.10000000000000002</c:v>
                </c:pt>
              </c:numCache>
            </c:numRef>
          </c:xVal>
          <c:yVal>
            <c:numRef>
              <c:f>'[1]Ejercicio 1'!$I$3:$I$23</c:f>
              <c:numCache>
                <c:formatCode>General</c:formatCode>
                <c:ptCount val="21"/>
                <c:pt idx="0">
                  <c:v>98</c:v>
                </c:pt>
                <c:pt idx="1">
                  <c:v>83.443386160014597</c:v>
                </c:pt>
                <c:pt idx="2">
                  <c:v>70.182211865081769</c:v>
                </c:pt>
                <c:pt idx="3">
                  <c:v>58.090235747787005</c:v>
                </c:pt>
                <c:pt idx="4">
                  <c:v>47.828069986949885</c:v>
                </c:pt>
                <c:pt idx="5">
                  <c:v>37.680057052084521</c:v>
                </c:pt>
                <c:pt idx="6">
                  <c:v>28.401819514397147</c:v>
                </c:pt>
                <c:pt idx="7">
                  <c:v>19.910886852969853</c:v>
                </c:pt>
                <c:pt idx="8">
                  <c:v>12.13313934994892</c:v>
                </c:pt>
                <c:pt idx="9">
                  <c:v>5.0019177672972575</c:v>
                </c:pt>
                <c:pt idx="10">
                  <c:v>1.6328272067767102E-11</c:v>
                </c:pt>
                <c:pt idx="11">
                  <c:v>-2.0000000000000568</c:v>
                </c:pt>
                <c:pt idx="12">
                  <c:v>-7.9751912424641063</c:v>
                </c:pt>
                <c:pt idx="13">
                  <c:v>-13.469921218565318</c:v>
                </c:pt>
                <c:pt idx="14">
                  <c:v>-18.527760871044123</c:v>
                </c:pt>
                <c:pt idx="15">
                  <c:v>-25.056568118187798</c:v>
                </c:pt>
                <c:pt idx="16">
                  <c:v>-31.454442222347922</c:v>
                </c:pt>
                <c:pt idx="17">
                  <c:v>-35.121678126585238</c:v>
                </c:pt>
                <c:pt idx="18">
                  <c:v>-38.514182676343744</c:v>
                </c:pt>
                <c:pt idx="19">
                  <c:v>-41.655719525789699</c:v>
                </c:pt>
                <c:pt idx="20">
                  <c:v>-44.567818598792854</c:v>
                </c:pt>
              </c:numCache>
            </c:numRef>
          </c:yVal>
          <c:smooth val="1"/>
          <c:extLst>
            <c:ext xmlns:c16="http://schemas.microsoft.com/office/drawing/2014/chart" uri="{C3380CC4-5D6E-409C-BE32-E72D297353CC}">
              <c16:uniqueId val="{00000000-3A33-402C-83BD-5300208B0937}"/>
            </c:ext>
          </c:extLst>
        </c:ser>
        <c:ser>
          <c:idx val="1"/>
          <c:order val="1"/>
          <c:tx>
            <c:strRef>
              <c:f>'[1]Ejercicio 1'!$J$2</c:f>
              <c:strCache>
                <c:ptCount val="1"/>
                <c:pt idx="0">
                  <c:v>VAN de 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'[1]Ejercicio 1'!$H$3:$H$23</c:f>
              <c:numCache>
                <c:formatCode>General</c:formatCode>
                <c:ptCount val="21"/>
                <c:pt idx="0">
                  <c:v>0</c:v>
                </c:pt>
                <c:pt idx="1">
                  <c:v>5.0000000000000001E-3</c:v>
                </c:pt>
                <c:pt idx="2">
                  <c:v>0.01</c:v>
                </c:pt>
                <c:pt idx="3">
                  <c:v>1.4999999999999999E-2</c:v>
                </c:pt>
                <c:pt idx="4">
                  <c:v>1.9634241999492597E-2</c:v>
                </c:pt>
                <c:pt idx="5">
                  <c:v>2.4634241999492597E-2</c:v>
                </c:pt>
                <c:pt idx="6">
                  <c:v>2.9634241999492598E-2</c:v>
                </c:pt>
                <c:pt idx="7">
                  <c:v>3.4634241999492596E-2</c:v>
                </c:pt>
                <c:pt idx="8">
                  <c:v>3.9634241999492593E-2</c:v>
                </c:pt>
                <c:pt idx="9">
                  <c:v>4.4634241999492591E-2</c:v>
                </c:pt>
                <c:pt idx="10">
                  <c:v>4.8416623456077668E-2</c:v>
                </c:pt>
                <c:pt idx="11">
                  <c:v>0.05</c:v>
                </c:pt>
                <c:pt idx="12">
                  <c:v>5.5E-2</c:v>
                </c:pt>
                <c:pt idx="13">
                  <c:v>0.06</c:v>
                </c:pt>
                <c:pt idx="14">
                  <c:v>6.5000000000000002E-2</c:v>
                </c:pt>
                <c:pt idx="15">
                  <c:v>7.2124422450473791E-2</c:v>
                </c:pt>
                <c:pt idx="16">
                  <c:v>0.08</c:v>
                </c:pt>
                <c:pt idx="17">
                  <c:v>8.5000000000000006E-2</c:v>
                </c:pt>
                <c:pt idx="18">
                  <c:v>9.0000000000000011E-2</c:v>
                </c:pt>
                <c:pt idx="19">
                  <c:v>9.5000000000000015E-2</c:v>
                </c:pt>
                <c:pt idx="20">
                  <c:v>0.10000000000000002</c:v>
                </c:pt>
              </c:numCache>
            </c:numRef>
          </c:xVal>
          <c:yVal>
            <c:numRef>
              <c:f>'[1]Ejercicio 1'!$J$3:$J$23</c:f>
              <c:numCache>
                <c:formatCode>General</c:formatCode>
                <c:ptCount val="21"/>
                <c:pt idx="0">
                  <c:v>73</c:v>
                </c:pt>
                <c:pt idx="1">
                  <c:v>66.112883025503862</c:v>
                </c:pt>
                <c:pt idx="2">
                  <c:v>59.563479449560901</c:v>
                </c:pt>
                <c:pt idx="3">
                  <c:v>53.333107311126781</c:v>
                </c:pt>
                <c:pt idx="4">
                  <c:v>47.828069986953494</c:v>
                </c:pt>
                <c:pt idx="5">
                  <c:v>42.16386159198268</c:v>
                </c:pt>
                <c:pt idx="6">
                  <c:v>36.770245982450035</c:v>
                </c:pt>
                <c:pt idx="7">
                  <c:v>31.632581970927959</c:v>
                </c:pt>
                <c:pt idx="8">
                  <c:v>26.73709817153042</c:v>
                </c:pt>
                <c:pt idx="9">
                  <c:v>22.070837088651075</c:v>
                </c:pt>
                <c:pt idx="10">
                  <c:v>18.685737447324456</c:v>
                </c:pt>
                <c:pt idx="11">
                  <c:v>17.304337322961985</c:v>
                </c:pt>
                <c:pt idx="12">
                  <c:v>13.075251657177958</c:v>
                </c:pt>
                <c:pt idx="13">
                  <c:v>9.0401305771220137</c:v>
                </c:pt>
                <c:pt idx="14">
                  <c:v>5.1888302227611263</c:v>
                </c:pt>
                <c:pt idx="15">
                  <c:v>-3.8667735680064652E-11</c:v>
                </c:pt>
                <c:pt idx="16">
                  <c:v>-5.3550406994707771</c:v>
                </c:pt>
                <c:pt idx="17">
                  <c:v>-8.5613480583894415</c:v>
                </c:pt>
                <c:pt idx="18">
                  <c:v>-11.626486551738552</c:v>
                </c:pt>
                <c:pt idx="19">
                  <c:v>-14.55759606864325</c:v>
                </c:pt>
                <c:pt idx="20">
                  <c:v>-17.361417764261759</c:v>
                </c:pt>
              </c:numCache>
            </c:numRef>
          </c:yVal>
          <c:smooth val="1"/>
          <c:extLst>
            <c:ext xmlns:c16="http://schemas.microsoft.com/office/drawing/2014/chart" uri="{C3380CC4-5D6E-409C-BE32-E72D297353CC}">
              <c16:uniqueId val="{00000001-3A33-402C-83BD-5300208B0937}"/>
            </c:ext>
          </c:extLst>
        </c:ser>
        <c:dLbls>
          <c:showLegendKey val="0"/>
          <c:showVal val="0"/>
          <c:showCatName val="0"/>
          <c:showSerName val="0"/>
          <c:showPercent val="0"/>
          <c:showBubbleSize val="0"/>
        </c:dLbls>
        <c:axId val="1764980719"/>
        <c:axId val="1763140847"/>
      </c:scatterChart>
      <c:valAx>
        <c:axId val="1764980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40847"/>
        <c:crosses val="autoZero"/>
        <c:crossBetween val="midCat"/>
      </c:valAx>
      <c:valAx>
        <c:axId val="176314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80719"/>
        <c:crosses val="autoZero"/>
        <c:crossBetween val="midCat"/>
      </c:valAx>
      <c:spPr>
        <a:noFill/>
        <a:ln>
          <a:noFill/>
        </a:ln>
        <a:effectLst/>
      </c:spPr>
    </c:plotArea>
    <c:legend>
      <c:legendPos val="b"/>
      <c:layout>
        <c:manualLayout>
          <c:xMode val="edge"/>
          <c:yMode val="edge"/>
          <c:x val="0.1053562716050209"/>
          <c:y val="0.90335593467483233"/>
          <c:w val="0.238501092590795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PRACTICAS!$D$843:$D$862</c:f>
              <c:numCache>
                <c:formatCode>#,##0.00</c:formatCode>
                <c:ptCount val="2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0.1496456587581052</c:v>
                </c:pt>
                <c:pt idx="15">
                  <c:v>0.16</c:v>
                </c:pt>
                <c:pt idx="16">
                  <c:v>0.17</c:v>
                </c:pt>
                <c:pt idx="17">
                  <c:v>0.18</c:v>
                </c:pt>
                <c:pt idx="18">
                  <c:v>0.19</c:v>
                </c:pt>
                <c:pt idx="19">
                  <c:v>0.2</c:v>
                </c:pt>
              </c:numCache>
            </c:numRef>
          </c:xVal>
          <c:yVal>
            <c:numRef>
              <c:f>PRACTICAS!$E$843:$E$862</c:f>
              <c:numCache>
                <c:formatCode>#,##0.00</c:formatCode>
                <c:ptCount val="20"/>
                <c:pt idx="0">
                  <c:v>2329215.5621343413</c:v>
                </c:pt>
                <c:pt idx="1">
                  <c:v>2103189.3235867163</c:v>
                </c:pt>
                <c:pt idx="2">
                  <c:v>1888655.6925015589</c:v>
                </c:pt>
                <c:pt idx="3">
                  <c:v>1684904.4672334921</c:v>
                </c:pt>
                <c:pt idx="4">
                  <c:v>1491276.313427411</c:v>
                </c:pt>
                <c:pt idx="5">
                  <c:v>1307158.6507809013</c:v>
                </c:pt>
                <c:pt idx="6">
                  <c:v>1131981.9088415261</c:v>
                </c:pt>
                <c:pt idx="7">
                  <c:v>965216.11556598172</c:v>
                </c:pt>
                <c:pt idx="8">
                  <c:v>806367.78623605985</c:v>
                </c:pt>
                <c:pt idx="9">
                  <c:v>654977.08375029266</c:v>
                </c:pt>
                <c:pt idx="10">
                  <c:v>510615.22434461769</c:v>
                </c:pt>
                <c:pt idx="11">
                  <c:v>372882.10548790218</c:v>
                </c:pt>
                <c:pt idx="12">
                  <c:v>241404.13508969778</c:v>
                </c:pt>
                <c:pt idx="13">
                  <c:v>115832.24328437122</c:v>
                </c:pt>
                <c:pt idx="14">
                  <c:v>5.5879354476928711E-9</c:v>
                </c:pt>
                <c:pt idx="15">
                  <c:v>-118877.75720020197</c:v>
                </c:pt>
                <c:pt idx="16">
                  <c:v>-228607.05758403055</c:v>
                </c:pt>
                <c:pt idx="17">
                  <c:v>-333615.6081138216</c:v>
                </c:pt>
                <c:pt idx="18">
                  <c:v>-434154.39002857776</c:v>
                </c:pt>
                <c:pt idx="19">
                  <c:v>-530458.7922444893</c:v>
                </c:pt>
              </c:numCache>
            </c:numRef>
          </c:yVal>
          <c:smooth val="0"/>
          <c:extLst>
            <c:ext xmlns:c16="http://schemas.microsoft.com/office/drawing/2014/chart" uri="{C3380CC4-5D6E-409C-BE32-E72D297353CC}">
              <c16:uniqueId val="{00000000-3B81-4BE1-B3AA-A526A0F3D1F8}"/>
            </c:ext>
          </c:extLst>
        </c:ser>
        <c:dLbls>
          <c:showLegendKey val="0"/>
          <c:showVal val="0"/>
          <c:showCatName val="0"/>
          <c:showSerName val="0"/>
          <c:showPercent val="0"/>
          <c:showBubbleSize val="0"/>
        </c:dLbls>
        <c:axId val="1203291296"/>
        <c:axId val="1203293376"/>
      </c:scatterChart>
      <c:valAx>
        <c:axId val="1203291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93376"/>
        <c:crosses val="autoZero"/>
        <c:crossBetween val="midCat"/>
      </c:valAx>
      <c:valAx>
        <c:axId val="1203293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91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0" Type="http://schemas.openxmlformats.org/officeDocument/2006/relationships/customXml" Target="../ink/ink5.xml"/><Relationship Id="rId263" Type="http://schemas.openxmlformats.org/officeDocument/2006/relationships/image" Target="../media/image1.png"/><Relationship Id="rId1" Type="http://schemas.openxmlformats.org/officeDocument/2006/relationships/customXml" Target="../ink/ink1.xml"/><Relationship Id="rId11" Type="http://schemas.openxmlformats.org/officeDocument/2006/relationships/customXml" Target="../ink/ink2.xml"/><Relationship Id="rId24" Type="http://schemas.openxmlformats.org/officeDocument/2006/relationships/customXml" Target="../ink/ink3.xml"/><Relationship Id="rId259" Type="http://schemas.openxmlformats.org/officeDocument/2006/relationships/image" Target="../media/image118.png"/><Relationship Id="rId23" Type="http://schemas.openxmlformats.org/officeDocument/2006/relationships/chart" Target="../charts/chart1.xml"/><Relationship Id="rId262" Type="http://schemas.openxmlformats.org/officeDocument/2006/relationships/customXml" Target="../ink/ink6.xml"/><Relationship Id="rId10" Type="http://schemas.openxmlformats.org/officeDocument/2006/relationships/image" Target="../media/image5.emf"/><Relationship Id="rId258" Type="http://schemas.openxmlformats.org/officeDocument/2006/relationships/customXml" Target="../ink/ink4.xml"/><Relationship Id="rId261" Type="http://schemas.openxmlformats.org/officeDocument/2006/relationships/image" Target="../media/image119.png"/><Relationship Id="rId22" Type="http://schemas.openxmlformats.org/officeDocument/2006/relationships/image" Target="../media/image7.emf"/><Relationship Id="rId257" Type="http://schemas.openxmlformats.org/officeDocument/2006/relationships/image" Target="../media/image11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chart" Target="../charts/chart2.xml"/><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4.emf"/><Relationship Id="rId1" Type="http://schemas.openxmlformats.org/officeDocument/2006/relationships/image" Target="../media/image3.png"/><Relationship Id="rId6" Type="http://schemas.openxmlformats.org/officeDocument/2006/relationships/chart" Target="../charts/chart4.xml"/><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chart" Target="../charts/chart3.xml"/><Relationship Id="rId9" Type="http://schemas.openxmlformats.org/officeDocument/2006/relationships/image" Target="../media/image8.png"/><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3</xdr:col>
      <xdr:colOff>825500</xdr:colOff>
      <xdr:row>26</xdr:row>
      <xdr:rowOff>101600</xdr:rowOff>
    </xdr:from>
    <xdr:to>
      <xdr:col>4</xdr:col>
      <xdr:colOff>717550</xdr:colOff>
      <xdr:row>32</xdr:row>
      <xdr:rowOff>82550</xdr:rowOff>
    </xdr:to>
    <xdr:sp macro="" textlink="">
      <xdr:nvSpPr>
        <xdr:cNvPr id="2" name="Cerrar llave 1">
          <a:extLst>
            <a:ext uri="{FF2B5EF4-FFF2-40B4-BE49-F238E27FC236}">
              <a16:creationId xmlns:a16="http://schemas.microsoft.com/office/drawing/2014/main" id="{68E20FD0-1E8C-4E08-9909-51AD1070B350}"/>
            </a:ext>
          </a:extLst>
        </xdr:cNvPr>
        <xdr:cNvSpPr/>
      </xdr:nvSpPr>
      <xdr:spPr>
        <a:xfrm>
          <a:off x="5496560" y="101600"/>
          <a:ext cx="859790" cy="1123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4</xdr:col>
      <xdr:colOff>177800</xdr:colOff>
      <xdr:row>36</xdr:row>
      <xdr:rowOff>0</xdr:rowOff>
    </xdr:from>
    <xdr:to>
      <xdr:col>4</xdr:col>
      <xdr:colOff>393700</xdr:colOff>
      <xdr:row>37</xdr:row>
      <xdr:rowOff>0</xdr:rowOff>
    </xdr:to>
    <xdr:sp macro="" textlink="">
      <xdr:nvSpPr>
        <xdr:cNvPr id="3" name="Cerrar llave 3">
          <a:extLst>
            <a:ext uri="{FF2B5EF4-FFF2-40B4-BE49-F238E27FC236}">
              <a16:creationId xmlns:a16="http://schemas.microsoft.com/office/drawing/2014/main" id="{BEB1CA7B-6E92-4C74-B6AC-EAF1467FC105}"/>
            </a:ext>
          </a:extLst>
        </xdr:cNvPr>
        <xdr:cNvSpPr/>
      </xdr:nvSpPr>
      <xdr:spPr>
        <a:xfrm>
          <a:off x="5816600" y="1905000"/>
          <a:ext cx="215900" cy="190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4</xdr:col>
      <xdr:colOff>171450</xdr:colOff>
      <xdr:row>37</xdr:row>
      <xdr:rowOff>177800</xdr:rowOff>
    </xdr:from>
    <xdr:to>
      <xdr:col>4</xdr:col>
      <xdr:colOff>463550</xdr:colOff>
      <xdr:row>39</xdr:row>
      <xdr:rowOff>0</xdr:rowOff>
    </xdr:to>
    <xdr:sp macro="" textlink="">
      <xdr:nvSpPr>
        <xdr:cNvPr id="4" name="Cerrar llave 4">
          <a:extLst>
            <a:ext uri="{FF2B5EF4-FFF2-40B4-BE49-F238E27FC236}">
              <a16:creationId xmlns:a16="http://schemas.microsoft.com/office/drawing/2014/main" id="{868075B6-2A60-45E8-921C-CD264421DAA2}"/>
            </a:ext>
          </a:extLst>
        </xdr:cNvPr>
        <xdr:cNvSpPr/>
      </xdr:nvSpPr>
      <xdr:spPr>
        <a:xfrm>
          <a:off x="5810250" y="2273300"/>
          <a:ext cx="292100" cy="203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4</xdr:col>
      <xdr:colOff>165100</xdr:colOff>
      <xdr:row>39</xdr:row>
      <xdr:rowOff>0</xdr:rowOff>
    </xdr:from>
    <xdr:to>
      <xdr:col>4</xdr:col>
      <xdr:colOff>482600</xdr:colOff>
      <xdr:row>40</xdr:row>
      <xdr:rowOff>19050</xdr:rowOff>
    </xdr:to>
    <xdr:sp macro="" textlink="">
      <xdr:nvSpPr>
        <xdr:cNvPr id="5" name="Cerrar llave 5">
          <a:extLst>
            <a:ext uri="{FF2B5EF4-FFF2-40B4-BE49-F238E27FC236}">
              <a16:creationId xmlns:a16="http://schemas.microsoft.com/office/drawing/2014/main" id="{E472962A-3A08-4E45-BA0B-C6B1440E0EC5}"/>
            </a:ext>
          </a:extLst>
        </xdr:cNvPr>
        <xdr:cNvSpPr/>
      </xdr:nvSpPr>
      <xdr:spPr>
        <a:xfrm>
          <a:off x="5803900" y="2476500"/>
          <a:ext cx="317500" cy="2095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753882</xdr:colOff>
      <xdr:row>34</xdr:row>
      <xdr:rowOff>190497</xdr:rowOff>
    </xdr:from>
    <xdr:to>
      <xdr:col>3</xdr:col>
      <xdr:colOff>754242</xdr:colOff>
      <xdr:row>34</xdr:row>
      <xdr:rowOff>190857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39">
              <a:extLst>
                <a:ext uri="{FF2B5EF4-FFF2-40B4-BE49-F238E27FC236}">
                  <a16:creationId xmlns:a16="http://schemas.microsoft.com/office/drawing/2014/main" id="{DE670D94-7A90-47F4-95EE-454354CF53AD}"/>
                </a:ext>
              </a:extLst>
            </xdr14:cNvPr>
            <xdr14:cNvContentPartPr/>
          </xdr14:nvContentPartPr>
          <xdr14:nvPr macro=""/>
          <xdr14:xfrm>
            <a:off x="4881382" y="1777997"/>
            <a:ext cx="360" cy="360"/>
          </xdr14:xfrm>
        </xdr:contentPart>
      </mc:Choice>
      <mc:Fallback xmlns="">
        <xdr:pic>
          <xdr:nvPicPr>
            <xdr:cNvPr id="40" name="Entrada de lápiz 39"/>
            <xdr:cNvPicPr/>
          </xdr:nvPicPr>
          <xdr:blipFill>
            <a:blip xmlns:r="http://schemas.openxmlformats.org/officeDocument/2006/relationships" r:embed="rId10"/>
            <a:stretch>
              <a:fillRect/>
            </a:stretch>
          </xdr:blipFill>
          <xdr:spPr>
            <a:xfrm>
              <a:off x="4869502" y="1766117"/>
              <a:ext cx="24120" cy="24120"/>
            </a:xfrm>
            <a:prstGeom prst="rect">
              <a:avLst/>
            </a:prstGeom>
          </xdr:spPr>
        </xdr:pic>
      </mc:Fallback>
    </mc:AlternateContent>
    <xdr:clientData/>
  </xdr:twoCellAnchor>
  <xdr:twoCellAnchor>
    <xdr:from>
      <xdr:col>3</xdr:col>
      <xdr:colOff>762866</xdr:colOff>
      <xdr:row>36</xdr:row>
      <xdr:rowOff>3766</xdr:rowOff>
    </xdr:from>
    <xdr:to>
      <xdr:col>3</xdr:col>
      <xdr:colOff>766466</xdr:colOff>
      <xdr:row>36</xdr:row>
      <xdr:rowOff>8474</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Entrada de lápiz 25">
              <a:extLst>
                <a:ext uri="{FF2B5EF4-FFF2-40B4-BE49-F238E27FC236}">
                  <a16:creationId xmlns:a16="http://schemas.microsoft.com/office/drawing/2014/main" id="{E1F65654-E0AE-411E-B9FE-C207A099FD9E}"/>
                </a:ext>
              </a:extLst>
            </xdr14:cNvPr>
            <xdr14:cNvContentPartPr/>
          </xdr14:nvContentPartPr>
          <xdr14:nvPr macro=""/>
          <xdr14:xfrm>
            <a:off x="5298231" y="1982035"/>
            <a:ext cx="3600" cy="4708"/>
          </xdr14:xfrm>
        </xdr:contentPart>
      </mc:Choice>
      <mc:Fallback xmlns="">
        <xdr:pic>
          <xdr:nvPicPr>
            <xdr:cNvPr id="26" name="Entrada de lápiz 25"/>
            <xdr:cNvPicPr/>
          </xdr:nvPicPr>
          <xdr:blipFill>
            <a:blip xmlns:r="http://schemas.openxmlformats.org/officeDocument/2006/relationships" r:embed="rId22"/>
            <a:stretch>
              <a:fillRect/>
            </a:stretch>
          </xdr:blipFill>
          <xdr:spPr>
            <a:xfrm>
              <a:off x="5293191" y="1976965"/>
              <a:ext cx="14760" cy="15935"/>
            </a:xfrm>
            <a:prstGeom prst="rect">
              <a:avLst/>
            </a:prstGeom>
          </xdr:spPr>
        </xdr:pic>
      </mc:Fallback>
    </mc:AlternateContent>
    <xdr:clientData/>
  </xdr:twoCellAnchor>
  <xdr:twoCellAnchor>
    <xdr:from>
      <xdr:col>5</xdr:col>
      <xdr:colOff>57150</xdr:colOff>
      <xdr:row>66</xdr:row>
      <xdr:rowOff>139700</xdr:rowOff>
    </xdr:from>
    <xdr:to>
      <xdr:col>5</xdr:col>
      <xdr:colOff>714248</xdr:colOff>
      <xdr:row>74</xdr:row>
      <xdr:rowOff>88900</xdr:rowOff>
    </xdr:to>
    <xdr:sp macro="" textlink="">
      <xdr:nvSpPr>
        <xdr:cNvPr id="11" name="Cerrar llave 1">
          <a:extLst>
            <a:ext uri="{FF2B5EF4-FFF2-40B4-BE49-F238E27FC236}">
              <a16:creationId xmlns:a16="http://schemas.microsoft.com/office/drawing/2014/main" id="{C4B62725-4ED3-4014-9586-49FB7C77B2A3}"/>
            </a:ext>
          </a:extLst>
        </xdr:cNvPr>
        <xdr:cNvSpPr/>
      </xdr:nvSpPr>
      <xdr:spPr>
        <a:xfrm>
          <a:off x="6595110" y="139700"/>
          <a:ext cx="657098" cy="1457960"/>
        </a:xfrm>
        <a:prstGeom prst="righ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5</xdr:col>
      <xdr:colOff>76200</xdr:colOff>
      <xdr:row>75</xdr:row>
      <xdr:rowOff>101600</xdr:rowOff>
    </xdr:from>
    <xdr:to>
      <xdr:col>5</xdr:col>
      <xdr:colOff>438150</xdr:colOff>
      <xdr:row>78</xdr:row>
      <xdr:rowOff>50800</xdr:rowOff>
    </xdr:to>
    <xdr:sp macro="" textlink="">
      <xdr:nvSpPr>
        <xdr:cNvPr id="12" name="Cerrar llave 2">
          <a:extLst>
            <a:ext uri="{FF2B5EF4-FFF2-40B4-BE49-F238E27FC236}">
              <a16:creationId xmlns:a16="http://schemas.microsoft.com/office/drawing/2014/main" id="{479947AF-1918-4051-BAF4-BFC194A5AFE2}"/>
            </a:ext>
          </a:extLst>
        </xdr:cNvPr>
        <xdr:cNvSpPr/>
      </xdr:nvSpPr>
      <xdr:spPr>
        <a:xfrm>
          <a:off x="6614160" y="1793240"/>
          <a:ext cx="361950" cy="4978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oneCellAnchor>
    <xdr:from>
      <xdr:col>1</xdr:col>
      <xdr:colOff>111017</xdr:colOff>
      <xdr:row>245</xdr:row>
      <xdr:rowOff>28288</xdr:rowOff>
    </xdr:from>
    <xdr:ext cx="1339561" cy="172488"/>
    <mc:AlternateContent xmlns:mc="http://schemas.openxmlformats.org/markup-compatibility/2006" xmlns:a14="http://schemas.microsoft.com/office/drawing/2010/main">
      <mc:Choice Requires="a14">
        <xdr:sp macro="" textlink="">
          <xdr:nvSpPr>
            <xdr:cNvPr id="8" name="CuadroTexto 1">
              <a:extLst>
                <a:ext uri="{FF2B5EF4-FFF2-40B4-BE49-F238E27FC236}">
                  <a16:creationId xmlns:a16="http://schemas.microsoft.com/office/drawing/2014/main" id="{6BB7041F-9758-4415-9C2F-6436CE7F0D6F}"/>
                </a:ext>
              </a:extLst>
            </xdr:cNvPr>
            <xdr:cNvSpPr txBox="1"/>
          </xdr:nvSpPr>
          <xdr:spPr>
            <a:xfrm rot="10800000" flipH="1" flipV="1">
              <a:off x="4911617" y="394048"/>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8" name="CuadroTexto 1">
              <a:extLst>
                <a:ext uri="{FF2B5EF4-FFF2-40B4-BE49-F238E27FC236}">
                  <a16:creationId xmlns:a16="http://schemas.microsoft.com/office/drawing/2014/main" id="{6BB7041F-9758-4415-9C2F-6436CE7F0D6F}"/>
                </a:ext>
              </a:extLst>
            </xdr:cNvPr>
            <xdr:cNvSpPr txBox="1"/>
          </xdr:nvSpPr>
          <xdr:spPr>
            <a:xfrm rot="10800000" flipH="1" flipV="1">
              <a:off x="4911617" y="394048"/>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endParaRPr lang="en-US" sz="1100"/>
            </a:p>
          </xdr:txBody>
        </xdr:sp>
      </mc:Fallback>
    </mc:AlternateContent>
    <xdr:clientData/>
  </xdr:oneCellAnchor>
  <xdr:oneCellAnchor>
    <xdr:from>
      <xdr:col>2</xdr:col>
      <xdr:colOff>390525</xdr:colOff>
      <xdr:row>245</xdr:row>
      <xdr:rowOff>9525</xdr:rowOff>
    </xdr:from>
    <xdr:ext cx="253403" cy="172227"/>
    <mc:AlternateContent xmlns:mc="http://schemas.openxmlformats.org/markup-compatibility/2006" xmlns:a14="http://schemas.microsoft.com/office/drawing/2010/main">
      <mc:Choice Requires="a14">
        <xdr:sp macro="" textlink="">
          <xdr:nvSpPr>
            <xdr:cNvPr id="9" name="CuadroTexto 2">
              <a:extLst>
                <a:ext uri="{FF2B5EF4-FFF2-40B4-BE49-F238E27FC236}">
                  <a16:creationId xmlns:a16="http://schemas.microsoft.com/office/drawing/2014/main" id="{FB2787AF-9750-4D08-9341-7619464E6172}"/>
                </a:ext>
              </a:extLst>
            </xdr:cNvPr>
            <xdr:cNvSpPr txBox="1"/>
          </xdr:nvSpPr>
          <xdr:spPr>
            <a:xfrm>
              <a:off x="6958965" y="37528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9" name="CuadroTexto 2">
              <a:extLst>
                <a:ext uri="{FF2B5EF4-FFF2-40B4-BE49-F238E27FC236}">
                  <a16:creationId xmlns:a16="http://schemas.microsoft.com/office/drawing/2014/main" id="{FB2787AF-9750-4D08-9341-7619464E6172}"/>
                </a:ext>
              </a:extLst>
            </xdr:cNvPr>
            <xdr:cNvSpPr txBox="1"/>
          </xdr:nvSpPr>
          <xdr:spPr>
            <a:xfrm>
              <a:off x="6958965" y="37528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AR" sz="1100" b="0" i="0">
                  <a:latin typeface="Cambria Math" panose="02040503050406030204" pitchFamily="18" charset="0"/>
                </a:rPr>
                <a:t>𝑖 𝐶_0</a:t>
              </a:r>
              <a:endParaRPr lang="en-US" sz="1100"/>
            </a:p>
          </xdr:txBody>
        </xdr:sp>
      </mc:Fallback>
    </mc:AlternateContent>
    <xdr:clientData/>
  </xdr:oneCellAnchor>
  <xdr:oneCellAnchor>
    <xdr:from>
      <xdr:col>3</xdr:col>
      <xdr:colOff>409575</xdr:colOff>
      <xdr:row>245</xdr:row>
      <xdr:rowOff>19050</xdr:rowOff>
    </xdr:from>
    <xdr:ext cx="611001" cy="180975"/>
    <mc:AlternateContent xmlns:mc="http://schemas.openxmlformats.org/markup-compatibility/2006" xmlns:a14="http://schemas.microsoft.com/office/drawing/2010/main">
      <mc:Choice Requires="a14">
        <xdr:sp macro="" textlink="">
          <xdr:nvSpPr>
            <xdr:cNvPr id="10" name="CuadroTexto 3">
              <a:extLst>
                <a:ext uri="{FF2B5EF4-FFF2-40B4-BE49-F238E27FC236}">
                  <a16:creationId xmlns:a16="http://schemas.microsoft.com/office/drawing/2014/main" id="{5CAEEF6C-EC7E-4FA7-8D84-37B87F40A4C4}"/>
                </a:ext>
              </a:extLst>
            </xdr:cNvPr>
            <xdr:cNvSpPr txBox="1"/>
          </xdr:nvSpPr>
          <xdr:spPr>
            <a:xfrm>
              <a:off x="8585835" y="38481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oMath>
                </m:oMathPara>
              </a14:m>
              <a:endParaRPr lang="es-AR" sz="1100" b="0"/>
            </a:p>
            <a:p>
              <a:endParaRPr lang="es-AR" sz="1100" b="0"/>
            </a:p>
            <a:p>
              <a:endParaRPr lang="en-US" sz="1100"/>
            </a:p>
          </xdr:txBody>
        </xdr:sp>
      </mc:Choice>
      <mc:Fallback xmlns="">
        <xdr:sp macro="" textlink="">
          <xdr:nvSpPr>
            <xdr:cNvPr id="10" name="CuadroTexto 3">
              <a:extLst>
                <a:ext uri="{FF2B5EF4-FFF2-40B4-BE49-F238E27FC236}">
                  <a16:creationId xmlns:a16="http://schemas.microsoft.com/office/drawing/2014/main" id="{5CAEEF6C-EC7E-4FA7-8D84-37B87F40A4C4}"/>
                </a:ext>
              </a:extLst>
            </xdr:cNvPr>
            <xdr:cNvSpPr txBox="1"/>
          </xdr:nvSpPr>
          <xdr:spPr>
            <a:xfrm>
              <a:off x="8585835" y="38481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(1+𝑖)</a:t>
              </a:r>
              <a:endParaRPr lang="es-AR" sz="1100" b="0"/>
            </a:p>
            <a:p>
              <a:endParaRPr lang="es-AR" sz="1100" b="0"/>
            </a:p>
            <a:p>
              <a:endParaRPr lang="en-US" sz="1100"/>
            </a:p>
          </xdr:txBody>
        </xdr:sp>
      </mc:Fallback>
    </mc:AlternateContent>
    <xdr:clientData/>
  </xdr:oneCellAnchor>
  <xdr:oneCellAnchor>
    <xdr:from>
      <xdr:col>1</xdr:col>
      <xdr:colOff>133350</xdr:colOff>
      <xdr:row>246</xdr:row>
      <xdr:rowOff>19051</xdr:rowOff>
    </xdr:from>
    <xdr:ext cx="742950" cy="190500"/>
    <mc:AlternateContent xmlns:mc="http://schemas.openxmlformats.org/markup-compatibility/2006" xmlns:a14="http://schemas.microsoft.com/office/drawing/2010/main">
      <mc:Choice Requires="a14">
        <xdr:sp macro="" textlink="">
          <xdr:nvSpPr>
            <xdr:cNvPr id="13" name="CuadroTexto 4">
              <a:extLst>
                <a:ext uri="{FF2B5EF4-FFF2-40B4-BE49-F238E27FC236}">
                  <a16:creationId xmlns:a16="http://schemas.microsoft.com/office/drawing/2014/main" id="{2F167216-0A2A-400D-ADB9-64B844882873}"/>
                </a:ext>
              </a:extLst>
            </xdr:cNvPr>
            <xdr:cNvSpPr txBox="1"/>
          </xdr:nvSpPr>
          <xdr:spPr>
            <a:xfrm>
              <a:off x="4933950" y="56769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13" name="CuadroTexto 4">
              <a:extLst>
                <a:ext uri="{FF2B5EF4-FFF2-40B4-BE49-F238E27FC236}">
                  <a16:creationId xmlns:a16="http://schemas.microsoft.com/office/drawing/2014/main" id="{2F167216-0A2A-400D-ADB9-64B844882873}"/>
                </a:ext>
              </a:extLst>
            </xdr:cNvPr>
            <xdr:cNvSpPr txBox="1"/>
          </xdr:nvSpPr>
          <xdr:spPr>
            <a:xfrm>
              <a:off x="4933950" y="56769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a:t>
              </a:r>
              <a:r>
                <a:rPr lang="en-US" sz="1100" b="0" i="0">
                  <a:latin typeface="Cambria Math" panose="02040503050406030204" pitchFamily="18" charset="0"/>
                </a:rPr>
                <a:t>)</a:t>
              </a:r>
              <a:r>
                <a:rPr lang="es-AR" sz="1100" b="0" i="0">
                  <a:latin typeface="Cambria Math" panose="02040503050406030204" pitchFamily="18" charset="0"/>
                </a:rPr>
                <a:t> (1+𝑖)</a:t>
              </a:r>
              <a:endParaRPr lang="es-AR" sz="1100" b="0"/>
            </a:p>
            <a:p>
              <a:endParaRPr lang="en-US" sz="1100"/>
            </a:p>
          </xdr:txBody>
        </xdr:sp>
      </mc:Fallback>
    </mc:AlternateContent>
    <xdr:clientData/>
  </xdr:oneCellAnchor>
  <xdr:oneCellAnchor>
    <xdr:from>
      <xdr:col>2</xdr:col>
      <xdr:colOff>47624</xdr:colOff>
      <xdr:row>246</xdr:row>
      <xdr:rowOff>19050</xdr:rowOff>
    </xdr:from>
    <xdr:ext cx="1133475" cy="180975"/>
    <mc:AlternateContent xmlns:mc="http://schemas.openxmlformats.org/markup-compatibility/2006" xmlns:a14="http://schemas.microsoft.com/office/drawing/2010/main">
      <mc:Choice Requires="a14">
        <xdr:sp macro="" textlink="">
          <xdr:nvSpPr>
            <xdr:cNvPr id="14" name="CuadroTexto 5">
              <a:extLst>
                <a:ext uri="{FF2B5EF4-FFF2-40B4-BE49-F238E27FC236}">
                  <a16:creationId xmlns:a16="http://schemas.microsoft.com/office/drawing/2014/main" id="{E640DE9F-1C17-4BBE-A572-38F87063592C}"/>
                </a:ext>
              </a:extLst>
            </xdr:cNvPr>
            <xdr:cNvSpPr txBox="1"/>
          </xdr:nvSpPr>
          <xdr:spPr>
            <a:xfrm>
              <a:off x="6616064" y="56769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14" name="CuadroTexto 5">
              <a:extLst>
                <a:ext uri="{FF2B5EF4-FFF2-40B4-BE49-F238E27FC236}">
                  <a16:creationId xmlns:a16="http://schemas.microsoft.com/office/drawing/2014/main" id="{E640DE9F-1C17-4BBE-A572-38F87063592C}"/>
                </a:ext>
              </a:extLst>
            </xdr:cNvPr>
            <xdr:cNvSpPr txBox="1"/>
          </xdr:nvSpPr>
          <xdr:spPr>
            <a:xfrm>
              <a:off x="6616064" y="56769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AR" sz="1100" b="0" i="0">
                  <a:latin typeface="Cambria Math" panose="02040503050406030204" pitchFamily="18" charset="0"/>
                </a:rPr>
                <a:t>𝑖 𝐶_(0  ) (1+𝑖)</a:t>
              </a:r>
              <a:endParaRPr lang="es-AR" sz="1100" b="0"/>
            </a:p>
            <a:p>
              <a:endParaRPr lang="en-US" sz="1100"/>
            </a:p>
          </xdr:txBody>
        </xdr:sp>
      </mc:Fallback>
    </mc:AlternateContent>
    <xdr:clientData/>
  </xdr:oneCellAnchor>
  <xdr:oneCellAnchor>
    <xdr:from>
      <xdr:col>3</xdr:col>
      <xdr:colOff>209550</xdr:colOff>
      <xdr:row>246</xdr:row>
      <xdr:rowOff>19049</xdr:rowOff>
    </xdr:from>
    <xdr:ext cx="2857500" cy="200025"/>
    <mc:AlternateContent xmlns:mc="http://schemas.openxmlformats.org/markup-compatibility/2006" xmlns:a14="http://schemas.microsoft.com/office/drawing/2010/main">
      <mc:Choice Requires="a14">
        <xdr:sp macro="" textlink="">
          <xdr:nvSpPr>
            <xdr:cNvPr id="15" name="CuadroTexto 6">
              <a:extLst>
                <a:ext uri="{FF2B5EF4-FFF2-40B4-BE49-F238E27FC236}">
                  <a16:creationId xmlns:a16="http://schemas.microsoft.com/office/drawing/2014/main" id="{B9E63C92-6EBE-489C-8C58-BD027238BFAB}"/>
                </a:ext>
              </a:extLst>
            </xdr:cNvPr>
            <xdr:cNvSpPr txBox="1"/>
          </xdr:nvSpPr>
          <xdr:spPr>
            <a:xfrm>
              <a:off x="8385810" y="56768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a14:m>
              <a:r>
                <a:rPr kumimoji="0" lang="es-AR" sz="1100" b="0" i="0" u="none" strike="noStrike" kern="0" cap="none" spc="0" normalizeH="0" baseline="0" noProof="0">
                  <a:ln>
                    <a:noFill/>
                  </a:ln>
                  <a:solidFill>
                    <a:prstClr val="black"/>
                  </a:solidFill>
                  <a:effectLst/>
                  <a:uLnTx/>
                  <a:uFillTx/>
                  <a:latin typeface="+mn-lt"/>
                  <a:ea typeface="+mn-ea"/>
                  <a:cs typeface="+mn-cs"/>
                </a:rPr>
                <a:t> </a:t>
              </a:r>
              <a14:m>
                <m:oMath xmlns:m="http://schemas.openxmlformats.org/officeDocument/2006/math">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p>
                  </m:sSup>
                </m:oMath>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5" name="CuadroTexto 6">
              <a:extLst>
                <a:ext uri="{FF2B5EF4-FFF2-40B4-BE49-F238E27FC236}">
                  <a16:creationId xmlns:a16="http://schemas.microsoft.com/office/drawing/2014/main" id="{B9E63C92-6EBE-489C-8C58-BD027238BFAB}"/>
                </a:ext>
              </a:extLst>
            </xdr:cNvPr>
            <xdr:cNvSpPr txBox="1"/>
          </xdr:nvSpPr>
          <xdr:spPr>
            <a:xfrm>
              <a:off x="8385810" y="56768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r>
                <a:rPr kumimoji="0" lang="es-AR" sz="1100" b="0" i="0" u="none" strike="noStrike" kern="0" cap="none" spc="0" normalizeH="0" baseline="0" noProof="0">
                  <a:ln>
                    <a:noFill/>
                  </a:ln>
                  <a:solidFill>
                    <a:prstClr val="black"/>
                  </a:solidFill>
                  <a:effectLst/>
                  <a:uLnTx/>
                  <a:uFillTx/>
                  <a:latin typeface="+mn-lt"/>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𝐶_0 〖(1+𝑖)〗^2</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1</xdr:col>
      <xdr:colOff>85725</xdr:colOff>
      <xdr:row>247</xdr:row>
      <xdr:rowOff>1</xdr:rowOff>
    </xdr:from>
    <xdr:ext cx="1192634" cy="171450"/>
    <mc:AlternateContent xmlns:mc="http://schemas.openxmlformats.org/markup-compatibility/2006" xmlns:a14="http://schemas.microsoft.com/office/drawing/2010/main">
      <mc:Choice Requires="a14">
        <xdr:sp macro="" textlink="">
          <xdr:nvSpPr>
            <xdr:cNvPr id="16" name="CuadroTexto 7">
              <a:extLst>
                <a:ext uri="{FF2B5EF4-FFF2-40B4-BE49-F238E27FC236}">
                  <a16:creationId xmlns:a16="http://schemas.microsoft.com/office/drawing/2014/main" id="{B0F21DC0-265E-42F3-B2DC-5A1587F63796}"/>
                </a:ext>
              </a:extLst>
            </xdr:cNvPr>
            <xdr:cNvSpPr txBox="1"/>
          </xdr:nvSpPr>
          <xdr:spPr>
            <a:xfrm>
              <a:off x="4886325" y="73152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6" name="CuadroTexto 7">
              <a:extLst>
                <a:ext uri="{FF2B5EF4-FFF2-40B4-BE49-F238E27FC236}">
                  <a16:creationId xmlns:a16="http://schemas.microsoft.com/office/drawing/2014/main" id="{B0F21DC0-265E-42F3-B2DC-5A1587F63796}"/>
                </a:ext>
              </a:extLst>
            </xdr:cNvPr>
            <xdr:cNvSpPr txBox="1"/>
          </xdr:nvSpPr>
          <xdr:spPr>
            <a:xfrm>
              <a:off x="4886325" y="73152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2</xdr:col>
      <xdr:colOff>19050</xdr:colOff>
      <xdr:row>247</xdr:row>
      <xdr:rowOff>9525</xdr:rowOff>
    </xdr:from>
    <xdr:ext cx="1192634" cy="200025"/>
    <mc:AlternateContent xmlns:mc="http://schemas.openxmlformats.org/markup-compatibility/2006" xmlns:a14="http://schemas.microsoft.com/office/drawing/2010/main">
      <mc:Choice Requires="a14">
        <xdr:sp macro="" textlink="">
          <xdr:nvSpPr>
            <xdr:cNvPr id="17" name="CuadroTexto 8">
              <a:extLst>
                <a:ext uri="{FF2B5EF4-FFF2-40B4-BE49-F238E27FC236}">
                  <a16:creationId xmlns:a16="http://schemas.microsoft.com/office/drawing/2014/main" id="{FCE8309A-0684-4360-A697-5F59ED90AF61}"/>
                </a:ext>
              </a:extLst>
            </xdr:cNvPr>
            <xdr:cNvSpPr txBox="1"/>
          </xdr:nvSpPr>
          <xdr:spPr>
            <a:xfrm>
              <a:off x="6587490" y="74104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7" name="CuadroTexto 8">
              <a:extLst>
                <a:ext uri="{FF2B5EF4-FFF2-40B4-BE49-F238E27FC236}">
                  <a16:creationId xmlns:a16="http://schemas.microsoft.com/office/drawing/2014/main" id="{FCE8309A-0684-4360-A697-5F59ED90AF61}"/>
                </a:ext>
              </a:extLst>
            </xdr:cNvPr>
            <xdr:cNvSpPr txBox="1"/>
          </xdr:nvSpPr>
          <xdr:spPr>
            <a:xfrm>
              <a:off x="6587490" y="74104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 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3</xdr:col>
      <xdr:colOff>66675</xdr:colOff>
      <xdr:row>247</xdr:row>
      <xdr:rowOff>28576</xdr:rowOff>
    </xdr:from>
    <xdr:ext cx="2514600" cy="161924"/>
    <mc:AlternateContent xmlns:mc="http://schemas.openxmlformats.org/markup-compatibility/2006" xmlns:a14="http://schemas.microsoft.com/office/drawing/2010/main">
      <mc:Choice Requires="a14">
        <xdr:sp macro="" textlink="">
          <xdr:nvSpPr>
            <xdr:cNvPr id="18" name="CuadroTexto 9">
              <a:extLst>
                <a:ext uri="{FF2B5EF4-FFF2-40B4-BE49-F238E27FC236}">
                  <a16:creationId xmlns:a16="http://schemas.microsoft.com/office/drawing/2014/main" id="{EDD66576-5012-425F-A9AD-764967005C1F}"/>
                </a:ext>
              </a:extLst>
            </xdr:cNvPr>
            <xdr:cNvSpPr txBox="1"/>
          </xdr:nvSpPr>
          <xdr:spPr>
            <a:xfrm>
              <a:off x="8242935" y="76009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3</m:t>
                        </m:r>
                      </m:sup>
                    </m:sSup>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8" name="CuadroTexto 9">
              <a:extLst>
                <a:ext uri="{FF2B5EF4-FFF2-40B4-BE49-F238E27FC236}">
                  <a16:creationId xmlns:a16="http://schemas.microsoft.com/office/drawing/2014/main" id="{EDD66576-5012-425F-A9AD-764967005C1F}"/>
                </a:ext>
              </a:extLst>
            </xdr:cNvPr>
            <xdr:cNvSpPr txBox="1"/>
          </xdr:nvSpPr>
          <xdr:spPr>
            <a:xfrm>
              <a:off x="8242935" y="76009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 𝐶_0 〖(1+𝑖)〗^3</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1</xdr:col>
      <xdr:colOff>85724</xdr:colOff>
      <xdr:row>249</xdr:row>
      <xdr:rowOff>28575</xdr:rowOff>
    </xdr:from>
    <xdr:ext cx="1000125" cy="174984"/>
    <mc:AlternateContent xmlns:mc="http://schemas.openxmlformats.org/markup-compatibility/2006" xmlns:a14="http://schemas.microsoft.com/office/drawing/2010/main">
      <mc:Choice Requires="a14">
        <xdr:sp macro="" textlink="">
          <xdr:nvSpPr>
            <xdr:cNvPr id="19" name="CuadroTexto 10">
              <a:extLst>
                <a:ext uri="{FF2B5EF4-FFF2-40B4-BE49-F238E27FC236}">
                  <a16:creationId xmlns:a16="http://schemas.microsoft.com/office/drawing/2014/main" id="{776ABFB2-8D29-419B-945D-42D7EEA5305F}"/>
                </a:ext>
              </a:extLst>
            </xdr:cNvPr>
            <xdr:cNvSpPr txBox="1"/>
          </xdr:nvSpPr>
          <xdr:spPr>
            <a:xfrm>
              <a:off x="4886324" y="112585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sSup>
                      <m:sSupPr>
                        <m:ctrlPr>
                          <a:rPr lang="en-US" sz="1100" i="1">
                            <a:latin typeface="Cambria Math" panose="02040503050406030204" pitchFamily="18" charset="0"/>
                          </a:rPr>
                        </m:ctrlPr>
                      </m:sSupPr>
                      <m:e>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e>
                      <m:sup>
                        <m:r>
                          <a:rPr lang="es-AR" sz="1100" b="0" i="1">
                            <a:latin typeface="Cambria Math" panose="02040503050406030204" pitchFamily="18" charset="0"/>
                          </a:rPr>
                          <m:t>𝑛</m:t>
                        </m:r>
                        <m:r>
                          <a:rPr lang="es-AR" sz="1100" b="0" i="1">
                            <a:latin typeface="Cambria Math" panose="02040503050406030204" pitchFamily="18" charset="0"/>
                          </a:rPr>
                          <m:t>−1</m:t>
                        </m:r>
                      </m:sup>
                    </m:sSup>
                  </m:oMath>
                </m:oMathPara>
              </a14:m>
              <a:endParaRPr lang="en-US" sz="1100"/>
            </a:p>
          </xdr:txBody>
        </xdr:sp>
      </mc:Choice>
      <mc:Fallback xmlns="">
        <xdr:sp macro="" textlink="">
          <xdr:nvSpPr>
            <xdr:cNvPr id="19" name="CuadroTexto 10">
              <a:extLst>
                <a:ext uri="{FF2B5EF4-FFF2-40B4-BE49-F238E27FC236}">
                  <a16:creationId xmlns:a16="http://schemas.microsoft.com/office/drawing/2014/main" id="{776ABFB2-8D29-419B-945D-42D7EEA5305F}"/>
                </a:ext>
              </a:extLst>
            </xdr:cNvPr>
            <xdr:cNvSpPr txBox="1"/>
          </xdr:nvSpPr>
          <xdr:spPr>
            <a:xfrm>
              <a:off x="4886324" y="112585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b="0" i="0">
                  <a:latin typeface="Cambria Math" panose="02040503050406030204" pitchFamily="18" charset="0"/>
                </a:rPr>
                <a:t> </a:t>
              </a:r>
              <a:r>
                <a:rPr lang="en-US" sz="1100" i="0">
                  <a:latin typeface="Cambria Math" panose="02040503050406030204" pitchFamily="18" charset="0"/>
                </a:rPr>
                <a:t>〖</a:t>
              </a:r>
              <a:r>
                <a:rPr lang="es-AR" sz="1100" b="0" i="0">
                  <a:latin typeface="Cambria Math" panose="02040503050406030204" pitchFamily="18" charset="0"/>
                </a:rPr>
                <a:t>(1+𝑖)</a:t>
              </a:r>
              <a:r>
                <a:rPr lang="en-US" sz="1100" b="0" i="0">
                  <a:latin typeface="Cambria Math" panose="02040503050406030204" pitchFamily="18" charset="0"/>
                </a:rPr>
                <a:t>〗^(</a:t>
              </a:r>
              <a:r>
                <a:rPr lang="es-AR" sz="1100" b="0" i="0">
                  <a:latin typeface="Cambria Math" panose="02040503050406030204" pitchFamily="18" charset="0"/>
                </a:rPr>
                <a:t>𝑛−1</a:t>
              </a:r>
              <a:r>
                <a:rPr lang="en-US" sz="1100" b="0" i="0">
                  <a:latin typeface="Cambria Math" panose="02040503050406030204" pitchFamily="18" charset="0"/>
                </a:rPr>
                <a:t>)</a:t>
              </a:r>
              <a:endParaRPr lang="en-US" sz="1100"/>
            </a:p>
          </xdr:txBody>
        </xdr:sp>
      </mc:Fallback>
    </mc:AlternateContent>
    <xdr:clientData/>
  </xdr:oneCellAnchor>
  <xdr:oneCellAnchor>
    <xdr:from>
      <xdr:col>2</xdr:col>
      <xdr:colOff>228600</xdr:colOff>
      <xdr:row>249</xdr:row>
      <xdr:rowOff>19050</xdr:rowOff>
    </xdr:from>
    <xdr:ext cx="849079" cy="219075"/>
    <mc:AlternateContent xmlns:mc="http://schemas.openxmlformats.org/markup-compatibility/2006" xmlns:a14="http://schemas.microsoft.com/office/drawing/2010/main">
      <mc:Choice Requires="a14">
        <xdr:sp macro="" textlink="">
          <xdr:nvSpPr>
            <xdr:cNvPr id="20" name="CuadroTexto 11">
              <a:extLst>
                <a:ext uri="{FF2B5EF4-FFF2-40B4-BE49-F238E27FC236}">
                  <a16:creationId xmlns:a16="http://schemas.microsoft.com/office/drawing/2014/main" id="{7630EA14-51F5-4A8D-B507-402853C6FB66}"/>
                </a:ext>
              </a:extLst>
            </xdr:cNvPr>
            <xdr:cNvSpPr txBox="1"/>
          </xdr:nvSpPr>
          <xdr:spPr>
            <a:xfrm>
              <a:off x="6797040" y="111633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20" name="CuadroTexto 11">
              <a:extLst>
                <a:ext uri="{FF2B5EF4-FFF2-40B4-BE49-F238E27FC236}">
                  <a16:creationId xmlns:a16="http://schemas.microsoft.com/office/drawing/2014/main" id="{7630EA14-51F5-4A8D-B507-402853C6FB66}"/>
                </a:ext>
              </a:extLst>
            </xdr:cNvPr>
            <xdr:cNvSpPr txBox="1"/>
          </xdr:nvSpPr>
          <xdr:spPr>
            <a:xfrm>
              <a:off x="6797040" y="111633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3</xdr:col>
      <xdr:colOff>428625</xdr:colOff>
      <xdr:row>249</xdr:row>
      <xdr:rowOff>9525</xdr:rowOff>
    </xdr:from>
    <xdr:ext cx="2044470" cy="347211"/>
    <mc:AlternateContent xmlns:mc="http://schemas.openxmlformats.org/markup-compatibility/2006" xmlns:a14="http://schemas.microsoft.com/office/drawing/2010/main">
      <mc:Choice Requires="a14">
        <xdr:sp macro="" textlink="">
          <xdr:nvSpPr>
            <xdr:cNvPr id="21" name="CuadroTexto 12">
              <a:extLst>
                <a:ext uri="{FF2B5EF4-FFF2-40B4-BE49-F238E27FC236}">
                  <a16:creationId xmlns:a16="http://schemas.microsoft.com/office/drawing/2014/main" id="{C03A8BE7-D584-42EC-9F8D-FF96DACFAFB1}"/>
                </a:ext>
              </a:extLst>
            </xdr:cNvPr>
            <xdr:cNvSpPr txBox="1"/>
          </xdr:nvSpPr>
          <xdr:spPr>
            <a:xfrm>
              <a:off x="8604885" y="110680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21" name="CuadroTexto 12">
              <a:extLst>
                <a:ext uri="{FF2B5EF4-FFF2-40B4-BE49-F238E27FC236}">
                  <a16:creationId xmlns:a16="http://schemas.microsoft.com/office/drawing/2014/main" id="{C03A8BE7-D584-42EC-9F8D-FF96DACFAFB1}"/>
                </a:ext>
              </a:extLst>
            </xdr:cNvPr>
            <xdr:cNvSpPr txBox="1"/>
          </xdr:nvSpPr>
          <xdr:spPr>
            <a:xfrm>
              <a:off x="8604885" y="110680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0</xdr:col>
      <xdr:colOff>0</xdr:colOff>
      <xdr:row>250</xdr:row>
      <xdr:rowOff>0</xdr:rowOff>
    </xdr:from>
    <xdr:ext cx="2895600" cy="809625"/>
    <mc:AlternateContent xmlns:mc="http://schemas.openxmlformats.org/markup-compatibility/2006" xmlns:a14="http://schemas.microsoft.com/office/drawing/2010/main">
      <mc:Choice Requires="a14">
        <xdr:sp macro="" textlink="">
          <xdr:nvSpPr>
            <xdr:cNvPr id="22" name="CuadroTexto 17">
              <a:extLst>
                <a:ext uri="{FF2B5EF4-FFF2-40B4-BE49-F238E27FC236}">
                  <a16:creationId xmlns:a16="http://schemas.microsoft.com/office/drawing/2014/main" id="{FF5BB962-F07B-4DE4-AB91-0645DB855FD9}"/>
                </a:ext>
              </a:extLst>
            </xdr:cNvPr>
            <xdr:cNvSpPr txBox="1"/>
          </xdr:nvSpPr>
          <xdr:spPr>
            <a:xfrm>
              <a:off x="0" y="43914060"/>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𝑜</m:t>
                        </m:r>
                      </m:sub>
                    </m:sSub>
                    <m:sSup>
                      <m:sSupPr>
                        <m:ctrlPr>
                          <a:rPr lang="en-US" sz="1400" i="1">
                            <a:latin typeface="Cambria Math" panose="02040503050406030204" pitchFamily="18" charset="0"/>
                          </a:rPr>
                        </m:ctrlPr>
                      </m:sSupPr>
                      <m:e>
                        <m:r>
                          <a:rPr lang="es-AR" sz="1400" b="0" i="1">
                            <a:latin typeface="Cambria Math" panose="02040503050406030204" pitchFamily="18" charset="0"/>
                          </a:rPr>
                          <m:t>(1+</m:t>
                        </m:r>
                        <m:r>
                          <a:rPr lang="es-AR" sz="1400" b="0" i="1">
                            <a:latin typeface="Cambria Math" panose="02040503050406030204" pitchFamily="18" charset="0"/>
                          </a:rPr>
                          <m:t>𝑖</m:t>
                        </m:r>
                        <m:r>
                          <a:rPr lang="es-AR" sz="1400" b="0" i="1">
                            <a:latin typeface="Cambria Math" panose="02040503050406030204" pitchFamily="18" charset="0"/>
                          </a:rPr>
                          <m:t>)</m:t>
                        </m:r>
                      </m:e>
                      <m:sup>
                        <m:r>
                          <a:rPr lang="es-AR" sz="1400" b="0" i="1">
                            <a:latin typeface="Cambria Math" panose="02040503050406030204" pitchFamily="18" charset="0"/>
                          </a:rPr>
                          <m:t>𝑛</m:t>
                        </m:r>
                      </m:sup>
                    </m:sSup>
                    <m:r>
                      <a:rPr lang="es-AR" sz="1400" b="0" i="1">
                        <a:latin typeface="Cambria Math" panose="02040503050406030204" pitchFamily="18" charset="0"/>
                      </a:rPr>
                      <m:t>= </m:t>
                    </m:r>
                    <m:sSub>
                      <m:sSubPr>
                        <m:ctrlPr>
                          <a:rPr lang="es-AR" sz="1400" b="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0</m:t>
                        </m:r>
                      </m:sub>
                    </m:sSub>
                    <m:sSup>
                      <m:sSupPr>
                        <m:ctrlPr>
                          <a:rPr lang="es-AR" sz="1400" b="0" i="1">
                            <a:latin typeface="Cambria Math" panose="02040503050406030204" pitchFamily="18" charset="0"/>
                          </a:rPr>
                        </m:ctrlPr>
                      </m:sSupPr>
                      <m:e>
                        <m:r>
                          <a:rPr lang="es-AR" sz="1400" b="0" i="1">
                            <a:latin typeface="Cambria Math" panose="02040503050406030204" pitchFamily="18" charset="0"/>
                          </a:rPr>
                          <m:t>(1+</m:t>
                        </m:r>
                        <m:f>
                          <m:fPr>
                            <m:ctrlPr>
                              <a:rPr lang="es-AR" sz="1400" b="0" i="1">
                                <a:latin typeface="Cambria Math" panose="02040503050406030204" pitchFamily="18" charset="0"/>
                              </a:rPr>
                            </m:ctrlPr>
                          </m:fPr>
                          <m:num>
                            <m:r>
                              <a:rPr lang="es-AR" sz="1400" b="0" i="1">
                                <a:latin typeface="Cambria Math" panose="02040503050406030204" pitchFamily="18" charset="0"/>
                              </a:rPr>
                              <m:t>𝑇𝑁𝐴</m:t>
                            </m:r>
                          </m:num>
                          <m:den>
                            <m:r>
                              <a:rPr lang="es-AR" sz="1400" b="0" i="1">
                                <a:latin typeface="Cambria Math" panose="02040503050406030204" pitchFamily="18" charset="0"/>
                              </a:rPr>
                              <m:t>𝑚</m:t>
                            </m:r>
                          </m:den>
                        </m:f>
                        <m:r>
                          <a:rPr lang="es-AR" sz="1400" b="0" i="1">
                            <a:latin typeface="Cambria Math" panose="02040503050406030204" pitchFamily="18" charset="0"/>
                          </a:rPr>
                          <m:t>)</m:t>
                        </m:r>
                      </m:e>
                      <m:sup>
                        <m:r>
                          <a:rPr lang="es-AR" sz="1400" b="0" i="1">
                            <a:latin typeface="Cambria Math" panose="02040503050406030204" pitchFamily="18" charset="0"/>
                          </a:rPr>
                          <m:t>𝑚𝑁</m:t>
                        </m:r>
                      </m:sup>
                    </m:sSup>
                  </m:oMath>
                </m:oMathPara>
              </a14:m>
              <a:endParaRPr lang="en-US" sz="1400"/>
            </a:p>
          </xdr:txBody>
        </xdr:sp>
      </mc:Choice>
      <mc:Fallback xmlns="">
        <xdr:sp macro="" textlink="">
          <xdr:nvSpPr>
            <xdr:cNvPr id="22" name="CuadroTexto 17">
              <a:extLst>
                <a:ext uri="{FF2B5EF4-FFF2-40B4-BE49-F238E27FC236}">
                  <a16:creationId xmlns:a16="http://schemas.microsoft.com/office/drawing/2014/main" id="{FF5BB962-F07B-4DE4-AB91-0645DB855FD9}"/>
                </a:ext>
              </a:extLst>
            </xdr:cNvPr>
            <xdr:cNvSpPr txBox="1"/>
          </xdr:nvSpPr>
          <xdr:spPr>
            <a:xfrm>
              <a:off x="0" y="43914060"/>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AR" sz="1400" b="0" i="0">
                  <a:latin typeface="Cambria Math" panose="02040503050406030204" pitchFamily="18" charset="0"/>
                </a:rPr>
                <a:t>𝐶</a:t>
              </a:r>
              <a:r>
                <a:rPr lang="en-US" sz="1400" b="0" i="0">
                  <a:latin typeface="Cambria Math" panose="02040503050406030204" pitchFamily="18" charset="0"/>
                </a:rPr>
                <a:t>_</a:t>
              </a:r>
              <a:r>
                <a:rPr lang="es-AR" sz="1400" b="0" i="0">
                  <a:latin typeface="Cambria Math" panose="02040503050406030204" pitchFamily="18" charset="0"/>
                </a:rPr>
                <a:t>𝑜</a:t>
              </a:r>
              <a:r>
                <a:rPr lang="en-US" sz="1400" b="0" i="0">
                  <a:latin typeface="Cambria Math" panose="02040503050406030204" pitchFamily="18" charset="0"/>
                </a:rPr>
                <a:t> </a:t>
              </a:r>
              <a:r>
                <a:rPr lang="en-US" sz="1400" i="0">
                  <a:latin typeface="Cambria Math" panose="02040503050406030204" pitchFamily="18" charset="0"/>
                </a:rPr>
                <a:t>〖</a:t>
              </a:r>
              <a:r>
                <a:rPr lang="es-AR" sz="1400" b="0" i="0">
                  <a:latin typeface="Cambria Math" panose="02040503050406030204" pitchFamily="18" charset="0"/>
                </a:rPr>
                <a:t>(1+𝑖)</a:t>
              </a:r>
              <a:r>
                <a:rPr lang="en-US" sz="1400" b="0" i="0">
                  <a:latin typeface="Cambria Math" panose="02040503050406030204" pitchFamily="18" charset="0"/>
                </a:rPr>
                <a:t>〗^</a:t>
              </a:r>
              <a:r>
                <a:rPr lang="es-AR" sz="1400" b="0" i="0">
                  <a:latin typeface="Cambria Math" panose="02040503050406030204" pitchFamily="18" charset="0"/>
                </a:rPr>
                <a:t>𝑛= 𝐶_0 〖(1+𝑇𝑁𝐴/𝑚)〗^𝑚𝑁</a:t>
              </a:r>
              <a:endParaRPr lang="en-US" sz="1400"/>
            </a:p>
          </xdr:txBody>
        </xdr:sp>
      </mc:Fallback>
    </mc:AlternateContent>
    <xdr:clientData/>
  </xdr:oneCellAnchor>
  <xdr:twoCellAnchor>
    <xdr:from>
      <xdr:col>8</xdr:col>
      <xdr:colOff>358140</xdr:colOff>
      <xdr:row>272</xdr:row>
      <xdr:rowOff>30480</xdr:rowOff>
    </xdr:from>
    <xdr:to>
      <xdr:col>17</xdr:col>
      <xdr:colOff>144780</xdr:colOff>
      <xdr:row>287</xdr:row>
      <xdr:rowOff>7620</xdr:rowOff>
    </xdr:to>
    <xdr:graphicFrame macro="">
      <xdr:nvGraphicFramePr>
        <xdr:cNvPr id="23" name="Chart 22">
          <a:extLst>
            <a:ext uri="{FF2B5EF4-FFF2-40B4-BE49-F238E27FC236}">
              <a16:creationId xmlns:a16="http://schemas.microsoft.com/office/drawing/2014/main" id="{085608A5-2D46-9BAF-2994-AE6172485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327</xdr:row>
      <xdr:rowOff>0</xdr:rowOff>
    </xdr:from>
    <xdr:to>
      <xdr:col>2</xdr:col>
      <xdr:colOff>958228</xdr:colOff>
      <xdr:row>330</xdr:row>
      <xdr:rowOff>33044</xdr:rowOff>
    </xdr:to>
    <mc:AlternateContent xmlns:mc="http://schemas.openxmlformats.org/markup-compatibility/2006" xmlns:a14="http://schemas.microsoft.com/office/drawing/2010/main">
      <mc:Choice Requires="a14">
        <xdr:sp macro="" textlink="">
          <xdr:nvSpPr>
            <xdr:cNvPr id="24" name="CuadroTexto 4">
              <a:extLst>
                <a:ext uri="{FF2B5EF4-FFF2-40B4-BE49-F238E27FC236}">
                  <a16:creationId xmlns:a16="http://schemas.microsoft.com/office/drawing/2014/main" id="{4F17F772-F0F0-4499-A61A-21E5273270A6}"/>
                </a:ext>
              </a:extLst>
            </xdr:cNvPr>
            <xdr:cNvSpPr txBox="1"/>
          </xdr:nvSpPr>
          <xdr:spPr>
            <a:xfrm>
              <a:off x="0" y="59633224"/>
              <a:ext cx="4741334" cy="570926"/>
            </a:xfrm>
            <a:prstGeom prst="rect">
              <a:avLst/>
            </a:prstGeom>
            <a:noFill/>
          </xdr:spPr>
          <xdr:txBody>
            <a:bodyPr wrap="square"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s-AR" sz="1800" b="0" i="0" u="none" strike="noStrike" kern="1200" cap="none" spc="0" normalizeH="0" baseline="0">
                  <a:ln>
                    <a:noFill/>
                  </a:ln>
                  <a:solidFill>
                    <a:prstClr val="black"/>
                  </a:solidFill>
                  <a:effectLst/>
                  <a:uLnTx/>
                  <a:uFillTx/>
                  <a:latin typeface="Calibri" panose="020F0502020204030204"/>
                  <a:ea typeface="+mn-ea"/>
                  <a:cs typeface="+mn-cs"/>
                </a:rPr>
                <a:t>Tasa Efectiva: </a:t>
              </a:r>
              <a14:m>
                <m:oMath xmlns:m="http://schemas.openxmlformats.org/officeDocument/2006/math">
                  <m:f>
                    <m:f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fPr>
                    <m:num>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𝑇𝑁𝐴</m:t>
                      </m:r>
                    </m:num>
                    <m:den>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𝑚</m:t>
                      </m:r>
                    </m:den>
                  </m:f>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m:t>
                  </m:r>
                  <m:sSup>
                    <m:sSup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sSupPr>
                    <m:e>
                      <m:f>
                        <m:f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sSubPr>
                            <m:e>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𝐶</m:t>
                              </m:r>
                            </m:e>
                            <m:sub>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𝑚𝑁</m:t>
                              </m:r>
                            </m:sub>
                          </m:sSub>
                        </m:num>
                        <m:den>
                          <m:sSub>
                            <m:sSub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sSubPr>
                            <m:e>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𝐶</m:t>
                              </m:r>
                            </m:e>
                            <m:sub>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𝑜</m:t>
                              </m:r>
                            </m:sub>
                          </m:sSub>
                        </m:den>
                      </m:f>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m:t>
                      </m:r>
                    </m:e>
                    <m:sup>
                      <m:f>
                        <m:fPr>
                          <m:ctrlP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ctrlPr>
                        </m:fPr>
                        <m:num>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1</m:t>
                          </m:r>
                        </m:num>
                        <m:den>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𝑚𝑁</m:t>
                          </m:r>
                          <m:r>
                            <a:rPr kumimoji="0" lang="es-AR" sz="1800" b="0" i="1" u="none" strike="noStrike" kern="1200" cap="none" spc="0" normalizeH="0" baseline="0">
                              <a:ln>
                                <a:noFill/>
                              </a:ln>
                              <a:solidFill>
                                <a:prstClr val="black"/>
                              </a:solidFill>
                              <a:effectLst/>
                              <a:uLnTx/>
                              <a:uFillTx/>
                              <a:latin typeface="Cambria Math" panose="02040503050406030204" pitchFamily="18" charset="0"/>
                              <a:ea typeface="+mn-ea"/>
                              <a:cs typeface="+mn-cs"/>
                            </a:rPr>
                            <m:t> </m:t>
                          </m:r>
                        </m:den>
                      </m:f>
                    </m:sup>
                  </m:sSup>
                  <m:r>
                    <a:rPr kumimoji="0" lang="es-AR" sz="1800" b="0" i="0" u="none" strike="noStrike" kern="1200" cap="none" spc="0" normalizeH="0" baseline="0">
                      <a:ln>
                        <a:noFill/>
                      </a:ln>
                      <a:solidFill>
                        <a:prstClr val="black"/>
                      </a:solidFill>
                      <a:effectLst/>
                      <a:uLnTx/>
                      <a:uFillTx/>
                      <a:latin typeface="Cambria Math" panose="02040503050406030204" pitchFamily="18" charset="0"/>
                      <a:ea typeface="+mn-ea"/>
                      <a:cs typeface="+mn-cs"/>
                    </a:rPr>
                    <m:t>−1</m:t>
                  </m:r>
                </m:oMath>
              </a14:m>
              <a:endParaRPr kumimoji="0" lang="es-AR" sz="1800" b="0" i="0" u="none" strike="noStrike" kern="1200" cap="none" spc="0" normalizeH="0" baseline="0">
                <a:ln>
                  <a:noFill/>
                </a:ln>
                <a:solidFill>
                  <a:prstClr val="black"/>
                </a:solidFill>
                <a:effectLst/>
                <a:uLnTx/>
                <a:uFillTx/>
                <a:latin typeface="Calibri" panose="020F0502020204030204"/>
                <a:ea typeface="+mn-ea"/>
                <a:cs typeface="+mn-cs"/>
              </a:endParaRPr>
            </a:p>
          </xdr:txBody>
        </xdr:sp>
      </mc:Choice>
      <mc:Fallback xmlns="">
        <xdr:sp macro="" textlink="">
          <xdr:nvSpPr>
            <xdr:cNvPr id="24" name="CuadroTexto 4">
              <a:extLst>
                <a:ext uri="{FF2B5EF4-FFF2-40B4-BE49-F238E27FC236}">
                  <a16:creationId xmlns:a16="http://schemas.microsoft.com/office/drawing/2014/main" id="{4F17F772-F0F0-4499-A61A-21E5273270A6}"/>
                </a:ext>
              </a:extLst>
            </xdr:cNvPr>
            <xdr:cNvSpPr txBox="1"/>
          </xdr:nvSpPr>
          <xdr:spPr>
            <a:xfrm>
              <a:off x="0" y="59633224"/>
              <a:ext cx="4741334" cy="570926"/>
            </a:xfrm>
            <a:prstGeom prst="rect">
              <a:avLst/>
            </a:prstGeom>
            <a:noFill/>
          </xdr:spPr>
          <xdr:txBody>
            <a:bodyPr wrap="square" rtlCol="0">
              <a:spAutoFit/>
            </a:bodyPr>
            <a:lstStyle>
              <a:defPPr>
                <a:defRPr lang="es-A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s-AR" sz="1800" b="0" i="0" u="none" strike="noStrike" kern="1200" cap="none" spc="0" normalizeH="0" baseline="0">
                  <a:ln>
                    <a:noFill/>
                  </a:ln>
                  <a:solidFill>
                    <a:prstClr val="black"/>
                  </a:solidFill>
                  <a:effectLst/>
                  <a:uLnTx/>
                  <a:uFillTx/>
                  <a:latin typeface="Calibri" panose="020F0502020204030204"/>
                  <a:ea typeface="+mn-ea"/>
                  <a:cs typeface="+mn-cs"/>
                </a:rPr>
                <a:t>Tasa Efectiva: </a:t>
              </a:r>
              <a:r>
                <a:rPr kumimoji="0" lang="es-AR" sz="1800" b="0" i="0" u="none" strike="noStrike" kern="1200" cap="none" spc="0" normalizeH="0" baseline="0">
                  <a:ln>
                    <a:noFill/>
                  </a:ln>
                  <a:solidFill>
                    <a:prstClr val="black"/>
                  </a:solidFill>
                  <a:effectLst/>
                  <a:uLnTx/>
                  <a:uFillTx/>
                  <a:latin typeface="Cambria Math" panose="02040503050406030204" pitchFamily="18" charset="0"/>
                  <a:ea typeface="+mn-ea"/>
                  <a:cs typeface="+mn-cs"/>
                </a:rPr>
                <a:t>𝑇𝑁𝐴/𝑚=(〖𝐶_𝑚𝑁/𝐶_𝑜 )〗^(1/(𝑚𝑁 ))−1</a:t>
              </a:r>
              <a:endParaRPr kumimoji="0" lang="es-AR" sz="1800" b="0" i="0" u="none" strike="noStrike" kern="1200" cap="none" spc="0" normalizeH="0" baseline="0">
                <a:ln>
                  <a:noFill/>
                </a:ln>
                <a:solidFill>
                  <a:prstClr val="black"/>
                </a:solidFill>
                <a:effectLst/>
                <a:uLnTx/>
                <a:uFillTx/>
                <a:latin typeface="Calibri" panose="020F0502020204030204"/>
                <a:ea typeface="+mn-ea"/>
                <a:cs typeface="+mn-cs"/>
              </a:endParaRPr>
            </a:p>
          </xdr:txBody>
        </xdr:sp>
      </mc:Fallback>
    </mc:AlternateContent>
    <xdr:clientData/>
  </xdr:twoCellAnchor>
  <xdr:twoCellAnchor editAs="oneCell">
    <xdr:from>
      <xdr:col>6</xdr:col>
      <xdr:colOff>251005</xdr:colOff>
      <xdr:row>504</xdr:row>
      <xdr:rowOff>189900</xdr:rowOff>
    </xdr:from>
    <xdr:to>
      <xdr:col>6</xdr:col>
      <xdr:colOff>553045</xdr:colOff>
      <xdr:row>506</xdr:row>
      <xdr:rowOff>112380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943" name="Ink 942">
              <a:extLst>
                <a:ext uri="{FF2B5EF4-FFF2-40B4-BE49-F238E27FC236}">
                  <a16:creationId xmlns:a16="http://schemas.microsoft.com/office/drawing/2014/main" id="{D72B8AE6-E411-6EF0-71B8-8B7A5C27F051}"/>
                </a:ext>
              </a:extLst>
            </xdr14:cNvPr>
            <xdr14:cNvContentPartPr/>
          </xdr14:nvContentPartPr>
          <xdr14:nvPr macro=""/>
          <xdr14:xfrm>
            <a:off x="10235446" y="97176812"/>
            <a:ext cx="302040" cy="303480"/>
          </xdr14:xfrm>
        </xdr:contentPart>
      </mc:Choice>
      <mc:Fallback xmlns="">
        <xdr:pic>
          <xdr:nvPicPr>
            <xdr:cNvPr id="943" name="Ink 942">
              <a:extLst>
                <a:ext uri="{FF2B5EF4-FFF2-40B4-BE49-F238E27FC236}">
                  <a16:creationId xmlns:a16="http://schemas.microsoft.com/office/drawing/2014/main" id="{D72B8AE6-E411-6EF0-71B8-8B7A5C27F051}"/>
                </a:ext>
              </a:extLst>
            </xdr:cNvPr>
            <xdr:cNvPicPr/>
          </xdr:nvPicPr>
          <xdr:blipFill>
            <a:blip xmlns:r="http://schemas.openxmlformats.org/officeDocument/2006/relationships" r:embed="rId257"/>
            <a:stretch>
              <a:fillRect/>
            </a:stretch>
          </xdr:blipFill>
          <xdr:spPr>
            <a:xfrm>
              <a:off x="10226457" y="97167812"/>
              <a:ext cx="319659" cy="321120"/>
            </a:xfrm>
            <a:prstGeom prst="rect">
              <a:avLst/>
            </a:prstGeom>
          </xdr:spPr>
        </xdr:pic>
      </mc:Fallback>
    </mc:AlternateContent>
    <xdr:clientData/>
  </xdr:twoCellAnchor>
  <xdr:twoCellAnchor editAs="oneCell">
    <xdr:from>
      <xdr:col>5</xdr:col>
      <xdr:colOff>293358</xdr:colOff>
      <xdr:row>504</xdr:row>
      <xdr:rowOff>172980</xdr:rowOff>
    </xdr:from>
    <xdr:to>
      <xdr:col>6</xdr:col>
      <xdr:colOff>27805</xdr:colOff>
      <xdr:row>506</xdr:row>
      <xdr:rowOff>11220</xdr:rowOff>
    </xdr:to>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944" name="Ink 943">
              <a:extLst>
                <a:ext uri="{FF2B5EF4-FFF2-40B4-BE49-F238E27FC236}">
                  <a16:creationId xmlns:a16="http://schemas.microsoft.com/office/drawing/2014/main" id="{488306C5-D4C8-6DD6-64A3-438A8475D284}"/>
                </a:ext>
              </a:extLst>
            </xdr14:cNvPr>
            <xdr14:cNvContentPartPr/>
          </xdr14:nvContentPartPr>
          <xdr14:nvPr macro=""/>
          <xdr14:xfrm>
            <a:off x="9605446" y="97159892"/>
            <a:ext cx="406800" cy="219240"/>
          </xdr14:xfrm>
        </xdr:contentPart>
      </mc:Choice>
      <mc:Fallback xmlns="">
        <xdr:pic>
          <xdr:nvPicPr>
            <xdr:cNvPr id="944" name="Ink 943">
              <a:extLst>
                <a:ext uri="{FF2B5EF4-FFF2-40B4-BE49-F238E27FC236}">
                  <a16:creationId xmlns:a16="http://schemas.microsoft.com/office/drawing/2014/main" id="{488306C5-D4C8-6DD6-64A3-438A8475D284}"/>
                </a:ext>
              </a:extLst>
            </xdr:cNvPr>
            <xdr:cNvPicPr/>
          </xdr:nvPicPr>
          <xdr:blipFill>
            <a:blip xmlns:r="http://schemas.openxmlformats.org/officeDocument/2006/relationships" r:embed="rId259"/>
            <a:stretch>
              <a:fillRect/>
            </a:stretch>
          </xdr:blipFill>
          <xdr:spPr>
            <a:xfrm>
              <a:off x="9596446" y="97151238"/>
              <a:ext cx="424440" cy="236909"/>
            </a:xfrm>
            <a:prstGeom prst="rect">
              <a:avLst/>
            </a:prstGeom>
          </xdr:spPr>
        </xdr:pic>
      </mc:Fallback>
    </mc:AlternateContent>
    <xdr:clientData/>
  </xdr:twoCellAnchor>
  <xdr:twoCellAnchor editAs="oneCell">
    <xdr:from>
      <xdr:col>4</xdr:col>
      <xdr:colOff>409182</xdr:colOff>
      <xdr:row>504</xdr:row>
      <xdr:rowOff>41220</xdr:rowOff>
    </xdr:from>
    <xdr:to>
      <xdr:col>5</xdr:col>
      <xdr:colOff>75918</xdr:colOff>
      <xdr:row>506</xdr:row>
      <xdr:rowOff>50460</xdr:rowOff>
    </xdr:to>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945" name="Ink 944">
              <a:extLst>
                <a:ext uri="{FF2B5EF4-FFF2-40B4-BE49-F238E27FC236}">
                  <a16:creationId xmlns:a16="http://schemas.microsoft.com/office/drawing/2014/main" id="{F8A711C1-8F5E-C777-9EF9-070A0EF51363}"/>
                </a:ext>
              </a:extLst>
            </xdr14:cNvPr>
            <xdr14:cNvContentPartPr/>
          </xdr14:nvContentPartPr>
          <xdr14:nvPr macro=""/>
          <xdr14:xfrm>
            <a:off x="8074006" y="97028132"/>
            <a:ext cx="1314000" cy="390240"/>
          </xdr14:xfrm>
        </xdr:contentPart>
      </mc:Choice>
      <mc:Fallback xmlns="">
        <xdr:pic>
          <xdr:nvPicPr>
            <xdr:cNvPr id="945" name="Ink 944">
              <a:extLst>
                <a:ext uri="{FF2B5EF4-FFF2-40B4-BE49-F238E27FC236}">
                  <a16:creationId xmlns:a16="http://schemas.microsoft.com/office/drawing/2014/main" id="{F8A711C1-8F5E-C777-9EF9-070A0EF51363}"/>
                </a:ext>
              </a:extLst>
            </xdr:cNvPr>
            <xdr:cNvPicPr/>
          </xdr:nvPicPr>
          <xdr:blipFill>
            <a:blip xmlns:r="http://schemas.openxmlformats.org/officeDocument/2006/relationships" r:embed="rId261"/>
            <a:stretch>
              <a:fillRect/>
            </a:stretch>
          </xdr:blipFill>
          <xdr:spPr>
            <a:xfrm>
              <a:off x="8065364" y="97019492"/>
              <a:ext cx="1331645" cy="407880"/>
            </a:xfrm>
            <a:prstGeom prst="rect">
              <a:avLst/>
            </a:prstGeom>
          </xdr:spPr>
        </xdr:pic>
      </mc:Fallback>
    </mc:AlternateContent>
    <xdr:clientData/>
  </xdr:twoCellAnchor>
  <xdr:twoCellAnchor editAs="oneCell">
    <xdr:from>
      <xdr:col>3</xdr:col>
      <xdr:colOff>1719145</xdr:colOff>
      <xdr:row>504</xdr:row>
      <xdr:rowOff>163620</xdr:rowOff>
    </xdr:from>
    <xdr:to>
      <xdr:col>4</xdr:col>
      <xdr:colOff>134365</xdr:colOff>
      <xdr:row>506</xdr:row>
      <xdr:rowOff>125700</xdr:rowOff>
    </xdr:to>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946" name="Ink 945">
              <a:extLst>
                <a:ext uri="{FF2B5EF4-FFF2-40B4-BE49-F238E27FC236}">
                  <a16:creationId xmlns:a16="http://schemas.microsoft.com/office/drawing/2014/main" id="{B6E47900-BFFD-02EA-6069-FAE3107E7FAA}"/>
                </a:ext>
              </a:extLst>
            </xdr14:cNvPr>
            <xdr14:cNvContentPartPr/>
          </xdr14:nvContentPartPr>
          <xdr14:nvPr macro=""/>
          <xdr14:xfrm>
            <a:off x="6957895" y="96937620"/>
            <a:ext cx="891720" cy="343080"/>
          </xdr14:xfrm>
        </xdr:contentPart>
      </mc:Choice>
      <mc:Fallback xmlns="">
        <xdr:pic>
          <xdr:nvPicPr>
            <xdr:cNvPr id="946" name="Ink 945">
              <a:extLst>
                <a:ext uri="{FF2B5EF4-FFF2-40B4-BE49-F238E27FC236}">
                  <a16:creationId xmlns:a16="http://schemas.microsoft.com/office/drawing/2014/main" id="{B6E47900-BFFD-02EA-6069-FAE3107E7FAA}"/>
                </a:ext>
              </a:extLst>
            </xdr:cNvPr>
            <xdr:cNvPicPr/>
          </xdr:nvPicPr>
          <xdr:blipFill>
            <a:blip xmlns:r="http://schemas.openxmlformats.org/officeDocument/2006/relationships" r:embed="rId263"/>
            <a:stretch>
              <a:fillRect/>
            </a:stretch>
          </xdr:blipFill>
          <xdr:spPr>
            <a:xfrm>
              <a:off x="6948497" y="96928620"/>
              <a:ext cx="910141" cy="3607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28</xdr:row>
      <xdr:rowOff>47625</xdr:rowOff>
    </xdr:from>
    <xdr:to>
      <xdr:col>7</xdr:col>
      <xdr:colOff>647700</xdr:colOff>
      <xdr:row>37</xdr:row>
      <xdr:rowOff>38100</xdr:rowOff>
    </xdr:to>
    <xdr:sp macro="" textlink="">
      <xdr:nvSpPr>
        <xdr:cNvPr id="2" name="Cerrar llave 1">
          <a:extLst>
            <a:ext uri="{FF2B5EF4-FFF2-40B4-BE49-F238E27FC236}">
              <a16:creationId xmlns:a16="http://schemas.microsoft.com/office/drawing/2014/main" id="{65DD71BA-746E-4D62-8B5C-FCAEC94E2F2A}"/>
            </a:ext>
          </a:extLst>
        </xdr:cNvPr>
        <xdr:cNvSpPr/>
      </xdr:nvSpPr>
      <xdr:spPr>
        <a:xfrm>
          <a:off x="8077200" y="5600700"/>
          <a:ext cx="571500" cy="17240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19050</xdr:colOff>
      <xdr:row>26</xdr:row>
      <xdr:rowOff>28575</xdr:rowOff>
    </xdr:from>
    <xdr:to>
      <xdr:col>5</xdr:col>
      <xdr:colOff>161925</xdr:colOff>
      <xdr:row>29</xdr:row>
      <xdr:rowOff>123825</xdr:rowOff>
    </xdr:to>
    <xdr:sp macro="" textlink="">
      <xdr:nvSpPr>
        <xdr:cNvPr id="3" name="Corchetes 2">
          <a:extLst>
            <a:ext uri="{FF2B5EF4-FFF2-40B4-BE49-F238E27FC236}">
              <a16:creationId xmlns:a16="http://schemas.microsoft.com/office/drawing/2014/main" id="{2E5BFFEC-FC16-4A6D-B8DA-A2C377017B62}"/>
            </a:ext>
          </a:extLst>
        </xdr:cNvPr>
        <xdr:cNvSpPr/>
      </xdr:nvSpPr>
      <xdr:spPr>
        <a:xfrm>
          <a:off x="5010150" y="5200650"/>
          <a:ext cx="127635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9525</xdr:colOff>
      <xdr:row>30</xdr:row>
      <xdr:rowOff>76200</xdr:rowOff>
    </xdr:from>
    <xdr:to>
      <xdr:col>5</xdr:col>
      <xdr:colOff>323850</xdr:colOff>
      <xdr:row>33</xdr:row>
      <xdr:rowOff>171450</xdr:rowOff>
    </xdr:to>
    <xdr:sp macro="" textlink="">
      <xdr:nvSpPr>
        <xdr:cNvPr id="4" name="Corchetes 6">
          <a:extLst>
            <a:ext uri="{FF2B5EF4-FFF2-40B4-BE49-F238E27FC236}">
              <a16:creationId xmlns:a16="http://schemas.microsoft.com/office/drawing/2014/main" id="{67748FE8-9B2B-4333-991C-9DFA90EEC8A0}"/>
            </a:ext>
          </a:extLst>
        </xdr:cNvPr>
        <xdr:cNvSpPr/>
      </xdr:nvSpPr>
      <xdr:spPr>
        <a:xfrm>
          <a:off x="5000625" y="6019800"/>
          <a:ext cx="144780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19050</xdr:colOff>
      <xdr:row>34</xdr:row>
      <xdr:rowOff>28575</xdr:rowOff>
    </xdr:from>
    <xdr:to>
      <xdr:col>5</xdr:col>
      <xdr:colOff>161925</xdr:colOff>
      <xdr:row>37</xdr:row>
      <xdr:rowOff>123825</xdr:rowOff>
    </xdr:to>
    <xdr:sp macro="" textlink="">
      <xdr:nvSpPr>
        <xdr:cNvPr id="5" name="Corchetes 7">
          <a:extLst>
            <a:ext uri="{FF2B5EF4-FFF2-40B4-BE49-F238E27FC236}">
              <a16:creationId xmlns:a16="http://schemas.microsoft.com/office/drawing/2014/main" id="{64D3B7CE-8149-4D95-85A4-5A3A408306FF}"/>
            </a:ext>
          </a:extLst>
        </xdr:cNvPr>
        <xdr:cNvSpPr/>
      </xdr:nvSpPr>
      <xdr:spPr>
        <a:xfrm>
          <a:off x="5010150" y="6743700"/>
          <a:ext cx="127635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xdr:col>
      <xdr:colOff>0</xdr:colOff>
      <xdr:row>53</xdr:row>
      <xdr:rowOff>0</xdr:rowOff>
    </xdr:from>
    <xdr:to>
      <xdr:col>8</xdr:col>
      <xdr:colOff>710794</xdr:colOff>
      <xdr:row>71</xdr:row>
      <xdr:rowOff>143566</xdr:rowOff>
    </xdr:to>
    <xdr:pic>
      <xdr:nvPicPr>
        <xdr:cNvPr id="6" name="Imagen 4">
          <a:extLst>
            <a:ext uri="{FF2B5EF4-FFF2-40B4-BE49-F238E27FC236}">
              <a16:creationId xmlns:a16="http://schemas.microsoft.com/office/drawing/2014/main" id="{AA1241F5-4C47-4F4F-849C-60B5A4D064C5}"/>
            </a:ext>
          </a:extLst>
        </xdr:cNvPr>
        <xdr:cNvPicPr>
          <a:picLocks noChangeAspect="1"/>
        </xdr:cNvPicPr>
      </xdr:nvPicPr>
      <xdr:blipFill>
        <a:blip xmlns:r="http://schemas.openxmlformats.org/officeDocument/2006/relationships" r:embed="rId1"/>
        <a:stretch>
          <a:fillRect/>
        </a:stretch>
      </xdr:blipFill>
      <xdr:spPr>
        <a:xfrm>
          <a:off x="762000" y="10372725"/>
          <a:ext cx="7035394" cy="3572566"/>
        </a:xfrm>
        <a:prstGeom prst="rect">
          <a:avLst/>
        </a:prstGeom>
      </xdr:spPr>
    </xdr:pic>
    <xdr:clientData/>
  </xdr:twoCellAnchor>
  <xdr:twoCellAnchor>
    <xdr:from>
      <xdr:col>10</xdr:col>
      <xdr:colOff>1674683</xdr:colOff>
      <xdr:row>60</xdr:row>
      <xdr:rowOff>62459</xdr:rowOff>
    </xdr:from>
    <xdr:to>
      <xdr:col>10</xdr:col>
      <xdr:colOff>1744949</xdr:colOff>
      <xdr:row>63</xdr:row>
      <xdr:rowOff>148340</xdr:rowOff>
    </xdr:to>
    <xdr:sp macro="" textlink="">
      <xdr:nvSpPr>
        <xdr:cNvPr id="10" name="Abrir llave 3">
          <a:extLst>
            <a:ext uri="{FF2B5EF4-FFF2-40B4-BE49-F238E27FC236}">
              <a16:creationId xmlns:a16="http://schemas.microsoft.com/office/drawing/2014/main" id="{E0A9ACCC-745E-42E8-8B22-CB864B4FE9E4}"/>
            </a:ext>
          </a:extLst>
        </xdr:cNvPr>
        <xdr:cNvSpPr/>
      </xdr:nvSpPr>
      <xdr:spPr>
        <a:xfrm>
          <a:off x="2436683" y="15197684"/>
          <a:ext cx="70266" cy="65738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7</xdr:col>
      <xdr:colOff>76200</xdr:colOff>
      <xdr:row>28</xdr:row>
      <xdr:rowOff>47625</xdr:rowOff>
    </xdr:from>
    <xdr:to>
      <xdr:col>7</xdr:col>
      <xdr:colOff>647700</xdr:colOff>
      <xdr:row>37</xdr:row>
      <xdr:rowOff>38100</xdr:rowOff>
    </xdr:to>
    <xdr:sp macro="" textlink="">
      <xdr:nvSpPr>
        <xdr:cNvPr id="11" name="Cerrar llave 1">
          <a:extLst>
            <a:ext uri="{FF2B5EF4-FFF2-40B4-BE49-F238E27FC236}">
              <a16:creationId xmlns:a16="http://schemas.microsoft.com/office/drawing/2014/main" id="{D0783F24-FF07-42A2-8700-F122CC71E7CF}"/>
            </a:ext>
          </a:extLst>
        </xdr:cNvPr>
        <xdr:cNvSpPr/>
      </xdr:nvSpPr>
      <xdr:spPr>
        <a:xfrm>
          <a:off x="8267700" y="5600700"/>
          <a:ext cx="571500" cy="17240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19050</xdr:colOff>
      <xdr:row>26</xdr:row>
      <xdr:rowOff>28575</xdr:rowOff>
    </xdr:from>
    <xdr:to>
      <xdr:col>5</xdr:col>
      <xdr:colOff>161925</xdr:colOff>
      <xdr:row>29</xdr:row>
      <xdr:rowOff>123825</xdr:rowOff>
    </xdr:to>
    <xdr:sp macro="" textlink="">
      <xdr:nvSpPr>
        <xdr:cNvPr id="12" name="Corchetes 2">
          <a:extLst>
            <a:ext uri="{FF2B5EF4-FFF2-40B4-BE49-F238E27FC236}">
              <a16:creationId xmlns:a16="http://schemas.microsoft.com/office/drawing/2014/main" id="{85787C0A-A54E-432E-BBE4-513FDEF7D68C}"/>
            </a:ext>
          </a:extLst>
        </xdr:cNvPr>
        <xdr:cNvSpPr/>
      </xdr:nvSpPr>
      <xdr:spPr>
        <a:xfrm>
          <a:off x="5010150" y="5200650"/>
          <a:ext cx="127635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9525</xdr:colOff>
      <xdr:row>30</xdr:row>
      <xdr:rowOff>76200</xdr:rowOff>
    </xdr:from>
    <xdr:to>
      <xdr:col>5</xdr:col>
      <xdr:colOff>323850</xdr:colOff>
      <xdr:row>33</xdr:row>
      <xdr:rowOff>171450</xdr:rowOff>
    </xdr:to>
    <xdr:sp macro="" textlink="">
      <xdr:nvSpPr>
        <xdr:cNvPr id="13" name="Corchetes 6">
          <a:extLst>
            <a:ext uri="{FF2B5EF4-FFF2-40B4-BE49-F238E27FC236}">
              <a16:creationId xmlns:a16="http://schemas.microsoft.com/office/drawing/2014/main" id="{FAD122CE-C933-4E01-94BA-FC7E69B6A1BE}"/>
            </a:ext>
          </a:extLst>
        </xdr:cNvPr>
        <xdr:cNvSpPr/>
      </xdr:nvSpPr>
      <xdr:spPr>
        <a:xfrm>
          <a:off x="5000625" y="6019800"/>
          <a:ext cx="144780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19050</xdr:colOff>
      <xdr:row>34</xdr:row>
      <xdr:rowOff>28575</xdr:rowOff>
    </xdr:from>
    <xdr:to>
      <xdr:col>5</xdr:col>
      <xdr:colOff>161925</xdr:colOff>
      <xdr:row>37</xdr:row>
      <xdr:rowOff>123825</xdr:rowOff>
    </xdr:to>
    <xdr:sp macro="" textlink="">
      <xdr:nvSpPr>
        <xdr:cNvPr id="14" name="Corchetes 7">
          <a:extLst>
            <a:ext uri="{FF2B5EF4-FFF2-40B4-BE49-F238E27FC236}">
              <a16:creationId xmlns:a16="http://schemas.microsoft.com/office/drawing/2014/main" id="{1FB095A2-A7F7-47EC-A453-F88975A47FB5}"/>
            </a:ext>
          </a:extLst>
        </xdr:cNvPr>
        <xdr:cNvSpPr/>
      </xdr:nvSpPr>
      <xdr:spPr>
        <a:xfrm>
          <a:off x="5010150" y="6743700"/>
          <a:ext cx="1276350" cy="66675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1803400</xdr:colOff>
      <xdr:row>119</xdr:row>
      <xdr:rowOff>139700</xdr:rowOff>
    </xdr:from>
    <xdr:to>
      <xdr:col>9</xdr:col>
      <xdr:colOff>609600</xdr:colOff>
      <xdr:row>122</xdr:row>
      <xdr:rowOff>57150</xdr:rowOff>
    </xdr:to>
    <xdr:cxnSp macro="">
      <xdr:nvCxnSpPr>
        <xdr:cNvPr id="18" name="Conector: curvado 2">
          <a:extLst>
            <a:ext uri="{FF2B5EF4-FFF2-40B4-BE49-F238E27FC236}">
              <a16:creationId xmlns:a16="http://schemas.microsoft.com/office/drawing/2014/main" id="{746A1072-69A0-4ADB-967F-AA51EEDB9AD7}"/>
            </a:ext>
          </a:extLst>
        </xdr:cNvPr>
        <xdr:cNvCxnSpPr/>
      </xdr:nvCxnSpPr>
      <xdr:spPr>
        <a:xfrm flipV="1">
          <a:off x="9156700" y="1149350"/>
          <a:ext cx="730250" cy="498475"/>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1885950</xdr:colOff>
      <xdr:row>126</xdr:row>
      <xdr:rowOff>101600</xdr:rowOff>
    </xdr:from>
    <xdr:to>
      <xdr:col>9</xdr:col>
      <xdr:colOff>654050</xdr:colOff>
      <xdr:row>128</xdr:row>
      <xdr:rowOff>107950</xdr:rowOff>
    </xdr:to>
    <xdr:cxnSp macro="">
      <xdr:nvCxnSpPr>
        <xdr:cNvPr id="19" name="Conector: curvado 4">
          <a:extLst>
            <a:ext uri="{FF2B5EF4-FFF2-40B4-BE49-F238E27FC236}">
              <a16:creationId xmlns:a16="http://schemas.microsoft.com/office/drawing/2014/main" id="{41E30F0E-CCE1-4D76-9024-E0DDF1053F8F}"/>
            </a:ext>
          </a:extLst>
        </xdr:cNvPr>
        <xdr:cNvCxnSpPr/>
      </xdr:nvCxnSpPr>
      <xdr:spPr>
        <a:xfrm flipV="1">
          <a:off x="9239250" y="2482850"/>
          <a:ext cx="692150" cy="396875"/>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1784350</xdr:colOff>
      <xdr:row>131</xdr:row>
      <xdr:rowOff>101600</xdr:rowOff>
    </xdr:from>
    <xdr:to>
      <xdr:col>10</xdr:col>
      <xdr:colOff>31750</xdr:colOff>
      <xdr:row>133</xdr:row>
      <xdr:rowOff>38100</xdr:rowOff>
    </xdr:to>
    <xdr:cxnSp macro="">
      <xdr:nvCxnSpPr>
        <xdr:cNvPr id="20" name="Conector: curvado 6">
          <a:extLst>
            <a:ext uri="{FF2B5EF4-FFF2-40B4-BE49-F238E27FC236}">
              <a16:creationId xmlns:a16="http://schemas.microsoft.com/office/drawing/2014/main" id="{3CFC54D7-DC97-4432-8229-F07485653F70}"/>
            </a:ext>
          </a:extLst>
        </xdr:cNvPr>
        <xdr:cNvCxnSpPr/>
      </xdr:nvCxnSpPr>
      <xdr:spPr>
        <a:xfrm flipV="1">
          <a:off x="9137650" y="3473450"/>
          <a:ext cx="933450" cy="327025"/>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493059</xdr:colOff>
      <xdr:row>276</xdr:row>
      <xdr:rowOff>56029</xdr:rowOff>
    </xdr:from>
    <xdr:to>
      <xdr:col>2</xdr:col>
      <xdr:colOff>21426</xdr:colOff>
      <xdr:row>282</xdr:row>
      <xdr:rowOff>84604</xdr:rowOff>
    </xdr:to>
    <xdr:pic>
      <xdr:nvPicPr>
        <xdr:cNvPr id="3" name="Imagen 3">
          <a:extLst>
            <a:ext uri="{FF2B5EF4-FFF2-40B4-BE49-F238E27FC236}">
              <a16:creationId xmlns:a16="http://schemas.microsoft.com/office/drawing/2014/main" id="{0246D2FF-8557-0CA4-15D5-F0C15F2A70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677" y="58371441"/>
          <a:ext cx="3571875" cy="1171575"/>
        </a:xfrm>
        <a:prstGeom prst="rect">
          <a:avLst/>
        </a:prstGeom>
        <a:noFill/>
        <a:ln>
          <a:noFill/>
        </a:ln>
      </xdr:spPr>
    </xdr:pic>
    <xdr:clientData/>
  </xdr:twoCellAnchor>
  <xdr:twoCellAnchor editAs="oneCell">
    <xdr:from>
      <xdr:col>0</xdr:col>
      <xdr:colOff>134473</xdr:colOff>
      <xdr:row>289</xdr:row>
      <xdr:rowOff>44824</xdr:rowOff>
    </xdr:from>
    <xdr:to>
      <xdr:col>1</xdr:col>
      <xdr:colOff>2814300</xdr:colOff>
      <xdr:row>296</xdr:row>
      <xdr:rowOff>56889</xdr:rowOff>
    </xdr:to>
    <xdr:pic>
      <xdr:nvPicPr>
        <xdr:cNvPr id="4" name="Imagen 4">
          <a:extLst>
            <a:ext uri="{FF2B5EF4-FFF2-40B4-BE49-F238E27FC236}">
              <a16:creationId xmlns:a16="http://schemas.microsoft.com/office/drawing/2014/main" id="{14711F17-35D9-3A20-F51D-243E7933B1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473" y="64814824"/>
          <a:ext cx="3864610" cy="1345565"/>
        </a:xfrm>
        <a:prstGeom prst="rect">
          <a:avLst/>
        </a:prstGeom>
        <a:noFill/>
        <a:ln>
          <a:noFill/>
        </a:ln>
      </xdr:spPr>
    </xdr:pic>
    <xdr:clientData/>
  </xdr:twoCellAnchor>
  <xdr:twoCellAnchor>
    <xdr:from>
      <xdr:col>27</xdr:col>
      <xdr:colOff>134470</xdr:colOff>
      <xdr:row>289</xdr:row>
      <xdr:rowOff>101600</xdr:rowOff>
    </xdr:from>
    <xdr:to>
      <xdr:col>31</xdr:col>
      <xdr:colOff>268941</xdr:colOff>
      <xdr:row>303</xdr:row>
      <xdr:rowOff>122144</xdr:rowOff>
    </xdr:to>
    <xdr:graphicFrame macro="">
      <xdr:nvGraphicFramePr>
        <xdr:cNvPr id="5" name="Chart 4">
          <a:extLst>
            <a:ext uri="{FF2B5EF4-FFF2-40B4-BE49-F238E27FC236}">
              <a16:creationId xmlns:a16="http://schemas.microsoft.com/office/drawing/2014/main" id="{5CA3407A-64B5-5B99-0535-29F09CDB2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584200</xdr:colOff>
      <xdr:row>516</xdr:row>
      <xdr:rowOff>86360</xdr:rowOff>
    </xdr:from>
    <xdr:to>
      <xdr:col>7</xdr:col>
      <xdr:colOff>1229360</xdr:colOff>
      <xdr:row>531</xdr:row>
      <xdr:rowOff>86360</xdr:rowOff>
    </xdr:to>
    <xdr:graphicFrame macro="">
      <xdr:nvGraphicFramePr>
        <xdr:cNvPr id="2" name="Chart 1">
          <a:extLst>
            <a:ext uri="{FF2B5EF4-FFF2-40B4-BE49-F238E27FC236}">
              <a16:creationId xmlns:a16="http://schemas.microsoft.com/office/drawing/2014/main" id="{F8CA64D8-79CE-87DB-E387-B94CBF965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44</xdr:col>
      <xdr:colOff>850900</xdr:colOff>
      <xdr:row>574</xdr:row>
      <xdr:rowOff>12114</xdr:rowOff>
    </xdr:from>
    <xdr:to>
      <xdr:col>50</xdr:col>
      <xdr:colOff>353548</xdr:colOff>
      <xdr:row>591</xdr:row>
      <xdr:rowOff>26022</xdr:rowOff>
    </xdr:to>
    <xdr:pic>
      <xdr:nvPicPr>
        <xdr:cNvPr id="6" name="Picture 5">
          <a:extLst>
            <a:ext uri="{FF2B5EF4-FFF2-40B4-BE49-F238E27FC236}">
              <a16:creationId xmlns:a16="http://schemas.microsoft.com/office/drawing/2014/main" id="{F4C036C2-E488-FFE4-D655-ECBCEDB8B5A0}"/>
            </a:ext>
          </a:extLst>
        </xdr:cNvPr>
        <xdr:cNvPicPr>
          <a:picLocks noChangeAspect="1"/>
        </xdr:cNvPicPr>
      </xdr:nvPicPr>
      <xdr:blipFill>
        <a:blip xmlns:r="http://schemas.openxmlformats.org/officeDocument/2006/relationships" r:embed="rId5"/>
        <a:stretch>
          <a:fillRect/>
        </a:stretch>
      </xdr:blipFill>
      <xdr:spPr>
        <a:xfrm>
          <a:off x="51104800" y="126224714"/>
          <a:ext cx="6055848" cy="3354008"/>
        </a:xfrm>
        <a:prstGeom prst="rect">
          <a:avLst/>
        </a:prstGeom>
      </xdr:spPr>
    </xdr:pic>
    <xdr:clientData/>
  </xdr:twoCellAnchor>
  <xdr:twoCellAnchor>
    <xdr:from>
      <xdr:col>62</xdr:col>
      <xdr:colOff>1292224</xdr:colOff>
      <xdr:row>494</xdr:row>
      <xdr:rowOff>9525</xdr:rowOff>
    </xdr:from>
    <xdr:to>
      <xdr:col>70</xdr:col>
      <xdr:colOff>88899</xdr:colOff>
      <xdr:row>508</xdr:row>
      <xdr:rowOff>174625</xdr:rowOff>
    </xdr:to>
    <xdr:graphicFrame macro="">
      <xdr:nvGraphicFramePr>
        <xdr:cNvPr id="7" name="Gráfico 1">
          <a:extLst>
            <a:ext uri="{FF2B5EF4-FFF2-40B4-BE49-F238E27FC236}">
              <a16:creationId xmlns:a16="http://schemas.microsoft.com/office/drawing/2014/main" id="{F8B2AE1A-18CD-4116-9805-CF11ABFA6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553386</xdr:colOff>
      <xdr:row>669</xdr:row>
      <xdr:rowOff>367</xdr:rowOff>
    </xdr:from>
    <xdr:to>
      <xdr:col>15</xdr:col>
      <xdr:colOff>1091046</xdr:colOff>
      <xdr:row>706</xdr:row>
      <xdr:rowOff>152572</xdr:rowOff>
    </xdr:to>
    <xdr:pic>
      <xdr:nvPicPr>
        <xdr:cNvPr id="8" name="Picture 7">
          <a:extLst>
            <a:ext uri="{FF2B5EF4-FFF2-40B4-BE49-F238E27FC236}">
              <a16:creationId xmlns:a16="http://schemas.microsoft.com/office/drawing/2014/main" id="{F7BF0746-38CD-72F3-73D3-BA10F44DED74}"/>
            </a:ext>
          </a:extLst>
        </xdr:cNvPr>
        <xdr:cNvPicPr>
          <a:picLocks noChangeAspect="1"/>
        </xdr:cNvPicPr>
      </xdr:nvPicPr>
      <xdr:blipFill>
        <a:blip xmlns:r="http://schemas.openxmlformats.org/officeDocument/2006/relationships" r:embed="rId7"/>
        <a:stretch>
          <a:fillRect/>
        </a:stretch>
      </xdr:blipFill>
      <xdr:spPr>
        <a:xfrm>
          <a:off x="11533113" y="144728412"/>
          <a:ext cx="7170523" cy="7200705"/>
        </a:xfrm>
        <a:prstGeom prst="rect">
          <a:avLst/>
        </a:prstGeom>
      </xdr:spPr>
    </xdr:pic>
    <xdr:clientData/>
  </xdr:twoCellAnchor>
  <xdr:twoCellAnchor editAs="oneCell">
    <xdr:from>
      <xdr:col>0</xdr:col>
      <xdr:colOff>121664</xdr:colOff>
      <xdr:row>752</xdr:row>
      <xdr:rowOff>146136</xdr:rowOff>
    </xdr:from>
    <xdr:to>
      <xdr:col>1</xdr:col>
      <xdr:colOff>2894319</xdr:colOff>
      <xdr:row>759</xdr:row>
      <xdr:rowOff>148309</xdr:rowOff>
    </xdr:to>
    <xdr:pic>
      <xdr:nvPicPr>
        <xdr:cNvPr id="9" name="Picture 8">
          <a:extLst>
            <a:ext uri="{FF2B5EF4-FFF2-40B4-BE49-F238E27FC236}">
              <a16:creationId xmlns:a16="http://schemas.microsoft.com/office/drawing/2014/main" id="{58773023-088A-0F98-BBB1-4618E42232F0}"/>
            </a:ext>
          </a:extLst>
        </xdr:cNvPr>
        <xdr:cNvPicPr>
          <a:picLocks noChangeAspect="1"/>
        </xdr:cNvPicPr>
      </xdr:nvPicPr>
      <xdr:blipFill>
        <a:blip xmlns:r="http://schemas.openxmlformats.org/officeDocument/2006/relationships" r:embed="rId8"/>
        <a:stretch>
          <a:fillRect/>
        </a:stretch>
      </xdr:blipFill>
      <xdr:spPr>
        <a:xfrm>
          <a:off x="121664" y="158277144"/>
          <a:ext cx="3425798" cy="1302056"/>
        </a:xfrm>
        <a:prstGeom prst="rect">
          <a:avLst/>
        </a:prstGeom>
      </xdr:spPr>
    </xdr:pic>
    <xdr:clientData/>
  </xdr:twoCellAnchor>
  <xdr:twoCellAnchor editAs="oneCell">
    <xdr:from>
      <xdr:col>0</xdr:col>
      <xdr:colOff>76841</xdr:colOff>
      <xdr:row>759</xdr:row>
      <xdr:rowOff>147279</xdr:rowOff>
    </xdr:from>
    <xdr:to>
      <xdr:col>1</xdr:col>
      <xdr:colOff>2894320</xdr:colOff>
      <xdr:row>762</xdr:row>
      <xdr:rowOff>116809</xdr:rowOff>
    </xdr:to>
    <xdr:pic>
      <xdr:nvPicPr>
        <xdr:cNvPr id="10" name="Picture 9">
          <a:extLst>
            <a:ext uri="{FF2B5EF4-FFF2-40B4-BE49-F238E27FC236}">
              <a16:creationId xmlns:a16="http://schemas.microsoft.com/office/drawing/2014/main" id="{A7FE30A1-CBC8-55B6-51BF-DA09BF133A75}"/>
            </a:ext>
          </a:extLst>
        </xdr:cNvPr>
        <xdr:cNvPicPr>
          <a:picLocks noChangeAspect="1"/>
        </xdr:cNvPicPr>
      </xdr:nvPicPr>
      <xdr:blipFill>
        <a:blip xmlns:r="http://schemas.openxmlformats.org/officeDocument/2006/relationships" r:embed="rId9"/>
        <a:stretch>
          <a:fillRect/>
        </a:stretch>
      </xdr:blipFill>
      <xdr:spPr>
        <a:xfrm>
          <a:off x="76841" y="159578170"/>
          <a:ext cx="3470622" cy="526622"/>
        </a:xfrm>
        <a:prstGeom prst="rect">
          <a:avLst/>
        </a:prstGeom>
      </xdr:spPr>
    </xdr:pic>
    <xdr:clientData/>
  </xdr:twoCellAnchor>
  <xdr:twoCellAnchor editAs="oneCell">
    <xdr:from>
      <xdr:col>3</xdr:col>
      <xdr:colOff>201706</xdr:colOff>
      <xdr:row>758</xdr:row>
      <xdr:rowOff>103914</xdr:rowOff>
    </xdr:from>
    <xdr:to>
      <xdr:col>6</xdr:col>
      <xdr:colOff>6912</xdr:colOff>
      <xdr:row>761</xdr:row>
      <xdr:rowOff>65267</xdr:rowOff>
    </xdr:to>
    <xdr:pic>
      <xdr:nvPicPr>
        <xdr:cNvPr id="11" name="Picture 10">
          <a:extLst>
            <a:ext uri="{FF2B5EF4-FFF2-40B4-BE49-F238E27FC236}">
              <a16:creationId xmlns:a16="http://schemas.microsoft.com/office/drawing/2014/main" id="{ED05B8A8-ACF7-EBF1-57C7-A98CF1597E08}"/>
            </a:ext>
          </a:extLst>
        </xdr:cNvPr>
        <xdr:cNvPicPr>
          <a:picLocks noChangeAspect="1"/>
        </xdr:cNvPicPr>
      </xdr:nvPicPr>
      <xdr:blipFill>
        <a:blip xmlns:r="http://schemas.openxmlformats.org/officeDocument/2006/relationships" r:embed="rId10"/>
        <a:stretch>
          <a:fillRect/>
        </a:stretch>
      </xdr:blipFill>
      <xdr:spPr>
        <a:xfrm>
          <a:off x="4448735" y="162219414"/>
          <a:ext cx="4814236" cy="532853"/>
        </a:xfrm>
        <a:prstGeom prst="rect">
          <a:avLst/>
        </a:prstGeom>
      </xdr:spPr>
    </xdr:pic>
    <xdr:clientData/>
  </xdr:twoCellAnchor>
  <xdr:twoCellAnchor editAs="oneCell">
    <xdr:from>
      <xdr:col>0</xdr:col>
      <xdr:colOff>320168</xdr:colOff>
      <xdr:row>764</xdr:row>
      <xdr:rowOff>96050</xdr:rowOff>
    </xdr:from>
    <xdr:to>
      <xdr:col>1</xdr:col>
      <xdr:colOff>2982012</xdr:colOff>
      <xdr:row>779</xdr:row>
      <xdr:rowOff>31164</xdr:rowOff>
    </xdr:to>
    <xdr:pic>
      <xdr:nvPicPr>
        <xdr:cNvPr id="12" name="Picture 11">
          <a:extLst>
            <a:ext uri="{FF2B5EF4-FFF2-40B4-BE49-F238E27FC236}">
              <a16:creationId xmlns:a16="http://schemas.microsoft.com/office/drawing/2014/main" id="{1A914323-C027-97E6-038A-4E546F188250}"/>
            </a:ext>
          </a:extLst>
        </xdr:cNvPr>
        <xdr:cNvPicPr>
          <a:picLocks noChangeAspect="1"/>
        </xdr:cNvPicPr>
      </xdr:nvPicPr>
      <xdr:blipFill>
        <a:blip xmlns:r="http://schemas.openxmlformats.org/officeDocument/2006/relationships" r:embed="rId11"/>
        <a:stretch>
          <a:fillRect/>
        </a:stretch>
      </xdr:blipFill>
      <xdr:spPr>
        <a:xfrm>
          <a:off x="320168" y="160807613"/>
          <a:ext cx="3314987" cy="2720576"/>
        </a:xfrm>
        <a:prstGeom prst="rect">
          <a:avLst/>
        </a:prstGeom>
      </xdr:spPr>
    </xdr:pic>
    <xdr:clientData/>
  </xdr:twoCellAnchor>
  <xdr:twoCellAnchor editAs="oneCell">
    <xdr:from>
      <xdr:col>0</xdr:col>
      <xdr:colOff>65049</xdr:colOff>
      <xdr:row>795</xdr:row>
      <xdr:rowOff>157976</xdr:rowOff>
    </xdr:from>
    <xdr:to>
      <xdr:col>2</xdr:col>
      <xdr:colOff>22732</xdr:colOff>
      <xdr:row>810</xdr:row>
      <xdr:rowOff>130098</xdr:rowOff>
    </xdr:to>
    <xdr:pic>
      <xdr:nvPicPr>
        <xdr:cNvPr id="13" name="Picture 12">
          <a:extLst>
            <a:ext uri="{FF2B5EF4-FFF2-40B4-BE49-F238E27FC236}">
              <a16:creationId xmlns:a16="http://schemas.microsoft.com/office/drawing/2014/main" id="{0E9B4C00-5E36-2330-559A-C86BF3D2CC87}"/>
            </a:ext>
          </a:extLst>
        </xdr:cNvPr>
        <xdr:cNvPicPr>
          <a:picLocks noChangeAspect="1"/>
        </xdr:cNvPicPr>
      </xdr:nvPicPr>
      <xdr:blipFill>
        <a:blip xmlns:r="http://schemas.openxmlformats.org/officeDocument/2006/relationships" r:embed="rId12"/>
        <a:stretch>
          <a:fillRect/>
        </a:stretch>
      </xdr:blipFill>
      <xdr:spPr>
        <a:xfrm>
          <a:off x="65049" y="166701439"/>
          <a:ext cx="3711927" cy="2759927"/>
        </a:xfrm>
        <a:prstGeom prst="rect">
          <a:avLst/>
        </a:prstGeom>
      </xdr:spPr>
    </xdr:pic>
    <xdr:clientData/>
  </xdr:twoCellAnchor>
  <xdr:twoCellAnchor editAs="oneCell">
    <xdr:from>
      <xdr:col>0</xdr:col>
      <xdr:colOff>0</xdr:colOff>
      <xdr:row>811</xdr:row>
      <xdr:rowOff>0</xdr:rowOff>
    </xdr:from>
    <xdr:to>
      <xdr:col>1</xdr:col>
      <xdr:colOff>3008571</xdr:colOff>
      <xdr:row>818</xdr:row>
      <xdr:rowOff>159658</xdr:rowOff>
    </xdr:to>
    <xdr:pic>
      <xdr:nvPicPr>
        <xdr:cNvPr id="14" name="Picture 13">
          <a:extLst>
            <a:ext uri="{FF2B5EF4-FFF2-40B4-BE49-F238E27FC236}">
              <a16:creationId xmlns:a16="http://schemas.microsoft.com/office/drawing/2014/main" id="{7F7AF5F8-B78C-BF36-8599-02062525F226}"/>
            </a:ext>
          </a:extLst>
        </xdr:cNvPr>
        <xdr:cNvPicPr>
          <a:picLocks noChangeAspect="1"/>
        </xdr:cNvPicPr>
      </xdr:nvPicPr>
      <xdr:blipFill>
        <a:blip xmlns:r="http://schemas.openxmlformats.org/officeDocument/2006/relationships" r:embed="rId13"/>
        <a:stretch>
          <a:fillRect/>
        </a:stretch>
      </xdr:blipFill>
      <xdr:spPr>
        <a:xfrm>
          <a:off x="0" y="166188571"/>
          <a:ext cx="3718864" cy="1429658"/>
        </a:xfrm>
        <a:prstGeom prst="rect">
          <a:avLst/>
        </a:prstGeom>
      </xdr:spPr>
    </xdr:pic>
    <xdr:clientData/>
  </xdr:twoCellAnchor>
  <xdr:twoCellAnchor>
    <xdr:from>
      <xdr:col>5</xdr:col>
      <xdr:colOff>228600</xdr:colOff>
      <xdr:row>841</xdr:row>
      <xdr:rowOff>112485</xdr:rowOff>
    </xdr:from>
    <xdr:to>
      <xdr:col>9</xdr:col>
      <xdr:colOff>925285</xdr:colOff>
      <xdr:row>856</xdr:row>
      <xdr:rowOff>134257</xdr:rowOff>
    </xdr:to>
    <xdr:graphicFrame macro="">
      <xdr:nvGraphicFramePr>
        <xdr:cNvPr id="15" name="Chart 14">
          <a:extLst>
            <a:ext uri="{FF2B5EF4-FFF2-40B4-BE49-F238E27FC236}">
              <a16:creationId xmlns:a16="http://schemas.microsoft.com/office/drawing/2014/main" id="{77683526-F976-E588-8721-89445F786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274320</xdr:colOff>
      <xdr:row>1</xdr:row>
      <xdr:rowOff>152400</xdr:rowOff>
    </xdr:from>
    <xdr:to>
      <xdr:col>1</xdr:col>
      <xdr:colOff>6247130</xdr:colOff>
      <xdr:row>9</xdr:row>
      <xdr:rowOff>172795</xdr:rowOff>
    </xdr:to>
    <xdr:pic>
      <xdr:nvPicPr>
        <xdr:cNvPr id="2" name="Imagen 2">
          <a:extLst>
            <a:ext uri="{FF2B5EF4-FFF2-40B4-BE49-F238E27FC236}">
              <a16:creationId xmlns:a16="http://schemas.microsoft.com/office/drawing/2014/main" id="{2B942526-EEC4-4289-BA3A-D2E17919A47E}"/>
            </a:ext>
          </a:extLst>
        </xdr:cNvPr>
        <xdr:cNvPicPr>
          <a:picLocks noChangeAspect="1"/>
        </xdr:cNvPicPr>
      </xdr:nvPicPr>
      <xdr:blipFill>
        <a:blip xmlns:r="http://schemas.openxmlformats.org/officeDocument/2006/relationships" r:embed="rId1"/>
        <a:stretch>
          <a:fillRect/>
        </a:stretch>
      </xdr:blipFill>
      <xdr:spPr>
        <a:xfrm>
          <a:off x="274320" y="335280"/>
          <a:ext cx="6532880" cy="1483435"/>
        </a:xfrm>
        <a:prstGeom prst="rect">
          <a:avLst/>
        </a:prstGeom>
      </xdr:spPr>
    </xdr:pic>
    <xdr:clientData/>
  </xdr:twoCellAnchor>
  <xdr:twoCellAnchor editAs="oneCell">
    <xdr:from>
      <xdr:col>14</xdr:col>
      <xdr:colOff>112806</xdr:colOff>
      <xdr:row>1</xdr:row>
      <xdr:rowOff>32572</xdr:rowOff>
    </xdr:from>
    <xdr:to>
      <xdr:col>25</xdr:col>
      <xdr:colOff>1112698</xdr:colOff>
      <xdr:row>10</xdr:row>
      <xdr:rowOff>127596</xdr:rowOff>
    </xdr:to>
    <xdr:pic>
      <xdr:nvPicPr>
        <xdr:cNvPr id="3" name="Imagen 2">
          <a:extLst>
            <a:ext uri="{FF2B5EF4-FFF2-40B4-BE49-F238E27FC236}">
              <a16:creationId xmlns:a16="http://schemas.microsoft.com/office/drawing/2014/main" id="{5571E4FD-E2DA-4FDF-8CD5-980EDD61BB38}"/>
            </a:ext>
          </a:extLst>
        </xdr:cNvPr>
        <xdr:cNvPicPr>
          <a:picLocks noChangeAspect="1"/>
        </xdr:cNvPicPr>
      </xdr:nvPicPr>
      <xdr:blipFill>
        <a:blip xmlns:r="http://schemas.openxmlformats.org/officeDocument/2006/relationships" r:embed="rId2"/>
        <a:stretch>
          <a:fillRect/>
        </a:stretch>
      </xdr:blipFill>
      <xdr:spPr>
        <a:xfrm>
          <a:off x="15072659" y="223072"/>
          <a:ext cx="10950715" cy="1809524"/>
        </a:xfrm>
        <a:prstGeom prst="rect">
          <a:avLst/>
        </a:prstGeom>
      </xdr:spPr>
    </xdr:pic>
    <xdr:clientData/>
  </xdr:twoCellAnchor>
  <xdr:twoCellAnchor editAs="oneCell">
    <xdr:from>
      <xdr:col>27</xdr:col>
      <xdr:colOff>558800</xdr:colOff>
      <xdr:row>2</xdr:row>
      <xdr:rowOff>119380</xdr:rowOff>
    </xdr:from>
    <xdr:to>
      <xdr:col>37</xdr:col>
      <xdr:colOff>264462</xdr:colOff>
      <xdr:row>23</xdr:row>
      <xdr:rowOff>14562</xdr:rowOff>
    </xdr:to>
    <xdr:pic>
      <xdr:nvPicPr>
        <xdr:cNvPr id="4" name="Imagen 2">
          <a:extLst>
            <a:ext uri="{FF2B5EF4-FFF2-40B4-BE49-F238E27FC236}">
              <a16:creationId xmlns:a16="http://schemas.microsoft.com/office/drawing/2014/main" id="{BA620A68-AB61-45F8-83FA-D3A040F107DE}"/>
            </a:ext>
          </a:extLst>
        </xdr:cNvPr>
        <xdr:cNvPicPr>
          <a:picLocks noChangeAspect="1"/>
        </xdr:cNvPicPr>
      </xdr:nvPicPr>
      <xdr:blipFill>
        <a:blip xmlns:r="http://schemas.openxmlformats.org/officeDocument/2006/relationships" r:embed="rId3"/>
        <a:stretch>
          <a:fillRect/>
        </a:stretch>
      </xdr:blipFill>
      <xdr:spPr>
        <a:xfrm>
          <a:off x="27660600" y="500380"/>
          <a:ext cx="7897163" cy="38956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1219200</xdr:colOff>
      <xdr:row>30</xdr:row>
      <xdr:rowOff>60960</xdr:rowOff>
    </xdr:from>
    <xdr:to>
      <xdr:col>1</xdr:col>
      <xdr:colOff>3810225</xdr:colOff>
      <xdr:row>41</xdr:row>
      <xdr:rowOff>7739</xdr:rowOff>
    </xdr:to>
    <xdr:pic>
      <xdr:nvPicPr>
        <xdr:cNvPr id="2" name="Picture 1">
          <a:extLst>
            <a:ext uri="{FF2B5EF4-FFF2-40B4-BE49-F238E27FC236}">
              <a16:creationId xmlns:a16="http://schemas.microsoft.com/office/drawing/2014/main" id="{4F891B81-66C6-5AF4-5B25-8CD56325E3EA}"/>
            </a:ext>
          </a:extLst>
        </xdr:cNvPr>
        <xdr:cNvPicPr>
          <a:picLocks noChangeAspect="1"/>
        </xdr:cNvPicPr>
      </xdr:nvPicPr>
      <xdr:blipFill>
        <a:blip xmlns:r="http://schemas.openxmlformats.org/officeDocument/2006/relationships" r:embed="rId1"/>
        <a:stretch>
          <a:fillRect/>
        </a:stretch>
      </xdr:blipFill>
      <xdr:spPr>
        <a:xfrm>
          <a:off x="1653540" y="3947160"/>
          <a:ext cx="2591025" cy="1371719"/>
        </a:xfrm>
        <a:prstGeom prst="rect">
          <a:avLst/>
        </a:prstGeom>
      </xdr:spPr>
    </xdr:pic>
    <xdr:clientData/>
  </xdr:twoCellAnchor>
  <xdr:twoCellAnchor editAs="oneCell">
    <xdr:from>
      <xdr:col>0</xdr:col>
      <xdr:colOff>0</xdr:colOff>
      <xdr:row>87</xdr:row>
      <xdr:rowOff>15765</xdr:rowOff>
    </xdr:from>
    <xdr:to>
      <xdr:col>1</xdr:col>
      <xdr:colOff>4715920</xdr:colOff>
      <xdr:row>108</xdr:row>
      <xdr:rowOff>20199</xdr:rowOff>
    </xdr:to>
    <xdr:pic>
      <xdr:nvPicPr>
        <xdr:cNvPr id="3" name="Imagen 1">
          <a:extLst>
            <a:ext uri="{FF2B5EF4-FFF2-40B4-BE49-F238E27FC236}">
              <a16:creationId xmlns:a16="http://schemas.microsoft.com/office/drawing/2014/main" id="{1843BFE7-8A33-A6D3-E95A-5E25ED3599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839903"/>
          <a:ext cx="5152099" cy="3001602"/>
        </a:xfrm>
        <a:prstGeom prst="rect">
          <a:avLst/>
        </a:prstGeom>
        <a:noFill/>
        <a:ln>
          <a:noFill/>
        </a:ln>
      </xdr:spPr>
    </xdr:pic>
    <xdr:clientData/>
  </xdr:twoCellAnchor>
  <xdr:twoCellAnchor editAs="oneCell">
    <xdr:from>
      <xdr:col>0</xdr:col>
      <xdr:colOff>0</xdr:colOff>
      <xdr:row>118</xdr:row>
      <xdr:rowOff>54747</xdr:rowOff>
    </xdr:from>
    <xdr:to>
      <xdr:col>1</xdr:col>
      <xdr:colOff>4628972</xdr:colOff>
      <xdr:row>138</xdr:row>
      <xdr:rowOff>124690</xdr:rowOff>
    </xdr:to>
    <xdr:pic>
      <xdr:nvPicPr>
        <xdr:cNvPr id="4" name="Picture 3">
          <a:extLst>
            <a:ext uri="{FF2B5EF4-FFF2-40B4-BE49-F238E27FC236}">
              <a16:creationId xmlns:a16="http://schemas.microsoft.com/office/drawing/2014/main" id="{F3D4A3FE-1AA4-51DE-8DB8-2EEC6956F8EF}"/>
            </a:ext>
          </a:extLst>
        </xdr:cNvPr>
        <xdr:cNvPicPr>
          <a:picLocks noChangeAspect="1"/>
        </xdr:cNvPicPr>
      </xdr:nvPicPr>
      <xdr:blipFill>
        <a:blip xmlns:r="http://schemas.openxmlformats.org/officeDocument/2006/relationships" r:embed="rId3"/>
        <a:stretch>
          <a:fillRect/>
        </a:stretch>
      </xdr:blipFill>
      <xdr:spPr>
        <a:xfrm>
          <a:off x="0" y="16879280"/>
          <a:ext cx="5047360" cy="3399242"/>
        </a:xfrm>
        <a:prstGeom prst="rect">
          <a:avLst/>
        </a:prstGeom>
      </xdr:spPr>
    </xdr:pic>
    <xdr:clientData/>
  </xdr:twoCellAnchor>
  <xdr:twoCellAnchor editAs="oneCell">
    <xdr:from>
      <xdr:col>0</xdr:col>
      <xdr:colOff>1</xdr:colOff>
      <xdr:row>150</xdr:row>
      <xdr:rowOff>44509</xdr:rowOff>
    </xdr:from>
    <xdr:to>
      <xdr:col>1</xdr:col>
      <xdr:colOff>4665922</xdr:colOff>
      <xdr:row>173</xdr:row>
      <xdr:rowOff>26705</xdr:rowOff>
    </xdr:to>
    <xdr:pic>
      <xdr:nvPicPr>
        <xdr:cNvPr id="5" name="Picture 4">
          <a:extLst>
            <a:ext uri="{FF2B5EF4-FFF2-40B4-BE49-F238E27FC236}">
              <a16:creationId xmlns:a16="http://schemas.microsoft.com/office/drawing/2014/main" id="{E3C24FD2-6869-9191-E541-A2A92C1C51C8}"/>
            </a:ext>
          </a:extLst>
        </xdr:cNvPr>
        <xdr:cNvPicPr>
          <a:picLocks noChangeAspect="1"/>
        </xdr:cNvPicPr>
      </xdr:nvPicPr>
      <xdr:blipFill>
        <a:blip xmlns:r="http://schemas.openxmlformats.org/officeDocument/2006/relationships" r:embed="rId4"/>
        <a:stretch>
          <a:fillRect/>
        </a:stretch>
      </xdr:blipFill>
      <xdr:spPr>
        <a:xfrm>
          <a:off x="1" y="21426799"/>
          <a:ext cx="5084309" cy="3258084"/>
        </a:xfrm>
        <a:prstGeom prst="rect">
          <a:avLst/>
        </a:prstGeom>
      </xdr:spPr>
    </xdr:pic>
    <xdr:clientData/>
  </xdr:twoCellAnchor>
  <xdr:twoCellAnchor editAs="oneCell">
    <xdr:from>
      <xdr:col>0</xdr:col>
      <xdr:colOff>97920</xdr:colOff>
      <xdr:row>231</xdr:row>
      <xdr:rowOff>109262</xdr:rowOff>
    </xdr:from>
    <xdr:to>
      <xdr:col>1</xdr:col>
      <xdr:colOff>4726891</xdr:colOff>
      <xdr:row>254</xdr:row>
      <xdr:rowOff>60830</xdr:rowOff>
    </xdr:to>
    <xdr:pic>
      <xdr:nvPicPr>
        <xdr:cNvPr id="6" name="Picture 5">
          <a:extLst>
            <a:ext uri="{FF2B5EF4-FFF2-40B4-BE49-F238E27FC236}">
              <a16:creationId xmlns:a16="http://schemas.microsoft.com/office/drawing/2014/main" id="{87944DC5-8F7B-6609-2189-7BA96BFD2BA5}"/>
            </a:ext>
          </a:extLst>
        </xdr:cNvPr>
        <xdr:cNvPicPr>
          <a:picLocks noChangeAspect="1"/>
        </xdr:cNvPicPr>
      </xdr:nvPicPr>
      <xdr:blipFill>
        <a:blip xmlns:r="http://schemas.openxmlformats.org/officeDocument/2006/relationships" r:embed="rId5"/>
        <a:stretch>
          <a:fillRect/>
        </a:stretch>
      </xdr:blipFill>
      <xdr:spPr>
        <a:xfrm>
          <a:off x="97920" y="33642603"/>
          <a:ext cx="5047359" cy="3441099"/>
        </a:xfrm>
        <a:prstGeom prst="rect">
          <a:avLst/>
        </a:prstGeom>
      </xdr:spPr>
    </xdr:pic>
    <xdr:clientData/>
  </xdr:twoCellAnchor>
  <xdr:twoCellAnchor>
    <xdr:from>
      <xdr:col>35</xdr:col>
      <xdr:colOff>680357</xdr:colOff>
      <xdr:row>154</xdr:row>
      <xdr:rowOff>155510</xdr:rowOff>
    </xdr:from>
    <xdr:to>
      <xdr:col>35</xdr:col>
      <xdr:colOff>1146887</xdr:colOff>
      <xdr:row>156</xdr:row>
      <xdr:rowOff>145790</xdr:rowOff>
    </xdr:to>
    <xdr:cxnSp macro="">
      <xdr:nvCxnSpPr>
        <xdr:cNvPr id="7" name="Conector recto de flecha 3">
          <a:extLst>
            <a:ext uri="{FF2B5EF4-FFF2-40B4-BE49-F238E27FC236}">
              <a16:creationId xmlns:a16="http://schemas.microsoft.com/office/drawing/2014/main" id="{8E2238E6-6A2D-4D94-8E01-063378574E6C}"/>
            </a:ext>
          </a:extLst>
        </xdr:cNvPr>
        <xdr:cNvCxnSpPr/>
      </xdr:nvCxnSpPr>
      <xdr:spPr>
        <a:xfrm>
          <a:off x="8519432" y="917510"/>
          <a:ext cx="466530" cy="371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389393</xdr:colOff>
      <xdr:row>32</xdr:row>
      <xdr:rowOff>30990</xdr:rowOff>
    </xdr:to>
    <xdr:pic>
      <xdr:nvPicPr>
        <xdr:cNvPr id="2" name="Picture 1">
          <a:extLst>
            <a:ext uri="{FF2B5EF4-FFF2-40B4-BE49-F238E27FC236}">
              <a16:creationId xmlns:a16="http://schemas.microsoft.com/office/drawing/2014/main" id="{52D58C5F-7D8C-3651-B382-8D71FF851A57}"/>
            </a:ext>
          </a:extLst>
        </xdr:cNvPr>
        <xdr:cNvPicPr>
          <a:picLocks noChangeAspect="1"/>
        </xdr:cNvPicPr>
      </xdr:nvPicPr>
      <xdr:blipFill>
        <a:blip xmlns:r="http://schemas.openxmlformats.org/officeDocument/2006/relationships" r:embed="rId1"/>
        <a:stretch>
          <a:fillRect/>
        </a:stretch>
      </xdr:blipFill>
      <xdr:spPr>
        <a:xfrm>
          <a:off x="0" y="0"/>
          <a:ext cx="8923793" cy="5883150"/>
        </a:xfrm>
        <a:prstGeom prst="rect">
          <a:avLst/>
        </a:prstGeom>
      </xdr:spPr>
    </xdr:pic>
    <xdr:clientData/>
  </xdr:twoCellAnchor>
  <xdr:twoCellAnchor editAs="oneCell">
    <xdr:from>
      <xdr:col>0</xdr:col>
      <xdr:colOff>0</xdr:colOff>
      <xdr:row>72</xdr:row>
      <xdr:rowOff>0</xdr:rowOff>
    </xdr:from>
    <xdr:to>
      <xdr:col>14</xdr:col>
      <xdr:colOff>404635</xdr:colOff>
      <xdr:row>102</xdr:row>
      <xdr:rowOff>168130</xdr:rowOff>
    </xdr:to>
    <xdr:pic>
      <xdr:nvPicPr>
        <xdr:cNvPr id="3" name="Picture 2">
          <a:extLst>
            <a:ext uri="{FF2B5EF4-FFF2-40B4-BE49-F238E27FC236}">
              <a16:creationId xmlns:a16="http://schemas.microsoft.com/office/drawing/2014/main" id="{5220475B-C53E-FA17-0D62-5F4D0460618A}"/>
            </a:ext>
          </a:extLst>
        </xdr:cNvPr>
        <xdr:cNvPicPr>
          <a:picLocks noChangeAspect="1"/>
        </xdr:cNvPicPr>
      </xdr:nvPicPr>
      <xdr:blipFill>
        <a:blip xmlns:r="http://schemas.openxmlformats.org/officeDocument/2006/relationships" r:embed="rId2"/>
        <a:stretch>
          <a:fillRect/>
        </a:stretch>
      </xdr:blipFill>
      <xdr:spPr>
        <a:xfrm>
          <a:off x="0" y="6217920"/>
          <a:ext cx="8939035" cy="56545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aaa/Novena%20gu&#237;a%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jercicio 1"/>
      <sheetName val="Ejercicio 2"/>
      <sheetName val="Ejercicio 3"/>
      <sheetName val="Ejercicio 4"/>
    </sheetNames>
    <sheetDataSet>
      <sheetData sheetId="0">
        <row r="2">
          <cell r="I2" t="str">
            <v>VAN de A</v>
          </cell>
          <cell r="J2" t="str">
            <v>VAN de B</v>
          </cell>
        </row>
        <row r="3">
          <cell r="H3">
            <v>0</v>
          </cell>
          <cell r="I3">
            <v>98</v>
          </cell>
          <cell r="J3">
            <v>73</v>
          </cell>
        </row>
        <row r="4">
          <cell r="H4">
            <v>5.0000000000000001E-3</v>
          </cell>
          <cell r="I4">
            <v>83.443386160014597</v>
          </cell>
          <cell r="J4">
            <v>66.112883025503862</v>
          </cell>
        </row>
        <row r="5">
          <cell r="H5">
            <v>0.01</v>
          </cell>
          <cell r="I5">
            <v>70.182211865081769</v>
          </cell>
          <cell r="J5">
            <v>59.563479449560901</v>
          </cell>
        </row>
        <row r="6">
          <cell r="H6">
            <v>1.4999999999999999E-2</v>
          </cell>
          <cell r="I6">
            <v>58.090235747787005</v>
          </cell>
          <cell r="J6">
            <v>53.333107311126781</v>
          </cell>
        </row>
        <row r="7">
          <cell r="H7">
            <v>1.9634241999492597E-2</v>
          </cell>
          <cell r="I7">
            <v>47.828069986949885</v>
          </cell>
          <cell r="J7">
            <v>47.828069986953494</v>
          </cell>
        </row>
        <row r="8">
          <cell r="H8">
            <v>2.4634241999492597E-2</v>
          </cell>
          <cell r="I8">
            <v>37.680057052084521</v>
          </cell>
          <cell r="J8">
            <v>42.16386159198268</v>
          </cell>
        </row>
        <row r="9">
          <cell r="H9">
            <v>2.9634241999492598E-2</v>
          </cell>
          <cell r="I9">
            <v>28.401819514397147</v>
          </cell>
          <cell r="J9">
            <v>36.770245982450035</v>
          </cell>
        </row>
        <row r="10">
          <cell r="H10">
            <v>3.4634241999492596E-2</v>
          </cell>
          <cell r="I10">
            <v>19.910886852969853</v>
          </cell>
          <cell r="J10">
            <v>31.632581970927959</v>
          </cell>
        </row>
        <row r="11">
          <cell r="H11">
            <v>3.9634241999492593E-2</v>
          </cell>
          <cell r="I11">
            <v>12.13313934994892</v>
          </cell>
          <cell r="J11">
            <v>26.73709817153042</v>
          </cell>
        </row>
        <row r="12">
          <cell r="H12">
            <v>4.4634241999492591E-2</v>
          </cell>
          <cell r="I12">
            <v>5.0019177672972575</v>
          </cell>
          <cell r="J12">
            <v>22.070837088651075</v>
          </cell>
        </row>
        <row r="13">
          <cell r="H13">
            <v>4.8416623456077668E-2</v>
          </cell>
          <cell r="I13">
            <v>1.6328272067767102E-11</v>
          </cell>
          <cell r="J13">
            <v>18.685737447324456</v>
          </cell>
        </row>
        <row r="14">
          <cell r="H14">
            <v>0.05</v>
          </cell>
          <cell r="I14">
            <v>-2.0000000000000568</v>
          </cell>
          <cell r="J14">
            <v>17.304337322961985</v>
          </cell>
        </row>
        <row r="15">
          <cell r="H15">
            <v>5.5E-2</v>
          </cell>
          <cell r="I15">
            <v>-7.9751912424641063</v>
          </cell>
          <cell r="J15">
            <v>13.075251657177958</v>
          </cell>
        </row>
        <row r="16">
          <cell r="H16">
            <v>0.06</v>
          </cell>
          <cell r="I16">
            <v>-13.469921218565318</v>
          </cell>
          <cell r="J16">
            <v>9.0401305771220137</v>
          </cell>
        </row>
        <row r="17">
          <cell r="H17">
            <v>6.5000000000000002E-2</v>
          </cell>
          <cell r="I17">
            <v>-18.527760871044123</v>
          </cell>
          <cell r="J17">
            <v>5.1888302227611263</v>
          </cell>
        </row>
        <row r="18">
          <cell r="H18">
            <v>7.2124422450473791E-2</v>
          </cell>
          <cell r="I18">
            <v>-25.056568118187798</v>
          </cell>
          <cell r="J18">
            <v>-3.8667735680064652E-11</v>
          </cell>
        </row>
        <row r="19">
          <cell r="H19">
            <v>0.08</v>
          </cell>
          <cell r="I19">
            <v>-31.454442222347922</v>
          </cell>
          <cell r="J19">
            <v>-5.3550406994707771</v>
          </cell>
        </row>
        <row r="20">
          <cell r="H20">
            <v>8.5000000000000006E-2</v>
          </cell>
          <cell r="I20">
            <v>-35.121678126585238</v>
          </cell>
          <cell r="J20">
            <v>-8.5613480583894415</v>
          </cell>
        </row>
        <row r="21">
          <cell r="H21">
            <v>9.0000000000000011E-2</v>
          </cell>
          <cell r="I21">
            <v>-38.514182676343744</v>
          </cell>
          <cell r="J21">
            <v>-11.626486551738552</v>
          </cell>
        </row>
        <row r="22">
          <cell r="H22">
            <v>9.5000000000000015E-2</v>
          </cell>
          <cell r="I22">
            <v>-41.655719525789699</v>
          </cell>
          <cell r="J22">
            <v>-14.55759606864325</v>
          </cell>
        </row>
        <row r="23">
          <cell r="H23">
            <v>0.10000000000000002</v>
          </cell>
          <cell r="I23">
            <v>-44.567818598792854</v>
          </cell>
          <cell r="J23">
            <v>-17.361417764261759</v>
          </cell>
        </row>
      </sheetData>
      <sheetData sheetId="1"/>
      <sheetData sheetId="2"/>
      <sheetData sheetId="3"/>
    </sheetDataSet>
  </externalBook>
</externalLink>
</file>

<file path=xl/ink/ink1.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44.20712" units="1/cm"/>
          <inkml:channelProperty channel="Y" name="resolution" value="44.39306" units="1/cm"/>
          <inkml:channelProperty channel="T" name="resolution" value="1" units="1/dev"/>
        </inkml:channelProperties>
      </inkml:inkSource>
      <inkml:timestamp xml:id="ts0" timeString="2022-09-18T23:47:17.437"/>
    </inkml:context>
    <inkml:brush xml:id="br0">
      <inkml:brushProperty name="width" value="0.06667" units="cm"/>
      <inkml:brushProperty name="height" value="0.06667" units="cm"/>
    </inkml:brush>
  </inkml:definitions>
  <inkml:trace contextRef="#ctx0" brushRef="#br0">0 0 0</inkml:trace>
</inkml:ink>
</file>

<file path=xl/ink/ink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g"/>
          <inkml:channel name="T" type="integer" max="2.14748E9" units="dev"/>
        </inkml:traceFormat>
        <inkml:channelProperties>
          <inkml:channelProperty channel="X" name="resolution" value="2155.72363" units="1/cm"/>
          <inkml:channelProperty channel="Y" name="resolution" value="3449.15796" units="1/cm"/>
          <inkml:channelProperty channel="F" name="resolution" value="11.375" units="1/deg"/>
          <inkml:channelProperty channel="T" name="resolution" value="1" units="1/dev"/>
        </inkml:channelProperties>
      </inkml:inkSource>
      <inkml:timestamp xml:id="ts0" timeString="2022-09-18T23:47:17.438"/>
    </inkml:context>
    <inkml:brush xml:id="br0">
      <inkml:brushProperty name="width" value="0.06667" units="cm"/>
      <inkml:brushProperty name="height" value="0.06667" units="cm"/>
    </inkml:brush>
  </inkml:definitions>
  <inkml:trace contextRef="#ctx0" brushRef="#br0">2335-3471 289 0,'0'0'153'0,"0"0"-42"15,0 0-22-15,0 0-48 0,0 0-41 16,0 0-51-16,-9-12-112 15,9 12-56-15,0 0 95 16,0 0-2-16</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15T17:06:19.431"/>
    </inkml:context>
    <inkml:brush xml:id="br0">
      <inkml:brushProperty name="width" value="0.05" units="cm"/>
      <inkml:brushProperty name="height" value="0.05" units="cm"/>
    </inkml:brush>
  </inkml:definitions>
  <inkml:trace contextRef="#ctx0" brushRef="#br0">0 204 3481 0 0,'5'23'0'0'0,"1"1"1"0"0,1-1 0 0 0,2 0-1 0 0,0-1 1 0 0,1 0-1 0 0,1 0 1 0 0,19 28 0 0 0,-4-4 44 0 0,-14-31-77 0 0,-8-22 49 0 0,-6-30-543 0 0,-1 26-1424 0 0</inkml:trace>
  <inkml:trace contextRef="#ctx0" brushRef="#br0" timeOffset="468.65">320 345 2961 0 0,'9'30'481'0'0,"-2"-6"272"0"0,0 0 1 0 0,-1 0-1 0 0,-1 1 0 0 0,1 34 0 0 0,-7-73 7 0 0,-1 0 0 0 0,0 0 0 0 0,-1 1 0 0 0,-10-26 0 0 0,-5-27 21 0 0,12 25-450 0 0,1 0 1 0 0,0-52-1 0 0,5 81-218 0 0,1 0 0 0 0,-1 0-1 0 0,2 0 1 0 0,0 1 0 0 0,0-1 0 0 0,1 0 0 0 0,1 1 0 0 0,-1 0-1 0 0,2 0 1 0 0,0 0 0 0 0,0 0 0 0 0,11-15 0 0 0,-14 23-93 0 0,1 0 1 0 0,-1 1 0 0 0,0-1 0 0 0,1 1 0 0 0,-1 0-1 0 0,1 0 1 0 0,0 0 0 0 0,0 0 0 0 0,0 1-1 0 0,0-1 1 0 0,0 1 0 0 0,0-1 0 0 0,0 1-1 0 0,1 0 1 0 0,-1 0 0 0 0,0 1 0 0 0,1-1 0 0 0,-1 1-1 0 0,0-1 1 0 0,1 1 0 0 0,6 1 0 0 0,-8-1-26 0 0,0 1-1 0 0,-1 0 1 0 0,1-1 0 0 0,0 1 0 0 0,0 0 0 0 0,0 0 0 0 0,-1 0 0 0 0,1 0 0 0 0,0 1 0 0 0,-1-1 0 0 0,1 0 0 0 0,-1 1 0 0 0,1-1 0 0 0,-1 1-1 0 0,0-1 1 0 0,0 1 0 0 0,1 0 0 0 0,-1 0 0 0 0,0-1 0 0 0,-1 1 0 0 0,1 0 0 0 0,0 0 0 0 0,0 0 0 0 0,-1 0 0 0 0,0 0 0 0 0,1 0 0 0 0,-1 0 0 0 0,0 0-1 0 0,0 0 1 0 0,0 0 0 0 0,0 0 0 0 0,0 0 0 0 0,0 0 0 0 0,0 0 0 0 0,-1 0 0 0 0,1 0 0 0 0,-2 2 0 0 0,-2 13-17 0 0,0 0 1 0 0,-1-1-1 0 0,-1 0 0 0 0,-1 0 1 0 0,0-1-1 0 0,-1 1 0 0 0,-1-2 1 0 0,0 1-1 0 0,-1-1 1 0 0,-1-1-1 0 0,0 0 0 0 0,0 0 1 0 0,-25 20-1 0 0,34-31 189 0 0,-1 0 0 0 0,1 0 1 0 0,0 0-1 0 0,0 1 0 0 0,0-1 0 0 0,0 1 0 0 0,0 0 1 0 0,1-1-1 0 0,-1 1 0 0 0,1 0 0 0 0,0 0 0 0 0,0 0 1 0 0,0 0-1 0 0,0 0 0 0 0,0 0 0 0 0,1 0 0 0 0,-1 0 1 0 0,1 0-1 0 0,0 1 0 0 0,0-1 0 0 0,0 0 0 0 0,0 0 1 0 0,1 0-1 0 0,-1 0 0 0 0,1 0 0 0 0,0 0 0 0 0,0 0 1 0 0,0 0-1 0 0,1 3 0 0 0,5 7 741 0 0,1 0 0 0 0,0-1 0 0 0,1 0-1 0 0,0 0 1 0 0,12 11 0 0 0,6 8-1477 0 0,18 20 645 0 0,3-3 0 0 0,1-1-1 0 0,101 71 1 0 0,-142-112-686 0 0,63 44 1263 0 0,-31-31-3956 0 0,-4-11-7748 0 0,-32-8 7430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15T17:06:18.653"/>
    </inkml:context>
    <inkml:brush xml:id="br0">
      <inkml:brushProperty name="width" value="0.05" units="cm"/>
      <inkml:brushProperty name="height" value="0.05" units="cm"/>
    </inkml:brush>
  </inkml:definitions>
  <inkml:trace contextRef="#ctx0" brushRef="#br0">181 71 4681 0 0,'-5'-25'1127'0'0,"16"48"-287"0"0,9 56-479 0 0,-3 1-1 0 0,8 106 1 0 0,-4-36 209 0 0,-85-223-155 0 0,-4 8-378 0 0,62 59-17 0 0,-1 1-1 0 0,0 0 1 0 0,0 0 0 0 0,-1 0 0 0 0,1 1 0 0 0,-1 0-1 0 0,0 1 1 0 0,-13-5 0 0 0,19 8-9 0 0,0-1 0 0 0,1 1 0 0 0,-1 0 0 0 0,0 0 0 0 0,0 0 0 0 0,1 0 0 0 0,-1 0 0 0 0,0 0 0 0 0,0 0 0 0 0,1 1 0 0 0,-1-1 0 0 0,0 1 0 0 0,0-1 0 0 0,1 1 0 0 0,-1-1 1 0 0,1 1-1 0 0,-1 0 0 0 0,0 0 0 0 0,1 0 0 0 0,-1 0 0 0 0,1 0 0 0 0,0 0 0 0 0,-2 2 0 0 0,1 0 2 0 0,0 0 1 0 0,0 0-1 0 0,0 0 0 0 0,1 0 1 0 0,-1 0-1 0 0,1 0 0 0 0,0 1 1 0 0,0-1-1 0 0,0 0 0 0 0,0 1 1 0 0,0 5-1 0 0,1-3-14 0 0,-1 0 0 0 0,1-1 1 0 0,0 1-1 0 0,1 0 0 0 0,-1 0 0 0 0,1 0 0 0 0,0-1 0 0 0,1 1 0 0 0,-1 0 0 0 0,1-1 1 0 0,0 1-1 0 0,0-1 0 0 0,1 0 0 0 0,5 9 0 0 0,-3-9 4 0 0,0 1 1 0 0,1-1-1 0 0,0 0 1 0 0,0-1-1 0 0,0 1 1 0 0,1-1-1 0 0,-1 0 1 0 0,1-1-1 0 0,0 1 1 0 0,0-1-1 0 0,0-1 0 0 0,1 0 1 0 0,-1 0-1 0 0,0 0 1 0 0,1-1-1 0 0,0 0 1 0 0,-1 0-1 0 0,1-1 1 0 0,0 0-1 0 0,-1 0 1 0 0,1-1-1 0 0,-1 0 0 0 0,1 0 1 0 0,-1 0-1 0 0,14-6 1 0 0,-10 3 42 0 0,-1-1 0 0 0,0 0 0 0 0,0 0 0 0 0,0-1 0 0 0,0 0-1 0 0,-1-1 1 0 0,0 0 0 0 0,-1 0 0 0 0,1-1 0 0 0,-2 0 0 0 0,1-1 0 0 0,-1 0 0 0 0,0 0 0 0 0,-1 0 0 0 0,0-1 0 0 0,8-17 0 0 0,-9 14-31 0 0,0 0 0 0 0,-1 0-1 0 0,3-20 1 0 0,-6 30 9 0 0,-1 1 1 0 0,1-1-1 0 0,-1 1 0 0 0,1-1 0 0 0,-1 0 0 0 0,0 0 1 0 0,0 1-1 0 0,0-1 0 0 0,-1 0 0 0 0,1 1 0 0 0,0-1 1 0 0,-1 0-1 0 0,0 1 0 0 0,0-1 0 0 0,1 1 0 0 0,-2-1 0 0 0,1 1 1 0 0,0-1-1 0 0,0 1 0 0 0,-1 0 0 0 0,1 0 0 0 0,-1-1 1 0 0,0 1-1 0 0,-3-2 0 0 0,4 3 32 0 0,0 1 0 0 0,0 0 0 0 0,0 0 0 0 0,0 0 0 0 0,0 0 0 0 0,0 0-1 0 0,0 1 1 0 0,0-1 0 0 0,0 0 0 0 0,0 0 0 0 0,-1 1 0 0 0,1-1 0 0 0,0 1 0 0 0,0-1 0 0 0,1 1 0 0 0,-1-1 0 0 0,0 1 0 0 0,0-1 0 0 0,0 1-1 0 0,0 0 1 0 0,0 0 0 0 0,1-1 0 0 0,-1 1 0 0 0,0 0 0 0 0,0 0 0 0 0,1 0 0 0 0,-1 0 0 0 0,1 0 0 0 0,-1 0 0 0 0,1 0 0 0 0,-1 0 0 0 0,1 0-1 0 0,-1 1 1 0 0,-14 37 797 0 0,11-25-741 0 0,2 1-1 0 0,0-1 1 0 0,0 1 0 0 0,2 0 0 0 0,0 0-1 0 0,0 0 1 0 0,3 15 0 0 0,-2-24-181 0 0,0 0 0 0 0,0 0 0 0 0,0 0 0 0 0,1 0 0 0 0,0-1 0 0 0,0 1 0 0 0,0-1-1 0 0,1 1 1 0 0,0-1 0 0 0,0 0 0 0 0,0 0 0 0 0,1 0 0 0 0,-1 0 0 0 0,1-1 0 0 0,0 1 0 0 0,0-1 0 0 0,1 0 0 0 0,0-1 0 0 0,-1 1 0 0 0,8 4 0 0 0,-7-7-434 0 0,-1 1 1 0 0,1-1-1 0 0,-1 0 1 0 0,1 0 0 0 0,-1 0-1 0 0,1-1 1 0 0,-1 1-1 0 0,1-1 1 0 0,0 0-1 0 0,-1 0 1 0 0,1-1 0 0 0,-1 0-1 0 0,1 0 1 0 0,-1 0-1 0 0,1 0 1 0 0,-1 0-1 0 0,0-1 1 0 0,1 0-1 0 0,3-3 1 0 0,4-1-1836 0 0</inkml:trace>
  <inkml:trace contextRef="#ctx0" brushRef="#br0" timeOffset="401.35">913 1 3409 0 0,'129'428'20'0'0,"-123"-407"-64"0"0,1 0 1 0 0,1-1 0 0 0,1 1-1 0 0,0-2 1 0 0,14 21 0 0 0,-30-63 146 0 0,-4-14-4 0 0,-3 7 21 0 0,-1 1 0 0 0,-1 0-1 0 0,-1 1 1 0 0,-1 0-1 0 0,-2 2 1 0 0,-1 0 0 0 0,-1 2-1 0 0,-32-29 1 0 0,35 36 401 0 0,-1 2 1 0 0,0 0-1 0 0,-1 2 1 0 0,-1 0-1 0 0,0 1 0 0 0,0 1 1 0 0,-1 2-1 0 0,-1 0 1 0 0,1 1-1 0 0,-1 1 1 0 0,-39-5-1 0 0,20 10 1064 0 0,41 2-1443 0 0,0 0 1 0 0,0 0-1 0 0,0 1 0 0 0,0-1 0 0 0,0 0 0 0 0,1 1 0 0 0,-1-1 0 0 0,0 1 0 0 0,0-1 0 0 0,0 1 1 0 0,1 0-1 0 0,-1 0 0 0 0,0 0 0 0 0,1 0 0 0 0,-1 0 0 0 0,1 0 0 0 0,-1 0 0 0 0,1 1 0 0 0,-3 2 1 0 0,4-4-77 0 0,0 1 0 0 0,1-1 1 0 0,-1 1-1 0 0,0 0 1 0 0,0-1-1 0 0,0 1 1 0 0,0-1-1 0 0,1 1 0 0 0,-1-1 1 0 0,0 1-1 0 0,1-1 1 0 0,-1 1-1 0 0,0-1 1 0 0,1 1-1 0 0,-1-1 0 0 0,0 1 1 0 0,1-1-1 0 0,-1 1 1 0 0,1-1-1 0 0,-1 0 1 0 0,1 1-1 0 0,-1-1 0 0 0,1 0 1 0 0,-1 0-1 0 0,1 1 1 0 0,-1-1-1 0 0,1 0 1 0 0,0 0-1 0 0,-1 0 0 0 0,1 0 1 0 0,-1 1-1 0 0,1-1 1 0 0,-1 0-1 0 0,2 0 1 0 0,24 6 697 0 0,-24-6-586 0 0,33 6 709 0 0,0-2 0 0 0,-1-1-1 0 0,68-3 1 0 0,-57-5-1499 0 0,0-1-1 0 0,69-19 1 0 0,-55 10-3377 0 0,30-2-7604 0 0,-66 14 8105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15T17:06:15.377"/>
    </inkml:context>
    <inkml:brush xml:id="br0">
      <inkml:brushProperty name="width" value="0.05" units="cm"/>
      <inkml:brushProperty name="height" value="0.05" units="cm"/>
    </inkml:brush>
  </inkml:definitions>
  <inkml:trace contextRef="#ctx0" brushRef="#br0">69 786 3537 0 0,'0'6'757'0'0,"0"-1"-604"0"0,-1 0 0 0 0,1 0-1 0 0,0 0 1 0 0,1 0 0 0 0,-1 0-1 0 0,1 0 1 0 0,0 0 0 0 0,0 0-1 0 0,0 0 1 0 0,1-1 0 0 0,0 1 0 0 0,-1 0-1 0 0,4 4 1 0 0,-5-9-133 0 0,1 0 0 0 0,0 0 0 0 0,0 0 0 0 0,0 0 0 0 0,0 0 0 0 0,0 0 0 0 0,0 0 0 0 0,0 0 0 0 0,0 0 0 0 0,0-1 0 0 0,0 1 0 0 0,0 0 0 0 0,0-1 0 0 0,0 1 0 0 0,0-1 0 0 0,-1 1 0 0 0,1-1 0 0 0,0 1 0 0 0,0-1 0 0 0,0 1 0 0 0,-1-1 0 0 0,1 0 0 0 0,0 1 0 0 0,-1-1 0 0 0,1 0 0 0 0,0 0 0 0 0,-1 0 0 0 0,1 1 0 0 0,-1-1 0 0 0,1 0 0 0 0,-1 0 0 0 0,0 1 0 0 0,1-4 0 0 0,17-30 388 0 0,-13 17-186 0 0,0-2-1 0 0,-1 2 1 0 0,-1-2-1 0 0,-1 2 1 0 0,1-31-1 0 0,-10-97 966 0 0,1 71-737 0 0,3-2-244 0 0,-7-102-33 0 0,6 147-152 0 0,-1 1 0 0 0,-1-1 1 0 0,-17-48-1 0 0,23 78-19 0 0,0-1 0 0 0,-1 1 0 0 0,1-1-1 0 0,0 1 1 0 0,-1 0 0 0 0,1-1-1 0 0,0 1 1 0 0,0 0 0 0 0,-1-1 0 0 0,0 1-1 0 0,0 0 1 0 0,0-1 0 0 0,0 1 0 0 0,0 0-1 0 0,0 0 1 0 0,0 0 0 0 0,0 0 0 0 0,0 0-1 0 0,0 0 1 0 0,0 0 0 0 0,-1 0-1 0 0,1 1 1 0 0,0-1 0 0 0,-1 0 0 0 0,1 1-1 0 0,0-1 1 0 0,-1 1 0 0 0,1-1 0 0 0,-1 1-1 0 0,1 0 1 0 0,-2 0 0 0 0,1 1 5 0 0,0 0 1 0 0,0 0-1 0 0,0 1 1 0 0,0-1-1 0 0,0 1 1 0 0,0-1-1 0 0,1 1 1 0 0,-1 0-1 0 0,1-1 1 0 0,-1 1-1 0 0,1 1 1 0 0,0-2-1 0 0,0 1 1 0 0,0 0-1 0 0,0 1 1 0 0,0-1-1 0 0,0 0 1 0 0,0 0-1 0 0,0 4 1 0 0,-6 23-27 0 0,1 0 0 0 0,1 1-1 0 0,2-1 1 0 0,1 1 0 0 0,1-1 0 0 0,1 1 0 0 0,6 37 0 0 0,4-1-40 0 0,2-1 0 0 0,25 74 0 0 0,-29-114 60 0 0,1 1-1 0 0,0-3 0 0 0,3 1 0 0 0,20 32 1 0 0,-26-46 55 0 0,1 0 1 0 0,0-1 0 0 0,0 0 0 0 0,1 0 0 0 0,0-1 0 0 0,0 0-1 0 0,1-1 1 0 0,0 1 0 0 0,1-2 0 0 0,0 1 0 0 0,0-1 0 0 0,15 7-1 0 0,-20-12-15 0 0,-1 0 0 0 0,-1 1 0 0 0,2-2 0 0 0,-1 0 0 0 0,1 1 0 0 0,-1-1 0 0 0,0 0 0 0 0,1-1 0 0 0,-1 1 0 0 0,0 0-1 0 0,0 0 1 0 0,0-2 0 0 0,1 1 0 0 0,-1-1 0 0 0,0 1 0 0 0,0-1 0 0 0,-1 0 0 0 0,1 0 0 0 0,0 0 0 0 0,6-5 0 0 0,-3 3 21 0 0,0 0 0 0 0,0 0 0 0 0,0 1 0 0 0,13-5 0 0 0,-16 8-59 0 0,-1-1-1 0 0,0 1 0 0 0,-1 0 1 0 0,0 0-1 0 0,1 0 1 0 0,0 0-1 0 0,0 1 1 0 0,0-1-1 0 0,-1 1 1 0 0,0 0-1 0 0,2-1 1 0 0,-2 1-1 0 0,1 1 1 0 0,0-1-1 0 0,-1 1 1 0 0,4 0-1 0 0,40 36 101 0 0,-40-33-83 0 0,0 1 0 0 0,0-1 0 0 0,0-1 0 0 0,-1 1 0 0 0,3-1 0 0 0,-1 0 1 0 0,-1 0-1 0 0,11 3 0 0 0,-15-6-16 0 0,-1-1 1 0 0,1 0-1 0 0,0 0 1 0 0,0 0 0 0 0,0 0-1 0 0,0 0 1 0 0,-1 0-1 0 0,0 0 1 0 0,1 0-1 0 0,0-1 1 0 0,0 1-1 0 0,0-1 1 0 0,-1 1-1 0 0,0-1 1 0 0,1 0-1 0 0,2-1 1 0 0,0 0 0 0 0,-1-1 0 0 0,0 1 0 0 0,1-1 0 0 0,-1 0 0 0 0,0 0 0 0 0,-1-1 0 0 0,1 1 0 0 0,-2-1 0 0 0,6-5 0 0 0,-3 2 9 0 0,-1 0 0 0 0,0-1 0 0 0,0 1 0 0 0,-1-1-1 0 0,1 0 1 0 0,-2 0 0 0 0,1 0 0 0 0,-1 1-1 0 0,0-1 1 0 0,-1 0 0 0 0,0-1 0 0 0,0 1-1 0 0,-1 0 1 0 0,0 0 0 0 0,0 1 0 0 0,-1-1-1 0 0,0 0 1 0 0,-1 0 0 0 0,1 1 0 0 0,-1-1-1 0 0,-1 1 1 0 0,1 0 0 0 0,-2 0 0 0 0,1 0-1 0 0,0 1 1 0 0,-9-10 0 0 0,7 9-46 0 0,-1 0 0 0 0,2 0 0 0 0,-2 1 0 0 0,2 0 0 0 0,-3 0 0 0 0,1 1 0 0 0,0 0 0 0 0,-1 0 0 0 0,0 1 0 0 0,-1 0 0 0 0,1 0-1 0 0,0 1 1 0 0,-1 0 0 0 0,0 0 0 0 0,1 1 0 0 0,-1 0 0 0 0,-1 1 0 0 0,2 0 0 0 0,-2 0 0 0 0,1 1 0 0 0,0 0 0 0 0,0 1 0 0 0,-10 2 0 0 0,15-2 35 0 0,-1 0 1 0 0,-1 0-1 0 0,1 1 1 0 0,0 0-1 0 0,0 0 0 0 0,1 1 1 0 0,-1-1-1 0 0,0 1 1 0 0,1 0-1 0 0,-1 0 0 0 0,1 1 1 0 0,0 0-1 0 0,-1-1 1 0 0,2 1-1 0 0,0 0 0 0 0,-6 8 1 0 0,7-9 55 0 0,1 1 0 0 0,0-1 0 0 0,0 0 0 0 0,0 1 0 0 0,0-1 0 0 0,0 0 0 0 0,1 1 0 0 0,-1-1 0 0 0,1 1 0 0 0,0-1 0 0 0,0 1 0 0 0,0-1 0 0 0,1 2 0 0 0,-1-3 0 0 0,1 2 0 0 0,0-1 0 0 0,0 0 0 0 0,0 1 0 0 0,0-1 0 0 0,1 0 0 0 0,-1 0 0 0 0,1 0 0 0 0,0 0 0 0 0,0 0 0 0 0,0 0 0 0 0,4 4 0 0 0,3 2 158 0 0,0-1 0 0 0,1 1 0 0 0,-1-1 0 0 0,2-1 0 0 0,-1 0 0 0 0,1-1 0 0 0,-1 0 0 0 0,1 0 0 0 0,1-1-1 0 0,0-1 1 0 0,0 0 0 0 0,20 4 0 0 0,4 0-415 0 0,3-2-1 0 0,70 2 1 0 0,-37-12-2286 0 0,1-8-4625 0 0,-46 6 2226 0 0</inkml:trace>
  <inkml:trace contextRef="#ctx0" brushRef="#br0" timeOffset="495.97">1573 875 4729 0 0,'-1'4'288'0'0,"0"-1"-1"0"0,0 2 1 0 0,0-2-1 0 0,-1 0 1 0 0,1 1 0 0 0,-1-1-1 0 0,0 1 1 0 0,0-1 0 0 0,-1 0-1 0 0,-4 5 1 0 0,6-7-242 0 0,1-1 0 0 0,-1 1 1 0 0,1-1-1 0 0,-1 0 1 0 0,1 0-1 0 0,-1 1 0 0 0,1-1 1 0 0,-1 0-1 0 0,0 0 0 0 0,1 0 1 0 0,0 2-1 0 0,0-2 0 0 0,-1 0 1 0 0,0 0-1 0 0,1 0 0 0 0,-1 0 1 0 0,1 0-1 0 0,-1 0 0 0 0,0 0 1 0 0,1-2-1 0 0,-1 2 0 0 0,1 0 1 0 0,-1 0-1 0 0,1 0 1 0 0,-1-1-1 0 0,0 1 0 0 0,-1-2-13 0 0,0 1 0 0 0,1 0 0 0 0,-1-1 0 0 0,1 0 0 0 0,-2 1 0 0 0,2-1 1 0 0,0 0-1 0 0,-1 0 0 0 0,1 0 0 0 0,0 1 0 0 0,-1-4 0 0 0,-20-53 467 0 0,1-2 0 0 0,2 0 0 0 0,-13-77 0 0 0,26 100-226 0 0,1 0 0 0 0,-1-56 0 0 0,6 73-294 0 0,0-1 1 0 0,2 1 0 0 0,1 0-1 0 0,0 0 1 0 0,0 0-1 0 0,11-24 1 0 0,-14 43-34 0 0,0 0 0 0 0,1 0 0 0 0,-1 0 1 0 0,0 0-1 0 0,1 0 0 0 0,-1 0 0 0 0,1 0 1 0 0,-1 0-1 0 0,1 0 0 0 0,0 0 0 0 0,-1 0 0 0 0,1 0 1 0 0,0-1-1 0 0,0 2 0 0 0,-1-1 0 0 0,1 1 1 0 0,0-1-1 0 0,0 0 0 0 0,0 1 0 0 0,0-1 1 0 0,0 1-1 0 0,0-1 0 0 0,0 1 0 0 0,0-1 1 0 0,0 1-1 0 0,-1-1 0 0 0,2 1 0 0 0,-1 0 0 0 0,0 0 1 0 0,0 0-1 0 0,0 0 0 0 0,0 0 0 0 0,0 0 1 0 0,1 0-1 0 0,-1 0 0 0 0,0 0 0 0 0,3 1 1 0 0,-2 0-246 0 0,0 0 1 0 0,-1 0-1 0 0,1 0 1 0 0,-1 0-1 0 0,1 0 1 0 0,-1 1-1 0 0,1-1 1 0 0,-1 0-1 0 0,1 1 1 0 0,-2-1-1 0 0,1 1 1 0 0,0 0-1 0 0,0-1 1 0 0,0 1-1 0 0,0 0 1 0 0,0 0-1 0 0,-1 0 1 0 0,1-1-1 0 0,-1 1 1 0 0,1 0-1 0 0,0 4 1 0 0,0 6-2220 0 0</inkml:trace>
  <inkml:trace contextRef="#ctx0" brushRef="#br0" timeOffset="914.9">1241 741 3209 0 0,'-18'21'1567'0'0,"17"-21"-1460"0"0,1 1 0 0 0,0-1 0 0 0,-1 1 0 0 0,1-1 0 0 0,0 1 0 0 0,0 0 0 0 0,0-1 0 0 0,0 1 0 0 0,-1-1 0 0 0,1 1 0 0 0,0 0 0 0 0,0-1 0 0 0,0 1 0 0 0,0 0 0 0 0,0-1 0 0 0,0 1 0 0 0,1-1 0 0 0,-1 1 1 0 0,0 0-1 0 0,0-1 0 0 0,0 1 0 0 0,0-1 0 0 0,1 2 0 0 0,2 0 149 0 0,-1 1 0 0 0,0-1 0 0 0,1 0 0 0 0,0 0 0 0 0,1 0 0 0 0,-1 0 0 0 0,0 0 0 0 0,0-1 0 0 0,1 0 0 0 0,-1 1 0 0 0,4 0 0 0 0,4 1-93 0 0,-1-1 1 0 0,-1 0 0 0 0,2 0-1 0 0,0-1 1 0 0,-2 0 0 0 0,2-1-1 0 0,0 0 1 0 0,10-1-1 0 0,85-19-727 0 0,-43 6-660 0 0,-41 9-965 0 0,-1-1-1 0 0,26-11 1 0 0,-41 15 1689 0 0,-1 0-1517 0 0</inkml:trace>
  <inkml:trace contextRef="#ctx0" brushRef="#br0" timeOffset="915.9">1614 839 3521 0 0,'0'-7'11'0'0,"0"0"0"0"0,1 0 0 0 0,0 0 0 0 0,0 0 0 0 0,0 0 0 0 0,6-10 0 0 0,-3 9-604 0 0,-3 4-1388 0 0</inkml:trace>
  <inkml:trace contextRef="#ctx0" brushRef="#br0" timeOffset="1375.76">1671 632 3497 0 0,'-2'5'50'0'0,"0"1"0"0"0,1-1 1 0 0,0 1-1 0 0,0-1 0 0 0,0 1 1 0 0,1 0-1 0 0,0-1 0 0 0,0 1 1 0 0,1 0-1 0 0,-1-1 0 0 0,1 1 0 0 0,0 0 1 0 0,4 8-1 0 0,27 71 101 0 0,-20-56-88 0 0,4-1 0 0 0,19 34 1 0 0,-31-56 158 0 0,1 0 1 0 0,-1 0 0 0 0,2 0-1 0 0,-1 0 1 0 0,1-1-1 0 0,-2 0 1 0 0,2 0-1 0 0,0 0 1 0 0,2-1 0 0 0,-2 1-1 0 0,0-2 1 0 0,1 1-1 0 0,1-1 1 0 0,-1-1-1 0 0,9 5 1 0 0,-14-6-93 0 0,1-1 1 0 0,-1 0-1 0 0,1 1 0 0 0,0-1 1 0 0,-1 0-1 0 0,0 0 1 0 0,1 0-1 0 0,-1 0 0 0 0,0-1 1 0 0,-1 1-1 0 0,1-1 0 0 0,0 1 1 0 0,0-1-1 0 0,0 0 0 0 0,1 0 1 0 0,-1 0-1 0 0,1 0 0 0 0,-1-1 1 0 0,0 2-1 0 0,0-1 0 0 0,-1-1 1 0 0,4-2-1 0 0,-3 1-30 0 0,-1 0-1 0 0,1 0 1 0 0,-1 0-1 0 0,1 0 0 0 0,0-1 1 0 0,-1 1-1 0 0,0-1 1 0 0,0 1-1 0 0,0-1 1 0 0,0 1-1 0 0,-1-1 1 0 0,1-6-1 0 0,-1-7 1 0 0,-1 0 0 0 0,0 1 1 0 0,-1-2-1 0 0,-8-31 0 0 0,2 14-457 0 0,-4 0 1 0 0,2 0 0 0 0,-29-56-1 0 0,35 88-2595 0 0,4 12 658 0 0,4 11-346 0 0,-1-8 97 0 0</inkml:trace>
  <inkml:trace contextRef="#ctx0" brushRef="#br0" timeOffset="1376.76">2034 1022 4193 0 0,'6'-24'1559'0'0,"-3"0"-1"0"0,-1-1 1 0 0,-2-41-1 0 0,3-38 1140 0 0,-1 94-2487 0 0,-1 0 0 0 0,1-1 0 0 0,0 1 0 0 0,1 1 0 0 0,0-1 0 0 0,0 0 0 0 0,10-15-1 0 0,-12 23-200 0 0,1 0-1 0 0,-1-1 0 0 0,0 1 1 0 0,1 0-1 0 0,-2 0 0 0 0,2 1 1 0 0,-1-2-1 0 0,1 2 0 0 0,0-1 1 0 0,0 0-1 0 0,0 1 0 0 0,0-1 1 0 0,0 1-1 0 0,0 0 0 0 0,2-1 1 0 0,-2 1-1 0 0,0 0 0 0 0,0 0 1 0 0,1 1-1 0 0,1-2 0 0 0,-1 2-21 0 0,-1 1 0 0 0,0-1 0 0 0,1 0 0 0 0,-1 1 0 0 0,0-1 0 0 0,2 1 0 0 0,-2 0 0 0 0,0 0 0 0 0,0 0 0 0 0,0 0-1 0 0,0 0 1 0 0,0 0 0 0 0,-1 1 0 0 0,1-1 0 0 0,0 1 0 0 0,0-1 0 0 0,1 4 0 0 0,5 3-874 0 0,1 1 1 0 0,-3 1-1 0 0,0 0 1 0 0,0 0-1 0 0,0 0 1 0 0,8 23 0 0 0,0 11-3394 0 0,-6-22 1141 0 0</inkml:trace>
  <inkml:trace contextRef="#ctx0" brushRef="#br0" timeOffset="1857.21">2596 805 3473 0 0,'-3'-4'490'0'0,"0"-1"-1"0"0,0 0 1 0 0,-1-1 0 0 0,2 1 0 0 0,-1 0-1 0 0,1-1 1 0 0,-2-9 0 0 0,-7-15 1077 0 0,6 19-1183 0 0,-2 1 0 0 0,0 1 0 0 0,0-1 0 0 0,-12-11-1 0 0,17 18-347 0 0,0 1 0 0 0,0 0-1 0 0,0 0 1 0 0,-1 0-1 0 0,1 0 1 0 0,-1 0 0 0 0,1 0-1 0 0,0 1 1 0 0,-1-1-1 0 0,1 1 1 0 0,-2 0-1 0 0,1 0 1 0 0,0 0 0 0 0,0 0-1 0 0,0 0 1 0 0,0 1-1 0 0,0-1 1 0 0,0 1 0 0 0,1 0-1 0 0,-1 0 1 0 0,0 0-1 0 0,-6 1 1 0 0,7 0-20 0 0,0 0-1 0 0,0 0 1 0 0,1 1 0 0 0,-1-1 0 0 0,0 1-1 0 0,0-1 1 0 0,1 1 0 0 0,0 0 0 0 0,0 0-1 0 0,-1 0 1 0 0,1 0 0 0 0,0 0 0 0 0,0 0-1 0 0,0 0 1 0 0,0 0 0 0 0,0 0 0 0 0,-1 0-1 0 0,2 1 1 0 0,-1-1 0 0 0,1 0 0 0 0,-1 1-1 0 0,1-1 1 0 0,0 0 0 0 0,0 1 0 0 0,0 3-1 0 0,6 62 223 0 0,-6-67-236 0 0,4 25 95 0 0,1 1-1 0 0,1-1 1 0 0,2 0-1 0 0,21 47 0 0 0,-24-62-144 0 0,1-2-1 0 0,0 3 1 0 0,-1-2-1 0 0,2-1 0 0 0,0 1 1 0 0,2-1-1 0 0,-3 0 0 0 0,3-1 1 0 0,-1 0-1 0 0,1 0 0 0 0,-1-1 1 0 0,2 0-1 0 0,17 10 1 0 0,-23-15-13 0 0,-1-1 1 0 0,1 1 0 0 0,1 0 0 0 0,-1-1 0 0 0,0 0-1 0 0,-1 0 1 0 0,1 0 0 0 0,0-1 0 0 0,0 1 0 0 0,0-1-1 0 0,0 0 1 0 0,1 0 0 0 0,-1-1 0 0 0,0 1 0 0 0,0-1-1 0 0,0 0 1 0 0,0 0 0 0 0,8-3 0 0 0,-8 2-27 0 0,0-1 0 0 0,0 0 1 0 0,-1 0-1 0 0,1 0 0 0 0,0-1 0 0 0,-1 1 1 0 0,1-1-1 0 0,-1 0 0 0 0,0 0 0 0 0,-2 0 1 0 0,2 0-1 0 0,-1-1 0 0 0,3-6 1 0 0,4-14-922 0 0,-1 1 0 0 0,-3 0 1 0 0,1-1-1 0 0,3-45 1 0 0,-8 57 252 0 0,8 42 1381 0 0,-6-9-302 0 0,0-1 0 0 0,2 0 0 0 0,0 0-1 0 0,17 35 1 0 0,-20-52-298 0 0,0 0 0 0 0,-1 0-1 0 0,1 0 1 0 0,0-1-1 0 0,0 1 1 0 0,1-1-1 0 0,-1 0 1 0 0,0 1 0 0 0,0-1-1 0 0,1 0 1 0 0,0 0-1 0 0,0 0 1 0 0,-1-1 0 0 0,0 1-1 0 0,0 0 1 0 0,1-1-1 0 0,-1 0 1 0 0,1 1-1 0 0,0-1 1 0 0,-1 0 0 0 0,1-1-1 0 0,-1 1 1 0 0,1 0-1 0 0,0-1 1 0 0,0 1 0 0 0,-2-1-1 0 0,2 0 1 0 0,-1 0-1 0 0,0 0 1 0 0,0 0 0 0 0,0 0-1 0 0,1-1 1 0 0,-1 1-1 0 0,0-1 1 0 0,2-1-1 0 0,3-1 25 0 0,-2 0-1 0 0,0-1 0 0 0,1 0 1 0 0,-1 0-1 0 0,0 0 0 0 0,1-1 0 0 0,-3 1 1 0 0,2-2-1 0 0,-2 2 0 0 0,1-2 0 0 0,5-11 1 0 0,-8 14 137 0 0,-2 0 0 0 0,1 0 1 0 0,0 1-1 0 0,-1-1 0 0 0,1 0 1 0 0,-1 0-1 0 0,0 1 0 0 0,0-1 1 0 0,-1 1-1 0 0,1-1 0 0 0,-1 1 1 0 0,1-1-1 0 0,-1 1 0 0 0,0 0 1 0 0,0 0-1 0 0,-1 0 0 0 0,1 0 1 0 0,0 0-1 0 0,-7-4 0 0 0,7 4-104 0 0,-1 0-1 0 0,0 0 0 0 0,0 0 0 0 0,0 1 0 0 0,0-1 0 0 0,0 1 0 0 0,0 0 0 0 0,0 0 0 0 0,-2 0 0 0 0,2 0 0 0 0,-1 0 0 0 0,0 1 0 0 0,0 0 0 0 0,1 0 0 0 0,0 0 0 0 0,0 0 0 0 0,-2 0 0 0 0,1 1 0 0 0,-5 0 0 0 0,7 0-89 0 0,1 1 0 0 0,-1-1 0 0 0,1 1 0 0 0,0 0 0 0 0,-1 0-1 0 0,1 0 1 0 0,-1 0 0 0 0,2 0 0 0 0,-1 0 0 0 0,0 0-1 0 0,0 0 1 0 0,0 0 0 0 0,0 0 0 0 0,0 1 0 0 0,-1-1-1 0 0,1 0 1 0 0,0 1 0 0 0,0-1 0 0 0,1 1 0 0 0,-1-1-1 0 0,1 1 1 0 0,-1-1 0 0 0,1 1 0 0 0,-1-1 0 0 0,1 2-1 0 0,0-2 1 0 0,0 0 0 0 0,0 1 0 0 0,0-1 0 0 0,0 1-1 0 0,0 0 1 0 0,0-1 0 0 0,1 1 0 0 0,-1-1 0 0 0,1 1 0 0 0,-1-1-1 0 0,2 3 1 0 0,-2-1-247 0 0,1 0-1 0 0,0-1 1 0 0,1 1-1 0 0,-1-1 1 0 0,0 1 0 0 0,1-1-1 0 0,-1 1 1 0 0,0-1-1 0 0,0 0 1 0 0,1 0-1 0 0,0 0 1 0 0,0 0-1 0 0,0 0 1 0 0,0 0 0 0 0,0 0-1 0 0,0-1 1 0 0,0 1-1 0 0,1-1 1 0 0,-1 1-1 0 0,1-1 1 0 0,0 0 0 0 0,2 1-1 0 0,-2-2 5 0 0,-1 0 0 0 0,1 0-1 0 0,0 0 1 0 0,0 0 0 0 0,0 0-1 0 0,0-1 1 0 0,0 0 0 0 0,0 1-1 0 0,0-1 1 0 0,-1 0 0 0 0,1-1 0 0 0,-1 1-1 0 0,1 0 1 0 0,0-1 0 0 0,2-2-1 0 0,1 1-1712 0 0</inkml:trace>
  <inkml:trace contextRef="#ctx0" brushRef="#br0" timeOffset="2335.35">2978 883 2617 0 0,'0'4'169'0'0,"0"1"1"0"0,0-1 0 0 0,1 1 0 0 0,-1-1 0 0 0,1 0 0 0 0,0 1 0 0 0,0-1 0 0 0,0 1 0 0 0,3 4 0 0 0,1 0 135 0 0,1-1 1 0 0,1 1-1 0 0,-2-1 1 0 0,2 0-1 0 0,0 0 1 0 0,0-1-1 0 0,15 12 1 0 0,-20-17-267 0 0,1 0 0 0 0,-1 0 0 0 0,1 0 0 0 0,0 0 0 0 0,0 0 0 0 0,-1 0 0 0 0,1-1 0 0 0,0 0 0 0 0,0 0 0 0 0,0 1 0 0 0,0-2 0 0 0,0 1 0 0 0,1 0 0 0 0,-1-1 0 0 0,1 1 0 0 0,-2-1 0 0 0,2 0 0 0 0,-1 0 0 0 0,0 0 0 0 0,1-1 0 0 0,-1 1 0 0 0,0-1 0 0 0,0 1 0 0 0,0-1 0 0 0,1 0 0 0 0,-2-1 0 0 0,1 1 0 0 0,5-3 0 0 0,-5 1-9 0 0,-1 1 1 0 0,0-1-1 0 0,0 0 0 0 0,0 0 0 0 0,0 0 1 0 0,-1 0-1 0 0,1 0 0 0 0,0 0 0 0 0,0 0 1 0 0,-1-1-1 0 0,-1 1 0 0 0,0 0 0 0 0,1-1 1 0 0,0 1-1 0 0,-1-1 0 0 0,0 1 0 0 0,0-1 1 0 0,0 0-1 0 0,0 1 0 0 0,0 0 0 0 0,-1-1 1 0 0,0 1-1 0 0,1 0 0 0 0,-1-1 0 0 0,-3-5 1 0 0,0-3 9 0 0,-1-1 1 0 0,0 1-1 0 0,-1 0 1 0 0,0 0-1 0 0,-11-15 1 0 0,8 16-1 0 0,1 0-1 0 0,-3 0 1 0 0,1 1 0 0 0,0 0 0 0 0,-1 1 0 0 0,1 0 0 0 0,-1 1 0 0 0,-2 0 0 0 0,0 0 0 0 0,1 2 0 0 0,-1-1 0 0 0,1 2 0 0 0,-3 0 0 0 0,2 0 0 0 0,-1 1 0 0 0,0 1 0 0 0,1 1 0 0 0,-3 0-1 0 0,-19-1 1 0 0,33 3-6 0 0,1 0-1 0 0,-1 0 0 0 0,1 0 0 0 0,0 0 0 0 0,0 0 0 0 0,0 1 0 0 0,-1-1 0 0 0,1 0 0 0 0,-2 0 0 0 0,2 0 0 0 0,0 2 1 0 0,-1-2-1 0 0,1 1 0 0 0,0 0 0 0 0,-1-1 0 0 0,1 1 0 0 0,0 0 0 0 0,0 0 0 0 0,0 0 0 0 0,0 0 0 0 0,0 0 1 0 0,0 0-1 0 0,-2 3 0 0 0,3-3 37 0 0,0 0-1 0 0,1 0 1 0 0,-1 0 0 0 0,0 0 0 0 0,0 0 0 0 0,1-1-1 0 0,-1 1 1 0 0,1 0 0 0 0,-1 0 0 0 0,1 0-1 0 0,-1 0 1 0 0,1 0 0 0 0,-1 0 0 0 0,1-1 0 0 0,0 1-1 0 0,-1 0 1 0 0,1 0 0 0 0,0-1 0 0 0,0 1 0 0 0,0 0-1 0 0,-1-1 1 0 0,1 1 0 0 0,0-1 0 0 0,0 0 0 0 0,0 1-1 0 0,0-1 1 0 0,0 1 0 0 0,0-1 0 0 0,1 0 0 0 0,-1 0-1 0 0,0 0 1 0 0,0 0 0 0 0,1 0 0 0 0,11 4 366 0 0,0-1 1 0 0,-1-1-1 0 0,2-1 0 0 0,-1 0 1 0 0,1 0-1 0 0,0-1 1 0 0,-1-1-1 0 0,0-1 0 0 0,1 0 1 0 0,18-5-1 0 0,2-3-2002 0 0,-3-2-1 0 0,60-29 1 0 0,-90 40 966 0 0,0 0-1 0 0,1 0 1 0 0,-1 1 0 0 0,1-1-1 0 0,0 1 1 0 0,-1-1-1 0 0,1 1 1 0 0,-1 0 0 0 0,1-1-1 0 0,0 1 1 0 0,-1 0-1 0 0,1 0 1 0 0,-1 0 0 0 0,3 1-1 0 0,1 1-2277 0 0</inkml:trace>
  <inkml:trace contextRef="#ctx0" brushRef="#br0" timeOffset="2771.68">3389 976 4857 0 0,'-1'-10'856'0'0,"-2"-1"0"0"0,2 0-1 0 0,0 0 1 0 0,1 1 0 0 0,1-14-1 0 0,-1-7 476 0 0,-1 11-639 0 0,2-1 0 0 0,3-29-1 0 0,-4 46-635 0 0,1-1 0 0 0,0 0 0 0 0,0 0 0 0 0,1 0 0 0 0,0 0 0 0 0,-1 0 0 0 0,2 0 0 0 0,-1 0 0 0 0,0 1 0 0 0,1-1 0 0 0,0 1 0 0 0,0 0 0 0 0,0 0-1 0 0,8-7 1 0 0,-10 9-53 0 0,1 1 0 0 0,0 0 1 0 0,0 0-1 0 0,-1 0 0 0 0,1 0 0 0 0,0 1 0 0 0,0-1 0 0 0,0 0 0 0 0,0 1 0 0 0,0-1 0 0 0,0 1 0 0 0,0 0 0 0 0,0 0 0 0 0,1-1 0 0 0,-1 2 0 0 0,0-1 0 0 0,0 0 0 0 0,0 0 0 0 0,3 1 1 0 0,0 1-1 0 0,0 0 0 0 0,-1 0 0 0 0,1 0 0 0 0,-1 0 1 0 0,0 1-1 0 0,1-1 0 0 0,-1 1 0 0 0,4 4 0 0 0,3 3-72 0 0,-1 1 1 0 0,0 0-1 0 0,-1 1 0 0 0,13 19 0 0 0,-14-18-427 0 0,-1 0 1 0 0,-1 1-1 0 0,0-1 1 0 0,5 18-1 0 0,-8-17-1081 0 0,1 0-1 0 0,-2 0 0 0 0,0 0 0 0 0,1 21 0 0 0,-3-24-965 0 0</inkml:trace>
  <inkml:trace contextRef="#ctx0" brushRef="#br0" timeOffset="2772.68">3208 430 5993 0 0,'-5'-6'860'0'0,"0"-2"0"0"0,0 2 0 0 0,1-1 0 0 0,0 0 0 0 0,0 0 0 0 0,0-1 0 0 0,-2-11-1 0 0,5 18-704 0 0,1-1-1 0 0,-1 0 1 0 0,1 0-1 0 0,0 0 1 0 0,-1 1-1 0 0,1-1 1 0 0,0 0-1 0 0,0 0 1 0 0,0 1-1 0 0,1-2 0 0 0,-1 2 1 0 0,0-1-1 0 0,1 0 1 0 0,-1 0-1 0 0,1 1 1 0 0,0-1-1 0 0,-1 0 1 0 0,1 1-1 0 0,0-1 0 0 0,0 0 1 0 0,0 1-1 0 0,0-1 1 0 0,0 1-1 0 0,1 0 1 0 0,-1-1-1 0 0,0 1 1 0 0,1 0-1 0 0,-1 0 1 0 0,1 0-1 0 0,-1 0 0 0 0,1 0 1 0 0,-1 0-1 0 0,1 0 1 0 0,1 0-1 0 0,-2 1 1 0 0,0 0-1 0 0,1 0 1 0 0,2-2-1 0 0,19-4-902 0 0,46-6-1 0 0,-6 8-9663 0 0,-48 4 5497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15T17:06:12.855"/>
    </inkml:context>
    <inkml:brush xml:id="br0">
      <inkml:brushProperty name="width" value="0.05" units="cm"/>
      <inkml:brushProperty name="height" value="0.05" units="cm"/>
    </inkml:brush>
  </inkml:definitions>
  <inkml:trace contextRef="#ctx0" brushRef="#br0">2977 1344 3721 0 0,'-39'-22'509'0'0,"37"21"-251"0"0,0 0 0 0 0,1 0 0 0 0,0 0 0 0 0,0 0 0 0 0,-1 0-1 0 0,1 0 1 0 0,0 1 0 0 0,-2-1 0 0 0,2 0 0 0 0,0-2 0 0 0,0 2 0 0 0,0-1-1 0 0,0 1 1 0 0,0-1 0 0 0,1 1 0 0 0,-1-1 0 0 0,1 1 0 0 0,-1-1-1 0 0,0 0 1 0 0,1 1 0 0 0,0-1 0 0 0,-1-3 0 0 0,13 0 5866 0 0,18 4-4263 0 0,-23 1-1238 0 0,150-18 244 0 0,-104 7-4897 0 0,-3-4-5339 0 0,-37 11 5004 0 0</inkml:trace>
  <inkml:trace contextRef="#ctx0" brushRef="#br0" timeOffset="435.44">3690 620 3929 0 0,'-7'-9'561'0'0,"2"1"1"0"0,-3 1-1 0 0,0-1 0 0 0,1 0 1 0 0,-2 0-1 0 0,1 1 0 0 0,-1 0 1 0 0,-10-4-1 0 0,12 8-388 0 0,2 0 1 0 0,-3 0-1 0 0,1 1 1 0 0,1 0-1 0 0,0 0 1 0 0,-1 1-1 0 0,0-2 0 0 0,0 3 1 0 0,0-1-1 0 0,1 1 1 0 0,-1 0-1 0 0,0 0 1 0 0,-13 4-1 0 0,19-3-155 0 0,0 0-1 0 0,0-1 1 0 0,0 1-1 0 0,0 0 1 0 0,0 0-1 0 0,0-1 1 0 0,0 1-1 0 0,0 0 1 0 0,0 0-1 0 0,-1 0 1 0 0,2 0-1 0 0,-1 1 1 0 0,0-1-1 0 0,1 0 1 0 0,-1 0-1 0 0,1 0 1 0 0,-1 0-1 0 0,1 1 1 0 0,0-1 0 0 0,-1 0-1 0 0,1 0 1 0 0,0 1-1 0 0,0-1 1 0 0,0 0-1 0 0,0-1 1 0 0,0 2-1 0 0,0-1 1 0 0,0 0-1 0 0,1 1 1 0 0,-1 0-1 0 0,10 49-43 0 0,-8-42 67 0 0,6 21 1 0 0,0 2 1 0 0,5-3 0 0 0,23 50 0 0 0,-15-35 27 0 0,-3-2 104 0 0,-5-10 967 0 0,27 47 0 0 0,-36-72-997 0 0,0-1 0 0 0,1 0 0 0 0,1 1 0 0 0,-2-1 0 0 0,1 0 0 0 0,1 1 1 0 0,0-1-1 0 0,1-2 0 0 0,0 1 0 0 0,-2 0 0 0 0,17 7 0 0 0,-20-11-114 0 0,0 0 0 0 0,-2-1 0 0 0,2 1 0 0 0,0 0 1 0 0,-1 0-1 0 0,1-1 0 0 0,1 1 0 0 0,-1-1 0 0 0,0 0 0 0 0,0 1 0 0 0,0-1 1 0 0,0 0-1 0 0,0 0 0 0 0,0 0 0 0 0,0-1 0 0 0,0 1 0 0 0,-1 0 0 0 0,0-1 0 0 0,1 1 1 0 0,0-1-1 0 0,1 0 0 0 0,-1 1 0 0 0,-1-1 0 0 0,1 0 0 0 0,-1 0 0 0 0,1 0 1 0 0,-1-1-1 0 0,1 1 0 0 0,0 0 0 0 0,-1 0 0 0 0,0-1 0 0 0,1 1 0 0 0,-1-1 1 0 0,0 0-1 0 0,-1 1 0 0 0,1-1 0 0 0,0 0 0 0 0,0 1 0 0 0,2-4 0 0 0,1-7 52 0 0,-1 0-1 0 0,0-1 0 0 0,-2 2 0 0 0,1-2 0 0 0,0-15 0 0 0,0-1-1 0 0,-1 29-76 0 0,-1 0-1 0 0,1 0 1 0 0,-1 0 0 0 0,1 0-1 0 0,-1 0 1 0 0,1 0-1 0 0,-1 0 1 0 0,1 0 0 0 0,-1 0-1 0 0,0 0 1 0 0,0 0-1 0 0,1 0 1 0 0,-1 0 0 0 0,0 0-1 0 0,2 0 1 0 0,-2 0-1 0 0,1 1 1 0 0,-1-1 0 0 0,1 0-1 0 0,-1 0 1 0 0,0 1-1 0 0,1-1 1 0 0,-1 0 0 0 0,1 0-1 0 0,-1 1 1 0 0,0-1 0 0 0,1 0-1 0 0,-1 1 1 0 0,0-1-1 0 0,0 1 1 0 0,1-1 0 0 0,-1 0-1 0 0,0 1 1 0 0,0-1-1 0 0,1 1 1 0 0,22 23 83 0 0,-13-13-6 0 0,-9-10-23 0 0,0 0 1 0 0,0 0-1 0 0,0 0 1 0 0,0 0 0 0 0,0 0-1 0 0,0 0 1 0 0,0 0 0 0 0,0-1-1 0 0,1 1 1 0 0,0 0 0 0 0,-2-1-1 0 0,1 1 1 0 0,0-1-1 0 0,0 1 1 0 0,1-1 0 0 0,-1 1-1 0 0,1-1 1 0 0,-1 0 0 0 0,0 0-1 0 0,1 0 1 0 0,-1 0-1 0 0,1 0 1 0 0,-1 0 0 0 0,1 0-1 0 0,-1 0 1 0 0,0-1 0 0 0,3 0-1 0 0,-2 0-3 0 0,0-1-1 0 0,0 1 0 0 0,-1-1 0 0 0,0 0 1 0 0,1 1-1 0 0,-2-1 0 0 0,1 0 1 0 0,0 0-1 0 0,1 0 0 0 0,-1 0 1 0 0,0 0-1 0 0,0 1 0 0 0,-1-1 0 0 0,1-1 1 0 0,0-1-1 0 0,2-9 6 0 0,-1 0 0 0 0,1 2 0 0 0,-2-1 1 0 0,0-1-1 0 0,-2-14 0 0 0,-4-3-47 0 0,-1 0 1 0 0,-14-44-1 0 0,0 5-2971 0 0,36 90-10633 0 0,-10-11 10214 0 0</inkml:trace>
  <inkml:trace contextRef="#ctx0" brushRef="#br0" timeOffset="1736.16">5013 392 3249 0 0,'-6'0'1760'0'0,"5"0"-1559"0"0,0 0 0 0 0,0 0-1 0 0,0 0 1 0 0,0 0-1 0 0,0 0 1 0 0,0 0-1 0 0,0 0 1 0 0,0 0 0 0 0,1 0-1 0 0,-1 1 1 0 0,-1-1-1 0 0,1 0 1 0 0,1 1-1 0 0,-1-1 1 0 0,0 1 0 0 0,0-1-1 0 0,0 1 1 0 0,-1-1-1 0 0,2 1 1 0 0,-1 0-1 0 0,0-1 1 0 0,1 1-1 0 0,-1 0 1 0 0,0 0 0 0 0,1-1-1 0 0,-1 1 1 0 0,0 0-1 0 0,1 0 1 0 0,-1 0-1 0 0,1 0 1 0 0,-1 0 0 0 0,1 0-1 0 0,0 0 1 0 0,-1 2-1 0 0,-6 12-47 0 0,1 3 0 0 0,1-1 0 0 0,1-1 0 0 0,0 2 0 0 0,1-1 0 0 0,0 1 0 0 0,2 0 0 0 0,0-1 0 0 0,2 23 0 0 0,3 15 80 0 0,17 89-1 0 0,-17-126-51 0 0,0-2 1 0 0,2 2-1 0 0,0-3 0 0 0,1 1 0 0 0,-1 1 0 0 0,15 19 0 0 0,-17-30-183 0 0,-1-1-1 0 0,0 0 1 0 0,1-1-1 0 0,2 1 1 0 0,-3-1 0 0 0,2 0-1 0 0,0 0 1 0 0,0 0-1 0 0,8 6 1 0 0,-11-9-10 0 0,1 1-1 0 0,0-1 1 0 0,0 0-1 0 0,1 0 1 0 0,0-1-1 0 0,-1 1 1 0 0,-1-1-1 0 0,0 1 0 0 0,2-1 1 0 0,-1 0-1 0 0,0 0 1 0 0,0 0-1 0 0,1-1 1 0 0,0 1-1 0 0,-1-1 1 0 0,0 0-1 0 0,-1 0 1 0 0,1 0-1 0 0,4-2 1 0 0,-2-1 13 0 0,-1 1 0 0 0,0 0-1 0 0,0 0 1 0 0,-2 0 0 0 0,2-1 0 0 0,-1 0 0 0 0,0 1 0 0 0,0-1 0 0 0,0 1 0 0 0,0-2-1 0 0,-1 1 1 0 0,1 0 0 0 0,-1-2 0 0 0,-1 1 0 0 0,0 1 0 0 0,1-1 0 0 0,-1 0-1 0 0,0 0 1 0 0,0 1 0 0 0,0-1 0 0 0,-1 0 0 0 0,0-1 0 0 0,0-4 0 0 0,0-14 58 0 0,-1-2 0 0 0,-1 2 0 0 0,-5-29 0 0 0,-7 19 175 0 0,14 34-219 0 0,0 0-1 0 0,-2-1 0 0 0,2 1 1 0 0,0 0-1 0 0,0 0 1 0 0,0-1-1 0 0,0 1 0 0 0,0 0 1 0 0,0 0-1 0 0,0 0 1 0 0,0-1-1 0 0,-1 1 0 0 0,1 0 1 0 0,0 0-1 0 0,-1 0 1 0 0,1 0-1 0 0,0-1 0 0 0,0 1 1 0 0,-1 0-1 0 0,1 0 1 0 0,0 0-1 0 0,-1 0 0 0 0,1 0 1 0 0,0 0-1 0 0,-1 0 1 0 0,1 0-1 0 0,0 0 0 0 0,-1 0 1 0 0,1 0-1 0 0,0 0 1 0 0,-1 0-1 0 0,1 0 0 0 0,-1 1 1 0 0,-6 17 588 0 0,6-7-653 0 0,0 2 0 0 0,1-2 0 0 0,1 0 0 0 0,0 0 0 0 0,0 2 0 0 0,1-2 0 0 0,0-1 0 0 0,0 2-1 0 0,2 0 1 0 0,0-1 0 0 0,0-2 0 0 0,1 2 0 0 0,0-1 0 0 0,0 1 0 0 0,1-2 0 0 0,1 1 0 0 0,12 16 0 0 0,-16-24-207 0 0,-1-1 0 0 0,0 1 1 0 0,0-1-1 0 0,0 0 1 0 0,0-1-1 0 0,0 1 0 0 0,-1 0 1 0 0,1 0-1 0 0,0-1 1 0 0,0 1-1 0 0,3 0 0 0 0,24-5-6613 0 0,-19 1 2719 0 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EDB0-90F9-4EA5-B4D7-67D6A1A26AE9}">
  <dimension ref="A1:L388"/>
  <sheetViews>
    <sheetView topLeftCell="A327" zoomScale="85" zoomScaleNormal="85" workbookViewId="0">
      <selection activeCell="D370" sqref="D370"/>
    </sheetView>
  </sheetViews>
  <sheetFormatPr defaultColWidth="8.88671875" defaultRowHeight="14.4" x14ac:dyDescent="0.3"/>
  <cols>
    <col min="1" max="1" width="28.33203125" style="1" customWidth="1"/>
    <col min="2" max="2" width="26.6640625" style="1" customWidth="1"/>
    <col min="3" max="3" width="23.33203125" style="1" customWidth="1"/>
    <col min="4" max="4" width="36.6640625" style="1" customWidth="1"/>
    <col min="5" max="5" width="24.6640625" style="1" customWidth="1"/>
    <col min="6" max="6" width="10" style="1" bestFit="1" customWidth="1"/>
    <col min="7" max="10" width="8.88671875" style="1"/>
    <col min="11" max="11" width="8.88671875" style="2"/>
    <col min="12" max="16384" width="8.88671875" style="1"/>
  </cols>
  <sheetData>
    <row r="1" spans="1:11" x14ac:dyDescent="0.3">
      <c r="A1" s="1" t="s">
        <v>71</v>
      </c>
      <c r="B1" s="1" t="s">
        <v>70</v>
      </c>
      <c r="C1" s="1" t="s">
        <v>72</v>
      </c>
    </row>
    <row r="2" spans="1:11" s="4" customFormat="1" x14ac:dyDescent="0.3">
      <c r="A2" s="464" t="s">
        <v>2</v>
      </c>
      <c r="B2" s="464"/>
      <c r="C2" s="464"/>
      <c r="D2" s="464"/>
      <c r="E2" s="464"/>
      <c r="F2" s="464"/>
      <c r="G2" s="464"/>
      <c r="H2" s="464"/>
      <c r="I2" s="464"/>
      <c r="J2" s="464"/>
      <c r="K2" s="3"/>
    </row>
    <row r="3" spans="1:11" x14ac:dyDescent="0.3">
      <c r="A3" s="1" t="s">
        <v>45</v>
      </c>
    </row>
    <row r="4" spans="1:11" x14ac:dyDescent="0.3">
      <c r="A4" s="1" t="s">
        <v>0</v>
      </c>
      <c r="B4" s="1">
        <v>48750</v>
      </c>
      <c r="E4" s="1" t="s">
        <v>0</v>
      </c>
      <c r="F4" s="1">
        <v>48750</v>
      </c>
    </row>
    <row r="5" spans="1:11" x14ac:dyDescent="0.3">
      <c r="A5" s="1" t="s">
        <v>1</v>
      </c>
      <c r="B5" s="1">
        <v>50000</v>
      </c>
      <c r="E5" s="1" t="s">
        <v>1</v>
      </c>
      <c r="F5" s="1">
        <v>50000</v>
      </c>
    </row>
    <row r="7" spans="1:11" x14ac:dyDescent="0.3">
      <c r="A7" s="1" t="s">
        <v>5</v>
      </c>
      <c r="B7" s="1" t="s">
        <v>8</v>
      </c>
      <c r="C7" s="1">
        <f>+B5-B4</f>
        <v>1250</v>
      </c>
    </row>
    <row r="8" spans="1:11" x14ac:dyDescent="0.3">
      <c r="A8" s="1" t="s">
        <v>43</v>
      </c>
      <c r="B8" s="1" t="s">
        <v>6</v>
      </c>
      <c r="C8" s="1" t="s">
        <v>44</v>
      </c>
      <c r="D8" s="5">
        <f>+C7/B5</f>
        <v>2.5000000000000001E-2</v>
      </c>
      <c r="E8" s="1" t="s">
        <v>38</v>
      </c>
    </row>
    <row r="9" spans="1:11" x14ac:dyDescent="0.3">
      <c r="A9" s="1" t="s">
        <v>43</v>
      </c>
      <c r="B9" s="1" t="s">
        <v>7</v>
      </c>
      <c r="C9" s="1" t="s">
        <v>41</v>
      </c>
      <c r="D9" s="6">
        <f>+C7/B4</f>
        <v>2.564102564102564E-2</v>
      </c>
    </row>
    <row r="10" spans="1:11" s="4" customFormat="1" x14ac:dyDescent="0.3">
      <c r="A10" s="464" t="s">
        <v>39</v>
      </c>
      <c r="B10" s="464"/>
      <c r="C10" s="464"/>
      <c r="D10" s="464"/>
      <c r="E10" s="464"/>
      <c r="F10" s="464"/>
      <c r="G10" s="464"/>
      <c r="H10" s="464"/>
      <c r="I10" s="464"/>
      <c r="J10" s="464"/>
      <c r="K10" s="3"/>
    </row>
    <row r="11" spans="1:11" ht="31.2" customHeight="1" x14ac:dyDescent="0.3">
      <c r="A11" s="465" t="s">
        <v>46</v>
      </c>
      <c r="B11" s="465"/>
      <c r="C11" s="465"/>
      <c r="D11" s="465"/>
      <c r="E11" s="465"/>
      <c r="F11" s="465"/>
      <c r="G11" s="465"/>
      <c r="H11" s="465"/>
      <c r="I11" s="465"/>
      <c r="J11" s="466"/>
    </row>
    <row r="12" spans="1:11" x14ac:dyDescent="0.3">
      <c r="A12" s="1" t="s">
        <v>0</v>
      </c>
      <c r="B12" s="1" t="s">
        <v>40</v>
      </c>
      <c r="C12" s="1" t="s">
        <v>42</v>
      </c>
    </row>
    <row r="13" spans="1:11" x14ac:dyDescent="0.3">
      <c r="A13" s="1" t="s">
        <v>1</v>
      </c>
      <c r="B13" s="1">
        <v>50000</v>
      </c>
    </row>
    <row r="14" spans="1:11" x14ac:dyDescent="0.3">
      <c r="A14" s="1" t="s">
        <v>41</v>
      </c>
      <c r="B14" s="1">
        <v>0.5</v>
      </c>
    </row>
    <row r="16" spans="1:11" x14ac:dyDescent="0.3">
      <c r="A16" s="1" t="s">
        <v>0</v>
      </c>
      <c r="B16" s="1">
        <f>+B13/(1+B14)</f>
        <v>33333.333333333336</v>
      </c>
      <c r="C16" s="1" t="s">
        <v>47</v>
      </c>
    </row>
    <row r="18" spans="1:11" x14ac:dyDescent="0.3">
      <c r="A18" s="465" t="s">
        <v>48</v>
      </c>
      <c r="B18" s="465"/>
      <c r="C18" s="465"/>
      <c r="D18" s="465"/>
      <c r="E18" s="465"/>
      <c r="F18" s="465"/>
      <c r="G18" s="465"/>
      <c r="H18" s="465"/>
      <c r="I18" s="465"/>
      <c r="J18" s="466"/>
    </row>
    <row r="19" spans="1:11" x14ac:dyDescent="0.3">
      <c r="A19" s="7"/>
      <c r="B19" s="7"/>
      <c r="C19" s="7"/>
      <c r="D19" s="7"/>
      <c r="E19" s="7"/>
      <c r="F19" s="7"/>
      <c r="G19" s="7"/>
      <c r="H19" s="7"/>
      <c r="I19" s="7"/>
      <c r="J19" s="7"/>
    </row>
    <row r="20" spans="1:11" x14ac:dyDescent="0.3">
      <c r="A20" s="7" t="s">
        <v>49</v>
      </c>
      <c r="B20" s="7">
        <v>0.3</v>
      </c>
      <c r="C20" s="7"/>
      <c r="D20" s="7"/>
      <c r="E20" s="7"/>
      <c r="F20" s="7"/>
      <c r="G20" s="7"/>
      <c r="H20" s="7"/>
      <c r="I20" s="7"/>
      <c r="J20" s="7"/>
    </row>
    <row r="21" spans="1:11" x14ac:dyDescent="0.3">
      <c r="A21" s="1" t="s">
        <v>50</v>
      </c>
      <c r="B21" s="1">
        <v>5000</v>
      </c>
    </row>
    <row r="23" spans="1:11" x14ac:dyDescent="0.3">
      <c r="A23" s="1" t="s">
        <v>51</v>
      </c>
      <c r="B23" s="1">
        <f>+B21/(1+B20)</f>
        <v>3846.1538461538462</v>
      </c>
      <c r="C23" s="1" t="s">
        <v>52</v>
      </c>
    </row>
    <row r="24" spans="1:11" x14ac:dyDescent="0.3">
      <c r="A24" s="1" t="s">
        <v>53</v>
      </c>
      <c r="B24" s="1">
        <v>3500</v>
      </c>
      <c r="C24" s="1" t="s">
        <v>55</v>
      </c>
      <c r="D24" s="1" t="s">
        <v>56</v>
      </c>
      <c r="E24" s="1">
        <f>+B23-B24</f>
        <v>346.15384615384619</v>
      </c>
      <c r="F24" s="1" t="s">
        <v>57</v>
      </c>
    </row>
    <row r="25" spans="1:11" x14ac:dyDescent="0.3">
      <c r="A25" s="1" t="s">
        <v>53</v>
      </c>
      <c r="B25" s="1">
        <v>4000</v>
      </c>
      <c r="C25" s="1" t="s">
        <v>54</v>
      </c>
    </row>
    <row r="26" spans="1:11" s="4" customFormat="1" x14ac:dyDescent="0.3">
      <c r="A26" s="464" t="s">
        <v>3</v>
      </c>
      <c r="B26" s="464"/>
      <c r="C26" s="464"/>
      <c r="D26" s="464"/>
      <c r="E26" s="464"/>
      <c r="F26" s="464"/>
      <c r="G26" s="464"/>
      <c r="K26" s="3"/>
    </row>
    <row r="27" spans="1:11" ht="15" thickBot="1" x14ac:dyDescent="0.35"/>
    <row r="28" spans="1:11" ht="15" thickBot="1" x14ac:dyDescent="0.35">
      <c r="A28" s="8" t="s">
        <v>9</v>
      </c>
      <c r="B28" s="8"/>
      <c r="C28" s="9" t="s">
        <v>10</v>
      </c>
      <c r="D28" s="10">
        <v>48750</v>
      </c>
    </row>
    <row r="29" spans="1:11" ht="15" thickBot="1" x14ac:dyDescent="0.35">
      <c r="A29" s="8" t="s">
        <v>11</v>
      </c>
      <c r="B29" s="8"/>
      <c r="C29" s="9" t="s">
        <v>12</v>
      </c>
      <c r="D29" s="10">
        <v>49993.125</v>
      </c>
    </row>
    <row r="30" spans="1:11" ht="15" thickBot="1" x14ac:dyDescent="0.35">
      <c r="A30" s="8"/>
      <c r="B30" s="8"/>
      <c r="C30" s="8"/>
      <c r="F30" s="11" t="s">
        <v>13</v>
      </c>
    </row>
    <row r="31" spans="1:11" ht="15" thickBot="1" x14ac:dyDescent="0.35">
      <c r="A31" s="8" t="s">
        <v>14</v>
      </c>
      <c r="B31" s="8"/>
      <c r="C31" s="9" t="s">
        <v>15</v>
      </c>
      <c r="D31" s="10">
        <v>100</v>
      </c>
    </row>
    <row r="32" spans="1:11" ht="15" thickBot="1" x14ac:dyDescent="0.35">
      <c r="A32" s="8" t="s">
        <v>16</v>
      </c>
      <c r="B32" s="8"/>
      <c r="C32" s="9" t="s">
        <v>17</v>
      </c>
      <c r="D32" s="10">
        <v>103.2</v>
      </c>
    </row>
    <row r="33" spans="1:9" ht="15" thickBot="1" x14ac:dyDescent="0.35">
      <c r="A33" s="8" t="s">
        <v>18</v>
      </c>
      <c r="B33" s="8"/>
      <c r="C33" s="12">
        <f>+(D32-D31)/D31</f>
        <v>3.2000000000000028E-2</v>
      </c>
      <c r="D33" s="5"/>
      <c r="F33" s="5"/>
    </row>
    <row r="34" spans="1:9" ht="15" thickBot="1" x14ac:dyDescent="0.35">
      <c r="A34" s="8" t="s">
        <v>19</v>
      </c>
      <c r="B34" s="8"/>
      <c r="C34" s="13" t="s">
        <v>20</v>
      </c>
      <c r="D34" s="14">
        <f>+D28/D31</f>
        <v>487.5</v>
      </c>
      <c r="F34" s="15"/>
    </row>
    <row r="35" spans="1:9" ht="15" thickBot="1" x14ac:dyDescent="0.35">
      <c r="A35" s="8" t="s">
        <v>21</v>
      </c>
      <c r="B35" s="8"/>
      <c r="C35" s="13" t="s">
        <v>22</v>
      </c>
      <c r="D35" s="14">
        <f>+D29/D32</f>
        <v>484.42950581395348</v>
      </c>
    </row>
    <row r="36" spans="1:9" ht="15" thickBot="1" x14ac:dyDescent="0.35">
      <c r="A36" s="8"/>
      <c r="B36" s="8"/>
      <c r="C36" s="8"/>
    </row>
    <row r="37" spans="1:9" ht="15" thickBot="1" x14ac:dyDescent="0.35">
      <c r="A37" s="8" t="s">
        <v>23</v>
      </c>
      <c r="B37" s="8"/>
      <c r="C37" s="13" t="s">
        <v>24</v>
      </c>
      <c r="D37" s="16">
        <f>+(D29-D28)/D28</f>
        <v>2.5499999999999998E-2</v>
      </c>
      <c r="F37" s="11" t="s">
        <v>25</v>
      </c>
      <c r="G37" s="11"/>
      <c r="H37" s="11"/>
      <c r="I37" s="11"/>
    </row>
    <row r="38" spans="1:9" ht="15" thickBot="1" x14ac:dyDescent="0.35">
      <c r="A38" s="8"/>
      <c r="B38" s="8"/>
      <c r="C38" s="8"/>
      <c r="F38" s="11"/>
      <c r="G38" s="11"/>
      <c r="H38" s="11"/>
      <c r="I38" s="11"/>
    </row>
    <row r="39" spans="1:9" ht="15" thickBot="1" x14ac:dyDescent="0.35">
      <c r="A39" s="8" t="s">
        <v>26</v>
      </c>
      <c r="B39" s="8"/>
      <c r="C39" s="13" t="s">
        <v>27</v>
      </c>
      <c r="D39" s="16">
        <f>+(D35-D34)/D34</f>
        <v>-6.298449612403112E-3</v>
      </c>
      <c r="F39" s="11" t="s">
        <v>25</v>
      </c>
      <c r="G39" s="11"/>
      <c r="H39" s="11"/>
      <c r="I39" s="11"/>
    </row>
    <row r="40" spans="1:9" ht="15" thickBot="1" x14ac:dyDescent="0.35">
      <c r="C40" s="13" t="s">
        <v>27</v>
      </c>
      <c r="D40" s="16">
        <f>+(1+D37)/(1+C33)-1</f>
        <v>-6.2984496124030009E-3</v>
      </c>
      <c r="F40" s="11" t="s">
        <v>28</v>
      </c>
      <c r="G40" s="11"/>
      <c r="H40" s="11"/>
      <c r="I40" s="11"/>
    </row>
    <row r="43" spans="1:9" x14ac:dyDescent="0.3">
      <c r="A43" s="1" t="s">
        <v>29</v>
      </c>
      <c r="C43" s="1">
        <f>+D29</f>
        <v>49993.125</v>
      </c>
      <c r="D43" s="1" t="s">
        <v>30</v>
      </c>
    </row>
    <row r="44" spans="1:9" x14ac:dyDescent="0.3">
      <c r="A44" s="1" t="s">
        <v>31</v>
      </c>
      <c r="C44" s="1">
        <f>+C43/(1+D44)</f>
        <v>48745.246684867394</v>
      </c>
      <c r="D44" s="1">
        <v>2.5600000000000001E-2</v>
      </c>
      <c r="E44" s="1" t="s">
        <v>32</v>
      </c>
    </row>
    <row r="46" spans="1:9" x14ac:dyDescent="0.3">
      <c r="B46" s="17" t="s">
        <v>33</v>
      </c>
      <c r="C46" s="17">
        <f>+C44</f>
        <v>48745.246684867394</v>
      </c>
      <c r="D46" s="1" t="s">
        <v>34</v>
      </c>
    </row>
    <row r="47" spans="1:9" x14ac:dyDescent="0.3">
      <c r="B47" s="1" t="s">
        <v>35</v>
      </c>
      <c r="C47" s="18">
        <f>+D28</f>
        <v>48750</v>
      </c>
      <c r="D47" s="1" t="s">
        <v>36</v>
      </c>
    </row>
    <row r="48" spans="1:9" x14ac:dyDescent="0.3">
      <c r="B48" s="1" t="s">
        <v>37</v>
      </c>
    </row>
    <row r="51" spans="1:11" x14ac:dyDescent="0.3">
      <c r="A51" s="1" t="s">
        <v>58</v>
      </c>
      <c r="C51" s="1">
        <f>+C46-C47</f>
        <v>-4.7533151326060761</v>
      </c>
      <c r="D51" s="1" t="s">
        <v>59</v>
      </c>
    </row>
    <row r="54" spans="1:11" s="4" customFormat="1" x14ac:dyDescent="0.3">
      <c r="A54" s="464" t="s">
        <v>60</v>
      </c>
      <c r="B54" s="464"/>
      <c r="C54" s="464"/>
      <c r="D54" s="464"/>
      <c r="E54" s="464"/>
      <c r="F54" s="464"/>
      <c r="G54" s="464"/>
      <c r="K54" s="3"/>
    </row>
    <row r="55" spans="1:11" x14ac:dyDescent="0.3">
      <c r="A55" s="1" t="s">
        <v>61</v>
      </c>
      <c r="B55" s="1" t="s">
        <v>67</v>
      </c>
    </row>
    <row r="56" spans="1:11" x14ac:dyDescent="0.3">
      <c r="A56" s="1" t="s">
        <v>62</v>
      </c>
      <c r="B56" s="1" t="s">
        <v>63</v>
      </c>
    </row>
    <row r="57" spans="1:11" x14ac:dyDescent="0.3">
      <c r="A57" s="1" t="s">
        <v>64</v>
      </c>
      <c r="B57" s="1" t="s">
        <v>65</v>
      </c>
      <c r="C57" s="1" t="s">
        <v>66</v>
      </c>
    </row>
    <row r="59" spans="1:11" x14ac:dyDescent="0.3">
      <c r="A59" s="1" t="s">
        <v>68</v>
      </c>
      <c r="B59" s="1" t="s">
        <v>74</v>
      </c>
    </row>
    <row r="60" spans="1:11" x14ac:dyDescent="0.3">
      <c r="A60" s="1" t="s">
        <v>69</v>
      </c>
      <c r="B60" s="1" t="s">
        <v>73</v>
      </c>
      <c r="C60" s="1" t="s">
        <v>75</v>
      </c>
    </row>
    <row r="62" spans="1:11" x14ac:dyDescent="0.3">
      <c r="A62" s="1" t="s">
        <v>93</v>
      </c>
      <c r="B62" s="1" t="s">
        <v>95</v>
      </c>
    </row>
    <row r="63" spans="1:11" x14ac:dyDescent="0.3">
      <c r="A63" s="1" t="s">
        <v>94</v>
      </c>
      <c r="B63" s="1" t="s">
        <v>96</v>
      </c>
    </row>
    <row r="64" spans="1:11" x14ac:dyDescent="0.3">
      <c r="A64" s="1" t="s">
        <v>89</v>
      </c>
      <c r="B64" s="1" t="s">
        <v>91</v>
      </c>
    </row>
    <row r="65" spans="1:8" x14ac:dyDescent="0.3">
      <c r="A65" s="1" t="s">
        <v>90</v>
      </c>
      <c r="B65" s="1" t="s">
        <v>92</v>
      </c>
    </row>
    <row r="67" spans="1:8" ht="15" thickBot="1" x14ac:dyDescent="0.35"/>
    <row r="68" spans="1:8" ht="15" thickBot="1" x14ac:dyDescent="0.35">
      <c r="A68" s="8" t="s">
        <v>76</v>
      </c>
      <c r="B68" s="8"/>
      <c r="D68" s="9" t="s">
        <v>10</v>
      </c>
      <c r="E68" s="10">
        <v>100000</v>
      </c>
    </row>
    <row r="69" spans="1:8" x14ac:dyDescent="0.3">
      <c r="D69" s="19" t="s">
        <v>77</v>
      </c>
      <c r="E69" s="20"/>
    </row>
    <row r="70" spans="1:8" ht="15" thickBot="1" x14ac:dyDescent="0.35">
      <c r="A70" s="8" t="s">
        <v>78</v>
      </c>
      <c r="B70" s="8"/>
      <c r="D70" s="21" t="s">
        <v>79</v>
      </c>
      <c r="E70" s="22">
        <v>0.5</v>
      </c>
    </row>
    <row r="71" spans="1:8" x14ac:dyDescent="0.3">
      <c r="A71" s="8"/>
      <c r="B71" s="8"/>
      <c r="D71" s="19" t="s">
        <v>80</v>
      </c>
      <c r="E71" s="20"/>
      <c r="G71" s="11" t="s">
        <v>13</v>
      </c>
    </row>
    <row r="72" spans="1:8" ht="15" thickBot="1" x14ac:dyDescent="0.35">
      <c r="A72" s="8" t="s">
        <v>81</v>
      </c>
      <c r="B72" s="8"/>
      <c r="C72" s="8"/>
      <c r="D72" s="21" t="s">
        <v>79</v>
      </c>
      <c r="E72" s="23">
        <v>1.4999999999999999E-2</v>
      </c>
    </row>
    <row r="73" spans="1:8" ht="15" thickBot="1" x14ac:dyDescent="0.35">
      <c r="A73" s="8" t="s">
        <v>82</v>
      </c>
      <c r="B73" s="8"/>
      <c r="C73" s="8"/>
      <c r="D73" s="9" t="s">
        <v>83</v>
      </c>
      <c r="E73" s="10">
        <v>80</v>
      </c>
    </row>
    <row r="74" spans="1:8" ht="15" thickBot="1" x14ac:dyDescent="0.35">
      <c r="A74" s="8" t="s">
        <v>84</v>
      </c>
      <c r="D74" s="9" t="s">
        <v>85</v>
      </c>
      <c r="E74" s="10">
        <v>120</v>
      </c>
      <c r="G74" s="1">
        <f>+E74/E73</f>
        <v>1.5</v>
      </c>
      <c r="H74" s="1">
        <f>+E73/E74</f>
        <v>0.66666666666666663</v>
      </c>
    </row>
    <row r="77" spans="1:8" x14ac:dyDescent="0.3">
      <c r="A77" s="8" t="s">
        <v>86</v>
      </c>
      <c r="B77" s="8"/>
      <c r="C77" s="8"/>
      <c r="D77" s="8"/>
      <c r="E77" s="5">
        <f>+(1+E72)*E74/E73-1</f>
        <v>0.52249999999999974</v>
      </c>
      <c r="G77" s="11" t="s">
        <v>87</v>
      </c>
      <c r="H77" s="11"/>
    </row>
    <row r="78" spans="1:8" x14ac:dyDescent="0.3">
      <c r="A78" s="8" t="s">
        <v>88</v>
      </c>
      <c r="B78" s="8"/>
      <c r="C78" s="8"/>
      <c r="D78" s="8"/>
      <c r="E78" s="5">
        <f>+(1+E70)*E73/E74-1</f>
        <v>0</v>
      </c>
    </row>
    <row r="79" spans="1:8" x14ac:dyDescent="0.3">
      <c r="A79" s="8"/>
      <c r="B79" s="8"/>
      <c r="C79" s="8"/>
      <c r="D79" s="8"/>
    </row>
    <row r="80" spans="1:8" x14ac:dyDescent="0.3">
      <c r="A80" s="8"/>
      <c r="B80" s="8"/>
      <c r="C80" s="8"/>
      <c r="D80" s="8"/>
    </row>
    <row r="81" spans="1:10" x14ac:dyDescent="0.3">
      <c r="B81" s="8"/>
      <c r="C81" s="8"/>
      <c r="D81" s="8"/>
      <c r="G81" s="11"/>
      <c r="H81" s="11"/>
      <c r="I81" s="11"/>
      <c r="J81" s="11"/>
    </row>
    <row r="82" spans="1:10" x14ac:dyDescent="0.3">
      <c r="B82" s="8"/>
      <c r="C82" s="8"/>
      <c r="D82" s="8"/>
    </row>
    <row r="83" spans="1:10" x14ac:dyDescent="0.3">
      <c r="A83" s="8" t="s">
        <v>86</v>
      </c>
      <c r="D83" s="1">
        <f>+((B89/E74)-(A89/E73))/(A89/E73)</f>
        <v>0</v>
      </c>
    </row>
    <row r="84" spans="1:10" x14ac:dyDescent="0.3">
      <c r="A84" s="1">
        <f>+E68/E73</f>
        <v>1250</v>
      </c>
      <c r="B84" s="1">
        <f>+E68/E73*(1+E72)</f>
        <v>1268.7499999999998</v>
      </c>
      <c r="D84" s="1">
        <f>+((B84*E74)-(A84*E73))/(A84*E73)</f>
        <v>0.52249999999999974</v>
      </c>
    </row>
    <row r="85" spans="1:10" x14ac:dyDescent="0.3">
      <c r="B85" s="5">
        <f>+(B84-A84)/A84</f>
        <v>1.4999999999999817E-2</v>
      </c>
    </row>
    <row r="86" spans="1:10" x14ac:dyDescent="0.3">
      <c r="A86" s="1">
        <f>+A84*E73</f>
        <v>100000</v>
      </c>
      <c r="B86" s="1">
        <f>+B84*E74</f>
        <v>152249.99999999997</v>
      </c>
    </row>
    <row r="87" spans="1:10" x14ac:dyDescent="0.3">
      <c r="B87" s="5">
        <f>+(B86-A86)/A86</f>
        <v>0.52249999999999974</v>
      </c>
    </row>
    <row r="88" spans="1:10" x14ac:dyDescent="0.3">
      <c r="A88" s="8" t="s">
        <v>88</v>
      </c>
    </row>
    <row r="89" spans="1:10" x14ac:dyDescent="0.3">
      <c r="A89" s="1">
        <f>+E68</f>
        <v>100000</v>
      </c>
      <c r="B89" s="1">
        <f>+E68*(1+E70)</f>
        <v>150000</v>
      </c>
    </row>
    <row r="90" spans="1:10" x14ac:dyDescent="0.3">
      <c r="A90" s="1">
        <f>+A89/E73</f>
        <v>1250</v>
      </c>
      <c r="B90" s="1">
        <f>+B89/E74</f>
        <v>1250</v>
      </c>
    </row>
    <row r="91" spans="1:10" x14ac:dyDescent="0.3">
      <c r="B91" s="24">
        <f>+(B90-A90)/A90</f>
        <v>0</v>
      </c>
    </row>
    <row r="95" spans="1:10" x14ac:dyDescent="0.3">
      <c r="A95" s="1" t="s">
        <v>4</v>
      </c>
    </row>
    <row r="96" spans="1:10" x14ac:dyDescent="0.3">
      <c r="A96" s="1" t="s">
        <v>97</v>
      </c>
      <c r="B96" s="1">
        <v>138</v>
      </c>
    </row>
    <row r="97" spans="1:12" x14ac:dyDescent="0.3">
      <c r="A97" s="1" t="s">
        <v>93</v>
      </c>
      <c r="B97" s="5">
        <v>0.6</v>
      </c>
      <c r="E97" s="5"/>
    </row>
    <row r="98" spans="1:12" x14ac:dyDescent="0.3">
      <c r="A98" s="1" t="s">
        <v>94</v>
      </c>
      <c r="B98" s="5">
        <v>7.0000000000000007E-2</v>
      </c>
    </row>
    <row r="100" spans="1:12" x14ac:dyDescent="0.3">
      <c r="A100" s="1" t="s">
        <v>99</v>
      </c>
      <c r="B100" s="1" t="s">
        <v>102</v>
      </c>
      <c r="C100" s="25" t="s">
        <v>100</v>
      </c>
    </row>
    <row r="101" spans="1:12" ht="59.4" customHeight="1" x14ac:dyDescent="0.3">
      <c r="B101" s="26" t="s">
        <v>102</v>
      </c>
      <c r="C101" s="26">
        <f>+(B97*B96/(1+B98))+(B96/(1+B98))</f>
        <v>206.35514018691589</v>
      </c>
      <c r="D101" s="465" t="s">
        <v>101</v>
      </c>
      <c r="E101" s="465"/>
      <c r="F101" s="465"/>
      <c r="G101" s="465"/>
      <c r="H101" s="465"/>
    </row>
    <row r="102" spans="1:12" x14ac:dyDescent="0.3">
      <c r="D102" s="1" t="s">
        <v>103</v>
      </c>
    </row>
    <row r="103" spans="1:12" x14ac:dyDescent="0.3">
      <c r="A103" s="4" t="s">
        <v>105</v>
      </c>
      <c r="B103" s="25" t="s">
        <v>92</v>
      </c>
    </row>
    <row r="104" spans="1:12" x14ac:dyDescent="0.3">
      <c r="A104" s="1" t="s">
        <v>98</v>
      </c>
      <c r="B104" s="1" t="s">
        <v>90</v>
      </c>
      <c r="C104" s="1" t="s">
        <v>93</v>
      </c>
      <c r="D104" s="1" t="s">
        <v>104</v>
      </c>
      <c r="E104" s="8" t="s">
        <v>107</v>
      </c>
    </row>
    <row r="105" spans="1:12" x14ac:dyDescent="0.3">
      <c r="A105" s="1">
        <v>190</v>
      </c>
      <c r="B105" s="5">
        <f>+(1+$B$98)*A105/$B$96-1</f>
        <v>0.47318840579710164</v>
      </c>
      <c r="C105" s="5">
        <v>0.6</v>
      </c>
      <c r="D105" s="1">
        <f t="shared" ref="D105:D111" si="0">+B105-$B$97</f>
        <v>-0.12681159420289834</v>
      </c>
      <c r="E105" s="8" t="str">
        <f>+IF(B105&gt;C105, "ME", "MD")</f>
        <v>MD</v>
      </c>
    </row>
    <row r="106" spans="1:12" x14ac:dyDescent="0.3">
      <c r="A106" s="1">
        <v>195</v>
      </c>
      <c r="B106" s="5">
        <f t="shared" ref="B106:B111" si="1">+(1+$B$98)*A106/$B$96-1</f>
        <v>0.51195652173913042</v>
      </c>
      <c r="C106" s="5">
        <v>0.6</v>
      </c>
      <c r="D106" s="1">
        <f t="shared" si="0"/>
        <v>-8.8043478260869557E-2</v>
      </c>
      <c r="E106" s="8" t="str">
        <f t="shared" ref="E106:E111" si="2">+IF(B106&gt;C106, "ME", "MD")</f>
        <v>MD</v>
      </c>
      <c r="L106" s="5"/>
    </row>
    <row r="107" spans="1:12" x14ac:dyDescent="0.3">
      <c r="A107" s="1">
        <v>200</v>
      </c>
      <c r="B107" s="5">
        <f t="shared" si="1"/>
        <v>0.55072463768115942</v>
      </c>
      <c r="C107" s="5">
        <v>0.6</v>
      </c>
      <c r="D107" s="1">
        <f t="shared" si="0"/>
        <v>-4.9275362318840554E-2</v>
      </c>
      <c r="E107" s="8" t="str">
        <f t="shared" si="2"/>
        <v>MD</v>
      </c>
      <c r="L107" s="5"/>
    </row>
    <row r="108" spans="1:12" x14ac:dyDescent="0.3">
      <c r="A108" s="168">
        <f>+C101</f>
        <v>206.35514018691589</v>
      </c>
      <c r="B108" s="166">
        <f t="shared" si="1"/>
        <v>0.60000000000000009</v>
      </c>
      <c r="C108" s="166">
        <v>0.6</v>
      </c>
      <c r="D108" s="4">
        <f t="shared" si="0"/>
        <v>0</v>
      </c>
      <c r="E108" s="167" t="str">
        <f t="shared" si="2"/>
        <v>MD</v>
      </c>
    </row>
    <row r="109" spans="1:12" x14ac:dyDescent="0.3">
      <c r="A109" s="1">
        <v>210</v>
      </c>
      <c r="B109" s="5">
        <f t="shared" si="1"/>
        <v>0.62826086956521743</v>
      </c>
      <c r="C109" s="5">
        <v>0.6</v>
      </c>
      <c r="D109" s="1">
        <f t="shared" si="0"/>
        <v>2.826086956521745E-2</v>
      </c>
      <c r="E109" s="8" t="str">
        <f t="shared" si="2"/>
        <v>ME</v>
      </c>
    </row>
    <row r="110" spans="1:12" x14ac:dyDescent="0.3">
      <c r="A110" s="27">
        <v>215</v>
      </c>
      <c r="B110" s="5">
        <f t="shared" si="1"/>
        <v>0.66702898550724643</v>
      </c>
      <c r="C110" s="5">
        <v>0.6</v>
      </c>
      <c r="D110" s="1">
        <f t="shared" si="0"/>
        <v>6.7028985507246452E-2</v>
      </c>
      <c r="E110" s="8" t="str">
        <f t="shared" si="2"/>
        <v>ME</v>
      </c>
    </row>
    <row r="111" spans="1:12" x14ac:dyDescent="0.3">
      <c r="A111" s="1">
        <v>249</v>
      </c>
      <c r="B111" s="5">
        <f t="shared" si="1"/>
        <v>0.93065217391304356</v>
      </c>
      <c r="C111" s="5">
        <v>0.6</v>
      </c>
      <c r="D111" s="1">
        <f t="shared" si="0"/>
        <v>0.33065217391304358</v>
      </c>
      <c r="E111" s="8" t="str">
        <f t="shared" si="2"/>
        <v>ME</v>
      </c>
    </row>
    <row r="112" spans="1:12" x14ac:dyDescent="0.3">
      <c r="A112" s="4" t="s">
        <v>106</v>
      </c>
      <c r="B112" s="25" t="s">
        <v>91</v>
      </c>
      <c r="E112" s="8"/>
    </row>
    <row r="113" spans="1:11" x14ac:dyDescent="0.3">
      <c r="A113" s="1" t="s">
        <v>98</v>
      </c>
      <c r="B113" s="1" t="s">
        <v>89</v>
      </c>
      <c r="C113" s="1" t="s">
        <v>94</v>
      </c>
      <c r="D113" s="1" t="s">
        <v>104</v>
      </c>
      <c r="E113" s="8" t="s">
        <v>107</v>
      </c>
    </row>
    <row r="114" spans="1:11" x14ac:dyDescent="0.3">
      <c r="A114" s="1">
        <v>190</v>
      </c>
      <c r="B114" s="5">
        <f>+(1+$B$97)*$B$96/A114-1</f>
        <v>0.16210526315789475</v>
      </c>
      <c r="C114" s="5">
        <v>7.0000000000000007E-2</v>
      </c>
      <c r="D114" s="1">
        <f>+B114-C114</f>
        <v>9.2105263157894746E-2</v>
      </c>
      <c r="E114" s="8" t="str">
        <f>+IF(B114&gt;C114, "MD", "ME")</f>
        <v>MD</v>
      </c>
    </row>
    <row r="115" spans="1:11" x14ac:dyDescent="0.3">
      <c r="A115" s="1">
        <v>195</v>
      </c>
      <c r="B115" s="5">
        <f t="shared" ref="B115:B120" si="3">+(1+$B$97)*$B$96/A115-1</f>
        <v>0.13230769230769246</v>
      </c>
      <c r="C115" s="5">
        <v>7.0000000000000007E-2</v>
      </c>
      <c r="D115" s="1">
        <f t="shared" ref="D115:D120" si="4">+B115-C115</f>
        <v>6.2307692307692453E-2</v>
      </c>
      <c r="E115" s="8" t="str">
        <f t="shared" ref="E115:E120" si="5">+IF(B115&gt;C115, "MD", "ME")</f>
        <v>MD</v>
      </c>
    </row>
    <row r="116" spans="1:11" x14ac:dyDescent="0.3">
      <c r="A116" s="1">
        <v>200</v>
      </c>
      <c r="B116" s="5">
        <f t="shared" si="3"/>
        <v>0.10400000000000009</v>
      </c>
      <c r="C116" s="5">
        <v>7.0000000000000007E-2</v>
      </c>
      <c r="D116" s="1">
        <f t="shared" si="4"/>
        <v>3.4000000000000086E-2</v>
      </c>
      <c r="E116" s="8" t="str">
        <f t="shared" si="5"/>
        <v>MD</v>
      </c>
    </row>
    <row r="117" spans="1:11" x14ac:dyDescent="0.3">
      <c r="A117" s="4">
        <f>+(1+B97)/(1+B98)*B96</f>
        <v>206.35514018691589</v>
      </c>
      <c r="B117" s="166">
        <f t="shared" si="3"/>
        <v>7.0000000000000062E-2</v>
      </c>
      <c r="C117" s="166">
        <v>7.0000000000000007E-2</v>
      </c>
      <c r="D117" s="4">
        <f t="shared" si="4"/>
        <v>0</v>
      </c>
      <c r="E117" s="167" t="str">
        <f t="shared" si="5"/>
        <v>MD</v>
      </c>
    </row>
    <row r="118" spans="1:11" x14ac:dyDescent="0.3">
      <c r="A118" s="1">
        <v>210</v>
      </c>
      <c r="B118" s="5">
        <f t="shared" si="3"/>
        <v>5.1428571428571379E-2</v>
      </c>
      <c r="C118" s="5">
        <v>7.0000000000000007E-2</v>
      </c>
      <c r="D118" s="1">
        <f t="shared" si="4"/>
        <v>-1.8571428571428628E-2</v>
      </c>
      <c r="E118" s="8" t="str">
        <f t="shared" si="5"/>
        <v>ME</v>
      </c>
    </row>
    <row r="119" spans="1:11" x14ac:dyDescent="0.3">
      <c r="A119" s="27">
        <v>215</v>
      </c>
      <c r="B119" s="5">
        <f t="shared" si="3"/>
        <v>2.6976744186046675E-2</v>
      </c>
      <c r="C119" s="5">
        <v>7.0000000000000007E-2</v>
      </c>
      <c r="D119" s="1">
        <f t="shared" si="4"/>
        <v>-4.3023255813953332E-2</v>
      </c>
      <c r="E119" s="8" t="str">
        <f t="shared" si="5"/>
        <v>ME</v>
      </c>
    </row>
    <row r="120" spans="1:11" x14ac:dyDescent="0.3">
      <c r="A120" s="1">
        <v>249</v>
      </c>
      <c r="B120" s="1">
        <f t="shared" si="3"/>
        <v>-0.11325301204819271</v>
      </c>
      <c r="C120" s="5">
        <v>7.0000000000000007E-2</v>
      </c>
      <c r="D120" s="1">
        <f t="shared" si="4"/>
        <v>-0.18325301204819272</v>
      </c>
      <c r="E120" s="8" t="str">
        <f t="shared" si="5"/>
        <v>ME</v>
      </c>
    </row>
    <row r="124" spans="1:11" s="4" customFormat="1" x14ac:dyDescent="0.3">
      <c r="A124" s="464" t="s">
        <v>108</v>
      </c>
      <c r="B124" s="464"/>
      <c r="C124" s="464"/>
      <c r="D124" s="464"/>
      <c r="E124" s="464"/>
      <c r="F124" s="464"/>
      <c r="G124" s="464"/>
      <c r="K124" s="3"/>
    </row>
    <row r="125" spans="1:11" x14ac:dyDescent="0.3">
      <c r="A125" s="1" t="s">
        <v>109</v>
      </c>
    </row>
    <row r="127" spans="1:11" x14ac:dyDescent="0.3">
      <c r="B127" s="1" t="s">
        <v>97</v>
      </c>
      <c r="C127" s="1">
        <v>138</v>
      </c>
    </row>
    <row r="128" spans="1:11" x14ac:dyDescent="0.3">
      <c r="B128" s="1" t="s">
        <v>93</v>
      </c>
      <c r="C128" s="5">
        <v>0.6</v>
      </c>
    </row>
    <row r="129" spans="1:7" x14ac:dyDescent="0.3">
      <c r="B129" s="1" t="s">
        <v>94</v>
      </c>
      <c r="C129" s="5">
        <v>7.0000000000000007E-2</v>
      </c>
    </row>
    <row r="131" spans="1:7" x14ac:dyDescent="0.3">
      <c r="A131" s="1" t="s">
        <v>130</v>
      </c>
    </row>
    <row r="132" spans="1:7" x14ac:dyDescent="0.3">
      <c r="A132" s="1" t="s">
        <v>69</v>
      </c>
      <c r="B132" s="1">
        <v>249</v>
      </c>
    </row>
    <row r="133" spans="1:7" x14ac:dyDescent="0.3">
      <c r="B133" s="31" t="s">
        <v>110</v>
      </c>
      <c r="D133" s="31" t="s">
        <v>111</v>
      </c>
    </row>
    <row r="134" spans="1:7" x14ac:dyDescent="0.3">
      <c r="B134" s="1" t="s">
        <v>112</v>
      </c>
      <c r="D134" s="1" t="s">
        <v>113</v>
      </c>
    </row>
    <row r="135" spans="1:7" x14ac:dyDescent="0.3">
      <c r="B135" s="1" t="s">
        <v>114</v>
      </c>
      <c r="D135" s="1" t="s">
        <v>115</v>
      </c>
    </row>
    <row r="137" spans="1:7" x14ac:dyDescent="0.3">
      <c r="B137" s="29" t="s">
        <v>116</v>
      </c>
      <c r="C137" s="29"/>
      <c r="D137" s="30"/>
      <c r="E137" s="29" t="s">
        <v>117</v>
      </c>
      <c r="F137" s="29"/>
      <c r="G137" s="29"/>
    </row>
    <row r="138" spans="1:7" x14ac:dyDescent="0.3">
      <c r="B138" s="1" t="s">
        <v>118</v>
      </c>
      <c r="D138" s="28"/>
      <c r="E138" s="1" t="s">
        <v>119</v>
      </c>
      <c r="F138" s="1">
        <v>-1</v>
      </c>
      <c r="G138" s="1" t="s">
        <v>120</v>
      </c>
    </row>
    <row r="139" spans="1:7" x14ac:dyDescent="0.3">
      <c r="B139" s="29"/>
      <c r="C139" s="29"/>
      <c r="D139" s="30"/>
      <c r="E139" s="29" t="s">
        <v>121</v>
      </c>
      <c r="F139" s="29">
        <v>249</v>
      </c>
      <c r="G139" s="29" t="s">
        <v>122</v>
      </c>
    </row>
    <row r="140" spans="1:7" ht="14.4" customHeight="1" x14ac:dyDescent="0.3">
      <c r="B140" s="1" t="s">
        <v>123</v>
      </c>
      <c r="C140" s="1">
        <f>-1/(1+0.07)</f>
        <v>-0.93457943925233644</v>
      </c>
      <c r="D140" s="28" t="s">
        <v>120</v>
      </c>
      <c r="E140" s="462" t="s">
        <v>124</v>
      </c>
      <c r="F140" s="1">
        <v>1</v>
      </c>
    </row>
    <row r="141" spans="1:7" x14ac:dyDescent="0.3">
      <c r="B141" s="29"/>
      <c r="C141" s="29"/>
      <c r="D141" s="30"/>
      <c r="E141" s="467"/>
      <c r="F141" s="29"/>
      <c r="G141" s="29"/>
    </row>
    <row r="142" spans="1:7" x14ac:dyDescent="0.3">
      <c r="D142" s="28"/>
    </row>
    <row r="143" spans="1:7" x14ac:dyDescent="0.3">
      <c r="B143" s="461" t="s">
        <v>125</v>
      </c>
      <c r="C143" s="1">
        <f>1/(1+0.07)</f>
        <v>0.93457943925233644</v>
      </c>
      <c r="D143" s="28" t="s">
        <v>120</v>
      </c>
    </row>
    <row r="144" spans="1:7" x14ac:dyDescent="0.3">
      <c r="B144" s="461"/>
      <c r="D144" s="28"/>
    </row>
    <row r="145" spans="1:10" x14ac:dyDescent="0.3">
      <c r="B145" s="458" t="s">
        <v>126</v>
      </c>
      <c r="C145" s="1">
        <f>- 138*C143</f>
        <v>-128.97196261682242</v>
      </c>
      <c r="D145" s="28" t="s">
        <v>122</v>
      </c>
    </row>
    <row r="146" spans="1:10" x14ac:dyDescent="0.3">
      <c r="B146" s="459"/>
      <c r="C146" s="29"/>
      <c r="D146" s="30"/>
      <c r="E146" s="29"/>
      <c r="F146" s="29"/>
      <c r="G146" s="29"/>
    </row>
    <row r="147" spans="1:10" x14ac:dyDescent="0.3">
      <c r="B147" s="460" t="s">
        <v>127</v>
      </c>
      <c r="C147" s="1">
        <f>138*C143</f>
        <v>128.97196261682242</v>
      </c>
      <c r="D147" s="28" t="s">
        <v>122</v>
      </c>
      <c r="E147" s="462" t="s">
        <v>128</v>
      </c>
      <c r="F147" s="1">
        <f>- 138 / (1+ 0.07) * (1.6)</f>
        <v>-206.35514018691589</v>
      </c>
      <c r="G147" s="1" t="s">
        <v>129</v>
      </c>
    </row>
    <row r="148" spans="1:10" x14ac:dyDescent="0.3">
      <c r="B148" s="461"/>
      <c r="D148" s="28"/>
      <c r="E148" s="463"/>
    </row>
    <row r="149" spans="1:10" x14ac:dyDescent="0.3">
      <c r="D149" s="28"/>
    </row>
    <row r="150" spans="1:10" x14ac:dyDescent="0.3">
      <c r="D150" s="30"/>
    </row>
    <row r="152" spans="1:10" x14ac:dyDescent="0.3">
      <c r="A152" s="29" t="s">
        <v>131</v>
      </c>
      <c r="B152" s="29"/>
      <c r="C152" s="29"/>
      <c r="D152" s="29"/>
      <c r="E152" s="29"/>
      <c r="F152" s="29"/>
      <c r="G152" s="29"/>
      <c r="H152" s="29"/>
      <c r="I152" s="29"/>
      <c r="J152" s="30"/>
    </row>
    <row r="154" spans="1:10" x14ac:dyDescent="0.3">
      <c r="C154" s="25"/>
      <c r="D154" s="25"/>
    </row>
    <row r="155" spans="1:10" x14ac:dyDescent="0.3">
      <c r="A155" s="1" t="s">
        <v>68</v>
      </c>
      <c r="B155" s="1">
        <v>134.4</v>
      </c>
      <c r="C155" s="25" t="s">
        <v>69</v>
      </c>
      <c r="D155" s="25">
        <v>245</v>
      </c>
      <c r="E155" s="1" t="s">
        <v>69</v>
      </c>
      <c r="F155" s="1">
        <v>205</v>
      </c>
    </row>
    <row r="156" spans="1:10" x14ac:dyDescent="0.3">
      <c r="A156" s="1" t="s">
        <v>93</v>
      </c>
      <c r="B156" s="1">
        <v>0.65</v>
      </c>
      <c r="C156" s="25" t="s">
        <v>90</v>
      </c>
      <c r="D156" s="25">
        <f>+(1+$B$157)*D155/$B$155-1</f>
        <v>0.9140625</v>
      </c>
      <c r="E156" s="25"/>
      <c r="F156" s="1">
        <f>+(1+$B$157)*F155/$B$155-1</f>
        <v>0.6015625</v>
      </c>
    </row>
    <row r="157" spans="1:10" x14ac:dyDescent="0.3">
      <c r="A157" s="1" t="s">
        <v>94</v>
      </c>
      <c r="B157" s="1">
        <v>0.05</v>
      </c>
      <c r="C157" s="25" t="s">
        <v>89</v>
      </c>
      <c r="D157" s="25">
        <f>+(1+$B$156)*$B$155/D155-1</f>
        <v>-9.4857142857142862E-2</v>
      </c>
      <c r="E157" s="25"/>
      <c r="F157" s="33">
        <f>+(1+$B$156)*$B$155/F155-1</f>
        <v>8.175609756097546E-2</v>
      </c>
    </row>
    <row r="159" spans="1:10" x14ac:dyDescent="0.3">
      <c r="A159" s="1" t="s">
        <v>137</v>
      </c>
      <c r="B159" s="33">
        <f>+(1+B156)/(1+B157)*B155</f>
        <v>211.2</v>
      </c>
    </row>
    <row r="161" spans="1:6" x14ac:dyDescent="0.3">
      <c r="A161" s="1" t="s">
        <v>69</v>
      </c>
      <c r="B161" s="1">
        <v>205</v>
      </c>
    </row>
    <row r="162" spans="1:6" x14ac:dyDescent="0.3">
      <c r="B162" s="31" t="s">
        <v>110</v>
      </c>
      <c r="D162" s="31" t="s">
        <v>111</v>
      </c>
      <c r="F162" s="1" t="s">
        <v>132</v>
      </c>
    </row>
    <row r="163" spans="1:6" x14ac:dyDescent="0.3">
      <c r="B163" s="1" t="s">
        <v>133</v>
      </c>
      <c r="D163" s="1" t="s">
        <v>134</v>
      </c>
    </row>
    <row r="164" spans="1:6" x14ac:dyDescent="0.3">
      <c r="B164" s="1" t="s">
        <v>135</v>
      </c>
      <c r="D164" s="1" t="s">
        <v>136</v>
      </c>
    </row>
    <row r="167" spans="1:6" x14ac:dyDescent="0.3">
      <c r="B167" s="29" t="s">
        <v>116</v>
      </c>
      <c r="C167" s="29"/>
      <c r="D167" s="34" t="s">
        <v>117</v>
      </c>
      <c r="E167" s="29"/>
    </row>
    <row r="168" spans="1:6" x14ac:dyDescent="0.3">
      <c r="B168" s="1" t="s">
        <v>138</v>
      </c>
      <c r="D168" s="2" t="s">
        <v>139</v>
      </c>
      <c r="E168" s="1">
        <v>1</v>
      </c>
    </row>
    <row r="169" spans="1:6" ht="14.4" customHeight="1" x14ac:dyDescent="0.3">
      <c r="D169" s="2" t="s">
        <v>144</v>
      </c>
      <c r="E169" s="1">
        <v>-205</v>
      </c>
    </row>
    <row r="170" spans="1:6" x14ac:dyDescent="0.3">
      <c r="B170" s="461" t="s">
        <v>143</v>
      </c>
      <c r="C170" s="1">
        <f>1/(1+B157)</f>
        <v>0.95238095238095233</v>
      </c>
      <c r="D170" s="468" t="s">
        <v>145</v>
      </c>
      <c r="E170" s="1">
        <v>-1</v>
      </c>
    </row>
    <row r="171" spans="1:6" ht="14.4" customHeight="1" x14ac:dyDescent="0.3">
      <c r="B171" s="461"/>
      <c r="D171" s="468"/>
    </row>
    <row r="172" spans="1:6" x14ac:dyDescent="0.3">
      <c r="B172" s="26" t="s">
        <v>140</v>
      </c>
      <c r="C172" s="1">
        <f>C170*B155</f>
        <v>128</v>
      </c>
      <c r="D172" s="32" t="s">
        <v>142</v>
      </c>
      <c r="E172" s="1">
        <f>128*(1+B156)</f>
        <v>211.2</v>
      </c>
    </row>
    <row r="173" spans="1:6" x14ac:dyDescent="0.3">
      <c r="B173" s="1" t="s">
        <v>141</v>
      </c>
      <c r="C173" s="1">
        <f>-C172</f>
        <v>-128</v>
      </c>
      <c r="D173" s="32"/>
    </row>
    <row r="174" spans="1:6" x14ac:dyDescent="0.3">
      <c r="D174" s="2"/>
      <c r="E174" s="1">
        <f>+E172+E169</f>
        <v>6.1999999999999886</v>
      </c>
    </row>
    <row r="175" spans="1:6" x14ac:dyDescent="0.3">
      <c r="D175" s="2"/>
    </row>
    <row r="176" spans="1:6" x14ac:dyDescent="0.3">
      <c r="D176" s="2"/>
    </row>
    <row r="177" spans="1:11" x14ac:dyDescent="0.3">
      <c r="D177" s="2"/>
    </row>
    <row r="178" spans="1:11" x14ac:dyDescent="0.3">
      <c r="D178" s="2"/>
    </row>
    <row r="179" spans="1:11" x14ac:dyDescent="0.3">
      <c r="D179" s="2"/>
    </row>
    <row r="182" spans="1:11" s="4" customFormat="1" x14ac:dyDescent="0.3">
      <c r="A182" s="464" t="s">
        <v>146</v>
      </c>
      <c r="B182" s="464"/>
      <c r="C182" s="464"/>
      <c r="D182" s="464"/>
      <c r="E182" s="464"/>
      <c r="F182" s="464"/>
      <c r="G182" s="464"/>
      <c r="K182" s="3"/>
    </row>
    <row r="183" spans="1:11" x14ac:dyDescent="0.3">
      <c r="A183" s="1" t="s">
        <v>147</v>
      </c>
      <c r="B183" s="1" t="s">
        <v>148</v>
      </c>
      <c r="C183" s="1" t="s">
        <v>155</v>
      </c>
    </row>
    <row r="184" spans="1:11" x14ac:dyDescent="0.3">
      <c r="A184" s="1" t="s">
        <v>149</v>
      </c>
      <c r="B184" s="1" t="s">
        <v>150</v>
      </c>
    </row>
    <row r="185" spans="1:11" x14ac:dyDescent="0.3">
      <c r="A185" s="1" t="s">
        <v>156</v>
      </c>
      <c r="B185" s="1" t="s">
        <v>157</v>
      </c>
      <c r="C185" s="1" t="s">
        <v>166</v>
      </c>
      <c r="D185" s="1" t="s">
        <v>168</v>
      </c>
    </row>
    <row r="186" spans="1:11" x14ac:dyDescent="0.3">
      <c r="A186" s="1" t="s">
        <v>158</v>
      </c>
      <c r="B186" s="1" t="s">
        <v>159</v>
      </c>
      <c r="C186" s="1" t="s">
        <v>160</v>
      </c>
      <c r="D186" s="1" t="s">
        <v>167</v>
      </c>
    </row>
    <row r="187" spans="1:11" x14ac:dyDescent="0.3">
      <c r="C187" s="1" t="s">
        <v>154</v>
      </c>
    </row>
    <row r="188" spans="1:11" x14ac:dyDescent="0.3">
      <c r="B188" s="1" t="s">
        <v>151</v>
      </c>
    </row>
    <row r="189" spans="1:11" x14ac:dyDescent="0.3">
      <c r="B189" s="1" t="s">
        <v>152</v>
      </c>
    </row>
    <row r="190" spans="1:11" x14ac:dyDescent="0.3">
      <c r="B190" s="1" t="s">
        <v>153</v>
      </c>
    </row>
    <row r="192" spans="1:11" x14ac:dyDescent="0.3">
      <c r="A192" s="1" t="s">
        <v>4</v>
      </c>
    </row>
    <row r="193" spans="1:4" x14ac:dyDescent="0.3">
      <c r="A193" s="1" t="s">
        <v>162</v>
      </c>
    </row>
    <row r="194" spans="1:4" x14ac:dyDescent="0.3">
      <c r="A194" s="1" t="s">
        <v>149</v>
      </c>
      <c r="B194" s="1" t="s">
        <v>158</v>
      </c>
      <c r="C194" s="1" t="s">
        <v>161</v>
      </c>
      <c r="D194" s="1" t="s">
        <v>163</v>
      </c>
    </row>
    <row r="195" spans="1:4" x14ac:dyDescent="0.3">
      <c r="A195" s="1">
        <v>0</v>
      </c>
      <c r="B195" s="1">
        <f>100000*(1+0.1*A195)</f>
        <v>100000</v>
      </c>
      <c r="C195" s="35">
        <f>+(B195-100000)/100000</f>
        <v>0</v>
      </c>
      <c r="D195" s="35"/>
    </row>
    <row r="196" spans="1:4" x14ac:dyDescent="0.3">
      <c r="A196" s="1">
        <v>1</v>
      </c>
      <c r="B196" s="1">
        <f t="shared" ref="B196:B205" si="6">100000*(1+0.1*A196)</f>
        <v>110000.00000000001</v>
      </c>
      <c r="C196" s="35">
        <f t="shared" ref="C196:C204" si="7">+(B196-100000)/100000</f>
        <v>0.10000000000000014</v>
      </c>
      <c r="D196" s="35">
        <f>+(B196-B195)/B195</f>
        <v>0.10000000000000014</v>
      </c>
    </row>
    <row r="197" spans="1:4" x14ac:dyDescent="0.3">
      <c r="A197" s="1">
        <v>2</v>
      </c>
      <c r="B197" s="1">
        <f t="shared" si="6"/>
        <v>120000</v>
      </c>
      <c r="C197" s="35">
        <f t="shared" si="7"/>
        <v>0.2</v>
      </c>
      <c r="D197" s="35">
        <f t="shared" ref="D197:D205" si="8">+(B197-B196)/B196</f>
        <v>9.0909090909090759E-2</v>
      </c>
    </row>
    <row r="198" spans="1:4" x14ac:dyDescent="0.3">
      <c r="A198" s="1">
        <v>3</v>
      </c>
      <c r="B198" s="1">
        <f t="shared" si="6"/>
        <v>130000</v>
      </c>
      <c r="C198" s="35">
        <f t="shared" si="7"/>
        <v>0.3</v>
      </c>
      <c r="D198" s="35">
        <f t="shared" si="8"/>
        <v>8.3333333333333329E-2</v>
      </c>
    </row>
    <row r="199" spans="1:4" x14ac:dyDescent="0.3">
      <c r="A199" s="1">
        <v>4</v>
      </c>
      <c r="B199" s="1">
        <f t="shared" si="6"/>
        <v>140000</v>
      </c>
      <c r="C199" s="35">
        <f t="shared" si="7"/>
        <v>0.4</v>
      </c>
      <c r="D199" s="35">
        <f t="shared" si="8"/>
        <v>7.6923076923076927E-2</v>
      </c>
    </row>
    <row r="200" spans="1:4" x14ac:dyDescent="0.3">
      <c r="A200" s="1">
        <v>5</v>
      </c>
      <c r="B200" s="1">
        <f t="shared" si="6"/>
        <v>150000</v>
      </c>
      <c r="C200" s="35">
        <f t="shared" si="7"/>
        <v>0.5</v>
      </c>
      <c r="D200" s="35">
        <f t="shared" si="8"/>
        <v>7.1428571428571425E-2</v>
      </c>
    </row>
    <row r="201" spans="1:4" x14ac:dyDescent="0.3">
      <c r="A201" s="1">
        <v>6</v>
      </c>
      <c r="B201" s="1">
        <f t="shared" si="6"/>
        <v>160000</v>
      </c>
      <c r="C201" s="35">
        <f t="shared" si="7"/>
        <v>0.6</v>
      </c>
      <c r="D201" s="35">
        <f t="shared" si="8"/>
        <v>6.6666666666666666E-2</v>
      </c>
    </row>
    <row r="202" spans="1:4" x14ac:dyDescent="0.3">
      <c r="A202" s="1">
        <v>7</v>
      </c>
      <c r="B202" s="1">
        <f t="shared" si="6"/>
        <v>170000.00000000003</v>
      </c>
      <c r="C202" s="35">
        <f t="shared" si="7"/>
        <v>0.70000000000000029</v>
      </c>
      <c r="D202" s="35">
        <f t="shared" si="8"/>
        <v>6.250000000000018E-2</v>
      </c>
    </row>
    <row r="203" spans="1:4" x14ac:dyDescent="0.3">
      <c r="A203" s="1">
        <v>8</v>
      </c>
      <c r="B203" s="1">
        <f t="shared" si="6"/>
        <v>180000</v>
      </c>
      <c r="C203" s="35">
        <f t="shared" si="7"/>
        <v>0.8</v>
      </c>
      <c r="D203" s="35">
        <f t="shared" si="8"/>
        <v>5.8823529411764525E-2</v>
      </c>
    </row>
    <row r="204" spans="1:4" x14ac:dyDescent="0.3">
      <c r="A204" s="1">
        <v>9</v>
      </c>
      <c r="B204" s="1">
        <f t="shared" si="6"/>
        <v>190000</v>
      </c>
      <c r="C204" s="35">
        <f t="shared" si="7"/>
        <v>0.9</v>
      </c>
      <c r="D204" s="35">
        <f t="shared" si="8"/>
        <v>5.5555555555555552E-2</v>
      </c>
    </row>
    <row r="205" spans="1:4" x14ac:dyDescent="0.3">
      <c r="A205" s="1">
        <v>10</v>
      </c>
      <c r="B205" s="1">
        <f t="shared" si="6"/>
        <v>200000</v>
      </c>
      <c r="C205" s="35">
        <f>+(B205-B204)/100000</f>
        <v>0.1</v>
      </c>
      <c r="D205" s="35">
        <f t="shared" si="8"/>
        <v>5.2631578947368418E-2</v>
      </c>
    </row>
    <row r="207" spans="1:4" x14ac:dyDescent="0.3">
      <c r="A207" s="1" t="s">
        <v>164</v>
      </c>
    </row>
    <row r="208" spans="1:4" x14ac:dyDescent="0.3">
      <c r="A208" s="1" t="s">
        <v>165</v>
      </c>
    </row>
    <row r="210" spans="1:11" s="4" customFormat="1" x14ac:dyDescent="0.3">
      <c r="A210" s="464" t="s">
        <v>169</v>
      </c>
      <c r="B210" s="464"/>
      <c r="C210" s="464"/>
      <c r="D210" s="464"/>
      <c r="E210" s="464"/>
      <c r="F210" s="464"/>
      <c r="G210" s="464"/>
      <c r="K210" s="3"/>
    </row>
    <row r="211" spans="1:11" x14ac:dyDescent="0.3">
      <c r="A211" s="1" t="s">
        <v>170</v>
      </c>
    </row>
    <row r="212" spans="1:11" x14ac:dyDescent="0.3">
      <c r="A212" s="1" t="s">
        <v>171</v>
      </c>
    </row>
    <row r="213" spans="1:11" x14ac:dyDescent="0.3">
      <c r="A213" s="1" t="s">
        <v>4</v>
      </c>
      <c r="B213" s="1" t="s">
        <v>172</v>
      </c>
    </row>
    <row r="214" spans="1:11" x14ac:dyDescent="0.3">
      <c r="B214" s="1" t="s">
        <v>173</v>
      </c>
    </row>
    <row r="215" spans="1:11" x14ac:dyDescent="0.3">
      <c r="B215" s="1" t="s">
        <v>174</v>
      </c>
    </row>
    <row r="216" spans="1:11" x14ac:dyDescent="0.3">
      <c r="B216" s="1" t="s">
        <v>176</v>
      </c>
    </row>
    <row r="217" spans="1:11" x14ac:dyDescent="0.3">
      <c r="B217" s="1" t="s">
        <v>175</v>
      </c>
    </row>
    <row r="219" spans="1:11" x14ac:dyDescent="0.3">
      <c r="B219" s="1" t="s">
        <v>177</v>
      </c>
      <c r="C219" s="1">
        <f>100000*(1+0.56*0.0821917808219178)</f>
        <v>104602.7397260274</v>
      </c>
    </row>
    <row r="220" spans="1:11" x14ac:dyDescent="0.3">
      <c r="B220" s="1" t="s">
        <v>178</v>
      </c>
      <c r="C220" s="1" t="s">
        <v>179</v>
      </c>
    </row>
    <row r="221" spans="1:11" x14ac:dyDescent="0.3">
      <c r="A221" s="1" t="s">
        <v>4</v>
      </c>
      <c r="E221" s="1" t="s">
        <v>216</v>
      </c>
      <c r="F221" s="1">
        <f>+A222*(1+B224*0.0833333333333333)</f>
        <v>30624.999999999996</v>
      </c>
    </row>
    <row r="222" spans="1:11" x14ac:dyDescent="0.3">
      <c r="A222" s="1">
        <v>30000</v>
      </c>
      <c r="B222" s="1" t="s">
        <v>209</v>
      </c>
      <c r="C222" s="1" t="s">
        <v>212</v>
      </c>
      <c r="E222" s="1" t="s">
        <v>216</v>
      </c>
      <c r="F222" s="1">
        <f>+A223/(1+B224*30/360)</f>
        <v>39183.673469387759</v>
      </c>
    </row>
    <row r="223" spans="1:11" x14ac:dyDescent="0.3">
      <c r="A223" s="1">
        <v>40000</v>
      </c>
      <c r="B223" s="1" t="s">
        <v>210</v>
      </c>
      <c r="C223" s="1" t="s">
        <v>213</v>
      </c>
    </row>
    <row r="224" spans="1:11" x14ac:dyDescent="0.3">
      <c r="A224" s="1" t="s">
        <v>211</v>
      </c>
      <c r="B224" s="1">
        <v>0.25</v>
      </c>
      <c r="E224" s="1" t="s">
        <v>214</v>
      </c>
      <c r="F224" s="1">
        <f>+F222+F221</f>
        <v>69808.673469387752</v>
      </c>
    </row>
    <row r="225" spans="1:11" x14ac:dyDescent="0.3">
      <c r="C225" s="1" t="s">
        <v>215</v>
      </c>
    </row>
    <row r="229" spans="1:11" s="4" customFormat="1" x14ac:dyDescent="0.3">
      <c r="A229" s="464" t="s">
        <v>180</v>
      </c>
      <c r="B229" s="464"/>
      <c r="C229" s="464"/>
      <c r="D229" s="464"/>
      <c r="E229" s="464"/>
      <c r="F229" s="464"/>
      <c r="G229" s="464"/>
      <c r="K229" s="3"/>
    </row>
    <row r="231" spans="1:11" x14ac:dyDescent="0.3">
      <c r="A231" s="1" t="s">
        <v>149</v>
      </c>
      <c r="B231" s="1" t="s">
        <v>217</v>
      </c>
      <c r="C231" s="1" t="s">
        <v>163</v>
      </c>
      <c r="D231" s="1" t="s">
        <v>161</v>
      </c>
    </row>
    <row r="232" spans="1:11" x14ac:dyDescent="0.3">
      <c r="A232" s="1">
        <v>0</v>
      </c>
      <c r="B232" s="1">
        <f>100000 * (1+0.1*A232)</f>
        <v>100000</v>
      </c>
    </row>
    <row r="233" spans="1:11" x14ac:dyDescent="0.3">
      <c r="A233" s="1">
        <v>1</v>
      </c>
      <c r="B233" s="1">
        <f t="shared" ref="B233:B235" si="9">100000 * (1+0.1*A233)</f>
        <v>110000.00000000001</v>
      </c>
      <c r="C233" s="43">
        <f>+(B233-B232)/B232</f>
        <v>0.10000000000000014</v>
      </c>
      <c r="D233" s="1">
        <f>+(B233-B232)/100000</f>
        <v>0.10000000000000014</v>
      </c>
    </row>
    <row r="234" spans="1:11" x14ac:dyDescent="0.3">
      <c r="A234" s="1">
        <v>2</v>
      </c>
      <c r="B234" s="1">
        <f t="shared" si="9"/>
        <v>120000</v>
      </c>
      <c r="C234" s="43">
        <f t="shared" ref="C234:C235" si="10">+(B234-B233)/B233</f>
        <v>9.0909090909090759E-2</v>
      </c>
      <c r="D234" s="1">
        <f t="shared" ref="D234:D235" si="11">+(B234-B233)/100000</f>
        <v>9.9999999999999853E-2</v>
      </c>
    </row>
    <row r="235" spans="1:11" x14ac:dyDescent="0.3">
      <c r="A235" s="1">
        <v>3</v>
      </c>
      <c r="B235" s="1">
        <f t="shared" si="9"/>
        <v>130000</v>
      </c>
      <c r="C235" s="43">
        <f t="shared" si="10"/>
        <v>8.3333333333333329E-2</v>
      </c>
      <c r="D235" s="1">
        <f t="shared" si="11"/>
        <v>0.1</v>
      </c>
    </row>
    <row r="237" spans="1:11" x14ac:dyDescent="0.3">
      <c r="C237" s="1">
        <f>+B232*(1+C233)*(1+C234)*(1+C235)</f>
        <v>129999.99999999999</v>
      </c>
    </row>
    <row r="240" spans="1:11" x14ac:dyDescent="0.3">
      <c r="A240" s="1" t="s">
        <v>181</v>
      </c>
      <c r="B240" s="1" t="s">
        <v>182</v>
      </c>
    </row>
    <row r="241" spans="1:6" x14ac:dyDescent="0.3">
      <c r="A241" s="1" t="s">
        <v>183</v>
      </c>
      <c r="B241" s="1" t="s">
        <v>184</v>
      </c>
      <c r="C241" s="1" t="s">
        <v>187</v>
      </c>
      <c r="D241" s="1" t="s">
        <v>196</v>
      </c>
    </row>
    <row r="242" spans="1:6" x14ac:dyDescent="0.3">
      <c r="A242" s="1" t="s">
        <v>193</v>
      </c>
      <c r="B242" s="1" t="s">
        <v>194</v>
      </c>
    </row>
    <row r="243" spans="1:6" x14ac:dyDescent="0.3">
      <c r="A243" s="1" t="s">
        <v>149</v>
      </c>
      <c r="B243" s="1" t="s">
        <v>195</v>
      </c>
    </row>
    <row r="244" spans="1:6" x14ac:dyDescent="0.3">
      <c r="A244" s="1" t="s">
        <v>185</v>
      </c>
      <c r="B244" s="1" t="s">
        <v>186</v>
      </c>
    </row>
    <row r="245" spans="1:6" x14ac:dyDescent="0.3">
      <c r="A245" s="36" t="s">
        <v>188</v>
      </c>
      <c r="B245" s="36" t="s">
        <v>189</v>
      </c>
      <c r="C245" s="36" t="s">
        <v>190</v>
      </c>
      <c r="D245" s="36" t="s">
        <v>191</v>
      </c>
      <c r="E245" s="1" t="s">
        <v>156</v>
      </c>
      <c r="F245" s="1" t="s">
        <v>218</v>
      </c>
    </row>
    <row r="246" spans="1:6" x14ac:dyDescent="0.3">
      <c r="A246" s="37">
        <v>1</v>
      </c>
      <c r="B246" s="38"/>
      <c r="C246" s="38"/>
      <c r="D246" s="38"/>
      <c r="E246" s="1" t="s">
        <v>161</v>
      </c>
      <c r="F246" s="1" t="s">
        <v>219</v>
      </c>
    </row>
    <row r="247" spans="1:6" x14ac:dyDescent="0.3">
      <c r="A247" s="37">
        <v>2</v>
      </c>
      <c r="B247" s="38"/>
      <c r="C247" s="38"/>
      <c r="D247" s="38"/>
      <c r="E247" s="1" t="s">
        <v>193</v>
      </c>
      <c r="F247" s="1" t="s">
        <v>220</v>
      </c>
    </row>
    <row r="248" spans="1:6" ht="16.95" customHeight="1" x14ac:dyDescent="0.3">
      <c r="A248" s="37">
        <v>3</v>
      </c>
      <c r="B248" s="38"/>
      <c r="C248" s="38"/>
      <c r="D248" s="38"/>
      <c r="E248" s="1" t="s">
        <v>149</v>
      </c>
      <c r="F248" s="1" t="s">
        <v>195</v>
      </c>
    </row>
    <row r="249" spans="1:6" x14ac:dyDescent="0.3">
      <c r="A249" s="37" t="s">
        <v>192</v>
      </c>
      <c r="B249" s="38" t="s">
        <v>192</v>
      </c>
      <c r="C249" s="38" t="s">
        <v>192</v>
      </c>
      <c r="D249" s="38" t="s">
        <v>192</v>
      </c>
    </row>
    <row r="250" spans="1:6" x14ac:dyDescent="0.3">
      <c r="A250" s="37" t="s">
        <v>183</v>
      </c>
      <c r="B250" s="38"/>
      <c r="C250" s="38"/>
      <c r="D250" s="38"/>
      <c r="E250" s="1" t="s">
        <v>221</v>
      </c>
    </row>
    <row r="257" spans="1:11" x14ac:dyDescent="0.3">
      <c r="A257" s="1" t="s">
        <v>197</v>
      </c>
    </row>
    <row r="258" spans="1:11" x14ac:dyDescent="0.3">
      <c r="B258" s="1" t="s">
        <v>198</v>
      </c>
      <c r="D258" s="1" t="s">
        <v>199</v>
      </c>
    </row>
    <row r="259" spans="1:11" x14ac:dyDescent="0.3">
      <c r="A259" s="1" t="s">
        <v>200</v>
      </c>
      <c r="C259" s="1" t="s">
        <v>201</v>
      </c>
    </row>
    <row r="260" spans="1:11" x14ac:dyDescent="0.3">
      <c r="A260" s="44" t="s">
        <v>149</v>
      </c>
      <c r="B260" s="44" t="s">
        <v>202</v>
      </c>
      <c r="C260" s="44" t="s">
        <v>203</v>
      </c>
      <c r="D260" s="44" t="s">
        <v>204</v>
      </c>
    </row>
    <row r="261" spans="1:11" x14ac:dyDescent="0.3">
      <c r="A261" s="44">
        <v>0</v>
      </c>
      <c r="B261" s="44">
        <f>100000*(1+0.5/1)^A261*1</f>
        <v>100000</v>
      </c>
      <c r="C261" s="44">
        <f>100000*(1+0.5/2)^(A261*2)</f>
        <v>100000</v>
      </c>
      <c r="D261" s="44"/>
    </row>
    <row r="262" spans="1:11" x14ac:dyDescent="0.3">
      <c r="A262" s="44">
        <v>0.5</v>
      </c>
      <c r="B262" s="44">
        <f>+B261*(1+0.5/1)^(1*A262)</f>
        <v>122474.4871391589</v>
      </c>
      <c r="C262" s="44">
        <f t="shared" ref="C262:C267" si="12">100000*(1+0.5/2)^(A262*2)</f>
        <v>125000</v>
      </c>
      <c r="D262" s="44">
        <f>100000*(1+0.5/(1/A262))^(1/A262*A262)</f>
        <v>125000</v>
      </c>
    </row>
    <row r="263" spans="1:11" s="40" customFormat="1" x14ac:dyDescent="0.3">
      <c r="A263" s="45">
        <v>1</v>
      </c>
      <c r="B263" s="45">
        <f t="shared" ref="B263:B267" si="13">100000*(1+0.5/1)^A263*1</f>
        <v>150000</v>
      </c>
      <c r="C263" s="45">
        <f t="shared" si="12"/>
        <v>156250</v>
      </c>
      <c r="D263" s="45">
        <f t="shared" ref="D263:D267" si="14">100000*(1+0.5/(1/A263))^(1/A263*A263)</f>
        <v>150000</v>
      </c>
      <c r="K263" s="41"/>
    </row>
    <row r="264" spans="1:11" x14ac:dyDescent="0.3">
      <c r="A264" s="44">
        <v>1.5</v>
      </c>
      <c r="B264" s="44"/>
      <c r="C264" s="44">
        <f t="shared" si="12"/>
        <v>195312.5</v>
      </c>
      <c r="D264" s="44">
        <f t="shared" si="14"/>
        <v>175000</v>
      </c>
    </row>
    <row r="265" spans="1:11" s="40" customFormat="1" x14ac:dyDescent="0.3">
      <c r="A265" s="45">
        <v>2</v>
      </c>
      <c r="B265" s="45">
        <f t="shared" si="13"/>
        <v>225000</v>
      </c>
      <c r="C265" s="45">
        <f t="shared" si="12"/>
        <v>244140.625</v>
      </c>
      <c r="D265" s="45">
        <f t="shared" si="14"/>
        <v>200000</v>
      </c>
      <c r="K265" s="41"/>
    </row>
    <row r="266" spans="1:11" x14ac:dyDescent="0.3">
      <c r="A266" s="44">
        <v>2.5</v>
      </c>
      <c r="B266" s="44"/>
      <c r="C266" s="44">
        <f t="shared" si="12"/>
        <v>305175.78125</v>
      </c>
      <c r="D266" s="44">
        <f t="shared" si="14"/>
        <v>225000</v>
      </c>
    </row>
    <row r="267" spans="1:11" s="40" customFormat="1" x14ac:dyDescent="0.3">
      <c r="A267" s="45">
        <v>3</v>
      </c>
      <c r="B267" s="45">
        <f t="shared" si="13"/>
        <v>337500</v>
      </c>
      <c r="C267" s="45">
        <f t="shared" si="12"/>
        <v>381469.7265625</v>
      </c>
      <c r="D267" s="45">
        <f t="shared" si="14"/>
        <v>250000</v>
      </c>
      <c r="K267" s="41"/>
    </row>
    <row r="269" spans="1:11" x14ac:dyDescent="0.3">
      <c r="A269" s="1" t="s">
        <v>205</v>
      </c>
      <c r="C269" s="1">
        <v>125000</v>
      </c>
      <c r="D269" s="1">
        <f>+B265-B261</f>
        <v>125000</v>
      </c>
      <c r="E269" s="1" t="s">
        <v>208</v>
      </c>
    </row>
    <row r="270" spans="1:11" x14ac:dyDescent="0.3">
      <c r="A270" s="1" t="s">
        <v>206</v>
      </c>
      <c r="C270" s="1">
        <v>100000</v>
      </c>
      <c r="D270" s="1">
        <f>+B261*2*0.5</f>
        <v>100000</v>
      </c>
    </row>
    <row r="271" spans="1:11" x14ac:dyDescent="0.3">
      <c r="A271" s="1" t="s">
        <v>207</v>
      </c>
      <c r="C271" s="1">
        <v>25000</v>
      </c>
      <c r="D271" s="1">
        <f>+D269-D270</f>
        <v>25000</v>
      </c>
      <c r="E271" s="1">
        <f>+B261*0.5*0.5</f>
        <v>25000</v>
      </c>
    </row>
    <row r="272" spans="1:11" x14ac:dyDescent="0.3">
      <c r="A272" s="29"/>
      <c r="B272" s="29"/>
      <c r="C272" s="29"/>
      <c r="D272" s="29"/>
      <c r="E272" s="29"/>
      <c r="F272" s="29"/>
      <c r="G272" s="29"/>
      <c r="H272" s="29"/>
      <c r="I272" s="29"/>
      <c r="J272" s="30"/>
    </row>
    <row r="273" spans="1:6" x14ac:dyDescent="0.3">
      <c r="A273" s="1" t="s">
        <v>4</v>
      </c>
    </row>
    <row r="274" spans="1:6" x14ac:dyDescent="0.3">
      <c r="A274" s="1" t="s">
        <v>222</v>
      </c>
      <c r="B274" s="1">
        <v>100000</v>
      </c>
    </row>
    <row r="275" spans="1:6" x14ac:dyDescent="0.3">
      <c r="A275" s="1" t="s">
        <v>223</v>
      </c>
      <c r="B275" s="1">
        <v>0.1</v>
      </c>
    </row>
    <row r="276" spans="1:6" x14ac:dyDescent="0.3">
      <c r="A276" s="1" t="s">
        <v>193</v>
      </c>
      <c r="B276" s="1">
        <v>12</v>
      </c>
      <c r="D276" s="25" t="s">
        <v>229</v>
      </c>
    </row>
    <row r="277" spans="1:6" x14ac:dyDescent="0.3">
      <c r="C277" s="25" t="s">
        <v>227</v>
      </c>
      <c r="D277" s="25" t="s">
        <v>228</v>
      </c>
    </row>
    <row r="278" spans="1:6" x14ac:dyDescent="0.3">
      <c r="A278" s="1" t="s">
        <v>149</v>
      </c>
      <c r="B278" s="1" t="s">
        <v>217</v>
      </c>
      <c r="C278" s="1" t="s">
        <v>226</v>
      </c>
      <c r="D278" s="1" t="s">
        <v>224</v>
      </c>
      <c r="E278" s="1" t="s">
        <v>225</v>
      </c>
      <c r="F278" s="1" t="s">
        <v>230</v>
      </c>
    </row>
    <row r="279" spans="1:6" x14ac:dyDescent="0.3">
      <c r="A279" s="44">
        <v>0</v>
      </c>
      <c r="B279" s="44">
        <f t="shared" ref="B279:B292" si="15">+$B$274*(1+$B$275/$B$276)^($B$276*A279)</f>
        <v>100000</v>
      </c>
      <c r="C279" s="1">
        <f>+B279-$B$274</f>
        <v>0</v>
      </c>
      <c r="D279" s="1">
        <f>+$B$275 * $B$274 * A279</f>
        <v>0</v>
      </c>
      <c r="E279" s="1">
        <f>+C279-D279</f>
        <v>0</v>
      </c>
      <c r="F279" s="44">
        <f>FV(0.1/12,12*A279,,-100000)</f>
        <v>100000</v>
      </c>
    </row>
    <row r="280" spans="1:6" x14ac:dyDescent="0.3">
      <c r="A280" s="44">
        <v>0.5</v>
      </c>
      <c r="B280" s="44">
        <f t="shared" si="15"/>
        <v>105105.33133201649</v>
      </c>
      <c r="C280" s="1">
        <f t="shared" ref="C280:C292" si="16">+B280-$B$274</f>
        <v>5105.3313320164889</v>
      </c>
      <c r="D280" s="1">
        <f t="shared" ref="D280:D292" si="17">+$B$275 * $B$274 * A280</f>
        <v>5000</v>
      </c>
      <c r="E280" s="1">
        <f t="shared" ref="E280:E292" si="18">+C280-D280</f>
        <v>105.33133201648889</v>
      </c>
      <c r="F280" s="44">
        <f t="shared" ref="F280:F292" si="19">FV(0.1/12,12*A280,,-100000)</f>
        <v>105105.33133201649</v>
      </c>
    </row>
    <row r="281" spans="1:6" x14ac:dyDescent="0.3">
      <c r="A281" s="44">
        <v>1</v>
      </c>
      <c r="B281" s="44">
        <f t="shared" si="15"/>
        <v>110471.30674412969</v>
      </c>
      <c r="C281" s="1">
        <f t="shared" si="16"/>
        <v>10471.306744129688</v>
      </c>
      <c r="D281" s="1">
        <f t="shared" si="17"/>
        <v>10000</v>
      </c>
      <c r="E281" s="1">
        <f t="shared" si="18"/>
        <v>471.30674412968801</v>
      </c>
      <c r="F281" s="44">
        <f t="shared" si="19"/>
        <v>110471.30674412969</v>
      </c>
    </row>
    <row r="282" spans="1:6" x14ac:dyDescent="0.3">
      <c r="A282" s="44">
        <v>2</v>
      </c>
      <c r="B282" s="44">
        <f t="shared" si="15"/>
        <v>122039.0961375559</v>
      </c>
      <c r="C282" s="1">
        <f t="shared" si="16"/>
        <v>22039.096137555898</v>
      </c>
      <c r="D282" s="1">
        <f t="shared" si="17"/>
        <v>20000</v>
      </c>
      <c r="E282" s="1">
        <f t="shared" si="18"/>
        <v>2039.0961375558982</v>
      </c>
      <c r="F282" s="44">
        <f t="shared" si="19"/>
        <v>122039.0961375559</v>
      </c>
    </row>
    <row r="283" spans="1:6" x14ac:dyDescent="0.3">
      <c r="A283" s="44">
        <v>3</v>
      </c>
      <c r="B283" s="44">
        <f t="shared" si="15"/>
        <v>134818.18424188267</v>
      </c>
      <c r="C283" s="1">
        <f t="shared" si="16"/>
        <v>34818.184241882671</v>
      </c>
      <c r="D283" s="1">
        <f t="shared" si="17"/>
        <v>30000</v>
      </c>
      <c r="E283" s="1">
        <f t="shared" si="18"/>
        <v>4818.1842418826709</v>
      </c>
      <c r="F283" s="44">
        <f t="shared" si="19"/>
        <v>134818.18424188267</v>
      </c>
    </row>
    <row r="284" spans="1:6" x14ac:dyDescent="0.3">
      <c r="A284" s="44">
        <v>3.55</v>
      </c>
      <c r="B284" s="44">
        <f t="shared" si="15"/>
        <v>142408.42846629553</v>
      </c>
      <c r="C284" s="1">
        <f t="shared" si="16"/>
        <v>42408.428466295532</v>
      </c>
      <c r="D284" s="1">
        <f t="shared" si="17"/>
        <v>35500</v>
      </c>
      <c r="E284" s="1">
        <f t="shared" si="18"/>
        <v>6908.4284662955324</v>
      </c>
      <c r="F284" s="44">
        <f t="shared" si="19"/>
        <v>142408.42846629553</v>
      </c>
    </row>
    <row r="285" spans="1:6" x14ac:dyDescent="0.3">
      <c r="A285" s="44">
        <v>4.3</v>
      </c>
      <c r="B285" s="44">
        <f t="shared" si="15"/>
        <v>153452.09156239996</v>
      </c>
      <c r="C285" s="1">
        <f t="shared" si="16"/>
        <v>53452.091562399961</v>
      </c>
      <c r="D285" s="1">
        <f t="shared" si="17"/>
        <v>43000</v>
      </c>
      <c r="E285" s="1">
        <f t="shared" si="18"/>
        <v>10452.091562399961</v>
      </c>
      <c r="F285" s="44">
        <f t="shared" si="19"/>
        <v>153452.09156239996</v>
      </c>
    </row>
    <row r="286" spans="1:6" x14ac:dyDescent="0.3">
      <c r="A286" s="44">
        <v>5.05</v>
      </c>
      <c r="B286" s="44">
        <f t="shared" si="15"/>
        <v>165352.18215997861</v>
      </c>
      <c r="C286" s="1">
        <f t="shared" si="16"/>
        <v>65352.182159978605</v>
      </c>
      <c r="D286" s="1">
        <f t="shared" si="17"/>
        <v>50500</v>
      </c>
      <c r="E286" s="1">
        <f t="shared" si="18"/>
        <v>14852.182159978605</v>
      </c>
      <c r="F286" s="44">
        <f t="shared" si="19"/>
        <v>165352.18215997861</v>
      </c>
    </row>
    <row r="287" spans="1:6" x14ac:dyDescent="0.3">
      <c r="A287" s="44">
        <v>5.8</v>
      </c>
      <c r="B287" s="44">
        <f t="shared" si="15"/>
        <v>178175.11554704761</v>
      </c>
      <c r="C287" s="1">
        <f t="shared" si="16"/>
        <v>78175.115547047608</v>
      </c>
      <c r="D287" s="1">
        <f t="shared" si="17"/>
        <v>58000</v>
      </c>
      <c r="E287" s="1">
        <f t="shared" si="18"/>
        <v>20175.115547047608</v>
      </c>
      <c r="F287" s="44">
        <f t="shared" si="19"/>
        <v>178175.11554704761</v>
      </c>
    </row>
    <row r="288" spans="1:6" x14ac:dyDescent="0.3">
      <c r="A288" s="44">
        <v>6.55</v>
      </c>
      <c r="B288" s="44">
        <f t="shared" si="15"/>
        <v>191992.45746566006</v>
      </c>
      <c r="C288" s="1">
        <f t="shared" si="16"/>
        <v>91992.45746566006</v>
      </c>
      <c r="D288" s="1">
        <f t="shared" si="17"/>
        <v>65500</v>
      </c>
      <c r="E288" s="1">
        <f t="shared" si="18"/>
        <v>26492.45746566006</v>
      </c>
      <c r="F288" s="44">
        <f t="shared" si="19"/>
        <v>191992.45746566006</v>
      </c>
    </row>
    <row r="289" spans="1:9" x14ac:dyDescent="0.3">
      <c r="A289" s="44">
        <v>7.3</v>
      </c>
      <c r="B289" s="44">
        <f t="shared" si="15"/>
        <v>206881.32352561897</v>
      </c>
      <c r="C289" s="1">
        <f t="shared" si="16"/>
        <v>106881.32352561897</v>
      </c>
      <c r="D289" s="1">
        <f t="shared" si="17"/>
        <v>73000</v>
      </c>
      <c r="E289" s="1">
        <f t="shared" si="18"/>
        <v>33881.323525618966</v>
      </c>
      <c r="F289" s="44">
        <f t="shared" si="19"/>
        <v>206881.32352561897</v>
      </c>
    </row>
    <row r="290" spans="1:9" x14ac:dyDescent="0.3">
      <c r="A290" s="44">
        <v>8.0500000000000007</v>
      </c>
      <c r="B290" s="44">
        <f t="shared" si="15"/>
        <v>222924.80959241348</v>
      </c>
      <c r="C290" s="1">
        <f t="shared" si="16"/>
        <v>122924.80959241348</v>
      </c>
      <c r="D290" s="1">
        <f t="shared" si="17"/>
        <v>80500</v>
      </c>
      <c r="E290" s="1">
        <f t="shared" si="18"/>
        <v>42424.809592413483</v>
      </c>
      <c r="F290" s="44">
        <f t="shared" si="19"/>
        <v>222924.80959241348</v>
      </c>
    </row>
    <row r="291" spans="1:9" x14ac:dyDescent="0.3">
      <c r="A291" s="44">
        <v>8.8000000000000007</v>
      </c>
      <c r="B291" s="44">
        <f t="shared" si="15"/>
        <v>240212.45555140611</v>
      </c>
      <c r="C291" s="1">
        <f t="shared" si="16"/>
        <v>140212.45555140611</v>
      </c>
      <c r="D291" s="1">
        <f t="shared" si="17"/>
        <v>88000</v>
      </c>
      <c r="E291" s="1">
        <f t="shared" si="18"/>
        <v>52212.455551406107</v>
      </c>
      <c r="F291" s="44">
        <f t="shared" si="19"/>
        <v>240212.45555140611</v>
      </c>
    </row>
    <row r="292" spans="1:9" x14ac:dyDescent="0.3">
      <c r="A292" s="44">
        <v>9.5500000000000007</v>
      </c>
      <c r="B292" s="44">
        <f t="shared" si="15"/>
        <v>258840.74503657199</v>
      </c>
      <c r="C292" s="1">
        <f t="shared" si="16"/>
        <v>158840.74503657199</v>
      </c>
      <c r="D292" s="1">
        <f t="shared" si="17"/>
        <v>95500</v>
      </c>
      <c r="E292" s="1">
        <f t="shared" si="18"/>
        <v>63340.745036571985</v>
      </c>
      <c r="F292" s="44">
        <f t="shared" si="19"/>
        <v>258840.74503657199</v>
      </c>
    </row>
    <row r="296" spans="1:9" x14ac:dyDescent="0.3">
      <c r="A296" s="46" t="s">
        <v>231</v>
      </c>
      <c r="B296"/>
      <c r="C296"/>
      <c r="D296"/>
      <c r="E296"/>
      <c r="F296"/>
      <c r="G296"/>
      <c r="H296"/>
      <c r="I296"/>
    </row>
    <row r="297" spans="1:9" x14ac:dyDescent="0.3">
      <c r="A297"/>
      <c r="B297"/>
      <c r="C297"/>
      <c r="D297"/>
      <c r="E297"/>
      <c r="F297"/>
      <c r="G297"/>
      <c r="H297"/>
      <c r="I297"/>
    </row>
    <row r="298" spans="1:9" x14ac:dyDescent="0.3">
      <c r="A298" t="s">
        <v>232</v>
      </c>
      <c r="B298"/>
      <c r="C298"/>
      <c r="D298"/>
      <c r="E298"/>
      <c r="F298"/>
      <c r="G298"/>
      <c r="H298"/>
      <c r="I298"/>
    </row>
    <row r="299" spans="1:9" x14ac:dyDescent="0.3">
      <c r="A299"/>
      <c r="B299"/>
      <c r="C299"/>
      <c r="D299"/>
      <c r="E299"/>
      <c r="F299"/>
      <c r="G299"/>
      <c r="H299"/>
      <c r="I299"/>
    </row>
    <row r="300" spans="1:9" x14ac:dyDescent="0.3">
      <c r="A300" t="s">
        <v>233</v>
      </c>
      <c r="B300"/>
      <c r="C300"/>
      <c r="D300"/>
      <c r="E300"/>
      <c r="F300"/>
      <c r="G300"/>
      <c r="H300"/>
      <c r="I300"/>
    </row>
    <row r="301" spans="1:9" x14ac:dyDescent="0.3">
      <c r="A301" t="s">
        <v>234</v>
      </c>
      <c r="B301"/>
      <c r="C301"/>
      <c r="D301" t="s">
        <v>257</v>
      </c>
      <c r="E301" t="s">
        <v>258</v>
      </c>
      <c r="F301"/>
      <c r="G301"/>
      <c r="H301"/>
      <c r="I301"/>
    </row>
    <row r="302" spans="1:9" x14ac:dyDescent="0.3">
      <c r="A302" t="s">
        <v>235</v>
      </c>
      <c r="B302"/>
      <c r="C302"/>
      <c r="D302" t="s">
        <v>256</v>
      </c>
      <c r="E302"/>
      <c r="F302"/>
      <c r="G302"/>
      <c r="H302"/>
      <c r="I302"/>
    </row>
    <row r="303" spans="1:9" x14ac:dyDescent="0.3">
      <c r="A303" s="1" t="s">
        <v>254</v>
      </c>
      <c r="B303">
        <f>100000*(1+0.24/360)^(360*35/360)</f>
        <v>102359.97274226423</v>
      </c>
      <c r="C303"/>
      <c r="D303"/>
      <c r="E303"/>
      <c r="F303"/>
      <c r="G303"/>
      <c r="H303"/>
      <c r="I303"/>
    </row>
    <row r="304" spans="1:9" x14ac:dyDescent="0.3">
      <c r="A304" t="s">
        <v>255</v>
      </c>
      <c r="B304" t="s">
        <v>202</v>
      </c>
      <c r="C304">
        <f>100000*(1+0.24/1)^(1*35/360)</f>
        <v>102113.38283497305</v>
      </c>
      <c r="D304"/>
      <c r="E304"/>
      <c r="F304"/>
      <c r="G304"/>
      <c r="H304"/>
      <c r="I304"/>
    </row>
    <row r="305" spans="1:9" x14ac:dyDescent="0.3">
      <c r="A305"/>
      <c r="B305"/>
      <c r="C305" s="47"/>
      <c r="D305"/>
      <c r="E305"/>
      <c r="F305"/>
      <c r="G305"/>
      <c r="H305"/>
      <c r="I305"/>
    </row>
    <row r="306" spans="1:9" x14ac:dyDescent="0.3">
      <c r="A306"/>
      <c r="B306"/>
      <c r="C306"/>
      <c r="D306"/>
      <c r="E306"/>
      <c r="F306"/>
      <c r="G306"/>
      <c r="H306"/>
      <c r="I306"/>
    </row>
    <row r="307" spans="1:9" x14ac:dyDescent="0.3">
      <c r="A307"/>
      <c r="B307"/>
      <c r="C307"/>
      <c r="D307"/>
      <c r="E307"/>
      <c r="F307"/>
      <c r="G307"/>
      <c r="H307"/>
      <c r="I307"/>
    </row>
    <row r="308" spans="1:9" x14ac:dyDescent="0.3">
      <c r="A308" t="s">
        <v>259</v>
      </c>
      <c r="B308">
        <v>100000</v>
      </c>
      <c r="C308" t="s">
        <v>264</v>
      </c>
      <c r="D308" t="s">
        <v>262</v>
      </c>
      <c r="E308"/>
      <c r="F308"/>
      <c r="G308"/>
      <c r="H308"/>
      <c r="I308"/>
    </row>
    <row r="309" spans="1:9" x14ac:dyDescent="0.3">
      <c r="A309" t="s">
        <v>260</v>
      </c>
      <c r="B309">
        <v>120000</v>
      </c>
      <c r="C309" t="s">
        <v>263</v>
      </c>
      <c r="D309">
        <f>+(B309-B308)/B308</f>
        <v>0.2</v>
      </c>
      <c r="E309"/>
      <c r="F309"/>
      <c r="G309"/>
      <c r="H309"/>
      <c r="I309"/>
    </row>
    <row r="310" spans="1:9" x14ac:dyDescent="0.3">
      <c r="A310" t="s">
        <v>163</v>
      </c>
      <c r="B310">
        <f>+(120/100)^(12/13)-1</f>
        <v>0.18328778396682144</v>
      </c>
      <c r="C310"/>
      <c r="D310"/>
      <c r="E310"/>
      <c r="F310"/>
      <c r="G310"/>
      <c r="H310"/>
      <c r="I310"/>
    </row>
    <row r="311" spans="1:9" x14ac:dyDescent="0.3">
      <c r="A311" t="s">
        <v>161</v>
      </c>
      <c r="B311">
        <f>+(120/100-1)*12/13</f>
        <v>0.18461538461538457</v>
      </c>
      <c r="C311"/>
      <c r="D311"/>
      <c r="E311"/>
      <c r="F311"/>
      <c r="G311"/>
      <c r="H311"/>
      <c r="I311"/>
    </row>
    <row r="312" spans="1:9" x14ac:dyDescent="0.3">
      <c r="A312" t="s">
        <v>261</v>
      </c>
      <c r="B312"/>
      <c r="C312"/>
      <c r="D312"/>
      <c r="E312"/>
      <c r="F312"/>
      <c r="G312"/>
      <c r="H312"/>
      <c r="I312"/>
    </row>
    <row r="313" spans="1:9" x14ac:dyDescent="0.3">
      <c r="A313"/>
      <c r="B313"/>
      <c r="C313" s="47"/>
      <c r="D313"/>
      <c r="E313"/>
      <c r="F313"/>
      <c r="G313"/>
      <c r="H313"/>
      <c r="I313"/>
    </row>
    <row r="314" spans="1:9" x14ac:dyDescent="0.3">
      <c r="A314"/>
      <c r="B314"/>
      <c r="C314"/>
      <c r="D314"/>
      <c r="E314"/>
      <c r="F314"/>
      <c r="G314"/>
      <c r="H314"/>
      <c r="I314"/>
    </row>
    <row r="315" spans="1:9" x14ac:dyDescent="0.3">
      <c r="A315" t="s">
        <v>241</v>
      </c>
      <c r="B315"/>
      <c r="C315"/>
      <c r="D315"/>
      <c r="E315"/>
      <c r="F315"/>
      <c r="G315"/>
      <c r="H315"/>
      <c r="I315"/>
    </row>
    <row r="316" spans="1:9" x14ac:dyDescent="0.3">
      <c r="A316" t="s">
        <v>242</v>
      </c>
      <c r="B316"/>
      <c r="C316"/>
      <c r="D316"/>
      <c r="E316"/>
      <c r="F316"/>
      <c r="G316"/>
      <c r="H316"/>
      <c r="I316"/>
    </row>
    <row r="317" spans="1:9" x14ac:dyDescent="0.3">
      <c r="A317" t="s">
        <v>243</v>
      </c>
      <c r="B317"/>
      <c r="C317"/>
      <c r="D317"/>
      <c r="E317"/>
      <c r="F317"/>
      <c r="G317"/>
      <c r="H317"/>
      <c r="I317"/>
    </row>
    <row r="318" spans="1:9" x14ac:dyDescent="0.3">
      <c r="A318" t="s">
        <v>244</v>
      </c>
      <c r="B318"/>
      <c r="C318"/>
      <c r="D318"/>
      <c r="E318"/>
      <c r="F318"/>
      <c r="G318"/>
      <c r="H318"/>
      <c r="I318"/>
    </row>
    <row r="319" spans="1:9" x14ac:dyDescent="0.3">
      <c r="A319" t="s">
        <v>254</v>
      </c>
      <c r="B319"/>
      <c r="C319"/>
      <c r="D319"/>
      <c r="E319"/>
      <c r="F319"/>
      <c r="G319"/>
      <c r="H319"/>
      <c r="I319"/>
    </row>
    <row r="320" spans="1:9" x14ac:dyDescent="0.3">
      <c r="A320" s="50" t="s">
        <v>266</v>
      </c>
      <c r="B320">
        <f>+(1+0.05)*(1+0.3)-1</f>
        <v>0.36500000000000021</v>
      </c>
      <c r="C320"/>
      <c r="D320"/>
      <c r="E320"/>
      <c r="F320"/>
      <c r="G320"/>
      <c r="H320"/>
      <c r="I320"/>
    </row>
    <row r="321" spans="1:11" x14ac:dyDescent="0.3">
      <c r="A321" t="s">
        <v>265</v>
      </c>
      <c r="B321" s="51">
        <f>+(1+B320/(35/360))^((35/360))-1</f>
        <v>0.16366436563995457</v>
      </c>
      <c r="C321"/>
      <c r="D321" s="35"/>
      <c r="E321"/>
      <c r="F321"/>
      <c r="G321"/>
      <c r="H321"/>
      <c r="I321"/>
    </row>
    <row r="322" spans="1:11" x14ac:dyDescent="0.3">
      <c r="A322"/>
      <c r="C322"/>
      <c r="D322" s="35"/>
      <c r="E322"/>
      <c r="F322"/>
      <c r="G322"/>
      <c r="H322"/>
      <c r="I322"/>
    </row>
    <row r="323" spans="1:11" x14ac:dyDescent="0.3">
      <c r="A323"/>
      <c r="B323"/>
      <c r="C323"/>
      <c r="D323" s="47"/>
      <c r="E323"/>
      <c r="F323" s="47"/>
      <c r="G323"/>
      <c r="H323"/>
      <c r="I323"/>
    </row>
    <row r="324" spans="1:11" x14ac:dyDescent="0.3">
      <c r="A324" t="s">
        <v>267</v>
      </c>
      <c r="B324" t="s">
        <v>268</v>
      </c>
      <c r="C324">
        <v>1000000</v>
      </c>
      <c r="D324"/>
      <c r="E324"/>
      <c r="F324"/>
      <c r="G324"/>
      <c r="H324"/>
      <c r="I324"/>
    </row>
    <row r="325" spans="1:11" x14ac:dyDescent="0.3">
      <c r="A325"/>
      <c r="B325"/>
      <c r="C325"/>
      <c r="D325"/>
      <c r="E325"/>
      <c r="F325"/>
      <c r="G325"/>
      <c r="H325"/>
      <c r="I325"/>
    </row>
    <row r="326" spans="1:11" x14ac:dyDescent="0.3">
      <c r="A326"/>
      <c r="B326"/>
      <c r="C326"/>
      <c r="D326"/>
      <c r="E326"/>
      <c r="F326"/>
      <c r="G326"/>
      <c r="H326"/>
      <c r="I326"/>
    </row>
    <row r="327" spans="1:11" x14ac:dyDescent="0.3">
      <c r="A327"/>
      <c r="B327"/>
      <c r="C327"/>
      <c r="D327" s="35"/>
      <c r="E327"/>
      <c r="F327"/>
      <c r="G327"/>
      <c r="H327"/>
      <c r="I327"/>
    </row>
    <row r="328" spans="1:11" x14ac:dyDescent="0.3">
      <c r="A328"/>
      <c r="B328"/>
      <c r="C328"/>
      <c r="D328" s="47"/>
      <c r="E328"/>
      <c r="F328" s="47"/>
      <c r="G328"/>
      <c r="H328"/>
      <c r="I328"/>
    </row>
    <row r="329" spans="1:11" x14ac:dyDescent="0.3">
      <c r="A329"/>
      <c r="B329"/>
      <c r="C329"/>
      <c r="D329"/>
      <c r="E329"/>
      <c r="F329"/>
      <c r="G329"/>
      <c r="H329"/>
      <c r="I329"/>
    </row>
    <row r="330" spans="1:11" x14ac:dyDescent="0.3">
      <c r="A330"/>
      <c r="B330"/>
      <c r="C330"/>
      <c r="D330"/>
      <c r="E330"/>
      <c r="F330"/>
      <c r="G330"/>
      <c r="H330"/>
      <c r="I330"/>
    </row>
    <row r="332" spans="1:11" s="4" customFormat="1" x14ac:dyDescent="0.3">
      <c r="A332" s="464" t="s">
        <v>894</v>
      </c>
      <c r="B332" s="464"/>
      <c r="C332" s="464"/>
      <c r="D332" s="464"/>
      <c r="E332" s="464"/>
      <c r="F332" s="464"/>
      <c r="G332" s="464"/>
      <c r="K332" s="3"/>
    </row>
    <row r="333" spans="1:11" x14ac:dyDescent="0.3">
      <c r="A333" s="1">
        <v>117</v>
      </c>
      <c r="B333" s="1" t="s">
        <v>895</v>
      </c>
    </row>
    <row r="334" spans="1:11" x14ac:dyDescent="0.3">
      <c r="A334" s="1">
        <v>2090</v>
      </c>
      <c r="B334" s="1" t="s">
        <v>896</v>
      </c>
    </row>
    <row r="337" spans="1:11" s="4" customFormat="1" x14ac:dyDescent="0.3">
      <c r="K337" s="3"/>
    </row>
    <row r="338" spans="1:11" s="4" customFormat="1" x14ac:dyDescent="0.3">
      <c r="A338" s="4" t="s">
        <v>1532</v>
      </c>
      <c r="K338" s="3"/>
    </row>
    <row r="345" spans="1:11" x14ac:dyDescent="0.3">
      <c r="A345" s="1" t="s">
        <v>1509</v>
      </c>
      <c r="B345" s="1" t="s">
        <v>1510</v>
      </c>
    </row>
    <row r="346" spans="1:11" x14ac:dyDescent="0.3">
      <c r="B346" s="1" t="s">
        <v>1511</v>
      </c>
    </row>
    <row r="347" spans="1:11" x14ac:dyDescent="0.3">
      <c r="B347" s="1" t="s">
        <v>1512</v>
      </c>
    </row>
    <row r="348" spans="1:11" x14ac:dyDescent="0.3">
      <c r="A348" s="1" t="s">
        <v>1529</v>
      </c>
      <c r="B348" s="1" t="s">
        <v>1513</v>
      </c>
    </row>
    <row r="349" spans="1:11" x14ac:dyDescent="0.3">
      <c r="B349" s="1" t="s">
        <v>1514</v>
      </c>
    </row>
    <row r="350" spans="1:11" x14ac:dyDescent="0.3">
      <c r="B350" s="1" t="s">
        <v>1515</v>
      </c>
    </row>
    <row r="351" spans="1:11" x14ac:dyDescent="0.3">
      <c r="A351" s="1" t="s">
        <v>1530</v>
      </c>
      <c r="C351" s="1" t="s">
        <v>1516</v>
      </c>
    </row>
    <row r="352" spans="1:11" x14ac:dyDescent="0.3">
      <c r="C352" s="1" t="s">
        <v>1517</v>
      </c>
    </row>
    <row r="353" spans="1:8" x14ac:dyDescent="0.3">
      <c r="B353" s="1" t="s">
        <v>1518</v>
      </c>
    </row>
    <row r="354" spans="1:8" x14ac:dyDescent="0.3">
      <c r="B354" s="1" t="s">
        <v>1519</v>
      </c>
      <c r="C354" s="1" t="s">
        <v>1520</v>
      </c>
    </row>
    <row r="355" spans="1:8" x14ac:dyDescent="0.3">
      <c r="B355" s="1" t="s">
        <v>1521</v>
      </c>
      <c r="D355" s="1" t="s">
        <v>1524</v>
      </c>
    </row>
    <row r="356" spans="1:8" x14ac:dyDescent="0.3">
      <c r="B356" s="1" t="s">
        <v>1522</v>
      </c>
    </row>
    <row r="357" spans="1:8" x14ac:dyDescent="0.3">
      <c r="B357" s="1" t="s">
        <v>1523</v>
      </c>
    </row>
    <row r="358" spans="1:8" x14ac:dyDescent="0.3">
      <c r="B358" s="1" t="s">
        <v>1525</v>
      </c>
    </row>
    <row r="359" spans="1:8" x14ac:dyDescent="0.3">
      <c r="B359" s="1" t="s">
        <v>1526</v>
      </c>
    </row>
    <row r="360" spans="1:8" x14ac:dyDescent="0.3">
      <c r="B360" s="1" t="s">
        <v>1527</v>
      </c>
    </row>
    <row r="361" spans="1:8" x14ac:dyDescent="0.3">
      <c r="B361" s="1" t="s">
        <v>1528</v>
      </c>
    </row>
    <row r="364" spans="1:8" x14ac:dyDescent="0.3">
      <c r="A364" s="4"/>
      <c r="B364" s="4"/>
      <c r="C364" s="4"/>
      <c r="D364" s="4"/>
      <c r="E364" s="4"/>
      <c r="F364" s="4"/>
      <c r="G364" s="4"/>
      <c r="H364" s="4"/>
    </row>
    <row r="365" spans="1:8" x14ac:dyDescent="0.3">
      <c r="A365" s="4"/>
      <c r="B365" s="4"/>
      <c r="C365" s="4"/>
      <c r="D365" s="4"/>
      <c r="E365" s="4"/>
      <c r="F365" s="4"/>
      <c r="G365" s="4"/>
      <c r="H365" s="4"/>
    </row>
    <row r="368" spans="1:8" x14ac:dyDescent="0.3">
      <c r="A368" s="1" t="s">
        <v>1531</v>
      </c>
    </row>
    <row r="371" spans="1:1" x14ac:dyDescent="0.3">
      <c r="A371" s="1" t="s">
        <v>1533</v>
      </c>
    </row>
    <row r="387" spans="4:4" x14ac:dyDescent="0.3">
      <c r="D387" s="1" t="s">
        <v>1534</v>
      </c>
    </row>
    <row r="388" spans="4:4" x14ac:dyDescent="0.3">
      <c r="D388" s="1" t="s">
        <v>1535</v>
      </c>
    </row>
  </sheetData>
  <mergeCells count="19">
    <mergeCell ref="A332:G332"/>
    <mergeCell ref="B170:B171"/>
    <mergeCell ref="D170:D171"/>
    <mergeCell ref="A182:G182"/>
    <mergeCell ref="A210:G210"/>
    <mergeCell ref="A229:G229"/>
    <mergeCell ref="B145:B146"/>
    <mergeCell ref="B147:B148"/>
    <mergeCell ref="E147:E148"/>
    <mergeCell ref="A2:J2"/>
    <mergeCell ref="A11:J11"/>
    <mergeCell ref="A18:J18"/>
    <mergeCell ref="E140:E141"/>
    <mergeCell ref="B143:B144"/>
    <mergeCell ref="A124:G124"/>
    <mergeCell ref="A54:G54"/>
    <mergeCell ref="D101:H101"/>
    <mergeCell ref="A26:G26"/>
    <mergeCell ref="A10:J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705FC-1132-4A1A-AF8A-110FE4588709}">
  <dimension ref="A1:Q218"/>
  <sheetViews>
    <sheetView zoomScale="70" zoomScaleNormal="70" workbookViewId="0">
      <selection activeCell="B158" sqref="B158"/>
    </sheetView>
  </sheetViews>
  <sheetFormatPr defaultColWidth="11.5546875" defaultRowHeight="14.4" x14ac:dyDescent="0.3"/>
  <cols>
    <col min="1" max="2" width="11.5546875" style="190"/>
    <col min="3" max="3" width="23.33203125" style="190" customWidth="1"/>
    <col min="4" max="4" width="32.44140625" style="190" customWidth="1"/>
    <col min="5" max="5" width="18.33203125" style="190" customWidth="1"/>
    <col min="6" max="6" width="17.6640625" style="190" customWidth="1"/>
    <col min="7" max="7" width="12.5546875" style="190" customWidth="1"/>
    <col min="8" max="8" width="16.5546875" style="190" customWidth="1"/>
    <col min="9" max="9" width="16.109375" style="190" bestFit="1" customWidth="1"/>
    <col min="10" max="10" width="25.33203125" style="190" customWidth="1"/>
    <col min="11" max="11" width="22.6640625" style="190" customWidth="1"/>
    <col min="12" max="12" width="25.5546875" style="190" customWidth="1"/>
    <col min="13" max="13" width="11.5546875" style="190"/>
    <col min="14" max="14" width="25.44140625" style="190" customWidth="1"/>
    <col min="15" max="15" width="21.5546875" style="190" customWidth="1"/>
    <col min="16" max="16" width="27" style="190" customWidth="1"/>
    <col min="17" max="17" width="28.33203125" style="190" customWidth="1"/>
    <col min="18" max="16384" width="11.5546875" style="190"/>
  </cols>
  <sheetData>
    <row r="1" spans="1:11" customFormat="1" x14ac:dyDescent="0.3"/>
    <row r="2" spans="1:11" customFormat="1" x14ac:dyDescent="0.3">
      <c r="B2" s="46" t="s">
        <v>269</v>
      </c>
      <c r="C2" s="46"/>
      <c r="D2" s="46"/>
      <c r="E2" s="46"/>
    </row>
    <row r="3" spans="1:11" customFormat="1" x14ac:dyDescent="0.3"/>
    <row r="4" spans="1:11" customFormat="1" x14ac:dyDescent="0.3">
      <c r="B4" t="s">
        <v>270</v>
      </c>
      <c r="C4" t="s">
        <v>271</v>
      </c>
      <c r="J4" t="s">
        <v>272</v>
      </c>
      <c r="K4" t="s">
        <v>273</v>
      </c>
    </row>
    <row r="5" spans="1:11" customFormat="1" x14ac:dyDescent="0.3">
      <c r="B5" t="s">
        <v>274</v>
      </c>
      <c r="C5" t="s">
        <v>275</v>
      </c>
      <c r="K5" t="s">
        <v>276</v>
      </c>
    </row>
    <row r="6" spans="1:11" customFormat="1" x14ac:dyDescent="0.3">
      <c r="B6" t="s">
        <v>277</v>
      </c>
      <c r="C6" t="s">
        <v>278</v>
      </c>
      <c r="K6" t="s">
        <v>279</v>
      </c>
    </row>
    <row r="7" spans="1:11" customFormat="1" ht="15" thickBot="1" x14ac:dyDescent="0.35">
      <c r="B7" t="s">
        <v>280</v>
      </c>
      <c r="C7" t="s">
        <v>281</v>
      </c>
      <c r="J7" t="s">
        <v>282</v>
      </c>
      <c r="K7" t="s">
        <v>283</v>
      </c>
    </row>
    <row r="8" spans="1:11" customFormat="1" x14ac:dyDescent="0.3">
      <c r="B8" s="52"/>
      <c r="C8" s="53" t="s">
        <v>284</v>
      </c>
      <c r="D8" s="54"/>
      <c r="E8" s="54"/>
      <c r="F8" s="54"/>
      <c r="G8" s="55" t="s">
        <v>183</v>
      </c>
      <c r="K8" t="s">
        <v>285</v>
      </c>
    </row>
    <row r="9" spans="1:11" customFormat="1" x14ac:dyDescent="0.3">
      <c r="B9" s="56" t="s">
        <v>286</v>
      </c>
      <c r="C9" t="s">
        <v>287</v>
      </c>
      <c r="E9" s="57" t="s">
        <v>288</v>
      </c>
      <c r="F9" s="58" t="s">
        <v>289</v>
      </c>
      <c r="G9" s="59" t="s">
        <v>290</v>
      </c>
    </row>
    <row r="10" spans="1:11" customFormat="1" ht="15" thickBot="1" x14ac:dyDescent="0.35">
      <c r="B10" s="60"/>
      <c r="C10" s="61"/>
      <c r="D10" s="61"/>
      <c r="E10" s="62"/>
      <c r="F10" s="61"/>
      <c r="G10" s="63"/>
    </row>
    <row r="11" spans="1:11" customFormat="1" x14ac:dyDescent="0.3"/>
    <row r="12" spans="1:11" customFormat="1" ht="15" thickBot="1" x14ac:dyDescent="0.35">
      <c r="A12" s="46" t="s">
        <v>291</v>
      </c>
      <c r="B12" s="46"/>
      <c r="C12" s="46"/>
      <c r="D12" s="46"/>
    </row>
    <row r="13" spans="1:11" customFormat="1" ht="15" thickBot="1" x14ac:dyDescent="0.35">
      <c r="C13" t="s">
        <v>292</v>
      </c>
      <c r="D13" s="64">
        <v>0.12</v>
      </c>
      <c r="F13" s="65" t="s">
        <v>293</v>
      </c>
      <c r="G13" s="66" t="s">
        <v>193</v>
      </c>
    </row>
    <row r="14" spans="1:11" customFormat="1" x14ac:dyDescent="0.3">
      <c r="C14" t="s">
        <v>294</v>
      </c>
      <c r="D14">
        <v>1</v>
      </c>
      <c r="F14" s="67">
        <f>10000*(1+0.12)^1</f>
        <v>11200.000000000002</v>
      </c>
      <c r="G14" s="68">
        <v>1</v>
      </c>
    </row>
    <row r="15" spans="1:11" customFormat="1" x14ac:dyDescent="0.3">
      <c r="C15" t="s">
        <v>295</v>
      </c>
      <c r="D15" s="69">
        <v>10000</v>
      </c>
      <c r="F15" s="70">
        <f>10000*(1+0.12/2)^2</f>
        <v>11236.000000000002</v>
      </c>
      <c r="G15" s="71">
        <v>2</v>
      </c>
    </row>
    <row r="16" spans="1:11" customFormat="1" x14ac:dyDescent="0.3">
      <c r="F16" s="70">
        <f>10000*(1+0.12/3)^3</f>
        <v>11248.640000000001</v>
      </c>
      <c r="G16" s="71">
        <v>3</v>
      </c>
    </row>
    <row r="17" spans="2:10" customFormat="1" ht="15" thickBot="1" x14ac:dyDescent="0.35">
      <c r="F17" s="72">
        <f>10000*(1+0.12/12)^12</f>
        <v>11268.250301319698</v>
      </c>
      <c r="G17" s="73">
        <v>12</v>
      </c>
    </row>
    <row r="18" spans="2:10" customFormat="1" x14ac:dyDescent="0.3"/>
    <row r="19" spans="2:10" customFormat="1" x14ac:dyDescent="0.3">
      <c r="C19" t="s">
        <v>296</v>
      </c>
    </row>
    <row r="20" spans="2:10" customFormat="1" x14ac:dyDescent="0.3"/>
    <row r="21" spans="2:10" customFormat="1" x14ac:dyDescent="0.3">
      <c r="B21" s="74" t="s">
        <v>297</v>
      </c>
      <c r="C21" s="74"/>
      <c r="D21" s="75" t="s">
        <v>298</v>
      </c>
      <c r="E21" s="75"/>
      <c r="F21" s="75"/>
      <c r="G21" s="75"/>
    </row>
    <row r="22" spans="2:10" customFormat="1" x14ac:dyDescent="0.3">
      <c r="B22" s="76"/>
      <c r="C22" s="76"/>
    </row>
    <row r="23" spans="2:10" customFormat="1" x14ac:dyDescent="0.3">
      <c r="B23" s="76" t="s">
        <v>299</v>
      </c>
      <c r="C23" t="s">
        <v>300</v>
      </c>
      <c r="G23" t="s">
        <v>706</v>
      </c>
      <c r="H23" t="s">
        <v>708</v>
      </c>
    </row>
    <row r="24" spans="2:10" customFormat="1" x14ac:dyDescent="0.3">
      <c r="C24" t="s">
        <v>301</v>
      </c>
      <c r="G24" t="s">
        <v>707</v>
      </c>
      <c r="H24" t="s">
        <v>708</v>
      </c>
    </row>
    <row r="25" spans="2:10" customFormat="1" x14ac:dyDescent="0.3"/>
    <row r="26" spans="2:10" customFormat="1" x14ac:dyDescent="0.3">
      <c r="C26" s="77" t="s">
        <v>302</v>
      </c>
      <c r="D26" s="77"/>
      <c r="E26" s="77"/>
      <c r="F26" s="77"/>
      <c r="G26" s="77"/>
      <c r="H26" s="77"/>
      <c r="I26" s="77"/>
      <c r="J26" s="77"/>
    </row>
    <row r="27" spans="2:10" customFormat="1" x14ac:dyDescent="0.3">
      <c r="C27" s="78"/>
      <c r="D27" s="78"/>
      <c r="E27" s="78"/>
      <c r="F27" s="78"/>
      <c r="G27" s="78"/>
      <c r="H27" s="78"/>
      <c r="I27" s="78"/>
      <c r="J27" s="78"/>
    </row>
    <row r="28" spans="2:10" customFormat="1" x14ac:dyDescent="0.3">
      <c r="C28" s="78"/>
      <c r="D28" s="78"/>
      <c r="E28" s="78"/>
      <c r="F28" s="78"/>
      <c r="G28" s="78"/>
      <c r="H28" s="78"/>
      <c r="I28" s="78"/>
      <c r="J28" s="78"/>
    </row>
    <row r="29" spans="2:10" customFormat="1" x14ac:dyDescent="0.3">
      <c r="B29" s="74" t="s">
        <v>303</v>
      </c>
      <c r="C29" s="74"/>
      <c r="D29" s="75" t="s">
        <v>304</v>
      </c>
      <c r="E29" s="75"/>
      <c r="F29" s="75"/>
      <c r="G29" s="75"/>
      <c r="H29" s="75"/>
    </row>
    <row r="30" spans="2:10" customFormat="1" x14ac:dyDescent="0.3"/>
    <row r="31" spans="2:10" customFormat="1" x14ac:dyDescent="0.3">
      <c r="B31" t="s">
        <v>305</v>
      </c>
    </row>
    <row r="32" spans="2:10" customFormat="1" x14ac:dyDescent="0.3">
      <c r="B32" t="s">
        <v>306</v>
      </c>
    </row>
    <row r="33" spans="1:11" customFormat="1" x14ac:dyDescent="0.3">
      <c r="B33" t="s">
        <v>307</v>
      </c>
      <c r="C33" t="s">
        <v>308</v>
      </c>
      <c r="K33">
        <f>365/30</f>
        <v>12.166666666666666</v>
      </c>
    </row>
    <row r="34" spans="1:11" customFormat="1" ht="15" thickBot="1" x14ac:dyDescent="0.35">
      <c r="B34" t="s">
        <v>309</v>
      </c>
    </row>
    <row r="35" spans="1:11" customFormat="1" ht="15" thickBot="1" x14ac:dyDescent="0.35">
      <c r="D35" s="65" t="s">
        <v>293</v>
      </c>
      <c r="E35" s="66" t="s">
        <v>193</v>
      </c>
    </row>
    <row r="36" spans="1:11" customFormat="1" x14ac:dyDescent="0.3">
      <c r="D36" s="67">
        <f>$D$15*(1+$D$13/E36)^($D$14*E36)</f>
        <v>11200.000000000002</v>
      </c>
      <c r="E36" s="68">
        <v>1</v>
      </c>
    </row>
    <row r="37" spans="1:11" customFormat="1" x14ac:dyDescent="0.3">
      <c r="D37" s="70">
        <f t="shared" ref="D37:D39" si="0">$D$15*(1+$D$13/E37)^($D$14*E37)</f>
        <v>11236.000000000002</v>
      </c>
      <c r="E37" s="71">
        <v>2</v>
      </c>
    </row>
    <row r="38" spans="1:11" customFormat="1" x14ac:dyDescent="0.3">
      <c r="D38" s="70">
        <f t="shared" si="0"/>
        <v>11248.640000000001</v>
      </c>
      <c r="E38" s="71">
        <v>3</v>
      </c>
    </row>
    <row r="39" spans="1:11" customFormat="1" ht="15" thickBot="1" x14ac:dyDescent="0.35">
      <c r="D39" s="72">
        <f t="shared" si="0"/>
        <v>11268.250301319698</v>
      </c>
      <c r="E39" s="73">
        <v>12</v>
      </c>
    </row>
    <row r="40" spans="1:11" customFormat="1" x14ac:dyDescent="0.3">
      <c r="B40" t="s">
        <v>310</v>
      </c>
    </row>
    <row r="41" spans="1:11" customFormat="1" x14ac:dyDescent="0.3">
      <c r="B41" t="s">
        <v>311</v>
      </c>
      <c r="D41" s="64">
        <v>0.12</v>
      </c>
      <c r="E41" t="s">
        <v>312</v>
      </c>
      <c r="F41" t="s">
        <v>313</v>
      </c>
    </row>
    <row r="42" spans="1:11" customFormat="1" x14ac:dyDescent="0.3">
      <c r="B42" t="s">
        <v>314</v>
      </c>
      <c r="D42" s="79">
        <v>0.1236</v>
      </c>
      <c r="E42" t="str">
        <f>+E41</f>
        <v xml:space="preserve"> y TNA/m  </v>
      </c>
      <c r="F42" t="s">
        <v>315</v>
      </c>
    </row>
    <row r="43" spans="1:11" customFormat="1" x14ac:dyDescent="0.3">
      <c r="B43" t="s">
        <v>316</v>
      </c>
      <c r="D43" s="80">
        <v>0.124864</v>
      </c>
      <c r="E43" t="str">
        <f t="shared" ref="E43:E44" si="1">+E42</f>
        <v xml:space="preserve"> y TNA/m  </v>
      </c>
      <c r="F43" t="s">
        <v>711</v>
      </c>
    </row>
    <row r="44" spans="1:11" customFormat="1" x14ac:dyDescent="0.3">
      <c r="B44" t="s">
        <v>317</v>
      </c>
      <c r="D44" s="80">
        <v>0.12682499999999999</v>
      </c>
      <c r="E44" t="str">
        <f t="shared" si="1"/>
        <v xml:space="preserve"> y TNA/m  </v>
      </c>
      <c r="F44" t="s">
        <v>318</v>
      </c>
    </row>
    <row r="45" spans="1:11" customFormat="1" x14ac:dyDescent="0.3"/>
    <row r="46" spans="1:11" customFormat="1" x14ac:dyDescent="0.3">
      <c r="D46" s="80"/>
    </row>
    <row r="47" spans="1:11" customFormat="1" x14ac:dyDescent="0.3">
      <c r="A47" s="46" t="s">
        <v>319</v>
      </c>
      <c r="B47" s="46"/>
      <c r="C47" s="46"/>
      <c r="D47" s="80"/>
    </row>
    <row r="48" spans="1:11" customFormat="1" x14ac:dyDescent="0.3">
      <c r="B48" t="s">
        <v>320</v>
      </c>
      <c r="C48" s="64">
        <v>0.5</v>
      </c>
      <c r="D48" s="80"/>
    </row>
    <row r="49" spans="1:17" customFormat="1" x14ac:dyDescent="0.3">
      <c r="B49" t="s">
        <v>321</v>
      </c>
      <c r="C49" s="81">
        <v>100000</v>
      </c>
      <c r="D49" s="80"/>
    </row>
    <row r="50" spans="1:17" customFormat="1" x14ac:dyDescent="0.3">
      <c r="D50" s="80"/>
    </row>
    <row r="51" spans="1:17" customFormat="1" x14ac:dyDescent="0.3">
      <c r="D51" s="80"/>
    </row>
    <row r="52" spans="1:17" customFormat="1" x14ac:dyDescent="0.3">
      <c r="A52" t="s">
        <v>322</v>
      </c>
      <c r="B52" s="36" t="s">
        <v>149</v>
      </c>
      <c r="C52" s="82" t="s">
        <v>323</v>
      </c>
      <c r="D52" s="82" t="s">
        <v>324</v>
      </c>
      <c r="E52" s="83"/>
      <c r="H52" t="s">
        <v>325</v>
      </c>
      <c r="I52" s="36" t="s">
        <v>326</v>
      </c>
      <c r="J52" s="82" t="s">
        <v>323</v>
      </c>
      <c r="K52" s="82" t="s">
        <v>324</v>
      </c>
      <c r="L52" s="82" t="s">
        <v>327</v>
      </c>
      <c r="N52" s="58"/>
      <c r="O52" s="84"/>
      <c r="P52" s="83"/>
      <c r="Q52" s="83"/>
    </row>
    <row r="53" spans="1:17" customFormat="1" x14ac:dyDescent="0.3">
      <c r="B53" s="85">
        <v>0</v>
      </c>
      <c r="C53" s="86">
        <f>100000*(1+0.5)^B53</f>
        <v>100000</v>
      </c>
      <c r="D53" s="86">
        <f>100000*(1+0.5*B53)</f>
        <v>100000</v>
      </c>
      <c r="I53" s="85">
        <v>0</v>
      </c>
      <c r="J53" s="86">
        <f>100000*(1+0.5/1)^(2*I53)</f>
        <v>100000</v>
      </c>
      <c r="K53" s="86">
        <f>100000*(1+0.5*I53)</f>
        <v>100000</v>
      </c>
      <c r="L53" s="87">
        <f>+J53-K53</f>
        <v>0</v>
      </c>
      <c r="O53" s="57"/>
      <c r="P53" s="88"/>
      <c r="Q53" s="88"/>
    </row>
    <row r="54" spans="1:17" customFormat="1" x14ac:dyDescent="0.3">
      <c r="B54" s="85">
        <v>0.5</v>
      </c>
      <c r="C54" s="86">
        <f t="shared" ref="C54:C58" si="2">100000*(1+0.5)^B54</f>
        <v>122474.4871391589</v>
      </c>
      <c r="D54" s="86">
        <f t="shared" ref="D54:D58" si="3">100000*(1+0.5*B54)</f>
        <v>125000</v>
      </c>
      <c r="I54" s="85">
        <v>0.5</v>
      </c>
      <c r="J54" s="86">
        <f t="shared" ref="J54:J58" si="4">100000*(1+0.5/2)^(2*I54)</f>
        <v>125000</v>
      </c>
      <c r="K54" s="86">
        <f t="shared" ref="K54:K59" si="5">100000*(1+0.5*I54)</f>
        <v>125000</v>
      </c>
      <c r="L54" s="87">
        <f t="shared" ref="L54:L59" si="6">+J54-K54</f>
        <v>0</v>
      </c>
      <c r="O54" s="57"/>
      <c r="P54" s="88"/>
      <c r="Q54" s="88"/>
    </row>
    <row r="55" spans="1:17" customFormat="1" x14ac:dyDescent="0.3">
      <c r="B55" s="85">
        <v>1</v>
      </c>
      <c r="C55" s="86">
        <f t="shared" si="2"/>
        <v>150000</v>
      </c>
      <c r="D55" s="86">
        <f t="shared" si="3"/>
        <v>150000</v>
      </c>
      <c r="I55" s="85">
        <v>1</v>
      </c>
      <c r="J55" s="86">
        <f t="shared" si="4"/>
        <v>156250</v>
      </c>
      <c r="K55" s="86">
        <f t="shared" si="5"/>
        <v>150000</v>
      </c>
      <c r="L55" s="87">
        <f t="shared" si="6"/>
        <v>6250</v>
      </c>
      <c r="O55" s="57"/>
      <c r="P55" s="88"/>
      <c r="Q55" s="88"/>
    </row>
    <row r="56" spans="1:17" customFormat="1" x14ac:dyDescent="0.3">
      <c r="B56" s="85">
        <v>1.5</v>
      </c>
      <c r="C56" s="86">
        <f t="shared" si="2"/>
        <v>183711.73070873835</v>
      </c>
      <c r="D56" s="86">
        <f t="shared" si="3"/>
        <v>175000</v>
      </c>
      <c r="I56" s="85">
        <v>1.5</v>
      </c>
      <c r="J56" s="86">
        <f t="shared" si="4"/>
        <v>195312.5</v>
      </c>
      <c r="K56" s="86">
        <f t="shared" si="5"/>
        <v>175000</v>
      </c>
      <c r="L56" s="87">
        <f t="shared" si="6"/>
        <v>20312.5</v>
      </c>
      <c r="O56" s="57"/>
      <c r="P56" s="88"/>
      <c r="Q56" s="88"/>
    </row>
    <row r="57" spans="1:17" customFormat="1" x14ac:dyDescent="0.3">
      <c r="B57" s="85">
        <v>2</v>
      </c>
      <c r="C57" s="86">
        <f t="shared" si="2"/>
        <v>225000</v>
      </c>
      <c r="D57" s="86">
        <f t="shared" si="3"/>
        <v>200000</v>
      </c>
      <c r="I57" s="85">
        <v>2</v>
      </c>
      <c r="J57" s="86">
        <f t="shared" si="4"/>
        <v>244140.625</v>
      </c>
      <c r="K57" s="86">
        <f t="shared" si="5"/>
        <v>200000</v>
      </c>
      <c r="L57" s="87">
        <f t="shared" si="6"/>
        <v>44140.625</v>
      </c>
      <c r="O57" s="57"/>
      <c r="P57" s="88"/>
      <c r="Q57" s="88"/>
    </row>
    <row r="58" spans="1:17" customFormat="1" x14ac:dyDescent="0.3">
      <c r="B58" s="85">
        <v>2.5</v>
      </c>
      <c r="C58" s="86">
        <f t="shared" si="2"/>
        <v>275567.59606310754</v>
      </c>
      <c r="D58" s="86">
        <f t="shared" si="3"/>
        <v>225000</v>
      </c>
      <c r="I58" s="85">
        <v>2.5</v>
      </c>
      <c r="J58" s="86">
        <f t="shared" si="4"/>
        <v>305175.78125</v>
      </c>
      <c r="K58" s="86">
        <f t="shared" si="5"/>
        <v>225000</v>
      </c>
      <c r="L58" s="87">
        <f t="shared" si="6"/>
        <v>80175.78125</v>
      </c>
      <c r="O58" s="57"/>
      <c r="P58" s="88"/>
      <c r="Q58" s="88"/>
    </row>
    <row r="59" spans="1:17" customFormat="1" x14ac:dyDescent="0.3">
      <c r="I59" s="85">
        <v>3</v>
      </c>
      <c r="J59" s="86">
        <f>100000*(1+0.5/2)^(2*I59)</f>
        <v>381469.7265625</v>
      </c>
      <c r="K59" s="86">
        <f t="shared" si="5"/>
        <v>250000</v>
      </c>
      <c r="L59" s="87">
        <f t="shared" si="6"/>
        <v>131469.7265625</v>
      </c>
      <c r="O59" s="57"/>
    </row>
    <row r="60" spans="1:17" customFormat="1" x14ac:dyDescent="0.3">
      <c r="B60" s="89" t="s">
        <v>149</v>
      </c>
      <c r="C60" s="90" t="s">
        <v>328</v>
      </c>
      <c r="D60" s="90" t="s">
        <v>329</v>
      </c>
      <c r="O60" s="57"/>
    </row>
    <row r="61" spans="1:17" customFormat="1" x14ac:dyDescent="0.3">
      <c r="B61" s="85">
        <v>0</v>
      </c>
      <c r="C61" s="38"/>
      <c r="D61" s="38"/>
      <c r="I61" s="89" t="s">
        <v>330</v>
      </c>
      <c r="J61" s="90" t="s">
        <v>331</v>
      </c>
      <c r="K61" s="90" t="s">
        <v>332</v>
      </c>
      <c r="O61" s="57"/>
    </row>
    <row r="62" spans="1:17" customFormat="1" x14ac:dyDescent="0.3">
      <c r="B62" s="85">
        <v>0.5</v>
      </c>
      <c r="C62" s="91"/>
      <c r="D62" s="92"/>
      <c r="I62" s="85">
        <v>0</v>
      </c>
      <c r="J62" s="38"/>
      <c r="K62" s="38"/>
      <c r="O62" s="57"/>
    </row>
    <row r="63" spans="1:17" customFormat="1" x14ac:dyDescent="0.3">
      <c r="B63" s="93">
        <v>1</v>
      </c>
      <c r="C63" s="94">
        <f>+(C55-C53)/C53</f>
        <v>0.5</v>
      </c>
      <c r="D63" s="94">
        <f>+(D55-D53)/D53</f>
        <v>0.5</v>
      </c>
      <c r="E63" s="79"/>
      <c r="I63" s="85">
        <v>0.5</v>
      </c>
      <c r="J63" s="91"/>
      <c r="K63" s="92"/>
      <c r="O63" s="57"/>
    </row>
    <row r="64" spans="1:17" customFormat="1" x14ac:dyDescent="0.3">
      <c r="B64" s="85">
        <v>1.5</v>
      </c>
      <c r="C64" s="91"/>
      <c r="D64" s="92"/>
      <c r="I64" s="93">
        <v>1</v>
      </c>
      <c r="J64" s="95">
        <f>+(J54-J53)/J53</f>
        <v>0.25</v>
      </c>
      <c r="K64" s="95">
        <f>+(K54-K53)/K53</f>
        <v>0.25</v>
      </c>
    </row>
    <row r="65" spans="2:11" customFormat="1" x14ac:dyDescent="0.3">
      <c r="B65" s="93">
        <v>2</v>
      </c>
      <c r="C65" s="94">
        <f>+(C57-C55)/C55</f>
        <v>0.5</v>
      </c>
      <c r="D65" s="94">
        <f>+(D57-D55)/D55</f>
        <v>0.33333333333333331</v>
      </c>
      <c r="I65" s="85">
        <v>1.5</v>
      </c>
      <c r="J65" s="91"/>
      <c r="K65" s="92"/>
    </row>
    <row r="66" spans="2:11" customFormat="1" x14ac:dyDescent="0.3">
      <c r="B66" s="85">
        <v>2.5</v>
      </c>
      <c r="C66" s="91"/>
      <c r="D66" s="92"/>
      <c r="I66" s="93">
        <v>2</v>
      </c>
      <c r="J66" s="95">
        <f>+(J55-J54)/J54</f>
        <v>0.25</v>
      </c>
      <c r="K66" s="96">
        <f>+(K55-K54)/K54</f>
        <v>0.2</v>
      </c>
    </row>
    <row r="67" spans="2:11" customFormat="1" x14ac:dyDescent="0.3">
      <c r="B67" s="57"/>
      <c r="C67" s="97"/>
      <c r="D67" s="98"/>
      <c r="I67" s="85">
        <v>2.5</v>
      </c>
      <c r="J67" s="91"/>
      <c r="K67" s="92"/>
    </row>
    <row r="68" spans="2:11" customFormat="1" x14ac:dyDescent="0.3">
      <c r="B68" s="57"/>
      <c r="C68" s="97"/>
      <c r="D68" s="98"/>
      <c r="I68" s="93">
        <v>3</v>
      </c>
      <c r="J68" s="95">
        <f>+(J56-J55)/J55</f>
        <v>0.25</v>
      </c>
      <c r="K68" s="94">
        <f>+(K56-K55)/K55</f>
        <v>0.16666666666666666</v>
      </c>
    </row>
    <row r="69" spans="2:11" customFormat="1" x14ac:dyDescent="0.3">
      <c r="B69" s="57"/>
      <c r="C69" s="97"/>
      <c r="D69" s="98"/>
      <c r="I69" s="57"/>
      <c r="J69" s="97"/>
      <c r="K69" s="98"/>
    </row>
    <row r="70" spans="2:11" customFormat="1" x14ac:dyDescent="0.3">
      <c r="B70" s="76" t="s">
        <v>333</v>
      </c>
      <c r="C70" s="76"/>
      <c r="D70" s="99"/>
      <c r="E70" t="s">
        <v>334</v>
      </c>
    </row>
    <row r="71" spans="2:11" customFormat="1" x14ac:dyDescent="0.3"/>
    <row r="72" spans="2:11" customFormat="1" ht="15" thickBot="1" x14ac:dyDescent="0.35">
      <c r="B72" t="s">
        <v>335</v>
      </c>
    </row>
    <row r="73" spans="2:11" customFormat="1" x14ac:dyDescent="0.3">
      <c r="B73" s="52"/>
      <c r="C73" s="100" t="s">
        <v>284</v>
      </c>
      <c r="D73" s="100"/>
      <c r="E73" s="54"/>
      <c r="F73" s="55" t="s">
        <v>149</v>
      </c>
    </row>
    <row r="74" spans="2:11" customFormat="1" ht="15" thickBot="1" x14ac:dyDescent="0.35">
      <c r="B74" s="60" t="s">
        <v>286</v>
      </c>
      <c r="C74" s="61" t="s">
        <v>287</v>
      </c>
      <c r="D74" s="61"/>
      <c r="E74" s="62" t="s">
        <v>336</v>
      </c>
      <c r="F74" s="101" t="s">
        <v>337</v>
      </c>
    </row>
    <row r="75" spans="2:11" customFormat="1" x14ac:dyDescent="0.3"/>
    <row r="76" spans="2:11" customFormat="1" ht="15" thickBot="1" x14ac:dyDescent="0.35"/>
    <row r="77" spans="2:11" customFormat="1" x14ac:dyDescent="0.3">
      <c r="D77" s="52"/>
      <c r="E77" s="54"/>
      <c r="F77" s="53" t="s">
        <v>193</v>
      </c>
      <c r="G77" s="102"/>
    </row>
    <row r="78" spans="2:11" customFormat="1" x14ac:dyDescent="0.3">
      <c r="B78" t="s">
        <v>338</v>
      </c>
      <c r="D78" s="103" t="s">
        <v>339</v>
      </c>
      <c r="E78" s="57" t="s">
        <v>336</v>
      </c>
      <c r="F78" s="57" t="s">
        <v>340</v>
      </c>
      <c r="G78" s="104">
        <v>-1</v>
      </c>
    </row>
    <row r="79" spans="2:11" customFormat="1" ht="15" thickBot="1" x14ac:dyDescent="0.35">
      <c r="D79" s="60"/>
      <c r="E79" s="61"/>
      <c r="F79" s="61"/>
      <c r="G79" s="63"/>
    </row>
    <row r="80" spans="2:11" customFormat="1" x14ac:dyDescent="0.3"/>
    <row r="81" spans="2:15" customFormat="1" x14ac:dyDescent="0.3">
      <c r="B81" t="s">
        <v>341</v>
      </c>
    </row>
    <row r="82" spans="2:15" customFormat="1" x14ac:dyDescent="0.3"/>
    <row r="83" spans="2:15" customFormat="1" ht="15" thickBot="1" x14ac:dyDescent="0.35"/>
    <row r="84" spans="2:15" customFormat="1" x14ac:dyDescent="0.3">
      <c r="B84" s="52"/>
      <c r="C84" s="100" t="s">
        <v>284</v>
      </c>
      <c r="D84" s="54"/>
      <c r="E84" s="55" t="s">
        <v>342</v>
      </c>
      <c r="F84" s="58"/>
      <c r="H84" s="52"/>
      <c r="I84" s="53" t="s">
        <v>284</v>
      </c>
      <c r="J84" s="54"/>
      <c r="K84" s="53"/>
      <c r="L84" s="102" t="s">
        <v>343</v>
      </c>
      <c r="N84" s="58" t="s">
        <v>344</v>
      </c>
      <c r="O84" t="s">
        <v>345</v>
      </c>
    </row>
    <row r="85" spans="2:15" customFormat="1" ht="15" thickBot="1" x14ac:dyDescent="0.35">
      <c r="B85" s="60" t="s">
        <v>286</v>
      </c>
      <c r="C85" s="61" t="s">
        <v>287</v>
      </c>
      <c r="D85" s="62" t="s">
        <v>336</v>
      </c>
      <c r="E85" s="101" t="s">
        <v>346</v>
      </c>
      <c r="F85" s="57"/>
      <c r="G85" s="57" t="s">
        <v>347</v>
      </c>
      <c r="H85" s="60" t="s">
        <v>286</v>
      </c>
      <c r="I85" s="61" t="s">
        <v>287</v>
      </c>
      <c r="J85" s="62" t="s">
        <v>336</v>
      </c>
      <c r="K85" s="62" t="s">
        <v>346</v>
      </c>
      <c r="L85" s="63"/>
      <c r="N85" t="s">
        <v>348</v>
      </c>
    </row>
    <row r="86" spans="2:15" customFormat="1" x14ac:dyDescent="0.3"/>
    <row r="87" spans="2:15" customFormat="1" ht="15" thickBot="1" x14ac:dyDescent="0.35"/>
    <row r="88" spans="2:15" customFormat="1" x14ac:dyDescent="0.3">
      <c r="D88" s="52"/>
      <c r="E88" s="54"/>
      <c r="F88" s="105" t="s">
        <v>349</v>
      </c>
      <c r="H88" s="52"/>
      <c r="I88" s="54"/>
      <c r="J88" s="100" t="s">
        <v>350</v>
      </c>
      <c r="K88" s="102"/>
    </row>
    <row r="89" spans="2:15" customFormat="1" ht="15" thickBot="1" x14ac:dyDescent="0.35">
      <c r="B89" t="s">
        <v>338</v>
      </c>
      <c r="D89" s="106" t="s">
        <v>261</v>
      </c>
      <c r="E89" s="62" t="s">
        <v>336</v>
      </c>
      <c r="F89" s="107" t="s">
        <v>351</v>
      </c>
      <c r="G89" s="57" t="s">
        <v>347</v>
      </c>
      <c r="H89" s="106" t="s">
        <v>261</v>
      </c>
      <c r="I89" s="62" t="s">
        <v>336</v>
      </c>
      <c r="J89" s="108" t="s">
        <v>340</v>
      </c>
      <c r="K89" s="107">
        <v>-1</v>
      </c>
    </row>
    <row r="90" spans="2:15" customFormat="1" x14ac:dyDescent="0.3"/>
    <row r="91" spans="2:15" customFormat="1" x14ac:dyDescent="0.3">
      <c r="B91" s="76" t="s">
        <v>299</v>
      </c>
    </row>
    <row r="92" spans="2:15" customFormat="1" x14ac:dyDescent="0.3"/>
    <row r="93" spans="2:15" customFormat="1" x14ac:dyDescent="0.3">
      <c r="B93" t="s">
        <v>352</v>
      </c>
      <c r="L93" t="s">
        <v>353</v>
      </c>
    </row>
    <row r="94" spans="2:15" customFormat="1" x14ac:dyDescent="0.3">
      <c r="B94" t="s">
        <v>354</v>
      </c>
    </row>
    <row r="95" spans="2:15" customFormat="1" x14ac:dyDescent="0.3">
      <c r="B95" t="s">
        <v>355</v>
      </c>
    </row>
    <row r="96" spans="2:15" customFormat="1" x14ac:dyDescent="0.3">
      <c r="B96" t="s">
        <v>356</v>
      </c>
    </row>
    <row r="97" spans="2:8" customFormat="1" x14ac:dyDescent="0.3">
      <c r="F97" t="s">
        <v>357</v>
      </c>
    </row>
    <row r="98" spans="2:8" customFormat="1" x14ac:dyDescent="0.3">
      <c r="B98" t="s">
        <v>236</v>
      </c>
      <c r="C98" s="57" t="s">
        <v>339</v>
      </c>
      <c r="D98" s="57" t="s">
        <v>336</v>
      </c>
      <c r="E98" t="s">
        <v>358</v>
      </c>
      <c r="G98" s="57" t="s">
        <v>336</v>
      </c>
      <c r="H98" s="48">
        <f>+((1+0.24*90/365)^(365/90))-1</f>
        <v>0.26259221384140474</v>
      </c>
    </row>
    <row r="99" spans="2:8" customFormat="1" x14ac:dyDescent="0.3">
      <c r="C99" s="57"/>
      <c r="D99" s="57"/>
    </row>
    <row r="100" spans="2:8" customFormat="1" x14ac:dyDescent="0.3">
      <c r="F100" t="s">
        <v>359</v>
      </c>
    </row>
    <row r="101" spans="2:8" customFormat="1" x14ac:dyDescent="0.3">
      <c r="B101" t="s">
        <v>360</v>
      </c>
      <c r="C101" s="57" t="s">
        <v>261</v>
      </c>
      <c r="D101" s="57" t="s">
        <v>336</v>
      </c>
      <c r="E101" t="s">
        <v>358</v>
      </c>
      <c r="G101" s="57" t="s">
        <v>336</v>
      </c>
      <c r="H101" s="49">
        <f>+((1+0.24*90/365)^(30/90))-1</f>
        <v>1.9349220336419837E-2</v>
      </c>
    </row>
    <row r="102" spans="2:8" customFormat="1" x14ac:dyDescent="0.3">
      <c r="F102">
        <v>2</v>
      </c>
    </row>
    <row r="103" spans="2:8" customFormat="1" x14ac:dyDescent="0.3">
      <c r="B103" t="s">
        <v>361</v>
      </c>
      <c r="C103" s="57" t="s">
        <v>362</v>
      </c>
      <c r="D103" s="57" t="s">
        <v>336</v>
      </c>
      <c r="E103" s="58" t="s">
        <v>363</v>
      </c>
      <c r="F103" t="s">
        <v>364</v>
      </c>
      <c r="G103" s="57" t="s">
        <v>336</v>
      </c>
      <c r="H103" s="47">
        <f>100000*(1+0.24*90/365)^2</f>
        <v>112185.8209795459</v>
      </c>
    </row>
    <row r="104" spans="2:8" customFormat="1" x14ac:dyDescent="0.3"/>
    <row r="105" spans="2:8" customFormat="1" x14ac:dyDescent="0.3">
      <c r="B105" t="s">
        <v>365</v>
      </c>
    </row>
    <row r="106" spans="2:8" customFormat="1" x14ac:dyDescent="0.3">
      <c r="B106" t="s">
        <v>366</v>
      </c>
    </row>
    <row r="107" spans="2:8" customFormat="1" x14ac:dyDescent="0.3">
      <c r="B107" t="s">
        <v>367</v>
      </c>
    </row>
    <row r="108" spans="2:8" customFormat="1" x14ac:dyDescent="0.3">
      <c r="B108" t="s">
        <v>368</v>
      </c>
    </row>
    <row r="109" spans="2:8" customFormat="1" x14ac:dyDescent="0.3">
      <c r="B109" t="s">
        <v>369</v>
      </c>
    </row>
    <row r="110" spans="2:8" customFormat="1" x14ac:dyDescent="0.3">
      <c r="B110" t="s">
        <v>370</v>
      </c>
    </row>
    <row r="111" spans="2:8" customFormat="1" x14ac:dyDescent="0.3"/>
    <row r="112" spans="2:8" customFormat="1" x14ac:dyDescent="0.3">
      <c r="B112" t="s">
        <v>245</v>
      </c>
      <c r="C112" t="s">
        <v>371</v>
      </c>
      <c r="D112" s="79">
        <f>RATE(496/365,,-200,219)</f>
        <v>6.9065566840492518E-2</v>
      </c>
      <c r="E112" s="48"/>
    </row>
    <row r="113" spans="2:13" customFormat="1" x14ac:dyDescent="0.3">
      <c r="B113" t="s">
        <v>250</v>
      </c>
      <c r="C113" t="s">
        <v>372</v>
      </c>
      <c r="D113" s="79">
        <f>RATE(496/365,,200*43.5,-219*75.9)</f>
        <v>0.61030040082931669</v>
      </c>
      <c r="E113" s="48"/>
      <c r="H113" s="109" t="s">
        <v>373</v>
      </c>
      <c r="I113" s="110">
        <f>200000*43.5</f>
        <v>8700000</v>
      </c>
      <c r="J113" s="111"/>
      <c r="K113" s="111" t="s">
        <v>374</v>
      </c>
      <c r="L113" s="111"/>
      <c r="M113" s="112">
        <f>+(I114-I113)/I113</f>
        <v>0.9105862068965519</v>
      </c>
    </row>
    <row r="114" spans="2:13" customFormat="1" x14ac:dyDescent="0.3">
      <c r="E114" s="48"/>
      <c r="H114" s="113" t="s">
        <v>375</v>
      </c>
      <c r="I114" s="114">
        <f>219000*75.9</f>
        <v>16622100.000000002</v>
      </c>
      <c r="J114" s="115"/>
      <c r="K114" s="115"/>
      <c r="L114" s="115"/>
      <c r="M114" s="116"/>
    </row>
    <row r="115" spans="2:13" customFormat="1" x14ac:dyDescent="0.3">
      <c r="B115" t="s">
        <v>376</v>
      </c>
      <c r="C115" t="s">
        <v>377</v>
      </c>
      <c r="D115" s="35">
        <f>+((1+D113)/(1+0.3))-1</f>
        <v>0.23869261602255132</v>
      </c>
      <c r="E115" s="48"/>
    </row>
    <row r="116" spans="2:13" customFormat="1" x14ac:dyDescent="0.3">
      <c r="B116" t="s">
        <v>378</v>
      </c>
      <c r="C116" t="s">
        <v>379</v>
      </c>
      <c r="D116" s="35">
        <f>+((1+D112)^(30/365))-1</f>
        <v>5.5042683234982626E-3</v>
      </c>
      <c r="E116" s="48"/>
    </row>
    <row r="117" spans="2:13" customFormat="1" x14ac:dyDescent="0.3"/>
    <row r="118" spans="2:13" customFormat="1" x14ac:dyDescent="0.3"/>
    <row r="119" spans="2:13" customFormat="1" x14ac:dyDescent="0.3">
      <c r="B119" s="46" t="s">
        <v>231</v>
      </c>
    </row>
    <row r="120" spans="2:13" customFormat="1" x14ac:dyDescent="0.3"/>
    <row r="121" spans="2:13" customFormat="1" x14ac:dyDescent="0.3">
      <c r="B121" t="s">
        <v>232</v>
      </c>
    </row>
    <row r="122" spans="2:13" customFormat="1" x14ac:dyDescent="0.3"/>
    <row r="123" spans="2:13" customFormat="1" x14ac:dyDescent="0.3">
      <c r="B123" t="s">
        <v>233</v>
      </c>
    </row>
    <row r="124" spans="2:13" customFormat="1" x14ac:dyDescent="0.3">
      <c r="B124" t="s">
        <v>234</v>
      </c>
    </row>
    <row r="125" spans="2:13" customFormat="1" x14ac:dyDescent="0.3">
      <c r="B125" t="s">
        <v>235</v>
      </c>
    </row>
    <row r="126" spans="2:13" customFormat="1" x14ac:dyDescent="0.3"/>
    <row r="127" spans="2:13" customFormat="1" x14ac:dyDescent="0.3">
      <c r="B127" t="s">
        <v>236</v>
      </c>
      <c r="C127" t="s">
        <v>237</v>
      </c>
    </row>
    <row r="128" spans="2:13" customFormat="1" x14ac:dyDescent="0.3">
      <c r="C128" t="s">
        <v>238</v>
      </c>
      <c r="D128" s="47">
        <f>100000*(1+0.24*35/360)</f>
        <v>102333.33333333334</v>
      </c>
    </row>
    <row r="129" spans="2:7" customFormat="1" x14ac:dyDescent="0.3"/>
    <row r="130" spans="2:7" customFormat="1" x14ac:dyDescent="0.3">
      <c r="B130" t="s">
        <v>239</v>
      </c>
      <c r="C130" t="s">
        <v>240</v>
      </c>
      <c r="D130" s="47">
        <f>100000*(1+0.24)^(35/360)</f>
        <v>102113.38283497305</v>
      </c>
    </row>
    <row r="131" spans="2:7" customFormat="1" x14ac:dyDescent="0.3"/>
    <row r="132" spans="2:7" customFormat="1" x14ac:dyDescent="0.3">
      <c r="B132" t="s">
        <v>241</v>
      </c>
    </row>
    <row r="133" spans="2:7" customFormat="1" x14ac:dyDescent="0.3">
      <c r="B133" t="s">
        <v>242</v>
      </c>
    </row>
    <row r="134" spans="2:7" customFormat="1" x14ac:dyDescent="0.3">
      <c r="B134" t="s">
        <v>243</v>
      </c>
    </row>
    <row r="135" spans="2:7" customFormat="1" x14ac:dyDescent="0.3">
      <c r="B135" t="s">
        <v>244</v>
      </c>
    </row>
    <row r="136" spans="2:7" customFormat="1" x14ac:dyDescent="0.3"/>
    <row r="137" spans="2:7" customFormat="1" x14ac:dyDescent="0.3">
      <c r="B137" t="s">
        <v>245</v>
      </c>
      <c r="C137" t="s">
        <v>246</v>
      </c>
    </row>
    <row r="138" spans="2:7" customFormat="1" x14ac:dyDescent="0.3">
      <c r="C138" t="s">
        <v>247</v>
      </c>
      <c r="D138">
        <f>+((1+0.05*35/360)^(360/35))-1</f>
        <v>5.1143757977570869E-2</v>
      </c>
      <c r="E138" s="35">
        <f>+(1+0.05/365)^(365)-1</f>
        <v>5.1267496467422902E-2</v>
      </c>
    </row>
    <row r="139" spans="2:7" customFormat="1" x14ac:dyDescent="0.3">
      <c r="C139" t="s">
        <v>248</v>
      </c>
      <c r="D139">
        <f>+(1+D138)*(1+0.3)-1</f>
        <v>0.36648688537084229</v>
      </c>
      <c r="E139" s="117">
        <f>+((1+D139)^(1/(360/35)))/(360/35)-(1/(360/35))</f>
        <v>2.9966262941234639E-3</v>
      </c>
    </row>
    <row r="140" spans="2:7" customFormat="1" x14ac:dyDescent="0.3">
      <c r="C140" t="s">
        <v>249</v>
      </c>
      <c r="E140" s="47">
        <f>100000*(1+D139)^(35/360)</f>
        <v>103082.24418824128</v>
      </c>
      <c r="G140" s="47"/>
    </row>
    <row r="141" spans="2:7" customFormat="1" x14ac:dyDescent="0.3"/>
    <row r="142" spans="2:7" customFormat="1" x14ac:dyDescent="0.3">
      <c r="B142" t="s">
        <v>250</v>
      </c>
      <c r="C142" t="s">
        <v>251</v>
      </c>
    </row>
    <row r="143" spans="2:7" customFormat="1" x14ac:dyDescent="0.3">
      <c r="C143" t="s">
        <v>252</v>
      </c>
    </row>
    <row r="144" spans="2:7" customFormat="1" x14ac:dyDescent="0.3">
      <c r="C144" t="s">
        <v>253</v>
      </c>
      <c r="D144" s="42">
        <f>+(1+0.05)*(1+0.3)-1</f>
        <v>0.36500000000000021</v>
      </c>
      <c r="E144" s="35"/>
    </row>
    <row r="145" spans="2:13" customFormat="1" x14ac:dyDescent="0.3">
      <c r="C145" t="s">
        <v>249</v>
      </c>
      <c r="E145" s="47">
        <f>100000*(1+D144)^(35/360)</f>
        <v>103071.33393498107</v>
      </c>
      <c r="G145" s="47"/>
    </row>
    <row r="146" spans="2:13" customFormat="1" x14ac:dyDescent="0.3"/>
    <row r="147" spans="2:13" customFormat="1" x14ac:dyDescent="0.3"/>
    <row r="148" spans="2:13" customFormat="1" x14ac:dyDescent="0.3">
      <c r="B148" s="46" t="s">
        <v>380</v>
      </c>
      <c r="C148" s="46"/>
      <c r="D148" s="46"/>
      <c r="E148" s="46"/>
    </row>
    <row r="149" spans="2:13" customFormat="1" x14ac:dyDescent="0.3"/>
    <row r="150" spans="2:13" customFormat="1" ht="15" thickBot="1" x14ac:dyDescent="0.35">
      <c r="B150" t="s">
        <v>381</v>
      </c>
    </row>
    <row r="151" spans="2:13" customFormat="1" x14ac:dyDescent="0.3">
      <c r="F151" s="52"/>
      <c r="G151" s="54"/>
      <c r="H151" s="118" t="s">
        <v>284</v>
      </c>
    </row>
    <row r="152" spans="2:13" customFormat="1" x14ac:dyDescent="0.3">
      <c r="F152" s="56" t="s">
        <v>286</v>
      </c>
      <c r="G152" t="s">
        <v>287</v>
      </c>
      <c r="H152" s="119"/>
    </row>
    <row r="153" spans="2:13" customFormat="1" ht="15" thickBot="1" x14ac:dyDescent="0.35">
      <c r="F153" s="60"/>
      <c r="G153" s="61"/>
      <c r="H153" s="63"/>
    </row>
    <row r="154" spans="2:13" customFormat="1" ht="15" thickBot="1" x14ac:dyDescent="0.35"/>
    <row r="155" spans="2:13" customFormat="1" ht="15" thickBot="1" x14ac:dyDescent="0.35">
      <c r="C155" s="52"/>
      <c r="D155" s="102" t="s">
        <v>382</v>
      </c>
    </row>
    <row r="156" spans="2:13" customFormat="1" ht="15" thickBot="1" x14ac:dyDescent="0.35">
      <c r="B156" t="s">
        <v>383</v>
      </c>
      <c r="C156" s="106" t="s">
        <v>384</v>
      </c>
      <c r="D156" s="63"/>
      <c r="F156" s="120" t="s">
        <v>385</v>
      </c>
      <c r="G156" s="121"/>
      <c r="H156" s="121"/>
      <c r="I156" s="121"/>
      <c r="J156" s="121"/>
      <c r="K156" s="121"/>
      <c r="L156" s="121"/>
      <c r="M156" s="122"/>
    </row>
    <row r="157" spans="2:13" customFormat="1" x14ac:dyDescent="0.3"/>
    <row r="158" spans="2:13" customFormat="1" ht="15" thickBot="1" x14ac:dyDescent="0.35">
      <c r="B158" t="s">
        <v>386</v>
      </c>
    </row>
    <row r="159" spans="2:13" customFormat="1" x14ac:dyDescent="0.3">
      <c r="D159" s="52"/>
      <c r="E159" s="102" t="s">
        <v>382</v>
      </c>
      <c r="G159" s="52"/>
      <c r="H159" s="102" t="s">
        <v>149</v>
      </c>
    </row>
    <row r="160" spans="2:13" customFormat="1" ht="15" thickBot="1" x14ac:dyDescent="0.35">
      <c r="D160" s="106" t="s">
        <v>384</v>
      </c>
      <c r="E160" s="63"/>
      <c r="F160" s="57" t="s">
        <v>336</v>
      </c>
      <c r="G160" s="60" t="s">
        <v>337</v>
      </c>
      <c r="H160" s="63"/>
    </row>
    <row r="161" spans="2:6" customFormat="1" ht="15" thickBot="1" x14ac:dyDescent="0.35"/>
    <row r="162" spans="2:6" customFormat="1" x14ac:dyDescent="0.3">
      <c r="B162" t="s">
        <v>387</v>
      </c>
      <c r="D162" s="52"/>
      <c r="E162" s="100" t="s">
        <v>161</v>
      </c>
      <c r="F162" s="102"/>
    </row>
    <row r="163" spans="2:6" customFormat="1" ht="15" thickBot="1" x14ac:dyDescent="0.35">
      <c r="D163" s="60" t="s">
        <v>388</v>
      </c>
      <c r="E163" s="61" t="s">
        <v>389</v>
      </c>
      <c r="F163" s="107">
        <v>-1</v>
      </c>
    </row>
    <row r="164" spans="2:6" customFormat="1" x14ac:dyDescent="0.3"/>
    <row r="165" spans="2:6" customFormat="1" x14ac:dyDescent="0.3">
      <c r="B165" s="78" t="s">
        <v>390</v>
      </c>
    </row>
    <row r="166" spans="2:6" customFormat="1" x14ac:dyDescent="0.3">
      <c r="B166" t="s">
        <v>391</v>
      </c>
    </row>
    <row r="167" spans="2:6" customFormat="1" x14ac:dyDescent="0.3">
      <c r="B167" t="s">
        <v>392</v>
      </c>
    </row>
    <row r="168" spans="2:6" customFormat="1" x14ac:dyDescent="0.3">
      <c r="B168" t="s">
        <v>393</v>
      </c>
    </row>
    <row r="169" spans="2:6" customFormat="1" x14ac:dyDescent="0.3">
      <c r="B169" t="s">
        <v>394</v>
      </c>
    </row>
    <row r="170" spans="2:6" customFormat="1" x14ac:dyDescent="0.3"/>
    <row r="171" spans="2:6" customFormat="1" x14ac:dyDescent="0.3">
      <c r="B171" s="58" t="s">
        <v>395</v>
      </c>
      <c r="C171" s="47">
        <f>10000*EXP(0.24)</f>
        <v>12712.491503214047</v>
      </c>
    </row>
    <row r="172" spans="2:6" customFormat="1" x14ac:dyDescent="0.3">
      <c r="B172" s="58" t="s">
        <v>396</v>
      </c>
      <c r="C172" s="123">
        <f>+C171/10000-1</f>
        <v>0.27124915032140473</v>
      </c>
    </row>
    <row r="173" spans="2:6" customFormat="1" x14ac:dyDescent="0.3"/>
    <row r="174" spans="2:6" customFormat="1" x14ac:dyDescent="0.3">
      <c r="B174" s="78" t="s">
        <v>397</v>
      </c>
    </row>
    <row r="175" spans="2:6" customFormat="1" x14ac:dyDescent="0.3">
      <c r="B175" t="s">
        <v>398</v>
      </c>
    </row>
    <row r="176" spans="2:6" customFormat="1" x14ac:dyDescent="0.3">
      <c r="B176" t="s">
        <v>399</v>
      </c>
    </row>
    <row r="177" spans="2:3" customFormat="1" x14ac:dyDescent="0.3">
      <c r="B177" t="s">
        <v>392</v>
      </c>
    </row>
    <row r="178" spans="2:3" customFormat="1" x14ac:dyDescent="0.3">
      <c r="B178" t="s">
        <v>400</v>
      </c>
    </row>
    <row r="179" spans="2:3" customFormat="1" x14ac:dyDescent="0.3">
      <c r="B179" t="s">
        <v>401</v>
      </c>
    </row>
    <row r="180" spans="2:3" customFormat="1" x14ac:dyDescent="0.3">
      <c r="B180" t="s">
        <v>402</v>
      </c>
    </row>
    <row r="181" spans="2:3" customFormat="1" x14ac:dyDescent="0.3">
      <c r="B181" t="s">
        <v>403</v>
      </c>
    </row>
    <row r="182" spans="2:3" customFormat="1" x14ac:dyDescent="0.3">
      <c r="B182" t="s">
        <v>404</v>
      </c>
    </row>
    <row r="183" spans="2:3" customFormat="1" x14ac:dyDescent="0.3">
      <c r="B183" t="s">
        <v>405</v>
      </c>
    </row>
    <row r="184" spans="2:3" customFormat="1" x14ac:dyDescent="0.3">
      <c r="B184" t="s">
        <v>406</v>
      </c>
    </row>
    <row r="185" spans="2:3" customFormat="1" x14ac:dyDescent="0.3">
      <c r="B185" t="s">
        <v>407</v>
      </c>
    </row>
    <row r="186" spans="2:3" customFormat="1" x14ac:dyDescent="0.3"/>
    <row r="187" spans="2:3" customFormat="1" x14ac:dyDescent="0.3">
      <c r="B187" t="s">
        <v>408</v>
      </c>
      <c r="C187" s="35">
        <f>+((104.34/102)^(12))-1</f>
        <v>0.3128282923604655</v>
      </c>
    </row>
    <row r="188" spans="2:3" customFormat="1" x14ac:dyDescent="0.3">
      <c r="B188" t="s">
        <v>409</v>
      </c>
      <c r="C188" s="35">
        <f>+(((104.34*80.5)/(102*69.5))^12)-1</f>
        <v>6.6549231813528875</v>
      </c>
    </row>
    <row r="189" spans="2:3" customFormat="1" x14ac:dyDescent="0.3">
      <c r="B189" t="s">
        <v>410</v>
      </c>
      <c r="C189" s="35">
        <f>+LN(1+C187)</f>
        <v>0.2721838117197064</v>
      </c>
    </row>
    <row r="190" spans="2:3" customFormat="1" x14ac:dyDescent="0.3">
      <c r="B190" t="s">
        <v>411</v>
      </c>
      <c r="C190" s="35">
        <f>+LN(1+C188)</f>
        <v>2.0353489939649632</v>
      </c>
    </row>
    <row r="191" spans="2:3" customFormat="1" x14ac:dyDescent="0.3">
      <c r="B191" t="s">
        <v>412</v>
      </c>
      <c r="C191" s="35">
        <f>+C189/12</f>
        <v>2.2681984309975534E-2</v>
      </c>
    </row>
    <row r="192" spans="2:3" customFormat="1" x14ac:dyDescent="0.3">
      <c r="B192" t="s">
        <v>413</v>
      </c>
      <c r="C192" s="35">
        <f>+C190/12</f>
        <v>0.16961241616374692</v>
      </c>
    </row>
    <row r="193" spans="1:7" customFormat="1" x14ac:dyDescent="0.3">
      <c r="B193" t="s">
        <v>414</v>
      </c>
      <c r="C193" s="35">
        <f>104.34/102-1</f>
        <v>2.2941176470588243E-2</v>
      </c>
    </row>
    <row r="194" spans="1:7" customFormat="1" x14ac:dyDescent="0.3">
      <c r="B194" t="s">
        <v>415</v>
      </c>
      <c r="C194" s="42">
        <f>+(104.34*80.5/(102*69.5))-1</f>
        <v>0.18484553533643688</v>
      </c>
    </row>
    <row r="195" spans="1:7" customFormat="1" x14ac:dyDescent="0.3"/>
    <row r="196" spans="1:7" customFormat="1" x14ac:dyDescent="0.3"/>
    <row r="197" spans="1:7" customFormat="1" x14ac:dyDescent="0.3"/>
    <row r="198" spans="1:7" customFormat="1" x14ac:dyDescent="0.3"/>
    <row r="199" spans="1:7" customFormat="1" x14ac:dyDescent="0.3"/>
    <row r="205" spans="1:7" x14ac:dyDescent="0.3">
      <c r="A205" s="190" t="s">
        <v>156</v>
      </c>
      <c r="B205" s="190">
        <v>100</v>
      </c>
    </row>
    <row r="206" spans="1:7" x14ac:dyDescent="0.3">
      <c r="B206" s="469" t="s">
        <v>671</v>
      </c>
      <c r="C206" s="469"/>
      <c r="D206" s="469"/>
      <c r="E206" s="470" t="s">
        <v>672</v>
      </c>
      <c r="F206" s="470"/>
      <c r="G206" s="470"/>
    </row>
    <row r="207" spans="1:7" x14ac:dyDescent="0.3">
      <c r="B207" s="191"/>
      <c r="C207" s="190" t="s">
        <v>161</v>
      </c>
      <c r="D207" s="190" t="s">
        <v>163</v>
      </c>
      <c r="E207" s="192"/>
      <c r="F207" s="190" t="s">
        <v>161</v>
      </c>
      <c r="G207" s="190" t="s">
        <v>163</v>
      </c>
    </row>
    <row r="208" spans="1:7" x14ac:dyDescent="0.3">
      <c r="A208" s="190">
        <v>0</v>
      </c>
      <c r="B208" s="191">
        <v>100</v>
      </c>
      <c r="C208" s="193"/>
      <c r="D208" s="193"/>
      <c r="E208" s="192">
        <f>+B208*(1+0.1)^(A208)</f>
        <v>100</v>
      </c>
    </row>
    <row r="209" spans="1:8" x14ac:dyDescent="0.3">
      <c r="A209" s="190">
        <v>1</v>
      </c>
      <c r="B209" s="191">
        <f>+$B$205*(1+0.1*A209)</f>
        <v>110.00000000000001</v>
      </c>
      <c r="C209" s="193">
        <f t="shared" ref="C209:C218" si="7">+(B209-B208)/$B$205</f>
        <v>0.10000000000000014</v>
      </c>
      <c r="D209" s="193">
        <f t="shared" ref="D209:D218" si="8">B209/B208-1</f>
        <v>0.10000000000000009</v>
      </c>
      <c r="E209" s="192">
        <f>+$B$205*(1+0.1)^(A209)</f>
        <v>110.00000000000001</v>
      </c>
      <c r="F209" s="193">
        <f t="shared" ref="F209:F218" si="9">+(E209-E208)/$B$205</f>
        <v>0.10000000000000014</v>
      </c>
      <c r="G209" s="193">
        <f t="shared" ref="G209:G218" si="10">E209/E208-1</f>
        <v>0.10000000000000009</v>
      </c>
      <c r="H209" s="190">
        <f>+E208*1.1</f>
        <v>110.00000000000001</v>
      </c>
    </row>
    <row r="210" spans="1:8" x14ac:dyDescent="0.3">
      <c r="A210" s="190">
        <v>2</v>
      </c>
      <c r="B210" s="191">
        <f>+$B$205*(1+0.1*A210)</f>
        <v>120</v>
      </c>
      <c r="C210" s="193">
        <f t="shared" si="7"/>
        <v>9.9999999999999853E-2</v>
      </c>
      <c r="D210" s="193">
        <f t="shared" si="8"/>
        <v>9.0909090909090828E-2</v>
      </c>
      <c r="E210" s="192">
        <f t="shared" ref="E210:E218" si="11">+$B$205*(1+0.1)^(A210)</f>
        <v>121.00000000000001</v>
      </c>
      <c r="F210" s="193">
        <f t="shared" si="9"/>
        <v>0.11</v>
      </c>
      <c r="G210" s="193">
        <f t="shared" si="10"/>
        <v>0.10000000000000009</v>
      </c>
      <c r="H210" s="190">
        <f t="shared" ref="H210:H218" si="12">+E209*1.1</f>
        <v>121.00000000000003</v>
      </c>
    </row>
    <row r="211" spans="1:8" x14ac:dyDescent="0.3">
      <c r="A211" s="190">
        <v>3</v>
      </c>
      <c r="B211" s="191">
        <f t="shared" ref="B211:B218" si="13">+$B$205*(1+0.1*A211)</f>
        <v>130</v>
      </c>
      <c r="C211" s="193">
        <f t="shared" si="7"/>
        <v>0.1</v>
      </c>
      <c r="D211" s="193">
        <f t="shared" si="8"/>
        <v>8.3333333333333259E-2</v>
      </c>
      <c r="E211" s="192">
        <f t="shared" si="11"/>
        <v>133.10000000000005</v>
      </c>
      <c r="F211" s="193">
        <f t="shared" si="9"/>
        <v>0.12100000000000037</v>
      </c>
      <c r="G211" s="193">
        <f t="shared" si="10"/>
        <v>0.10000000000000031</v>
      </c>
      <c r="H211" s="190">
        <f t="shared" si="12"/>
        <v>133.10000000000002</v>
      </c>
    </row>
    <row r="212" spans="1:8" x14ac:dyDescent="0.3">
      <c r="A212" s="190">
        <v>4</v>
      </c>
      <c r="B212" s="191">
        <f t="shared" si="13"/>
        <v>140</v>
      </c>
      <c r="C212" s="193">
        <f t="shared" si="7"/>
        <v>0.1</v>
      </c>
      <c r="D212" s="193">
        <f t="shared" si="8"/>
        <v>7.6923076923076872E-2</v>
      </c>
      <c r="E212" s="192">
        <f t="shared" si="11"/>
        <v>146.41000000000005</v>
      </c>
      <c r="F212" s="193">
        <f t="shared" si="9"/>
        <v>0.13310000000000002</v>
      </c>
      <c r="G212" s="193">
        <f t="shared" si="10"/>
        <v>0.10000000000000009</v>
      </c>
      <c r="H212" s="190">
        <f t="shared" si="12"/>
        <v>146.41000000000008</v>
      </c>
    </row>
    <row r="213" spans="1:8" x14ac:dyDescent="0.3">
      <c r="A213" s="190">
        <v>5</v>
      </c>
      <c r="B213" s="191">
        <f t="shared" si="13"/>
        <v>150</v>
      </c>
      <c r="C213" s="193">
        <f t="shared" si="7"/>
        <v>0.1</v>
      </c>
      <c r="D213" s="193">
        <f t="shared" si="8"/>
        <v>7.1428571428571397E-2</v>
      </c>
      <c r="E213" s="192">
        <f t="shared" si="11"/>
        <v>161.05100000000004</v>
      </c>
      <c r="F213" s="193">
        <f t="shared" si="9"/>
        <v>0.1464099999999999</v>
      </c>
      <c r="G213" s="193">
        <f t="shared" si="10"/>
        <v>9.9999999999999867E-2</v>
      </c>
      <c r="H213" s="190">
        <f t="shared" si="12"/>
        <v>161.05100000000007</v>
      </c>
    </row>
    <row r="214" spans="1:8" x14ac:dyDescent="0.3">
      <c r="A214" s="190">
        <v>6</v>
      </c>
      <c r="B214" s="191">
        <f t="shared" si="13"/>
        <v>160</v>
      </c>
      <c r="C214" s="193">
        <f t="shared" si="7"/>
        <v>0.1</v>
      </c>
      <c r="D214" s="193">
        <f t="shared" si="8"/>
        <v>6.6666666666666652E-2</v>
      </c>
      <c r="E214" s="192">
        <f t="shared" si="11"/>
        <v>177.15610000000009</v>
      </c>
      <c r="F214" s="193">
        <f t="shared" si="9"/>
        <v>0.1610510000000005</v>
      </c>
      <c r="G214" s="193">
        <f t="shared" si="10"/>
        <v>0.10000000000000031</v>
      </c>
      <c r="H214" s="190">
        <f t="shared" si="12"/>
        <v>177.15610000000007</v>
      </c>
    </row>
    <row r="215" spans="1:8" x14ac:dyDescent="0.3">
      <c r="A215" s="190">
        <v>7</v>
      </c>
      <c r="B215" s="191">
        <f t="shared" si="13"/>
        <v>170.00000000000003</v>
      </c>
      <c r="C215" s="193">
        <f t="shared" si="7"/>
        <v>0.10000000000000028</v>
      </c>
      <c r="D215" s="193">
        <f t="shared" si="8"/>
        <v>6.2500000000000222E-2</v>
      </c>
      <c r="E215" s="192">
        <f t="shared" si="11"/>
        <v>194.87171000000012</v>
      </c>
      <c r="F215" s="193">
        <f t="shared" si="9"/>
        <v>0.17715610000000026</v>
      </c>
      <c r="G215" s="193">
        <f t="shared" si="10"/>
        <v>0.10000000000000009</v>
      </c>
      <c r="H215" s="190">
        <f t="shared" si="12"/>
        <v>194.87171000000012</v>
      </c>
    </row>
    <row r="216" spans="1:8" x14ac:dyDescent="0.3">
      <c r="A216" s="190">
        <v>8</v>
      </c>
      <c r="B216" s="191">
        <f t="shared" si="13"/>
        <v>180</v>
      </c>
      <c r="C216" s="193">
        <f t="shared" si="7"/>
        <v>9.9999999999999714E-2</v>
      </c>
      <c r="D216" s="193">
        <f t="shared" si="8"/>
        <v>5.8823529411764497E-2</v>
      </c>
      <c r="E216" s="192">
        <f t="shared" si="11"/>
        <v>214.35888100000011</v>
      </c>
      <c r="F216" s="193">
        <f t="shared" si="9"/>
        <v>0.19487170999999989</v>
      </c>
      <c r="G216" s="193">
        <f t="shared" si="10"/>
        <v>9.9999999999999867E-2</v>
      </c>
      <c r="H216" s="190">
        <f t="shared" si="12"/>
        <v>214.35888100000014</v>
      </c>
    </row>
    <row r="217" spans="1:8" x14ac:dyDescent="0.3">
      <c r="A217" s="190">
        <v>9</v>
      </c>
      <c r="B217" s="191">
        <f t="shared" si="13"/>
        <v>190</v>
      </c>
      <c r="C217" s="193">
        <f t="shared" si="7"/>
        <v>0.1</v>
      </c>
      <c r="D217" s="193">
        <f t="shared" si="8"/>
        <v>5.555555555555558E-2</v>
      </c>
      <c r="E217" s="192">
        <f t="shared" si="11"/>
        <v>235.79476910000014</v>
      </c>
      <c r="F217" s="193">
        <f t="shared" si="9"/>
        <v>0.21435888100000028</v>
      </c>
      <c r="G217" s="193">
        <f t="shared" si="10"/>
        <v>0.10000000000000009</v>
      </c>
      <c r="H217" s="190">
        <f t="shared" si="12"/>
        <v>235.79476910000014</v>
      </c>
    </row>
    <row r="218" spans="1:8" x14ac:dyDescent="0.3">
      <c r="A218" s="190">
        <v>10</v>
      </c>
      <c r="B218" s="191">
        <f t="shared" si="13"/>
        <v>200</v>
      </c>
      <c r="C218" s="193">
        <f t="shared" si="7"/>
        <v>0.1</v>
      </c>
      <c r="D218" s="193">
        <f t="shared" si="8"/>
        <v>5.2631578947368363E-2</v>
      </c>
      <c r="E218" s="192">
        <f t="shared" si="11"/>
        <v>259.37424601000021</v>
      </c>
      <c r="F218" s="193">
        <f t="shared" si="9"/>
        <v>0.23579476910000069</v>
      </c>
      <c r="G218" s="193">
        <f t="shared" si="10"/>
        <v>0.10000000000000031</v>
      </c>
      <c r="H218" s="190">
        <f t="shared" si="12"/>
        <v>259.37424601000015</v>
      </c>
    </row>
  </sheetData>
  <mergeCells count="2">
    <mergeCell ref="B206:D206"/>
    <mergeCell ref="E206:G20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BD749-E842-4F12-B8E0-BD3AF46E9861}">
  <dimension ref="A1:Y150"/>
  <sheetViews>
    <sheetView topLeftCell="A77" zoomScale="85" zoomScaleNormal="85" workbookViewId="0">
      <selection activeCell="D152" sqref="D152"/>
    </sheetView>
  </sheetViews>
  <sheetFormatPr defaultColWidth="11.44140625" defaultRowHeight="14.4" x14ac:dyDescent="0.3"/>
  <cols>
    <col min="2" max="2" width="34.88671875" customWidth="1"/>
    <col min="4" max="4" width="17.109375" customWidth="1"/>
    <col min="5" max="5" width="17" customWidth="1"/>
    <col min="7" max="7" width="16.6640625" customWidth="1"/>
    <col min="9" max="9" width="20.5546875" customWidth="1"/>
    <col min="13" max="13" width="17.33203125" customWidth="1"/>
    <col min="15" max="15" width="14.33203125" bestFit="1" customWidth="1"/>
    <col min="18" max="18" width="18.5546875" customWidth="1"/>
    <col min="19" max="19" width="12.6640625" bestFit="1" customWidth="1"/>
  </cols>
  <sheetData>
    <row r="1" spans="1:25" ht="15" thickBot="1" x14ac:dyDescent="0.35"/>
    <row r="2" spans="1:25" ht="18" x14ac:dyDescent="0.35">
      <c r="C2" s="311" t="s">
        <v>1264</v>
      </c>
      <c r="D2" s="54"/>
      <c r="E2" s="54"/>
      <c r="F2" s="102"/>
      <c r="G2" s="312" t="s">
        <v>1265</v>
      </c>
      <c r="H2" s="313" t="s">
        <v>1266</v>
      </c>
      <c r="I2" s="314" t="s">
        <v>1180</v>
      </c>
      <c r="L2" s="311" t="s">
        <v>1264</v>
      </c>
      <c r="M2" s="54"/>
      <c r="N2" s="54"/>
      <c r="O2" s="102"/>
      <c r="P2" s="312" t="s">
        <v>1265</v>
      </c>
      <c r="Q2" s="313" t="s">
        <v>1266</v>
      </c>
      <c r="R2" s="314" t="s">
        <v>1180</v>
      </c>
    </row>
    <row r="3" spans="1:25" ht="18.600000000000001" thickBot="1" x14ac:dyDescent="0.4">
      <c r="C3" s="315" t="s">
        <v>1267</v>
      </c>
      <c r="D3" s="316"/>
      <c r="E3" s="316"/>
      <c r="F3" s="63"/>
      <c r="G3" s="317">
        <v>0</v>
      </c>
      <c r="H3" s="318">
        <f>-I10</f>
        <v>-137.15131649960972</v>
      </c>
      <c r="I3" s="319"/>
      <c r="L3" s="315" t="s">
        <v>1268</v>
      </c>
      <c r="M3" s="316"/>
      <c r="N3" s="316"/>
      <c r="O3" s="63"/>
      <c r="P3" s="317">
        <v>0</v>
      </c>
      <c r="Q3" s="318">
        <f>-R10</f>
        <v>-139.25269208925491</v>
      </c>
      <c r="R3" s="319"/>
      <c r="X3" s="320"/>
      <c r="Y3" s="320"/>
    </row>
    <row r="4" spans="1:25" x14ac:dyDescent="0.3">
      <c r="C4" s="321" t="s">
        <v>932</v>
      </c>
      <c r="D4" s="322">
        <v>100</v>
      </c>
      <c r="G4" s="317">
        <v>1</v>
      </c>
      <c r="H4" s="86">
        <f>100*0.2/2</f>
        <v>10</v>
      </c>
      <c r="I4" s="400">
        <f>+H4/(1+D8/2)^G4</f>
        <v>9.9850224663005491</v>
      </c>
      <c r="L4" s="321" t="s">
        <v>932</v>
      </c>
      <c r="M4" s="322">
        <v>100</v>
      </c>
      <c r="P4" s="317">
        <v>1</v>
      </c>
      <c r="Q4" s="86">
        <f>100*0.2/2</f>
        <v>10</v>
      </c>
      <c r="R4" s="323">
        <f>+Q4/(1+M8/2)^P4</f>
        <v>9.9850224663005491</v>
      </c>
      <c r="X4" s="320"/>
      <c r="Y4" s="320"/>
    </row>
    <row r="5" spans="1:25" x14ac:dyDescent="0.3">
      <c r="C5" s="324" t="s">
        <v>1269</v>
      </c>
      <c r="D5" s="325">
        <v>2</v>
      </c>
      <c r="G5" s="317">
        <v>2</v>
      </c>
      <c r="H5" s="86">
        <f t="shared" ref="H5:H6" si="0">100*0.2/2</f>
        <v>10</v>
      </c>
      <c r="I5" s="400">
        <f t="shared" ref="I5:I6" si="1">+H5/(1+D9/2)^G5</f>
        <v>9.9303657924717399</v>
      </c>
      <c r="L5" s="324" t="s">
        <v>1269</v>
      </c>
      <c r="M5" s="325">
        <v>2</v>
      </c>
      <c r="P5" s="317">
        <v>2</v>
      </c>
      <c r="Q5" s="86">
        <f t="shared" ref="Q5:Q7" si="2">+H5</f>
        <v>10</v>
      </c>
      <c r="R5" s="323">
        <f t="shared" ref="R5:R7" si="3">+Q5/(1+M9/2)^P5</f>
        <v>9.9700673652526675</v>
      </c>
      <c r="X5" s="320"/>
      <c r="Y5" s="320"/>
    </row>
    <row r="6" spans="1:25" x14ac:dyDescent="0.3">
      <c r="C6" s="326" t="s">
        <v>1270</v>
      </c>
      <c r="D6" s="327">
        <v>2</v>
      </c>
      <c r="G6" s="317">
        <v>3</v>
      </c>
      <c r="H6" s="86">
        <f t="shared" si="0"/>
        <v>10</v>
      </c>
      <c r="I6" s="400">
        <f t="shared" si="1"/>
        <v>9.8367984987101718</v>
      </c>
      <c r="L6" s="326" t="s">
        <v>1270</v>
      </c>
      <c r="M6" s="327">
        <v>2</v>
      </c>
      <c r="P6" s="317">
        <v>3</v>
      </c>
      <c r="Q6" s="86">
        <f t="shared" si="2"/>
        <v>10</v>
      </c>
      <c r="R6" s="323">
        <f t="shared" si="3"/>
        <v>9.9551346632577804</v>
      </c>
      <c r="X6" s="320"/>
      <c r="Y6" s="320"/>
    </row>
    <row r="7" spans="1:25" ht="15" thickBot="1" x14ac:dyDescent="0.35">
      <c r="C7" s="324" t="s">
        <v>1271</v>
      </c>
      <c r="D7" s="328">
        <v>0.2</v>
      </c>
      <c r="E7" s="325" t="s">
        <v>1164</v>
      </c>
      <c r="G7" s="329">
        <v>4</v>
      </c>
      <c r="H7" s="86">
        <f>100+H5</f>
        <v>110</v>
      </c>
      <c r="I7" s="400">
        <f>+H7/(1+D11/2)^G7</f>
        <v>107.39912974212727</v>
      </c>
      <c r="L7" s="324" t="s">
        <v>1271</v>
      </c>
      <c r="M7" s="328">
        <v>0.2</v>
      </c>
      <c r="N7" s="325" t="s">
        <v>1164</v>
      </c>
      <c r="P7" s="329">
        <v>4</v>
      </c>
      <c r="Q7" s="86">
        <f t="shared" si="2"/>
        <v>110</v>
      </c>
      <c r="R7" s="323">
        <f t="shared" si="3"/>
        <v>109.3424675944439</v>
      </c>
      <c r="X7" s="320"/>
      <c r="Y7" s="320"/>
    </row>
    <row r="8" spans="1:25" ht="15" thickBot="1" x14ac:dyDescent="0.35">
      <c r="C8" s="324" t="s">
        <v>1272</v>
      </c>
      <c r="D8" s="328">
        <v>3.0000000000000001E-3</v>
      </c>
      <c r="E8" s="325" t="s">
        <v>1164</v>
      </c>
      <c r="H8" s="331" t="s">
        <v>1273</v>
      </c>
      <c r="I8" s="332">
        <f>SUM(I4:I7)</f>
        <v>137.15131649960972</v>
      </c>
      <c r="L8" s="324" t="s">
        <v>1272</v>
      </c>
      <c r="M8" s="328">
        <v>3.0000000000000001E-3</v>
      </c>
      <c r="N8" s="325" t="s">
        <v>1164</v>
      </c>
      <c r="Q8" s="331" t="s">
        <v>1273</v>
      </c>
      <c r="R8" s="332">
        <f>SUM(R4:R7)</f>
        <v>139.25269208925491</v>
      </c>
      <c r="X8" s="320"/>
      <c r="Y8" s="320"/>
    </row>
    <row r="9" spans="1:25" x14ac:dyDescent="0.3">
      <c r="C9" s="324" t="s">
        <v>1274</v>
      </c>
      <c r="D9" s="328">
        <v>7.0000000000000001E-3</v>
      </c>
      <c r="E9" s="325" t="s">
        <v>1164</v>
      </c>
      <c r="L9" s="324" t="s">
        <v>1274</v>
      </c>
      <c r="M9" s="328">
        <f>+M8</f>
        <v>3.0000000000000001E-3</v>
      </c>
      <c r="N9" s="325" t="s">
        <v>1164</v>
      </c>
      <c r="X9" s="320"/>
      <c r="Y9" s="320"/>
    </row>
    <row r="10" spans="1:25" x14ac:dyDescent="0.3">
      <c r="C10" s="324" t="s">
        <v>1275</v>
      </c>
      <c r="D10" s="328">
        <v>1.0999999999999999E-2</v>
      </c>
      <c r="E10" s="325" t="s">
        <v>1164</v>
      </c>
      <c r="G10" t="s">
        <v>1276</v>
      </c>
      <c r="I10" s="333">
        <f>+I8</f>
        <v>137.15131649960972</v>
      </c>
      <c r="L10" s="324" t="s">
        <v>1275</v>
      </c>
      <c r="M10" s="328">
        <f>+M9</f>
        <v>3.0000000000000001E-3</v>
      </c>
      <c r="N10" s="325" t="s">
        <v>1164</v>
      </c>
      <c r="P10" t="s">
        <v>1276</v>
      </c>
      <c r="R10" s="333">
        <f>+R8</f>
        <v>139.25269208925491</v>
      </c>
      <c r="X10" s="320"/>
      <c r="Y10" s="320"/>
    </row>
    <row r="11" spans="1:25" x14ac:dyDescent="0.3">
      <c r="C11" s="324" t="s">
        <v>1277</v>
      </c>
      <c r="D11" s="328">
        <v>1.2E-2</v>
      </c>
      <c r="E11" s="325" t="s">
        <v>1164</v>
      </c>
      <c r="G11" t="s">
        <v>1278</v>
      </c>
      <c r="H11" t="s">
        <v>1338</v>
      </c>
      <c r="I11" s="80">
        <f>+IRR(H3:H7)</f>
        <v>5.7765546108550225E-3</v>
      </c>
      <c r="L11" s="324" t="s">
        <v>1277</v>
      </c>
      <c r="M11" s="328">
        <f>+M10</f>
        <v>3.0000000000000001E-3</v>
      </c>
      <c r="N11" s="325" t="s">
        <v>1164</v>
      </c>
      <c r="P11" t="s">
        <v>1278</v>
      </c>
      <c r="R11" s="80">
        <f>+IRR(Q3:Q7)</f>
        <v>1.5000000035394478E-3</v>
      </c>
      <c r="X11" s="320"/>
      <c r="Y11" s="320"/>
    </row>
    <row r="12" spans="1:25" x14ac:dyDescent="0.3">
      <c r="A12" s="334"/>
      <c r="B12" s="334"/>
      <c r="C12" s="334"/>
      <c r="D12" s="334"/>
      <c r="E12" s="334"/>
      <c r="F12" s="334"/>
      <c r="G12" s="334"/>
      <c r="H12" s="334" t="s">
        <v>320</v>
      </c>
      <c r="I12" s="401">
        <f>2*I11</f>
        <v>1.1553109221710045E-2</v>
      </c>
      <c r="J12" s="334"/>
      <c r="K12" s="334"/>
      <c r="L12" s="334"/>
      <c r="M12" s="334"/>
      <c r="N12" s="334"/>
      <c r="O12" s="334"/>
      <c r="P12" s="334"/>
      <c r="Q12" s="334" t="s">
        <v>320</v>
      </c>
      <c r="R12" s="401">
        <f>2*R11</f>
        <v>3.0000000070788957E-3</v>
      </c>
      <c r="S12" s="334"/>
      <c r="T12" s="334"/>
      <c r="U12" s="334"/>
      <c r="V12" s="334"/>
      <c r="X12" s="320"/>
      <c r="Y12" s="320"/>
    </row>
    <row r="13" spans="1:25" x14ac:dyDescent="0.3">
      <c r="O13" t="s">
        <v>1339</v>
      </c>
      <c r="X13" s="320"/>
      <c r="Y13" s="320"/>
    </row>
    <row r="14" spans="1:25" ht="15" thickBot="1" x14ac:dyDescent="0.35">
      <c r="O14" t="s">
        <v>1340</v>
      </c>
      <c r="X14" s="320"/>
      <c r="Y14" s="320"/>
    </row>
    <row r="15" spans="1:25" ht="18.600000000000001" thickBot="1" x14ac:dyDescent="0.4">
      <c r="C15" s="335" t="s">
        <v>1279</v>
      </c>
      <c r="D15" s="336"/>
      <c r="G15" s="312" t="s">
        <v>1265</v>
      </c>
      <c r="H15" s="313" t="s">
        <v>1266</v>
      </c>
      <c r="I15" s="314" t="s">
        <v>1180</v>
      </c>
      <c r="O15" t="s">
        <v>1341</v>
      </c>
    </row>
    <row r="16" spans="1:25" x14ac:dyDescent="0.3">
      <c r="C16" s="321" t="s">
        <v>932</v>
      </c>
      <c r="D16" s="322">
        <v>100</v>
      </c>
      <c r="G16" s="317">
        <v>0</v>
      </c>
      <c r="H16" s="318"/>
      <c r="I16" s="319"/>
    </row>
    <row r="17" spans="2:9" x14ac:dyDescent="0.3">
      <c r="C17" s="324" t="s">
        <v>1269</v>
      </c>
      <c r="D17" s="325">
        <v>2</v>
      </c>
      <c r="G17" s="317">
        <v>1</v>
      </c>
      <c r="H17" s="86"/>
      <c r="I17" s="323"/>
    </row>
    <row r="18" spans="2:9" x14ac:dyDescent="0.3">
      <c r="C18" s="326" t="s">
        <v>1270</v>
      </c>
      <c r="D18" s="327">
        <v>2</v>
      </c>
      <c r="G18" s="317">
        <v>2</v>
      </c>
      <c r="H18" s="86"/>
      <c r="I18" s="323"/>
    </row>
    <row r="19" spans="2:9" x14ac:dyDescent="0.3">
      <c r="C19" s="324" t="s">
        <v>1271</v>
      </c>
      <c r="D19" s="328">
        <v>0</v>
      </c>
      <c r="E19" s="325" t="s">
        <v>1164</v>
      </c>
      <c r="G19" s="317">
        <v>3</v>
      </c>
      <c r="H19" s="86"/>
      <c r="I19" s="323"/>
    </row>
    <row r="20" spans="2:9" ht="15" thickBot="1" x14ac:dyDescent="0.35">
      <c r="C20" s="324" t="s">
        <v>1272</v>
      </c>
      <c r="D20" s="328">
        <f>+D8</f>
        <v>3.0000000000000001E-3</v>
      </c>
      <c r="E20" s="325" t="s">
        <v>1164</v>
      </c>
      <c r="G20" s="329">
        <v>4</v>
      </c>
      <c r="H20" s="337">
        <f>+D16</f>
        <v>100</v>
      </c>
      <c r="I20" s="330"/>
    </row>
    <row r="21" spans="2:9" ht="15" thickBot="1" x14ac:dyDescent="0.35">
      <c r="C21" s="324" t="s">
        <v>1274</v>
      </c>
      <c r="D21" s="328">
        <f t="shared" ref="D21:D23" si="4">+D9</f>
        <v>7.0000000000000001E-3</v>
      </c>
      <c r="E21" s="325" t="s">
        <v>1164</v>
      </c>
      <c r="H21" s="331" t="s">
        <v>1273</v>
      </c>
      <c r="I21" s="332"/>
    </row>
    <row r="22" spans="2:9" x14ac:dyDescent="0.3">
      <c r="C22" s="324" t="s">
        <v>1275</v>
      </c>
      <c r="D22" s="328">
        <f t="shared" si="4"/>
        <v>1.0999999999999999E-2</v>
      </c>
      <c r="E22" s="325" t="s">
        <v>1164</v>
      </c>
    </row>
    <row r="23" spans="2:9" x14ac:dyDescent="0.3">
      <c r="C23" s="324" t="s">
        <v>1277</v>
      </c>
      <c r="D23" s="328">
        <f t="shared" si="4"/>
        <v>1.2E-2</v>
      </c>
      <c r="E23" s="325" t="s">
        <v>1164</v>
      </c>
      <c r="G23" t="s">
        <v>1276</v>
      </c>
      <c r="I23" s="333">
        <f>+I21</f>
        <v>0</v>
      </c>
    </row>
    <row r="24" spans="2:9" x14ac:dyDescent="0.3">
      <c r="G24" t="s">
        <v>1278</v>
      </c>
    </row>
    <row r="26" spans="2:9" ht="15" thickBot="1" x14ac:dyDescent="0.35"/>
    <row r="27" spans="2:9" x14ac:dyDescent="0.3">
      <c r="C27" s="338"/>
      <c r="D27" s="54"/>
      <c r="E27" s="54"/>
      <c r="F27" s="54"/>
      <c r="G27" s="102"/>
    </row>
    <row r="28" spans="2:9" x14ac:dyDescent="0.3">
      <c r="B28" t="s">
        <v>1280</v>
      </c>
      <c r="C28" s="339" t="s">
        <v>1281</v>
      </c>
      <c r="D28" s="340" t="s">
        <v>1282</v>
      </c>
      <c r="E28" s="115" t="s">
        <v>1283</v>
      </c>
      <c r="F28" s="57" t="s">
        <v>1256</v>
      </c>
      <c r="G28" s="341" t="s">
        <v>149</v>
      </c>
      <c r="H28" s="342" t="s">
        <v>1284</v>
      </c>
      <c r="I28" s="75"/>
    </row>
    <row r="29" spans="2:9" x14ac:dyDescent="0.3">
      <c r="C29" s="56"/>
      <c r="D29" s="57" t="s">
        <v>193</v>
      </c>
      <c r="E29" t="s">
        <v>1285</v>
      </c>
      <c r="G29" s="59" t="s">
        <v>1286</v>
      </c>
    </row>
    <row r="30" spans="2:9" ht="15" thickBot="1" x14ac:dyDescent="0.35">
      <c r="C30" s="60"/>
      <c r="D30" s="61"/>
      <c r="E30" s="61"/>
      <c r="F30" s="61"/>
      <c r="G30" s="63"/>
    </row>
    <row r="31" spans="2:9" x14ac:dyDescent="0.3">
      <c r="C31" s="52"/>
      <c r="D31" s="54"/>
      <c r="E31" s="54"/>
      <c r="F31" s="54"/>
      <c r="G31" s="102"/>
    </row>
    <row r="32" spans="2:9" x14ac:dyDescent="0.3">
      <c r="B32" t="s">
        <v>1287</v>
      </c>
      <c r="C32" s="339" t="s">
        <v>1288</v>
      </c>
      <c r="D32" s="340" t="s">
        <v>1282</v>
      </c>
      <c r="E32" s="115" t="s">
        <v>1289</v>
      </c>
      <c r="F32" s="57" t="s">
        <v>1256</v>
      </c>
      <c r="G32" s="341" t="s">
        <v>149</v>
      </c>
    </row>
    <row r="33" spans="2:15" x14ac:dyDescent="0.3">
      <c r="C33" s="56"/>
      <c r="D33" s="57" t="s">
        <v>193</v>
      </c>
      <c r="E33" t="s">
        <v>1290</v>
      </c>
      <c r="G33" s="59" t="s">
        <v>1291</v>
      </c>
      <c r="I33" s="78" t="s">
        <v>1292</v>
      </c>
      <c r="J33" s="78"/>
      <c r="K33" s="78"/>
      <c r="L33" s="78"/>
    </row>
    <row r="34" spans="2:15" ht="15" thickBot="1" x14ac:dyDescent="0.35">
      <c r="C34" s="60"/>
      <c r="D34" s="61"/>
      <c r="E34" s="61"/>
      <c r="F34" s="61"/>
      <c r="G34" s="63"/>
    </row>
    <row r="35" spans="2:15" x14ac:dyDescent="0.3">
      <c r="C35" s="52"/>
      <c r="D35" s="54"/>
      <c r="E35" s="54"/>
      <c r="F35" s="54"/>
      <c r="G35" s="102"/>
    </row>
    <row r="36" spans="2:15" x14ac:dyDescent="0.3">
      <c r="B36" t="s">
        <v>1293</v>
      </c>
      <c r="C36" s="339" t="s">
        <v>932</v>
      </c>
      <c r="D36" s="340" t="s">
        <v>1282</v>
      </c>
      <c r="E36" s="115" t="s">
        <v>1294</v>
      </c>
      <c r="F36" s="57" t="s">
        <v>1256</v>
      </c>
      <c r="G36" s="341" t="s">
        <v>149</v>
      </c>
    </row>
    <row r="37" spans="2:15" x14ac:dyDescent="0.3">
      <c r="B37" t="s">
        <v>1295</v>
      </c>
      <c r="C37" s="56"/>
      <c r="D37" s="57" t="s">
        <v>193</v>
      </c>
      <c r="E37" t="s">
        <v>1296</v>
      </c>
      <c r="G37" s="59" t="s">
        <v>1297</v>
      </c>
    </row>
    <row r="38" spans="2:15" ht="15" thickBot="1" x14ac:dyDescent="0.35">
      <c r="C38" s="60"/>
      <c r="D38" s="61"/>
      <c r="E38" s="61"/>
      <c r="F38" s="61"/>
      <c r="G38" s="63"/>
    </row>
    <row r="41" spans="2:15" ht="15" thickBot="1" x14ac:dyDescent="0.35"/>
    <row r="42" spans="2:15" ht="15" thickBot="1" x14ac:dyDescent="0.35">
      <c r="C42" s="343" t="s">
        <v>1298</v>
      </c>
      <c r="D42" s="344"/>
      <c r="E42" s="344"/>
      <c r="F42" s="344"/>
      <c r="G42" s="344"/>
      <c r="H42" s="344"/>
      <c r="I42" s="344"/>
      <c r="J42" s="344"/>
      <c r="K42" s="344"/>
      <c r="L42" s="344"/>
      <c r="M42" s="345"/>
    </row>
    <row r="43" spans="2:15" x14ac:dyDescent="0.3">
      <c r="C43" s="346"/>
      <c r="D43" s="347"/>
      <c r="E43" s="348"/>
      <c r="F43" s="348"/>
      <c r="G43" s="348"/>
      <c r="H43" s="348"/>
      <c r="I43" s="347"/>
      <c r="J43" s="347"/>
      <c r="K43" s="347"/>
      <c r="L43" s="347"/>
      <c r="M43" s="349"/>
    </row>
    <row r="44" spans="2:15" x14ac:dyDescent="0.3">
      <c r="C44" s="350" t="s">
        <v>1282</v>
      </c>
      <c r="D44" s="351" t="s">
        <v>1299</v>
      </c>
      <c r="E44" s="352" t="s">
        <v>1256</v>
      </c>
      <c r="F44" s="353" t="s">
        <v>149</v>
      </c>
      <c r="G44" s="352" t="s">
        <v>336</v>
      </c>
      <c r="H44" s="354" t="s">
        <v>1300</v>
      </c>
      <c r="I44" s="353" t="s">
        <v>1297</v>
      </c>
      <c r="J44" s="352" t="s">
        <v>632</v>
      </c>
      <c r="K44" s="353" t="s">
        <v>149</v>
      </c>
      <c r="L44" s="352" t="s">
        <v>1256</v>
      </c>
      <c r="M44" s="355" t="s">
        <v>149</v>
      </c>
      <c r="N44" s="57" t="s">
        <v>336</v>
      </c>
      <c r="O44" s="57" t="s">
        <v>149</v>
      </c>
    </row>
    <row r="45" spans="2:15" x14ac:dyDescent="0.3">
      <c r="C45" s="356" t="s">
        <v>193</v>
      </c>
      <c r="D45" s="357" t="s">
        <v>1301</v>
      </c>
      <c r="E45" s="357"/>
      <c r="F45" s="357" t="s">
        <v>1297</v>
      </c>
      <c r="G45" s="357"/>
      <c r="H45" s="357"/>
      <c r="I45" s="352" t="str">
        <f>+I44</f>
        <v>(1+T.C./m)^mn</v>
      </c>
      <c r="J45" s="357"/>
      <c r="K45" s="357" t="str">
        <f>+I45</f>
        <v>(1+T.C./m)^mn</v>
      </c>
      <c r="L45" s="357"/>
      <c r="M45" s="358" t="s">
        <v>1297</v>
      </c>
    </row>
    <row r="46" spans="2:15" ht="15" thickBot="1" x14ac:dyDescent="0.35">
      <c r="C46" s="359"/>
      <c r="D46" s="360"/>
      <c r="E46" s="360"/>
      <c r="F46" s="360"/>
      <c r="G46" s="360"/>
      <c r="H46" s="360"/>
      <c r="I46" s="360"/>
      <c r="J46" s="360"/>
      <c r="K46" s="360"/>
      <c r="L46" s="360"/>
      <c r="M46" s="361"/>
    </row>
    <row r="47" spans="2:15" x14ac:dyDescent="0.3">
      <c r="B47" t="s">
        <v>1302</v>
      </c>
    </row>
    <row r="48" spans="2:15" x14ac:dyDescent="0.3">
      <c r="B48" t="s">
        <v>1303</v>
      </c>
      <c r="J48" t="s">
        <v>1335</v>
      </c>
    </row>
    <row r="49" spans="2:19" x14ac:dyDescent="0.3">
      <c r="B49" t="s">
        <v>1304</v>
      </c>
      <c r="J49" t="s">
        <v>1336</v>
      </c>
    </row>
    <row r="50" spans="2:19" x14ac:dyDescent="0.3">
      <c r="J50" t="s">
        <v>203</v>
      </c>
    </row>
    <row r="52" spans="2:19" x14ac:dyDescent="0.3">
      <c r="B52" s="78"/>
      <c r="C52" s="78"/>
      <c r="D52" s="78"/>
      <c r="E52" s="78"/>
      <c r="J52" t="s">
        <v>1337</v>
      </c>
      <c r="K52" s="320">
        <f>PV(0.1/2,0,100*0.1/2,100)</f>
        <v>-100</v>
      </c>
    </row>
    <row r="55" spans="2:19" x14ac:dyDescent="0.3">
      <c r="C55" s="362"/>
      <c r="D55" s="362"/>
      <c r="E55" s="362"/>
      <c r="F55" s="362"/>
      <c r="G55" s="362"/>
      <c r="H55" s="362"/>
      <c r="I55" s="362"/>
      <c r="L55" s="391" t="s">
        <v>1322</v>
      </c>
      <c r="M55" s="391"/>
      <c r="N55" s="391"/>
      <c r="O55" s="392"/>
      <c r="P55" s="392"/>
      <c r="Q55" s="392"/>
      <c r="R55" s="362" t="s">
        <v>1323</v>
      </c>
      <c r="S55" s="393">
        <f>+SUM(P58:P60)</f>
        <v>100.91256373153797</v>
      </c>
    </row>
    <row r="56" spans="2:19" x14ac:dyDescent="0.3">
      <c r="C56" s="363"/>
      <c r="D56" s="362"/>
      <c r="E56" s="362"/>
      <c r="F56" s="362"/>
      <c r="G56" s="362"/>
      <c r="H56" s="362"/>
      <c r="I56" s="362"/>
      <c r="K56" s="57" t="s">
        <v>1177</v>
      </c>
      <c r="L56" s="394" t="s">
        <v>1324</v>
      </c>
      <c r="M56" s="394" t="s">
        <v>1325</v>
      </c>
      <c r="N56" s="394" t="s">
        <v>1326</v>
      </c>
      <c r="O56" s="395" t="s">
        <v>1178</v>
      </c>
      <c r="P56" s="392"/>
      <c r="Q56" s="392"/>
      <c r="R56" s="362"/>
    </row>
    <row r="57" spans="2:19" x14ac:dyDescent="0.3">
      <c r="C57" s="363"/>
      <c r="D57" s="362"/>
      <c r="E57" s="362"/>
      <c r="F57" s="362"/>
      <c r="G57" s="362"/>
      <c r="H57" s="362"/>
      <c r="I57" s="362"/>
      <c r="K57" s="396">
        <v>44104</v>
      </c>
      <c r="L57" s="397">
        <f>-100/(1+0.0016/2)</f>
        <v>-99.920063948840934</v>
      </c>
      <c r="M57" s="397">
        <f>-100/(1+0.0028/2)^2</f>
        <v>-99.720586904317557</v>
      </c>
      <c r="N57" s="397">
        <f>-100/(1+0.0039/2)^3</f>
        <v>-99.417274106754491</v>
      </c>
      <c r="O57" s="398">
        <f>-S55</f>
        <v>-100.91256373153797</v>
      </c>
      <c r="P57" s="362"/>
      <c r="Q57" s="362"/>
      <c r="R57" s="362"/>
    </row>
    <row r="58" spans="2:19" x14ac:dyDescent="0.3">
      <c r="C58" s="363"/>
      <c r="D58" s="362"/>
      <c r="E58" s="362"/>
      <c r="F58" s="362"/>
      <c r="G58" s="362"/>
      <c r="H58" s="362"/>
      <c r="I58" s="362"/>
      <c r="K58" s="396">
        <v>44285</v>
      </c>
      <c r="L58" s="38">
        <v>100</v>
      </c>
      <c r="M58" s="38">
        <v>0</v>
      </c>
      <c r="N58" s="38">
        <v>0</v>
      </c>
      <c r="O58" s="38">
        <f>0.01*100/2</f>
        <v>0.5</v>
      </c>
      <c r="P58" s="393">
        <f>+O58/(1+L61)^1</f>
        <v>0.49960031974420466</v>
      </c>
    </row>
    <row r="59" spans="2:19" x14ac:dyDescent="0.3">
      <c r="C59" s="363"/>
      <c r="D59" s="362"/>
      <c r="E59" s="362"/>
      <c r="F59" s="362"/>
      <c r="G59" s="362"/>
      <c r="H59" s="362"/>
      <c r="I59" s="362"/>
      <c r="K59" s="396">
        <v>44469</v>
      </c>
      <c r="L59" s="38"/>
      <c r="M59" s="38">
        <v>100</v>
      </c>
      <c r="N59" s="38">
        <v>0</v>
      </c>
      <c r="O59" s="38">
        <f>100*0.01/2</f>
        <v>0.5</v>
      </c>
      <c r="P59">
        <f>+O59/(1+M62/2)^2</f>
        <v>0.49860293452158777</v>
      </c>
    </row>
    <row r="60" spans="2:19" x14ac:dyDescent="0.3">
      <c r="C60" s="363"/>
      <c r="D60" s="362"/>
      <c r="E60" s="362"/>
      <c r="F60" s="362"/>
      <c r="G60" s="362"/>
      <c r="H60" s="362"/>
      <c r="I60" s="362"/>
      <c r="K60" s="396">
        <v>44650</v>
      </c>
      <c r="L60" s="38"/>
      <c r="M60" s="38"/>
      <c r="N60" s="38">
        <v>100</v>
      </c>
      <c r="O60" s="38">
        <f>+O59+100</f>
        <v>100.5</v>
      </c>
      <c r="P60">
        <f>+O60/(1+N62/2)^3</f>
        <v>99.914360477272183</v>
      </c>
    </row>
    <row r="61" spans="2:19" x14ac:dyDescent="0.3">
      <c r="C61" s="363"/>
      <c r="D61" s="362"/>
      <c r="E61" s="362"/>
      <c r="F61" s="362"/>
      <c r="G61" s="362"/>
      <c r="H61" s="362"/>
      <c r="I61" s="362"/>
      <c r="K61" s="58" t="s">
        <v>1327</v>
      </c>
      <c r="L61" s="80">
        <f>+IRR(L57:L60)</f>
        <v>7.9999999999991189E-4</v>
      </c>
      <c r="M61" s="80">
        <f t="shared" ref="M61:O61" si="5">+IRR(M57:M60)</f>
        <v>1.4000000000000679E-3</v>
      </c>
      <c r="N61" s="399">
        <f t="shared" si="5"/>
        <v>1.9500000000536311E-3</v>
      </c>
      <c r="O61" s="399">
        <f t="shared" si="5"/>
        <v>1.946272568963181E-3</v>
      </c>
    </row>
    <row r="62" spans="2:19" x14ac:dyDescent="0.3">
      <c r="C62" s="363"/>
      <c r="D62" s="362"/>
      <c r="E62" s="362"/>
      <c r="F62" s="362"/>
      <c r="G62" s="362"/>
      <c r="H62" s="362"/>
      <c r="I62" s="362"/>
      <c r="K62" s="58" t="s">
        <v>1328</v>
      </c>
      <c r="L62" s="457">
        <f>2*L61</f>
        <v>1.5999999999998238E-3</v>
      </c>
      <c r="M62" s="457">
        <f t="shared" ref="M62:O62" si="6">2*M61</f>
        <v>2.8000000000001357E-3</v>
      </c>
      <c r="N62" s="457">
        <f t="shared" si="6"/>
        <v>3.9000000001072621E-3</v>
      </c>
      <c r="O62" s="457">
        <f t="shared" si="6"/>
        <v>3.892545137926362E-3</v>
      </c>
    </row>
    <row r="63" spans="2:19" x14ac:dyDescent="0.3">
      <c r="C63" s="363"/>
      <c r="D63" s="362"/>
      <c r="E63" s="362"/>
      <c r="F63" s="362"/>
      <c r="G63" s="362"/>
      <c r="H63" s="362"/>
      <c r="I63" s="362"/>
      <c r="K63" s="78" t="s">
        <v>1329</v>
      </c>
      <c r="L63" s="57" t="s">
        <v>1330</v>
      </c>
      <c r="M63" s="57" t="s">
        <v>1331</v>
      </c>
      <c r="N63" s="57" t="s">
        <v>1332</v>
      </c>
    </row>
    <row r="64" spans="2:19" x14ac:dyDescent="0.3">
      <c r="C64" s="363"/>
      <c r="D64" s="362"/>
      <c r="E64" s="362"/>
      <c r="F64" s="362"/>
      <c r="G64" s="362"/>
      <c r="H64" s="362"/>
      <c r="I64" s="362"/>
    </row>
    <row r="65" spans="2:18" x14ac:dyDescent="0.3">
      <c r="C65" s="363"/>
      <c r="D65" s="362"/>
      <c r="E65" s="362"/>
      <c r="F65" s="362"/>
      <c r="G65" s="362"/>
      <c r="H65" s="362"/>
      <c r="I65" s="362"/>
    </row>
    <row r="66" spans="2:18" x14ac:dyDescent="0.3">
      <c r="C66" s="362"/>
      <c r="D66" s="362"/>
      <c r="E66" s="362"/>
      <c r="F66" s="362"/>
      <c r="G66" s="362"/>
      <c r="H66" s="362"/>
      <c r="I66" s="362"/>
    </row>
    <row r="67" spans="2:18" x14ac:dyDescent="0.3">
      <c r="C67" s="362"/>
      <c r="D67" s="362"/>
      <c r="E67" s="362"/>
      <c r="F67" s="362"/>
      <c r="G67" s="362"/>
      <c r="H67" s="362"/>
      <c r="I67" s="362"/>
    </row>
    <row r="68" spans="2:18" x14ac:dyDescent="0.3">
      <c r="C68" s="362"/>
      <c r="D68" s="362"/>
      <c r="E68" s="362"/>
      <c r="F68" s="362"/>
      <c r="G68" s="362"/>
      <c r="H68" s="362"/>
      <c r="I68" s="362"/>
    </row>
    <row r="69" spans="2:18" x14ac:dyDescent="0.3">
      <c r="C69" s="362"/>
      <c r="D69" s="362"/>
      <c r="E69" s="362"/>
      <c r="F69" s="364"/>
      <c r="G69" s="362"/>
      <c r="H69" s="362"/>
      <c r="I69" s="362"/>
    </row>
    <row r="70" spans="2:18" x14ac:dyDescent="0.3">
      <c r="C70" s="362"/>
      <c r="D70" s="362"/>
      <c r="E70" s="362"/>
      <c r="F70" s="362"/>
      <c r="G70" s="362"/>
      <c r="H70" s="362"/>
      <c r="I70" s="362"/>
    </row>
    <row r="71" spans="2:18" x14ac:dyDescent="0.3">
      <c r="C71" s="362"/>
      <c r="D71" s="362"/>
      <c r="E71" s="362"/>
      <c r="F71" s="362"/>
      <c r="G71" s="362"/>
      <c r="H71" s="362"/>
      <c r="I71" s="362"/>
      <c r="L71">
        <v>-120</v>
      </c>
      <c r="N71" t="s">
        <v>1333</v>
      </c>
      <c r="O71" t="s">
        <v>1127</v>
      </c>
      <c r="P71" t="s">
        <v>190</v>
      </c>
      <c r="Q71" t="s">
        <v>1128</v>
      </c>
      <c r="R71" t="s">
        <v>1334</v>
      </c>
    </row>
    <row r="72" spans="2:18" x14ac:dyDescent="0.3">
      <c r="C72" s="362"/>
      <c r="D72" s="362"/>
      <c r="E72" s="362"/>
      <c r="F72" s="365"/>
      <c r="G72" s="362"/>
      <c r="H72" s="362"/>
      <c r="I72" s="362"/>
      <c r="L72">
        <v>20</v>
      </c>
      <c r="N72">
        <v>1</v>
      </c>
      <c r="O72">
        <v>120</v>
      </c>
      <c r="P72">
        <f>+L75*O72</f>
        <v>8.6235674858823685</v>
      </c>
      <c r="Q72">
        <f>+R72-P72</f>
        <v>11.376432514117631</v>
      </c>
      <c r="R72">
        <v>20</v>
      </c>
    </row>
    <row r="73" spans="2:18" x14ac:dyDescent="0.3">
      <c r="C73" s="362"/>
      <c r="D73" s="362"/>
      <c r="E73" s="362"/>
      <c r="F73" s="362"/>
      <c r="G73" s="362"/>
      <c r="H73" s="362"/>
      <c r="I73" s="362"/>
      <c r="L73">
        <v>25</v>
      </c>
      <c r="N73">
        <v>2</v>
      </c>
      <c r="O73">
        <f>+O72-Q72</f>
        <v>108.62356748588238</v>
      </c>
      <c r="P73">
        <f>+O73*L75</f>
        <v>7.8060222064317042</v>
      </c>
      <c r="Q73">
        <f>+R73-P73</f>
        <v>17.193977793568294</v>
      </c>
      <c r="R73">
        <v>25</v>
      </c>
    </row>
    <row r="74" spans="2:18" x14ac:dyDescent="0.3">
      <c r="C74" s="362"/>
      <c r="D74" s="362"/>
      <c r="E74" s="362"/>
      <c r="F74" s="362"/>
      <c r="G74" s="362"/>
      <c r="H74" s="362"/>
      <c r="I74" s="362"/>
      <c r="L74">
        <v>98</v>
      </c>
      <c r="N74">
        <v>3</v>
      </c>
      <c r="O74">
        <f>+O73-Q73</f>
        <v>91.429589692314082</v>
      </c>
      <c r="P74">
        <f>+L75*O74</f>
        <v>6.570410307651712</v>
      </c>
      <c r="Q74">
        <f>+R74-P74</f>
        <v>91.429589692348287</v>
      </c>
      <c r="R74">
        <v>98</v>
      </c>
    </row>
    <row r="75" spans="2:18" x14ac:dyDescent="0.3">
      <c r="C75" s="362"/>
      <c r="D75" s="362"/>
      <c r="E75" s="362"/>
      <c r="F75" s="362"/>
      <c r="G75" s="362"/>
      <c r="H75" s="362"/>
      <c r="I75" s="362"/>
      <c r="L75" s="79">
        <f>+IRR(L71:L74)</f>
        <v>7.1863062382353071E-2</v>
      </c>
      <c r="Q75">
        <f>SUM(Q72:Q74)</f>
        <v>120.00000000003422</v>
      </c>
    </row>
    <row r="76" spans="2:18" s="411" customFormat="1" ht="15.6" x14ac:dyDescent="0.3">
      <c r="B76" s="412" t="s">
        <v>1305</v>
      </c>
      <c r="C76" s="412"/>
      <c r="D76" s="412"/>
      <c r="E76" s="412"/>
      <c r="F76" s="412"/>
    </row>
    <row r="77" spans="2:18" ht="15" thickBot="1" x14ac:dyDescent="0.35"/>
    <row r="78" spans="2:18" ht="15" thickBot="1" x14ac:dyDescent="0.35">
      <c r="B78" s="52" t="s">
        <v>932</v>
      </c>
      <c r="C78" s="367">
        <v>100</v>
      </c>
    </row>
    <row r="79" spans="2:18" ht="15" thickBot="1" x14ac:dyDescent="0.35">
      <c r="B79" s="331" t="s">
        <v>1271</v>
      </c>
      <c r="C79" s="368">
        <v>0.1</v>
      </c>
      <c r="D79" s="369" t="s">
        <v>1164</v>
      </c>
    </row>
    <row r="80" spans="2:18" x14ac:dyDescent="0.3">
      <c r="B80" t="s">
        <v>1306</v>
      </c>
    </row>
    <row r="81" spans="2:6" x14ac:dyDescent="0.3">
      <c r="B81" t="s">
        <v>1307</v>
      </c>
    </row>
    <row r="83" spans="2:6" ht="15.6" x14ac:dyDescent="0.3">
      <c r="B83" s="366" t="s">
        <v>1308</v>
      </c>
      <c r="C83" s="366"/>
      <c r="D83" s="366"/>
    </row>
    <row r="84" spans="2:6" ht="15.6" x14ac:dyDescent="0.3">
      <c r="B84" s="366" t="s">
        <v>1309</v>
      </c>
      <c r="C84" s="366"/>
      <c r="D84" s="366"/>
    </row>
    <row r="85" spans="2:6" ht="15" thickBot="1" x14ac:dyDescent="0.35"/>
    <row r="86" spans="2:6" ht="15" thickBot="1" x14ac:dyDescent="0.35">
      <c r="B86" s="370" t="s">
        <v>947</v>
      </c>
      <c r="C86" s="371" t="s">
        <v>1310</v>
      </c>
      <c r="D86" s="372" t="s">
        <v>819</v>
      </c>
    </row>
    <row r="87" spans="2:6" ht="15" thickBot="1" x14ac:dyDescent="0.35">
      <c r="B87" s="373">
        <v>44316</v>
      </c>
      <c r="C87" s="374">
        <v>95.238095200000004</v>
      </c>
      <c r="D87" s="375"/>
    </row>
    <row r="88" spans="2:6" ht="15" thickBot="1" x14ac:dyDescent="0.35">
      <c r="B88" s="376">
        <v>44499</v>
      </c>
      <c r="C88" s="377">
        <v>90.702947800000004</v>
      </c>
      <c r="D88" s="378"/>
    </row>
    <row r="89" spans="2:6" ht="15" thickBot="1" x14ac:dyDescent="0.35">
      <c r="B89" s="373">
        <v>44681</v>
      </c>
      <c r="C89" s="374">
        <v>86.383759900000001</v>
      </c>
      <c r="D89" s="379"/>
    </row>
    <row r="90" spans="2:6" ht="15" thickBot="1" x14ac:dyDescent="0.35">
      <c r="B90" s="380">
        <v>44864</v>
      </c>
      <c r="C90" s="381">
        <v>82.270247499999996</v>
      </c>
      <c r="D90" s="382"/>
    </row>
    <row r="93" spans="2:6" x14ac:dyDescent="0.3">
      <c r="B93" t="s">
        <v>1311</v>
      </c>
    </row>
    <row r="94" spans="2:6" ht="15" thickBot="1" x14ac:dyDescent="0.35"/>
    <row r="95" spans="2:6" ht="15" thickBot="1" x14ac:dyDescent="0.35">
      <c r="B95" s="370" t="s">
        <v>1177</v>
      </c>
      <c r="C95" s="371" t="s">
        <v>1312</v>
      </c>
      <c r="E95" s="383" t="s">
        <v>1313</v>
      </c>
      <c r="F95" s="383" t="s">
        <v>1314</v>
      </c>
    </row>
    <row r="96" spans="2:6" ht="15" thickBot="1" x14ac:dyDescent="0.35">
      <c r="B96" s="373">
        <v>44134</v>
      </c>
      <c r="C96" s="384"/>
    </row>
    <row r="97" spans="2:3" ht="15" thickBot="1" x14ac:dyDescent="0.35">
      <c r="B97" s="373">
        <v>44316</v>
      </c>
      <c r="C97" s="384"/>
    </row>
    <row r="98" spans="2:3" ht="15" thickBot="1" x14ac:dyDescent="0.35">
      <c r="B98" s="373">
        <v>44499</v>
      </c>
      <c r="C98" s="384"/>
    </row>
    <row r="99" spans="2:3" ht="15" thickBot="1" x14ac:dyDescent="0.35">
      <c r="B99" s="373">
        <v>44681</v>
      </c>
      <c r="C99" s="384"/>
    </row>
    <row r="100" spans="2:3" ht="15" thickBot="1" x14ac:dyDescent="0.35">
      <c r="B100" s="373">
        <v>44864</v>
      </c>
      <c r="C100" s="384"/>
    </row>
    <row r="104" spans="2:3" x14ac:dyDescent="0.3">
      <c r="B104" t="s">
        <v>1315</v>
      </c>
    </row>
    <row r="105" spans="2:3" ht="15" thickBot="1" x14ac:dyDescent="0.35"/>
    <row r="106" spans="2:3" ht="15" thickBot="1" x14ac:dyDescent="0.35">
      <c r="B106" s="371" t="s">
        <v>1177</v>
      </c>
      <c r="C106" s="372" t="s">
        <v>1312</v>
      </c>
    </row>
    <row r="107" spans="2:3" ht="15" thickBot="1" x14ac:dyDescent="0.35">
      <c r="B107" s="384"/>
      <c r="C107" s="384"/>
    </row>
    <row r="108" spans="2:3" ht="15" thickBot="1" x14ac:dyDescent="0.35">
      <c r="B108" s="373">
        <v>44226</v>
      </c>
      <c r="C108" s="384"/>
    </row>
    <row r="109" spans="2:3" ht="15" thickBot="1" x14ac:dyDescent="0.35">
      <c r="B109" s="373">
        <v>44407</v>
      </c>
      <c r="C109" s="384"/>
    </row>
    <row r="110" spans="2:3" ht="15" thickBot="1" x14ac:dyDescent="0.35">
      <c r="B110" s="373">
        <v>44591</v>
      </c>
      <c r="C110" s="384"/>
    </row>
    <row r="111" spans="2:3" ht="15" thickBot="1" x14ac:dyDescent="0.35">
      <c r="B111" s="373">
        <v>44772</v>
      </c>
      <c r="C111" s="384"/>
    </row>
    <row r="114" spans="2:12" s="411" customFormat="1" x14ac:dyDescent="0.3"/>
    <row r="115" spans="2:12" x14ac:dyDescent="0.3">
      <c r="F115" s="408" t="s">
        <v>1365</v>
      </c>
      <c r="G115" s="410"/>
      <c r="H115" s="83"/>
      <c r="I115" s="83"/>
    </row>
    <row r="116" spans="2:12" ht="16.2" x14ac:dyDescent="0.45">
      <c r="C116" s="324" t="s">
        <v>932</v>
      </c>
      <c r="D116" s="385">
        <v>100</v>
      </c>
      <c r="F116" s="408" t="s">
        <v>1364</v>
      </c>
      <c r="G116" s="408"/>
      <c r="H116" s="333" t="s">
        <v>1363</v>
      </c>
      <c r="I116" s="409" t="s">
        <v>1362</v>
      </c>
    </row>
    <row r="117" spans="2:12" x14ac:dyDescent="0.3">
      <c r="C117" s="324" t="s">
        <v>1269</v>
      </c>
      <c r="D117" s="325">
        <v>2</v>
      </c>
      <c r="F117" s="408" t="s">
        <v>1361</v>
      </c>
      <c r="G117" s="408"/>
      <c r="H117" s="386"/>
      <c r="I117" s="386" t="s">
        <v>1360</v>
      </c>
    </row>
    <row r="118" spans="2:12" x14ac:dyDescent="0.3">
      <c r="C118" s="326" t="s">
        <v>1270</v>
      </c>
      <c r="D118" s="327">
        <v>2</v>
      </c>
      <c r="F118" s="408" t="s">
        <v>1359</v>
      </c>
      <c r="G118" s="408"/>
      <c r="H118" s="386"/>
      <c r="I118" s="386"/>
    </row>
    <row r="119" spans="2:12" ht="16.2" x14ac:dyDescent="0.45">
      <c r="C119" s="324" t="s">
        <v>1271</v>
      </c>
      <c r="D119" s="328">
        <v>0.1</v>
      </c>
      <c r="E119" s="325" t="s">
        <v>1164</v>
      </c>
      <c r="H119" s="386" t="str">
        <f>+H116</f>
        <v>Retorno Corriente =</v>
      </c>
      <c r="I119" s="407" t="s">
        <v>1358</v>
      </c>
    </row>
    <row r="120" spans="2:12" x14ac:dyDescent="0.3">
      <c r="B120" t="s">
        <v>1181</v>
      </c>
      <c r="C120" s="324" t="s">
        <v>35</v>
      </c>
      <c r="D120" s="387">
        <v>100</v>
      </c>
      <c r="E120" s="325" t="s">
        <v>1316</v>
      </c>
      <c r="H120" s="386"/>
      <c r="I120" s="386" t="s">
        <v>1357</v>
      </c>
      <c r="K120" t="s">
        <v>1317</v>
      </c>
      <c r="L120" s="35">
        <v>0.1</v>
      </c>
    </row>
    <row r="121" spans="2:12" x14ac:dyDescent="0.3">
      <c r="B121" t="s">
        <v>1183</v>
      </c>
      <c r="C121" s="324" t="s">
        <v>35</v>
      </c>
      <c r="D121" s="387">
        <v>90</v>
      </c>
      <c r="E121" s="325" t="s">
        <v>1318</v>
      </c>
      <c r="H121" s="78"/>
      <c r="I121" s="389"/>
    </row>
    <row r="122" spans="2:12" ht="15" thickBot="1" x14ac:dyDescent="0.35">
      <c r="B122" t="s">
        <v>1185</v>
      </c>
      <c r="C122" s="324" t="s">
        <v>35</v>
      </c>
      <c r="D122" s="387">
        <v>105</v>
      </c>
      <c r="E122" s="325" t="s">
        <v>1319</v>
      </c>
      <c r="I122" s="333"/>
    </row>
    <row r="123" spans="2:12" ht="15" thickBot="1" x14ac:dyDescent="0.35">
      <c r="C123" s="324"/>
      <c r="D123" s="328"/>
      <c r="E123" s="325"/>
      <c r="H123" s="331" t="s">
        <v>1320</v>
      </c>
      <c r="I123" s="390">
        <f>+D131</f>
        <v>0.10000000000000098</v>
      </c>
    </row>
    <row r="124" spans="2:12" ht="15" thickBot="1" x14ac:dyDescent="0.35">
      <c r="C124" s="406" t="s">
        <v>1265</v>
      </c>
      <c r="D124" t="s">
        <v>1356</v>
      </c>
      <c r="E124" s="405" t="s">
        <v>1355</v>
      </c>
      <c r="F124" t="s">
        <v>1354</v>
      </c>
      <c r="G124" t="s">
        <v>1181</v>
      </c>
      <c r="H124" t="s">
        <v>1353</v>
      </c>
      <c r="I124" s="35">
        <f>+(1+0.05)^2-1</f>
        <v>0.10250000000000004</v>
      </c>
    </row>
    <row r="125" spans="2:12" ht="15" thickBot="1" x14ac:dyDescent="0.35">
      <c r="C125">
        <v>0</v>
      </c>
      <c r="D125" s="88">
        <v>-100</v>
      </c>
      <c r="E125">
        <v>-90</v>
      </c>
      <c r="F125">
        <v>-105</v>
      </c>
      <c r="H125" s="331" t="s">
        <v>1321</v>
      </c>
      <c r="I125" s="390">
        <f>+(5+5)/100</f>
        <v>0.1</v>
      </c>
    </row>
    <row r="126" spans="2:12" x14ac:dyDescent="0.3">
      <c r="C126">
        <v>1</v>
      </c>
      <c r="D126">
        <f>100*0.1/2</f>
        <v>5</v>
      </c>
      <c r="E126">
        <f t="shared" ref="E126:F129" si="7">+D126</f>
        <v>5</v>
      </c>
      <c r="F126">
        <f t="shared" si="7"/>
        <v>5</v>
      </c>
    </row>
    <row r="127" spans="2:12" x14ac:dyDescent="0.3">
      <c r="C127">
        <v>2</v>
      </c>
      <c r="D127">
        <f>100*0.1/2</f>
        <v>5</v>
      </c>
      <c r="E127">
        <f t="shared" si="7"/>
        <v>5</v>
      </c>
      <c r="F127">
        <f t="shared" si="7"/>
        <v>5</v>
      </c>
      <c r="K127" t="str">
        <f>+K120</f>
        <v>T.C. =</v>
      </c>
      <c r="L127" s="35">
        <v>0.1</v>
      </c>
    </row>
    <row r="128" spans="2:12" ht="15" thickBot="1" x14ac:dyDescent="0.35">
      <c r="C128">
        <v>3</v>
      </c>
      <c r="D128">
        <f>100*0.1/2</f>
        <v>5</v>
      </c>
      <c r="E128">
        <f t="shared" si="7"/>
        <v>5</v>
      </c>
      <c r="F128">
        <f t="shared" si="7"/>
        <v>5</v>
      </c>
      <c r="H128" t="s">
        <v>1352</v>
      </c>
    </row>
    <row r="129" spans="3:13" ht="15" thickBot="1" x14ac:dyDescent="0.35">
      <c r="C129">
        <v>4</v>
      </c>
      <c r="D129">
        <f>100+D128</f>
        <v>105</v>
      </c>
      <c r="E129">
        <f t="shared" si="7"/>
        <v>105</v>
      </c>
      <c r="F129">
        <f t="shared" si="7"/>
        <v>105</v>
      </c>
      <c r="G129" s="79" t="s">
        <v>1183</v>
      </c>
      <c r="H129" s="331" t="s">
        <v>1320</v>
      </c>
      <c r="I129" s="390">
        <f>+E131</f>
        <v>0.16041184065544511</v>
      </c>
    </row>
    <row r="130" spans="3:13" ht="15" thickBot="1" x14ac:dyDescent="0.35">
      <c r="C130" s="403" t="s">
        <v>1327</v>
      </c>
      <c r="D130" s="404">
        <f>+IRR(D125:D129)</f>
        <v>5.0000000000000488E-2</v>
      </c>
      <c r="E130" s="404">
        <f>+IRR(E125:E129)</f>
        <v>8.0205920327722557E-2</v>
      </c>
      <c r="F130" s="404">
        <f>+IRR(F125:F129)</f>
        <v>3.6343985150785629E-2</v>
      </c>
      <c r="I130" s="35"/>
    </row>
    <row r="131" spans="3:13" ht="15" thickBot="1" x14ac:dyDescent="0.35">
      <c r="C131" s="403" t="s">
        <v>1328</v>
      </c>
      <c r="D131" s="92">
        <f>2*D130</f>
        <v>0.10000000000000098</v>
      </c>
      <c r="E131" s="92">
        <f>2*E130</f>
        <v>0.16041184065544511</v>
      </c>
      <c r="F131" s="92">
        <f>2*F130</f>
        <v>7.2687970301571259E-2</v>
      </c>
      <c r="H131" s="331" t="s">
        <v>1321</v>
      </c>
      <c r="I131" s="390">
        <f>+(5+5)/90</f>
        <v>0.1111111111111111</v>
      </c>
      <c r="J131" t="s">
        <v>288</v>
      </c>
      <c r="K131" t="s">
        <v>1351</v>
      </c>
      <c r="M131" t="s">
        <v>1350</v>
      </c>
    </row>
    <row r="132" spans="3:13" x14ac:dyDescent="0.3">
      <c r="C132" s="403" t="s">
        <v>1349</v>
      </c>
      <c r="D132" s="92">
        <f>+(1+D130)^2-1</f>
        <v>0.10250000000000092</v>
      </c>
      <c r="E132" s="92">
        <f>+(1+E130)^2-1</f>
        <v>0.16684483031106212</v>
      </c>
      <c r="F132" s="92">
        <f>+(1+F130)^2-1</f>
        <v>7.4008855558211684E-2</v>
      </c>
      <c r="K132" t="str">
        <f>+K127</f>
        <v>T.C. =</v>
      </c>
      <c r="L132" s="388">
        <v>0.1</v>
      </c>
    </row>
    <row r="133" spans="3:13" ht="15" thickBot="1" x14ac:dyDescent="0.35"/>
    <row r="134" spans="3:13" ht="15" thickBot="1" x14ac:dyDescent="0.35">
      <c r="G134" t="s">
        <v>1185</v>
      </c>
      <c r="H134" s="331" t="s">
        <v>1320</v>
      </c>
      <c r="I134" s="390">
        <f>+F131</f>
        <v>7.2687970301571259E-2</v>
      </c>
    </row>
    <row r="135" spans="3:13" ht="15" thickBot="1" x14ac:dyDescent="0.35">
      <c r="I135" s="35"/>
    </row>
    <row r="136" spans="3:13" ht="15" thickBot="1" x14ac:dyDescent="0.35">
      <c r="H136" s="331" t="s">
        <v>1321</v>
      </c>
      <c r="I136" s="390">
        <f>+(5+5)/105</f>
        <v>9.5238095238095233E-2</v>
      </c>
    </row>
    <row r="138" spans="3:13" x14ac:dyDescent="0.3">
      <c r="G138" s="402" t="s">
        <v>1348</v>
      </c>
      <c r="H138" s="402"/>
    </row>
    <row r="140" spans="3:13" x14ac:dyDescent="0.3">
      <c r="G140" t="s">
        <v>1347</v>
      </c>
    </row>
    <row r="142" spans="3:13" x14ac:dyDescent="0.3">
      <c r="G142" t="s">
        <v>1346</v>
      </c>
    </row>
    <row r="144" spans="3:13" x14ac:dyDescent="0.3">
      <c r="G144" t="s">
        <v>1345</v>
      </c>
    </row>
    <row r="146" spans="7:9" x14ac:dyDescent="0.3">
      <c r="G146" t="s">
        <v>1344</v>
      </c>
    </row>
    <row r="147" spans="7:9" x14ac:dyDescent="0.3">
      <c r="I147">
        <f>1.08^2/1.06</f>
        <v>1.1003773584905661</v>
      </c>
    </row>
    <row r="148" spans="7:9" x14ac:dyDescent="0.3">
      <c r="G148" t="s">
        <v>1343</v>
      </c>
      <c r="I148">
        <f>+I147-1</f>
        <v>0.10037735849056606</v>
      </c>
    </row>
    <row r="150" spans="7:9" x14ac:dyDescent="0.3">
      <c r="G150" t="s">
        <v>1342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43E0-6BD0-42C5-9F1D-B662EE10A691}">
  <dimension ref="A1:DS976"/>
  <sheetViews>
    <sheetView tabSelected="1" showWhiteSpace="0" topLeftCell="A804" zoomScale="70" zoomScaleNormal="70" zoomScalePageLayoutView="85" workbookViewId="0">
      <selection activeCell="F806" sqref="F806"/>
    </sheetView>
  </sheetViews>
  <sheetFormatPr defaultColWidth="8.88671875" defaultRowHeight="14.4" x14ac:dyDescent="0.3"/>
  <cols>
    <col min="1" max="1" width="9.5546875" style="26" bestFit="1" customWidth="1"/>
    <col min="2" max="2" width="45.109375" style="226" customWidth="1"/>
    <col min="3" max="3" width="8.88671875" style="140" bestFit="1" customWidth="1"/>
    <col min="4" max="4" width="41.6640625" style="127" customWidth="1"/>
    <col min="5" max="5" width="18.33203125" style="127" customWidth="1"/>
    <col min="6" max="6" width="15.109375" style="127" customWidth="1"/>
    <col min="7" max="7" width="16" style="127" customWidth="1"/>
    <col min="8" max="8" width="13.33203125" style="127" customWidth="1"/>
    <col min="9" max="9" width="12.109375" style="127" customWidth="1"/>
    <col min="10" max="10" width="12.33203125" style="127" customWidth="1"/>
    <col min="11" max="11" width="13.88671875" style="127" customWidth="1"/>
    <col min="12" max="12" width="9.44140625" style="127" customWidth="1"/>
    <col min="13" max="13" width="17.5546875" style="127" bestFit="1" customWidth="1"/>
    <col min="14" max="14" width="13.44140625" style="127" customWidth="1"/>
    <col min="15" max="15" width="20.6640625" style="127" customWidth="1"/>
    <col min="16" max="16" width="17.33203125" style="127" customWidth="1"/>
    <col min="17" max="17" width="12.6640625" style="127" customWidth="1"/>
    <col min="18" max="20" width="16.44140625" style="127" bestFit="1" customWidth="1"/>
    <col min="21" max="21" width="19" style="140" bestFit="1" customWidth="1"/>
    <col min="22" max="22" width="13.88671875" style="127" customWidth="1"/>
    <col min="23" max="23" width="20.88671875" style="127" bestFit="1" customWidth="1"/>
    <col min="24" max="24" width="12.109375" style="127" customWidth="1"/>
    <col min="25" max="25" width="29.6640625" style="127" bestFit="1" customWidth="1"/>
    <col min="26" max="26" width="22.6640625" style="127" customWidth="1"/>
    <col min="27" max="27" width="12.88671875" style="127" customWidth="1"/>
    <col min="28" max="28" width="22.6640625" style="127" customWidth="1"/>
    <col min="29" max="30" width="16.44140625" style="127" bestFit="1" customWidth="1"/>
    <col min="31" max="31" width="11" style="127" customWidth="1"/>
    <col min="32" max="34" width="16.44140625" style="127" bestFit="1" customWidth="1"/>
    <col min="35" max="35" width="8.109375" style="140" customWidth="1"/>
    <col min="36" max="36" width="8.109375" style="127" customWidth="1"/>
    <col min="37" max="37" width="16.44140625" style="127" bestFit="1" customWidth="1"/>
    <col min="38" max="38" width="13.88671875" style="127" bestFit="1" customWidth="1"/>
    <col min="39" max="39" width="16.44140625" style="127" bestFit="1" customWidth="1"/>
    <col min="40" max="40" width="13.33203125" style="127" customWidth="1"/>
    <col min="41" max="41" width="16.44140625" style="127" bestFit="1" customWidth="1"/>
    <col min="42" max="42" width="20.5546875" style="127" customWidth="1"/>
    <col min="43" max="51" width="16.44140625" style="127" bestFit="1" customWidth="1"/>
    <col min="52" max="52" width="18.33203125" style="127" bestFit="1" customWidth="1"/>
    <col min="53" max="56" width="16.44140625" style="127" bestFit="1" customWidth="1"/>
    <col min="57" max="57" width="16.44140625" style="139" bestFit="1" customWidth="1"/>
    <col min="58" max="61" width="16.44140625" style="127" bestFit="1" customWidth="1"/>
    <col min="62" max="62" width="14.33203125" style="127" customWidth="1"/>
    <col min="63" max="63" width="16.44140625" style="127" bestFit="1" customWidth="1"/>
    <col min="64" max="64" width="10.6640625" style="127" customWidth="1"/>
    <col min="65" max="65" width="11.6640625" style="127" customWidth="1"/>
    <col min="66" max="68" width="16.44140625" style="127" bestFit="1" customWidth="1"/>
    <col min="69" max="69" width="14" style="127" customWidth="1"/>
    <col min="70" max="123" width="16.44140625" style="127" bestFit="1" customWidth="1"/>
    <col min="124" max="16384" width="8.88671875" style="127"/>
  </cols>
  <sheetData>
    <row r="1" spans="1:57" s="128" customFormat="1" x14ac:dyDescent="0.3">
      <c r="A1" s="124" t="s">
        <v>538</v>
      </c>
      <c r="B1" s="222" t="s">
        <v>416</v>
      </c>
      <c r="C1" s="139"/>
      <c r="U1" s="139"/>
      <c r="AI1" s="139"/>
      <c r="BE1" s="139"/>
    </row>
    <row r="2" spans="1:57" ht="52.8" x14ac:dyDescent="0.3">
      <c r="A2" s="126">
        <v>2</v>
      </c>
      <c r="B2" s="223" t="s">
        <v>418</v>
      </c>
      <c r="C2" s="139">
        <v>2</v>
      </c>
      <c r="O2" s="127" t="s">
        <v>539</v>
      </c>
      <c r="R2" s="127" t="s">
        <v>540</v>
      </c>
      <c r="U2" s="139">
        <v>5</v>
      </c>
      <c r="V2" s="137" t="s">
        <v>551</v>
      </c>
      <c r="W2" s="128">
        <v>166666.67000000001</v>
      </c>
      <c r="X2" s="128">
        <f t="shared" ref="X2" si="0">+W2/290</f>
        <v>574.71265517241386</v>
      </c>
      <c r="Y2" s="154">
        <f>+W3/W2-1</f>
        <v>0.19999997600000041</v>
      </c>
      <c r="Z2" s="128" t="s">
        <v>550</v>
      </c>
      <c r="AA2" s="128"/>
      <c r="AB2" s="128"/>
      <c r="AC2" s="128"/>
      <c r="AD2" s="128"/>
      <c r="AE2" s="128"/>
    </row>
    <row r="3" spans="1:57" ht="26.4" x14ac:dyDescent="0.3">
      <c r="A3" s="39" t="s">
        <v>435</v>
      </c>
      <c r="B3" s="223" t="s">
        <v>440</v>
      </c>
      <c r="C3" s="140" t="s">
        <v>435</v>
      </c>
      <c r="D3" s="138">
        <v>43070</v>
      </c>
      <c r="E3" s="131">
        <v>124.79559999999999</v>
      </c>
      <c r="F3" s="132"/>
      <c r="H3" s="139">
        <v>3</v>
      </c>
      <c r="I3" s="140">
        <v>200000</v>
      </c>
      <c r="J3" s="140"/>
      <c r="K3" s="141">
        <f>+J4/I4</f>
        <v>3.0538051381483276E-2</v>
      </c>
      <c r="V3" s="127" t="s">
        <v>547</v>
      </c>
      <c r="W3" s="127">
        <v>200000</v>
      </c>
      <c r="X3" s="127">
        <f>+W3/350</f>
        <v>571.42857142857144</v>
      </c>
      <c r="Y3" s="145">
        <f>+W3/W4-1</f>
        <v>0.25</v>
      </c>
      <c r="Z3" s="127" t="s">
        <v>552</v>
      </c>
    </row>
    <row r="4" spans="1:57" ht="26.4" x14ac:dyDescent="0.3">
      <c r="A4" s="39" t="s">
        <v>436</v>
      </c>
      <c r="B4" s="223" t="s">
        <v>439</v>
      </c>
      <c r="D4" s="138">
        <v>43435</v>
      </c>
      <c r="E4" s="131">
        <v>184.2552</v>
      </c>
      <c r="F4" s="134">
        <f>+E4/E3-1</f>
        <v>0.4764559006888065</v>
      </c>
      <c r="H4" s="140"/>
      <c r="I4" s="140">
        <v>206300</v>
      </c>
      <c r="J4" s="140">
        <f>+I4-I3</f>
        <v>6300</v>
      </c>
      <c r="K4" s="141">
        <f>+J4/I3</f>
        <v>3.15E-2</v>
      </c>
      <c r="O4" s="127" t="s">
        <v>536</v>
      </c>
      <c r="V4" s="127" t="s">
        <v>548</v>
      </c>
      <c r="W4" s="127">
        <v>160000</v>
      </c>
      <c r="X4" s="127">
        <f>+W4/290</f>
        <v>551.72413793103453</v>
      </c>
    </row>
    <row r="5" spans="1:57" ht="39.6" x14ac:dyDescent="0.2">
      <c r="A5" s="39" t="s">
        <v>437</v>
      </c>
      <c r="B5" s="223" t="s">
        <v>438</v>
      </c>
      <c r="D5" s="138">
        <v>43800</v>
      </c>
      <c r="E5" s="131">
        <v>283.44420000000002</v>
      </c>
      <c r="F5" s="134">
        <f>+E5/E4-1</f>
        <v>0.5383240201633388</v>
      </c>
      <c r="H5" s="142">
        <v>43739</v>
      </c>
      <c r="I5" s="143">
        <v>262.06610000000001</v>
      </c>
      <c r="J5" s="140"/>
      <c r="K5" s="140"/>
      <c r="O5" s="127" t="s">
        <v>336</v>
      </c>
      <c r="T5" s="127" t="s">
        <v>541</v>
      </c>
      <c r="V5" s="127" t="s">
        <v>554</v>
      </c>
      <c r="W5" s="127" t="s">
        <v>549</v>
      </c>
      <c r="Y5" s="148">
        <f>+X3/X2-1</f>
        <v>-5.7143055999996362E-3</v>
      </c>
      <c r="Z5" s="127" t="s">
        <v>558</v>
      </c>
    </row>
    <row r="6" spans="1:57" x14ac:dyDescent="0.2">
      <c r="B6" s="224"/>
      <c r="C6" s="140" t="s">
        <v>436</v>
      </c>
      <c r="D6" s="134">
        <f>+E5/E3-1</f>
        <v>1.2712675767414878</v>
      </c>
      <c r="F6" s="134"/>
      <c r="H6" s="142">
        <v>43770</v>
      </c>
      <c r="I6" s="143">
        <v>273.2158</v>
      </c>
      <c r="J6" s="144">
        <f>+I6/I5-1</f>
        <v>4.2545373094803107E-2</v>
      </c>
      <c r="K6" s="141">
        <f>+(1+K4)/(1+J6)-1</f>
        <v>-1.0594620991904447E-2</v>
      </c>
      <c r="O6" s="127" t="s">
        <v>537</v>
      </c>
      <c r="V6" s="127" t="s">
        <v>555</v>
      </c>
      <c r="W6" s="127" t="s">
        <v>556</v>
      </c>
      <c r="Y6" s="148">
        <f>+X3/X4-1</f>
        <v>3.5714285714285587E-2</v>
      </c>
      <c r="Z6" s="127" t="s">
        <v>557</v>
      </c>
    </row>
    <row r="7" spans="1:57" ht="26.4" x14ac:dyDescent="0.3">
      <c r="A7" s="125">
        <v>3</v>
      </c>
      <c r="B7" s="223" t="s">
        <v>419</v>
      </c>
    </row>
    <row r="8" spans="1:57" x14ac:dyDescent="0.3">
      <c r="B8" s="223" t="s">
        <v>417</v>
      </c>
      <c r="F8" s="129"/>
      <c r="O8" s="127" t="s">
        <v>542</v>
      </c>
      <c r="U8" s="139">
        <v>6</v>
      </c>
      <c r="V8" s="128" t="s">
        <v>560</v>
      </c>
      <c r="W8" s="128"/>
      <c r="X8" s="128"/>
      <c r="Y8" s="128"/>
      <c r="Z8" s="128"/>
      <c r="AA8" s="128"/>
      <c r="AB8" s="128"/>
      <c r="AC8" s="128"/>
      <c r="AD8" s="128"/>
      <c r="AE8" s="128"/>
    </row>
    <row r="9" spans="1:57" ht="26.4" x14ac:dyDescent="0.3">
      <c r="B9" s="223" t="s">
        <v>457</v>
      </c>
      <c r="C9" s="139">
        <v>4</v>
      </c>
      <c r="D9" s="128" t="s">
        <v>525</v>
      </c>
      <c r="E9" s="128">
        <v>65</v>
      </c>
      <c r="F9" s="128" t="s">
        <v>524</v>
      </c>
      <c r="G9" s="128"/>
      <c r="H9" s="128" t="s">
        <v>521</v>
      </c>
      <c r="I9" s="153">
        <f>1/E9</f>
        <v>1.5384615384615385E-2</v>
      </c>
      <c r="J9" s="128" t="s">
        <v>120</v>
      </c>
      <c r="K9" s="128"/>
      <c r="L9" s="128"/>
      <c r="M9" s="128"/>
      <c r="N9" s="128"/>
      <c r="O9" s="127" t="s">
        <v>336</v>
      </c>
      <c r="T9" s="127" t="s">
        <v>544</v>
      </c>
      <c r="V9" s="127" t="s">
        <v>559</v>
      </c>
      <c r="W9" s="127">
        <v>160</v>
      </c>
    </row>
    <row r="10" spans="1:57" ht="66" x14ac:dyDescent="0.3">
      <c r="B10" s="223" t="s">
        <v>458</v>
      </c>
      <c r="D10" s="127" t="s">
        <v>525</v>
      </c>
      <c r="E10" s="127">
        <v>290</v>
      </c>
      <c r="F10" s="127" t="s">
        <v>523</v>
      </c>
      <c r="H10" s="127" t="s">
        <v>522</v>
      </c>
      <c r="I10" s="135">
        <f>1/E10</f>
        <v>3.4482758620689655E-3</v>
      </c>
      <c r="J10" s="127" t="s">
        <v>120</v>
      </c>
      <c r="O10" s="127" t="s">
        <v>543</v>
      </c>
      <c r="V10" s="127" t="s">
        <v>563</v>
      </c>
      <c r="W10" s="127">
        <v>290</v>
      </c>
      <c r="Y10" s="130" t="s">
        <v>564</v>
      </c>
      <c r="Z10" s="127">
        <v>0.28000000000000003</v>
      </c>
      <c r="AA10" s="127" t="s">
        <v>568</v>
      </c>
      <c r="AB10" s="137" t="s">
        <v>567</v>
      </c>
      <c r="AC10" s="152">
        <f>+(1*W10*(1+W12)/(1*W9)-1)</f>
        <v>0.86687499999999984</v>
      </c>
    </row>
    <row r="11" spans="1:57" ht="43.2" x14ac:dyDescent="0.3">
      <c r="B11" s="224"/>
      <c r="D11" s="127" t="s">
        <v>526</v>
      </c>
      <c r="V11" s="130" t="s">
        <v>562</v>
      </c>
      <c r="W11" s="127">
        <v>0.28000000000000003</v>
      </c>
      <c r="Y11" s="137" t="s">
        <v>565</v>
      </c>
      <c r="Z11" s="127">
        <v>0.03</v>
      </c>
      <c r="AA11" s="127" t="s">
        <v>569</v>
      </c>
      <c r="AB11" s="130" t="s">
        <v>566</v>
      </c>
      <c r="AC11" s="151">
        <f>+(1+W11)*W9/W10-1</f>
        <v>-0.29379310344827581</v>
      </c>
    </row>
    <row r="12" spans="1:57" ht="52.8" x14ac:dyDescent="0.3">
      <c r="A12" s="125">
        <v>4</v>
      </c>
      <c r="B12" s="225" t="s">
        <v>459</v>
      </c>
      <c r="D12" s="127" t="s">
        <v>531</v>
      </c>
      <c r="H12" s="127" t="s">
        <v>528</v>
      </c>
      <c r="I12" s="127">
        <f>+I9/I10</f>
        <v>4.4615384615384617</v>
      </c>
      <c r="J12" s="127" t="s">
        <v>529</v>
      </c>
      <c r="O12" s="127" t="s">
        <v>545</v>
      </c>
      <c r="V12" s="130" t="s">
        <v>561</v>
      </c>
      <c r="W12" s="127">
        <v>0.03</v>
      </c>
      <c r="Y12" s="127" t="s">
        <v>570</v>
      </c>
    </row>
    <row r="13" spans="1:57" x14ac:dyDescent="0.3">
      <c r="B13" s="224"/>
      <c r="H13" s="127" t="s">
        <v>527</v>
      </c>
      <c r="I13" s="127">
        <f>+I10/I9</f>
        <v>0.22413793103448273</v>
      </c>
      <c r="J13" s="127" t="s">
        <v>530</v>
      </c>
    </row>
    <row r="14" spans="1:57" ht="145.19999999999999" x14ac:dyDescent="0.3">
      <c r="A14" s="125">
        <v>5</v>
      </c>
      <c r="B14" s="225" t="s">
        <v>553</v>
      </c>
      <c r="H14" s="39" t="s">
        <v>532</v>
      </c>
      <c r="I14" s="127">
        <f>+E9/E10</f>
        <v>0.22413793103448276</v>
      </c>
      <c r="J14" s="127" t="s">
        <v>535</v>
      </c>
    </row>
    <row r="15" spans="1:57" ht="28.8" x14ac:dyDescent="0.3">
      <c r="B15" s="224"/>
      <c r="H15" s="39" t="s">
        <v>533</v>
      </c>
      <c r="I15" s="127">
        <f>+E10/E9</f>
        <v>4.4615384615384617</v>
      </c>
      <c r="J15" s="127" t="s">
        <v>534</v>
      </c>
    </row>
    <row r="16" spans="1:57" ht="92.4" x14ac:dyDescent="0.3">
      <c r="A16" s="125">
        <v>6</v>
      </c>
      <c r="B16" s="225" t="s">
        <v>420</v>
      </c>
    </row>
    <row r="17" spans="1:72" x14ac:dyDescent="0.3">
      <c r="B17" s="224"/>
    </row>
    <row r="18" spans="1:72" s="128" customFormat="1" x14ac:dyDescent="0.3">
      <c r="A18" s="124" t="s">
        <v>421</v>
      </c>
      <c r="B18" s="222" t="s">
        <v>428</v>
      </c>
      <c r="C18" s="139"/>
      <c r="U18" s="139"/>
      <c r="AI18" s="139"/>
      <c r="BE18" s="139"/>
    </row>
    <row r="19" spans="1:72" ht="132" x14ac:dyDescent="0.3">
      <c r="A19" s="125">
        <v>1</v>
      </c>
      <c r="B19" s="225" t="s">
        <v>427</v>
      </c>
      <c r="C19" s="139">
        <v>1</v>
      </c>
      <c r="D19" s="130" t="s">
        <v>571</v>
      </c>
      <c r="E19" s="127">
        <v>93</v>
      </c>
      <c r="F19" s="127" t="s">
        <v>572</v>
      </c>
      <c r="H19" s="127" t="s">
        <v>576</v>
      </c>
      <c r="I19" s="127" t="s">
        <v>579</v>
      </c>
      <c r="J19" s="156">
        <f>1.04301075268817-1</f>
        <v>4.3010752688170006E-2</v>
      </c>
      <c r="K19" s="127" t="s">
        <v>582</v>
      </c>
      <c r="U19" s="139">
        <v>3</v>
      </c>
      <c r="V19" s="127" t="s">
        <v>593</v>
      </c>
      <c r="W19" s="155">
        <v>9.9500000000000005E-3</v>
      </c>
      <c r="X19" s="127" t="s">
        <v>594</v>
      </c>
      <c r="Y19" s="127" t="s">
        <v>597</v>
      </c>
      <c r="AB19" s="162">
        <v>9.9500000000000005E-3</v>
      </c>
      <c r="AI19" s="139">
        <v>4</v>
      </c>
      <c r="AJ19" s="127" t="s">
        <v>593</v>
      </c>
      <c r="AK19" s="151">
        <v>9.9500000000000005E-3</v>
      </c>
      <c r="AL19" s="145" t="s">
        <v>596</v>
      </c>
      <c r="AM19" s="148">
        <f>+(1/AK22*1.17)/(0.010752688172043)-1</f>
        <v>2.6509433962265128E-2</v>
      </c>
      <c r="AN19" s="127" t="s">
        <v>606</v>
      </c>
      <c r="AP19" s="127" t="s">
        <v>605</v>
      </c>
      <c r="AQ19" s="127">
        <f>+(1.17*93)/1.00995</f>
        <v>107.73800683202138</v>
      </c>
      <c r="AV19" s="145" t="s">
        <v>593</v>
      </c>
      <c r="AW19" s="147">
        <v>9.9500000000000005E-3</v>
      </c>
      <c r="AX19" s="127" t="s">
        <v>596</v>
      </c>
      <c r="AY19" s="170">
        <f>+(1/AW22*1.17)/(1/AW21)-1</f>
        <v>-1.7431192660551931E-3</v>
      </c>
      <c r="AZ19" s="127" t="s">
        <v>609</v>
      </c>
      <c r="BB19" s="127" t="s">
        <v>605</v>
      </c>
      <c r="BC19" s="127">
        <f>+(1.17*93)/1.00995</f>
        <v>107.73800683202138</v>
      </c>
      <c r="BE19" s="139">
        <v>5</v>
      </c>
      <c r="BF19" s="127" t="s">
        <v>68</v>
      </c>
      <c r="BG19" s="127">
        <v>140</v>
      </c>
    </row>
    <row r="20" spans="1:72" x14ac:dyDescent="0.3">
      <c r="D20" s="127" t="s">
        <v>573</v>
      </c>
      <c r="E20" s="151">
        <v>0.05</v>
      </c>
      <c r="F20" s="127" t="s">
        <v>574</v>
      </c>
      <c r="H20" s="127" t="s">
        <v>577</v>
      </c>
      <c r="I20" s="127" t="s">
        <v>580</v>
      </c>
      <c r="J20" s="152">
        <f>+(0.0103092783505155*1.05)/(0.010752688172043)-1</f>
        <v>6.7010309278396907E-3</v>
      </c>
      <c r="K20" s="151"/>
      <c r="V20" s="127" t="s">
        <v>573</v>
      </c>
      <c r="W20" s="127">
        <v>0.17</v>
      </c>
      <c r="X20" s="127" t="s">
        <v>594</v>
      </c>
      <c r="AJ20" s="145" t="s">
        <v>573</v>
      </c>
      <c r="AK20" s="146">
        <v>0.17</v>
      </c>
      <c r="AL20" s="127" t="s">
        <v>604</v>
      </c>
      <c r="AM20" s="151">
        <f>+(106*(1+AK19))/93-1</f>
        <v>0.15112580645161278</v>
      </c>
      <c r="AO20" s="169" t="s">
        <v>110</v>
      </c>
      <c r="AP20" s="169" t="s">
        <v>111</v>
      </c>
      <c r="AV20" s="127" t="s">
        <v>573</v>
      </c>
      <c r="AW20" s="171">
        <v>0.17</v>
      </c>
      <c r="AX20" s="145" t="s">
        <v>604</v>
      </c>
      <c r="AY20" s="147">
        <f>+(109*(1+AW19))/93-1</f>
        <v>0.18370483870967735</v>
      </c>
      <c r="BA20" s="169" t="s">
        <v>110</v>
      </c>
      <c r="BB20" s="169" t="s">
        <v>111</v>
      </c>
      <c r="BF20" s="127" t="s">
        <v>69</v>
      </c>
      <c r="BG20" s="127">
        <v>170</v>
      </c>
    </row>
    <row r="21" spans="1:72" ht="92.4" x14ac:dyDescent="0.3">
      <c r="A21" s="125">
        <v>2</v>
      </c>
      <c r="B21" s="225" t="s">
        <v>426</v>
      </c>
      <c r="D21" s="130" t="s">
        <v>575</v>
      </c>
      <c r="E21" s="127">
        <v>97</v>
      </c>
      <c r="F21" s="127" t="s">
        <v>572</v>
      </c>
      <c r="H21" s="127" t="s">
        <v>578</v>
      </c>
      <c r="I21" s="152" t="s">
        <v>581</v>
      </c>
      <c r="V21" s="127" t="s">
        <v>68</v>
      </c>
      <c r="W21" s="127">
        <v>93</v>
      </c>
      <c r="AJ21" s="127" t="s">
        <v>68</v>
      </c>
      <c r="AK21" s="127">
        <v>93</v>
      </c>
      <c r="AO21" s="127" t="s">
        <v>68</v>
      </c>
      <c r="AP21" s="127" t="s">
        <v>585</v>
      </c>
      <c r="AV21" s="127" t="s">
        <v>68</v>
      </c>
      <c r="AW21" s="127">
        <v>93</v>
      </c>
      <c r="BA21" s="127" t="s">
        <v>73</v>
      </c>
      <c r="BB21" s="127" t="s">
        <v>74</v>
      </c>
      <c r="BF21" s="127" t="s">
        <v>633</v>
      </c>
      <c r="BG21" s="149">
        <v>0.03</v>
      </c>
      <c r="BH21" s="127" t="s">
        <v>636</v>
      </c>
      <c r="BK21" s="127" t="s">
        <v>637</v>
      </c>
      <c r="BM21" s="152" t="s">
        <v>638</v>
      </c>
      <c r="BO21" s="127" t="s">
        <v>639</v>
      </c>
      <c r="BQ21" s="160">
        <f>1.03/140*170-1</f>
        <v>0.25071428571428567</v>
      </c>
    </row>
    <row r="22" spans="1:72" x14ac:dyDescent="0.3">
      <c r="C22" s="139"/>
      <c r="D22" s="128" t="s">
        <v>583</v>
      </c>
      <c r="E22" s="128"/>
      <c r="F22" s="165" t="s">
        <v>584</v>
      </c>
      <c r="G22" s="128"/>
      <c r="H22" s="165">
        <f>+(1*97*(1.1))/(1*93)-1</f>
        <v>0.14731182795698938</v>
      </c>
      <c r="I22" s="128"/>
      <c r="J22" s="128"/>
      <c r="K22" s="128"/>
      <c r="L22" s="128"/>
      <c r="M22" s="128"/>
      <c r="N22" s="128"/>
      <c r="O22" s="128"/>
      <c r="P22" s="128"/>
      <c r="V22" s="127" t="s">
        <v>595</v>
      </c>
      <c r="W22" s="127" t="s">
        <v>598</v>
      </c>
      <c r="Y22" s="127" t="s">
        <v>599</v>
      </c>
      <c r="Z22" s="127" t="s">
        <v>600</v>
      </c>
      <c r="AB22" s="127" t="s">
        <v>602</v>
      </c>
      <c r="AC22" s="128">
        <f>1.17/1.00995*93</f>
        <v>107.7380068320214</v>
      </c>
      <c r="AJ22" s="127" t="s">
        <v>585</v>
      </c>
      <c r="AK22" s="127">
        <v>106</v>
      </c>
      <c r="AO22" s="127" t="s">
        <v>607</v>
      </c>
      <c r="AP22" s="127" t="s">
        <v>608</v>
      </c>
      <c r="AV22" s="127" t="s">
        <v>585</v>
      </c>
      <c r="AW22" s="127">
        <v>109</v>
      </c>
      <c r="BA22" s="127" t="s">
        <v>610</v>
      </c>
      <c r="BB22" s="127" t="s">
        <v>611</v>
      </c>
      <c r="BF22" s="127" t="s">
        <v>634</v>
      </c>
      <c r="BG22" s="149" t="s">
        <v>635</v>
      </c>
    </row>
    <row r="23" spans="1:72" x14ac:dyDescent="0.3">
      <c r="A23" s="476">
        <v>3</v>
      </c>
      <c r="B23" s="481" t="s">
        <v>425</v>
      </c>
      <c r="C23" s="139">
        <v>2</v>
      </c>
      <c r="D23" s="157" t="s">
        <v>576</v>
      </c>
      <c r="E23" s="157">
        <v>0.02</v>
      </c>
      <c r="F23" s="157" t="s">
        <v>586</v>
      </c>
      <c r="G23" s="127" t="s">
        <v>587</v>
      </c>
      <c r="H23" s="127" t="s">
        <v>588</v>
      </c>
      <c r="I23" s="158" t="s">
        <v>589</v>
      </c>
      <c r="J23" s="157"/>
      <c r="K23" s="157" t="s">
        <v>590</v>
      </c>
      <c r="M23" s="127" t="s">
        <v>591</v>
      </c>
      <c r="O23" s="127">
        <f>1.02/(1.35/124)</f>
        <v>93.688888888888897</v>
      </c>
      <c r="V23" s="127" t="s">
        <v>585</v>
      </c>
      <c r="W23" s="127">
        <v>105</v>
      </c>
      <c r="X23" s="127" t="s">
        <v>596</v>
      </c>
      <c r="Y23" s="152">
        <f>(1/105*1.17)/(1/93)-1</f>
        <v>3.6285714285714255E-2</v>
      </c>
      <c r="Z23" s="127" t="s">
        <v>569</v>
      </c>
      <c r="AA23" s="127" t="s">
        <v>593</v>
      </c>
      <c r="AB23" s="155">
        <v>9.9500000000000005E-3</v>
      </c>
    </row>
    <row r="24" spans="1:72" customFormat="1" x14ac:dyDescent="0.3">
      <c r="A24" s="476"/>
      <c r="B24" s="481"/>
      <c r="C24" s="139"/>
      <c r="D24" s="127" t="s">
        <v>573</v>
      </c>
      <c r="E24" s="127">
        <v>0.35</v>
      </c>
      <c r="F24" s="127" t="s">
        <v>586</v>
      </c>
      <c r="G24" s="127" t="s">
        <v>68</v>
      </c>
      <c r="H24" s="127">
        <v>95</v>
      </c>
      <c r="I24" s="128" t="s">
        <v>592</v>
      </c>
      <c r="J24" s="127">
        <f>+(0.00806451612903226*1.35)/(0.0105263157894737)-1</f>
        <v>3.4274193548385901E-2</v>
      </c>
      <c r="K24" s="127" t="s">
        <v>569</v>
      </c>
      <c r="L24" s="157" t="s">
        <v>576</v>
      </c>
      <c r="M24" s="157">
        <v>0.02</v>
      </c>
      <c r="N24" s="127"/>
      <c r="O24" s="127"/>
      <c r="P24" s="127"/>
      <c r="AK24" s="175" t="s">
        <v>612</v>
      </c>
      <c r="AL24" s="115"/>
      <c r="AM24" s="115"/>
      <c r="AN24" s="173" t="s">
        <v>613</v>
      </c>
      <c r="AO24" s="115"/>
      <c r="AP24" s="115"/>
      <c r="AQ24" s="115"/>
      <c r="AR24" s="115"/>
      <c r="AS24" s="127"/>
      <c r="AT24" s="128"/>
      <c r="AU24" s="127"/>
      <c r="AV24" s="127"/>
      <c r="AW24" s="127"/>
      <c r="AX24" s="127"/>
      <c r="AY24" s="128"/>
      <c r="AZ24" s="127"/>
      <c r="BA24" s="127"/>
      <c r="BB24" s="127"/>
      <c r="BC24" s="127"/>
      <c r="BD24" s="127"/>
      <c r="BE24" s="139"/>
      <c r="BF24" s="128"/>
      <c r="BG24" s="128"/>
      <c r="BH24" s="128"/>
      <c r="BI24" s="128"/>
      <c r="BJ24" s="128"/>
      <c r="BK24" s="128"/>
      <c r="BL24" s="128"/>
      <c r="BM24" s="128"/>
      <c r="BN24" s="128"/>
      <c r="BO24" s="128"/>
      <c r="BP24" s="128"/>
      <c r="BQ24" s="128"/>
      <c r="BR24" s="128"/>
      <c r="BS24" s="128"/>
      <c r="BT24" s="174"/>
    </row>
    <row r="25" spans="1:72" x14ac:dyDescent="0.3">
      <c r="A25" s="476"/>
      <c r="B25" s="481"/>
      <c r="C25" s="139"/>
      <c r="D25" s="127" t="s">
        <v>585</v>
      </c>
      <c r="E25" s="127">
        <v>124</v>
      </c>
      <c r="F25" s="127" t="s">
        <v>586</v>
      </c>
      <c r="I25" s="127" t="s">
        <v>578</v>
      </c>
      <c r="J25" s="127">
        <f>+(124*1.02)/(95)-1</f>
        <v>0.33136842105263153</v>
      </c>
      <c r="K25" s="127" t="s">
        <v>568</v>
      </c>
      <c r="L25" s="128" t="s">
        <v>573</v>
      </c>
      <c r="M25" s="127">
        <v>0.35</v>
      </c>
      <c r="Y25" s="152"/>
      <c r="AB25" s="155"/>
      <c r="AK25" s="128" t="s">
        <v>615</v>
      </c>
      <c r="AN25" s="128" t="s">
        <v>616</v>
      </c>
      <c r="AT25" s="128"/>
      <c r="AY25" s="128"/>
      <c r="BF25" s="127" t="s">
        <v>634</v>
      </c>
      <c r="BG25" s="161">
        <v>0.23</v>
      </c>
      <c r="BH25" s="127" t="s">
        <v>568</v>
      </c>
      <c r="BI25" s="127" t="s">
        <v>640</v>
      </c>
      <c r="BJ25" s="149">
        <f>+(BG20*(1+BG21))/(BG19)-1</f>
        <v>0.25071428571428567</v>
      </c>
      <c r="BL25" s="127" t="s">
        <v>641</v>
      </c>
      <c r="BO25" s="127" t="s">
        <v>642</v>
      </c>
      <c r="BP25" s="127" t="s">
        <v>643</v>
      </c>
      <c r="BR25" s="127">
        <f>1.23*140/1.03</f>
        <v>167.18446601941747</v>
      </c>
    </row>
    <row r="26" spans="1:72" x14ac:dyDescent="0.3">
      <c r="A26" s="476"/>
      <c r="B26" s="481"/>
      <c r="C26" s="139"/>
      <c r="I26" s="172"/>
      <c r="Y26" s="152"/>
      <c r="AB26" s="155"/>
      <c r="AK26" s="128"/>
      <c r="AN26" s="128" t="s">
        <v>617</v>
      </c>
      <c r="AT26" s="128"/>
      <c r="AV26" s="127" t="s">
        <v>631</v>
      </c>
      <c r="AY26" s="128"/>
    </row>
    <row r="27" spans="1:72" x14ac:dyDescent="0.3">
      <c r="A27" s="476"/>
      <c r="B27" s="481"/>
      <c r="C27" s="139"/>
      <c r="I27" s="172"/>
      <c r="Y27" s="152"/>
      <c r="AB27" s="155"/>
      <c r="AK27" s="128"/>
      <c r="AN27" s="128"/>
      <c r="AS27" s="115"/>
      <c r="AT27" s="175"/>
      <c r="AU27" s="180" t="s">
        <v>612</v>
      </c>
      <c r="AV27" s="115"/>
      <c r="AW27" s="115"/>
      <c r="AX27" s="115"/>
      <c r="AY27" s="177"/>
      <c r="AZ27" s="180" t="s">
        <v>613</v>
      </c>
      <c r="BA27" s="115"/>
      <c r="BB27" s="181">
        <f>+BB41-BB29</f>
        <v>1.2619931679786163</v>
      </c>
      <c r="BC27" s="115"/>
      <c r="BG27" s="128"/>
      <c r="BH27" s="127" t="s">
        <v>111</v>
      </c>
      <c r="BL27" s="128"/>
      <c r="BM27" s="127" t="s">
        <v>110</v>
      </c>
    </row>
    <row r="28" spans="1:72" x14ac:dyDescent="0.3">
      <c r="A28" s="476"/>
      <c r="B28" s="481"/>
      <c r="C28" s="139"/>
      <c r="I28" s="172"/>
      <c r="Y28" s="152"/>
      <c r="AB28" s="155"/>
      <c r="AK28" s="128" t="s">
        <v>614</v>
      </c>
      <c r="AN28" s="128" t="s">
        <v>619</v>
      </c>
      <c r="AT28" s="128"/>
      <c r="AY28" s="128"/>
      <c r="BG28" s="128"/>
      <c r="BH28" s="127" t="s">
        <v>74</v>
      </c>
      <c r="BL28" s="128"/>
      <c r="BM28" s="127" t="s">
        <v>73</v>
      </c>
    </row>
    <row r="29" spans="1:72" x14ac:dyDescent="0.3">
      <c r="A29" s="476"/>
      <c r="B29" s="481"/>
      <c r="Y29" s="152"/>
      <c r="AB29" s="155"/>
      <c r="AK29" s="176">
        <f>1/1.00995</f>
        <v>0.99014802713005601</v>
      </c>
      <c r="AN29" s="128"/>
      <c r="AT29" s="128"/>
      <c r="AU29" s="127" t="s">
        <v>629</v>
      </c>
      <c r="AW29" s="127">
        <f>-AW30</f>
        <v>92.083766523095207</v>
      </c>
      <c r="AX29" s="127" t="s">
        <v>523</v>
      </c>
      <c r="AY29" s="128"/>
      <c r="AZ29" s="127" t="s">
        <v>630</v>
      </c>
      <c r="BB29" s="127">
        <f>+AW29*1.17</f>
        <v>107.73800683202138</v>
      </c>
      <c r="BG29" s="128"/>
      <c r="BH29" s="127" t="s">
        <v>650</v>
      </c>
      <c r="BL29" s="128"/>
      <c r="BM29" s="127" t="s">
        <v>608</v>
      </c>
    </row>
    <row r="30" spans="1:72" x14ac:dyDescent="0.3">
      <c r="A30" s="476"/>
      <c r="B30" s="481"/>
      <c r="Y30" s="150"/>
      <c r="AB30" s="151"/>
      <c r="AK30" s="128"/>
      <c r="AN30" s="128"/>
      <c r="AT30" s="128"/>
      <c r="AU30" s="127" t="s">
        <v>626</v>
      </c>
      <c r="AW30" s="127">
        <f>-AW35*93</f>
        <v>-92.083766523095207</v>
      </c>
      <c r="AX30" s="127" t="s">
        <v>523</v>
      </c>
      <c r="AY30" s="128"/>
      <c r="BF30" s="140"/>
      <c r="BG30" s="139"/>
      <c r="BH30" s="140" t="s">
        <v>612</v>
      </c>
      <c r="BI30" s="140"/>
      <c r="BJ30" s="140"/>
      <c r="BK30" s="140"/>
      <c r="BL30" s="139"/>
      <c r="BM30" s="140" t="s">
        <v>613</v>
      </c>
      <c r="BN30" s="140"/>
      <c r="BO30" s="140"/>
      <c r="BP30" s="140"/>
      <c r="BQ30" s="140"/>
      <c r="BR30" s="140"/>
    </row>
    <row r="31" spans="1:72" x14ac:dyDescent="0.3">
      <c r="X31" s="127" t="s">
        <v>573</v>
      </c>
      <c r="Y31" s="150">
        <v>0.17</v>
      </c>
      <c r="Z31" s="127" t="s">
        <v>569</v>
      </c>
      <c r="AA31" s="127" t="s">
        <v>603</v>
      </c>
      <c r="AB31" s="151">
        <f>+(105*1.00995)/W21-1</f>
        <v>0.14026612903225799</v>
      </c>
      <c r="AK31" s="128" t="s">
        <v>620</v>
      </c>
      <c r="AN31" s="128"/>
      <c r="AT31" s="128"/>
      <c r="AW31" s="179">
        <f>+AW29/93</f>
        <v>0.99014802713005601</v>
      </c>
      <c r="AX31" s="127" t="s">
        <v>120</v>
      </c>
      <c r="AY31" s="128"/>
      <c r="BG31" s="128"/>
      <c r="BH31" s="140" t="s">
        <v>646</v>
      </c>
      <c r="BI31" s="140"/>
      <c r="BJ31" s="140"/>
      <c r="BK31" s="140"/>
      <c r="BL31" s="139"/>
      <c r="BM31" s="140" t="s">
        <v>647</v>
      </c>
      <c r="BN31" s="140">
        <v>-1</v>
      </c>
      <c r="BO31" s="140" t="s">
        <v>520</v>
      </c>
    </row>
    <row r="32" spans="1:72" x14ac:dyDescent="0.3">
      <c r="A32" s="482">
        <v>4</v>
      </c>
      <c r="B32" s="481" t="s">
        <v>424</v>
      </c>
      <c r="AK32" s="128">
        <f>+AK29*AK21</f>
        <v>92.083766523095207</v>
      </c>
      <c r="AN32" s="128"/>
      <c r="AT32" s="128"/>
      <c r="AY32" s="128"/>
      <c r="BG32" s="128"/>
      <c r="BL32" s="128"/>
      <c r="BM32" s="140" t="s">
        <v>621</v>
      </c>
      <c r="BN32" s="140">
        <v>170</v>
      </c>
      <c r="BO32" s="140" t="s">
        <v>572</v>
      </c>
    </row>
    <row r="33" spans="1:67" x14ac:dyDescent="0.3">
      <c r="A33" s="482"/>
      <c r="B33" s="481"/>
      <c r="AK33" s="128"/>
      <c r="AN33" s="128"/>
      <c r="AT33" s="128"/>
      <c r="AY33" s="128"/>
      <c r="BG33" s="128"/>
      <c r="BL33" s="128"/>
    </row>
    <row r="34" spans="1:67" x14ac:dyDescent="0.3">
      <c r="A34" s="482"/>
      <c r="B34" s="481"/>
      <c r="AK34" s="128" t="s">
        <v>618</v>
      </c>
      <c r="AM34" s="127">
        <f>AK32</f>
        <v>92.083766523095207</v>
      </c>
      <c r="AN34" s="128" t="s">
        <v>621</v>
      </c>
      <c r="AO34" s="127">
        <f>AK32*1.17</f>
        <v>107.73800683202138</v>
      </c>
      <c r="AT34" s="128"/>
      <c r="AW34" s="179"/>
      <c r="AY34" s="128"/>
      <c r="BG34" s="128"/>
      <c r="BH34" s="140" t="s">
        <v>649</v>
      </c>
      <c r="BI34" s="140"/>
      <c r="BJ34" s="140">
        <f>1/1.03</f>
        <v>0.970873786407767</v>
      </c>
      <c r="BK34" s="140" t="s">
        <v>520</v>
      </c>
      <c r="BL34" s="139"/>
      <c r="BM34" s="140" t="s">
        <v>621</v>
      </c>
      <c r="BN34" s="140">
        <v>1</v>
      </c>
      <c r="BO34" s="140" t="s">
        <v>520</v>
      </c>
    </row>
    <row r="35" spans="1:67" x14ac:dyDescent="0.3">
      <c r="A35" s="482"/>
      <c r="B35" s="481"/>
      <c r="AK35" s="128"/>
      <c r="AN35" s="128"/>
      <c r="AT35" s="128"/>
      <c r="AU35" s="127" t="s">
        <v>628</v>
      </c>
      <c r="AW35" s="179">
        <f>1/1.00995</f>
        <v>0.99014802713005601</v>
      </c>
      <c r="AX35" s="127" t="s">
        <v>120</v>
      </c>
      <c r="AY35" s="128"/>
      <c r="AZ35" s="127" t="s">
        <v>627</v>
      </c>
      <c r="BB35" s="127">
        <v>1</v>
      </c>
      <c r="BC35" s="127" t="s">
        <v>120</v>
      </c>
      <c r="BG35" s="128"/>
      <c r="BL35" s="128"/>
    </row>
    <row r="36" spans="1:67" x14ac:dyDescent="0.3">
      <c r="B36" s="481" t="s">
        <v>422</v>
      </c>
      <c r="AK36" s="128"/>
      <c r="AN36" s="128"/>
      <c r="AO36" s="127" t="s">
        <v>622</v>
      </c>
      <c r="AQ36" s="133">
        <f>+AO34-106</f>
        <v>1.7380068320213837</v>
      </c>
      <c r="AR36" s="127" t="s">
        <v>623</v>
      </c>
      <c r="AT36" s="128"/>
      <c r="AW36" s="127">
        <f>+AW35*93</f>
        <v>92.083766523095207</v>
      </c>
      <c r="AY36" s="128"/>
      <c r="BG36" s="128"/>
      <c r="BH36" s="140" t="s">
        <v>648</v>
      </c>
      <c r="BI36" s="140"/>
      <c r="BJ36" s="140">
        <f>1/1.03</f>
        <v>0.970873786407767</v>
      </c>
      <c r="BK36" s="140" t="s">
        <v>520</v>
      </c>
      <c r="BL36" s="128"/>
    </row>
    <row r="37" spans="1:67" x14ac:dyDescent="0.3">
      <c r="B37" s="481"/>
      <c r="AK37" s="128"/>
      <c r="AN37" s="128"/>
      <c r="AQ37" s="133"/>
      <c r="AT37" s="128"/>
      <c r="AY37" s="128"/>
      <c r="BG37" s="128"/>
      <c r="BJ37" s="140">
        <f>-BJ36*140</f>
        <v>-135.92233009708738</v>
      </c>
      <c r="BK37" s="140" t="s">
        <v>572</v>
      </c>
      <c r="BL37" s="128"/>
    </row>
    <row r="38" spans="1:67" x14ac:dyDescent="0.3">
      <c r="B38" s="481"/>
      <c r="AK38" s="128"/>
      <c r="AN38" s="128"/>
      <c r="AQ38" s="133"/>
      <c r="AT38" s="128"/>
      <c r="AY38" s="128"/>
      <c r="BG38" s="128"/>
      <c r="BL38" s="128"/>
    </row>
    <row r="39" spans="1:67" x14ac:dyDescent="0.3">
      <c r="B39" s="227"/>
      <c r="AK39" s="128"/>
      <c r="AN39" s="128"/>
      <c r="AT39" s="128"/>
      <c r="AY39" s="128"/>
      <c r="BG39" s="128"/>
      <c r="BH39" s="140" t="s">
        <v>651</v>
      </c>
      <c r="BI39" s="140"/>
      <c r="BJ39" s="140">
        <v>135.91999999999999</v>
      </c>
      <c r="BK39" s="140" t="s">
        <v>572</v>
      </c>
      <c r="BL39" s="139"/>
      <c r="BM39" s="140" t="s">
        <v>652</v>
      </c>
      <c r="BN39" s="140">
        <f>+BJ39*1.23</f>
        <v>167.18159999999997</v>
      </c>
      <c r="BO39" s="140" t="s">
        <v>572</v>
      </c>
    </row>
    <row r="40" spans="1:67" x14ac:dyDescent="0.3">
      <c r="A40" s="482">
        <v>5</v>
      </c>
      <c r="B40" s="481" t="s">
        <v>423</v>
      </c>
      <c r="AK40" s="128"/>
      <c r="AN40" s="128"/>
      <c r="AT40" s="128"/>
      <c r="AU40" s="127" t="s">
        <v>624</v>
      </c>
      <c r="AW40" s="182" t="s">
        <v>632</v>
      </c>
      <c r="AX40" s="178" t="s">
        <v>632</v>
      </c>
      <c r="AY40" s="183"/>
      <c r="AZ40" s="127" t="s">
        <v>625</v>
      </c>
      <c r="BB40" s="178">
        <v>-1</v>
      </c>
      <c r="BC40" s="127" t="s">
        <v>120</v>
      </c>
      <c r="BG40" s="128"/>
      <c r="BL40" s="128"/>
    </row>
    <row r="41" spans="1:67" x14ac:dyDescent="0.3">
      <c r="A41" s="482"/>
      <c r="B41" s="481"/>
      <c r="W41" s="164" t="e">
        <f>+#REF!*1.17</f>
        <v>#REF!</v>
      </c>
      <c r="X41" s="163" t="e">
        <f>+#REF!*1.00995</f>
        <v>#REF!</v>
      </c>
      <c r="AK41" s="128"/>
      <c r="AN41" s="128"/>
      <c r="AT41" s="128"/>
      <c r="AW41" s="179"/>
      <c r="AY41" s="128"/>
      <c r="AZ41" s="127" t="s">
        <v>627</v>
      </c>
      <c r="BB41" s="127">
        <v>109</v>
      </c>
      <c r="BC41" s="127" t="s">
        <v>523</v>
      </c>
      <c r="BG41" s="128"/>
      <c r="BL41" s="128" t="s">
        <v>653</v>
      </c>
      <c r="BM41" s="128">
        <f>+BN32-BN39</f>
        <v>2.8184000000000253</v>
      </c>
    </row>
    <row r="42" spans="1:67" x14ac:dyDescent="0.3">
      <c r="A42" s="482"/>
      <c r="B42" s="481"/>
      <c r="W42" s="164"/>
      <c r="X42" s="163"/>
      <c r="AK42" s="128"/>
      <c r="AN42" s="128"/>
      <c r="AT42" s="128"/>
      <c r="AW42" s="179"/>
      <c r="AY42" s="128"/>
      <c r="BG42" s="128"/>
      <c r="BL42" s="128"/>
    </row>
    <row r="43" spans="1:67" x14ac:dyDescent="0.3">
      <c r="A43" s="482"/>
      <c r="B43" s="481"/>
      <c r="W43" s="164"/>
      <c r="X43" s="163"/>
      <c r="AK43" s="128"/>
      <c r="AN43" s="128"/>
      <c r="AT43" s="128"/>
      <c r="AW43" s="179"/>
      <c r="AY43" s="128"/>
      <c r="BG43" s="128"/>
      <c r="BL43" s="128"/>
    </row>
    <row r="44" spans="1:67" x14ac:dyDescent="0.3">
      <c r="A44" s="482"/>
      <c r="B44" s="481"/>
      <c r="W44" s="164"/>
      <c r="X44" s="163"/>
      <c r="AK44" s="128"/>
      <c r="AN44" s="128"/>
      <c r="AT44" s="128"/>
      <c r="AW44" s="179"/>
      <c r="AY44" s="128"/>
      <c r="BG44" s="128"/>
      <c r="BL44" s="128"/>
    </row>
    <row r="45" spans="1:67" x14ac:dyDescent="0.3">
      <c r="A45" s="484"/>
      <c r="B45" s="483"/>
      <c r="W45" s="163" t="e">
        <f>+W41/W23</f>
        <v>#REF!</v>
      </c>
      <c r="X45" s="164" t="e">
        <f>+X41*W23</f>
        <v>#REF!</v>
      </c>
      <c r="AK45" s="128"/>
      <c r="AN45" s="128"/>
      <c r="AT45" s="128"/>
      <c r="AY45" s="128"/>
      <c r="BG45" s="128"/>
      <c r="BL45" s="128"/>
    </row>
    <row r="46" spans="1:67" s="128" customFormat="1" x14ac:dyDescent="0.3">
      <c r="A46" s="124" t="s">
        <v>429</v>
      </c>
      <c r="B46" s="222" t="s">
        <v>430</v>
      </c>
      <c r="C46" s="139"/>
      <c r="U46" s="139"/>
      <c r="AI46" s="139"/>
      <c r="BE46" s="139"/>
      <c r="BF46" s="184"/>
    </row>
    <row r="47" spans="1:67" x14ac:dyDescent="0.3">
      <c r="A47" s="486">
        <v>1</v>
      </c>
      <c r="B47" s="485" t="s">
        <v>432</v>
      </c>
      <c r="C47" s="194">
        <v>1</v>
      </c>
      <c r="D47" s="195" t="s">
        <v>654</v>
      </c>
      <c r="E47" s="195">
        <v>100000</v>
      </c>
      <c r="F47" s="195"/>
      <c r="G47" s="195"/>
      <c r="H47" s="195"/>
      <c r="I47" s="195"/>
      <c r="J47" s="195"/>
      <c r="K47" s="195"/>
      <c r="L47" s="195"/>
      <c r="M47" s="195"/>
      <c r="N47" s="195"/>
    </row>
    <row r="48" spans="1:67" x14ac:dyDescent="0.3">
      <c r="A48" s="476"/>
      <c r="B48" s="481"/>
    </row>
    <row r="49" spans="1:14" x14ac:dyDescent="0.3">
      <c r="A49" s="476"/>
      <c r="B49" s="481"/>
      <c r="D49" s="127" t="s">
        <v>657</v>
      </c>
      <c r="E49" s="127" t="s">
        <v>655</v>
      </c>
      <c r="F49" s="127" t="s">
        <v>661</v>
      </c>
      <c r="G49" s="127" t="s">
        <v>664</v>
      </c>
      <c r="J49" s="127" t="s">
        <v>601</v>
      </c>
      <c r="K49" s="127">
        <f>+E47/(1/(1+0.24*0.0833333333333333) + 1/(1+0.24*0.166666666666667))</f>
        <v>51495.145631067964</v>
      </c>
    </row>
    <row r="50" spans="1:14" x14ac:dyDescent="0.3">
      <c r="A50" s="476"/>
      <c r="B50" s="481"/>
      <c r="D50" s="127" t="s">
        <v>666</v>
      </c>
      <c r="E50" s="127" t="s">
        <v>656</v>
      </c>
      <c r="F50" s="127" t="s">
        <v>660</v>
      </c>
      <c r="K50" s="127">
        <f>+K49*2</f>
        <v>102990.29126213593</v>
      </c>
    </row>
    <row r="51" spans="1:14" x14ac:dyDescent="0.3">
      <c r="A51" s="476"/>
      <c r="B51" s="481"/>
      <c r="K51" s="187">
        <f>+K50/E47-1</f>
        <v>2.9902912621359246E-2</v>
      </c>
    </row>
    <row r="52" spans="1:14" x14ac:dyDescent="0.3">
      <c r="B52" s="225" t="s">
        <v>433</v>
      </c>
      <c r="D52" s="127" t="s">
        <v>659</v>
      </c>
      <c r="E52" s="127">
        <v>0.24</v>
      </c>
      <c r="F52" s="129"/>
      <c r="K52" s="159"/>
    </row>
    <row r="53" spans="1:14" ht="26.4" x14ac:dyDescent="0.3">
      <c r="B53" s="228" t="s">
        <v>841</v>
      </c>
      <c r="D53" s="127" t="s">
        <v>658</v>
      </c>
      <c r="E53" s="127">
        <v>0.03</v>
      </c>
      <c r="F53" s="127" t="s">
        <v>662</v>
      </c>
      <c r="G53" s="127" t="s">
        <v>665</v>
      </c>
      <c r="J53" s="127" t="s">
        <v>601</v>
      </c>
      <c r="K53" s="127">
        <f>+E47/80/((1/(1+0.03*0.0833333333333333) + 1/(1+0.03*0.166666666666667)))</f>
        <v>627.34277708592776</v>
      </c>
    </row>
    <row r="54" spans="1:14" ht="26.4" x14ac:dyDescent="0.3">
      <c r="A54" s="26" t="s">
        <v>435</v>
      </c>
      <c r="B54" s="225" t="s">
        <v>434</v>
      </c>
      <c r="F54" s="127" t="s">
        <v>663</v>
      </c>
    </row>
    <row r="55" spans="1:14" x14ac:dyDescent="0.3">
      <c r="A55" s="478" t="s">
        <v>436</v>
      </c>
      <c r="B55" s="487" t="s">
        <v>431</v>
      </c>
      <c r="C55" s="194">
        <v>2</v>
      </c>
      <c r="D55" s="195"/>
      <c r="E55" s="195"/>
      <c r="F55" s="195"/>
      <c r="G55" s="195"/>
      <c r="H55" s="195"/>
      <c r="I55" s="195"/>
      <c r="J55" s="195"/>
      <c r="K55" s="195"/>
      <c r="L55" s="195"/>
      <c r="M55" s="195"/>
      <c r="N55" s="195"/>
    </row>
    <row r="56" spans="1:14" x14ac:dyDescent="0.3">
      <c r="A56" s="478"/>
      <c r="B56" s="487"/>
      <c r="D56" s="127" t="s">
        <v>156</v>
      </c>
      <c r="E56" s="127">
        <v>100000</v>
      </c>
      <c r="G56" s="127" t="s">
        <v>151</v>
      </c>
    </row>
    <row r="57" spans="1:14" x14ac:dyDescent="0.3">
      <c r="E57" s="127" t="s">
        <v>670</v>
      </c>
      <c r="F57" s="127">
        <v>100000</v>
      </c>
    </row>
    <row r="58" spans="1:14" x14ac:dyDescent="0.3">
      <c r="A58" s="125">
        <v>2</v>
      </c>
      <c r="B58" s="481" t="s">
        <v>444</v>
      </c>
      <c r="D58" s="127" t="s">
        <v>667</v>
      </c>
      <c r="E58" s="127" t="s">
        <v>655</v>
      </c>
      <c r="F58" s="127">
        <f>+E56*(1+E60*0.0833333333333333)</f>
        <v>104166.66666666667</v>
      </c>
      <c r="G58" s="127">
        <f>+F58-E56</f>
        <v>4166.6666666666715</v>
      </c>
      <c r="H58" s="127" t="s">
        <v>217</v>
      </c>
      <c r="I58" s="127">
        <f>+G59+G58+F57</f>
        <v>109166.66666666667</v>
      </c>
    </row>
    <row r="59" spans="1:14" x14ac:dyDescent="0.3">
      <c r="A59" s="125"/>
      <c r="B59" s="481"/>
      <c r="D59" s="127" t="s">
        <v>669</v>
      </c>
      <c r="E59" s="127" t="s">
        <v>656</v>
      </c>
      <c r="F59" s="127">
        <f>+E56*(1+E61*0.0833333333333333)</f>
        <v>105000</v>
      </c>
      <c r="G59" s="127">
        <f>+F59-E56</f>
        <v>5000</v>
      </c>
      <c r="I59" s="151">
        <f>+I58/E56-1</f>
        <v>9.1666666666666785E-2</v>
      </c>
      <c r="J59" s="178"/>
    </row>
    <row r="60" spans="1:14" x14ac:dyDescent="0.3">
      <c r="A60" s="125"/>
      <c r="B60" s="481"/>
      <c r="D60" s="127" t="s">
        <v>161</v>
      </c>
      <c r="E60" s="127">
        <v>0.5</v>
      </c>
    </row>
    <row r="61" spans="1:14" x14ac:dyDescent="0.3">
      <c r="A61" s="125"/>
      <c r="B61" s="481"/>
      <c r="D61" s="127" t="s">
        <v>668</v>
      </c>
      <c r="E61" s="127">
        <v>0.6</v>
      </c>
    </row>
    <row r="62" spans="1:14" x14ac:dyDescent="0.3">
      <c r="A62" s="125"/>
      <c r="B62" s="481"/>
    </row>
    <row r="63" spans="1:14" ht="26.4" x14ac:dyDescent="0.3">
      <c r="B63" s="225" t="s">
        <v>441</v>
      </c>
      <c r="D63" s="127" t="s">
        <v>644</v>
      </c>
      <c r="E63" s="127" t="s">
        <v>673</v>
      </c>
    </row>
    <row r="64" spans="1:14" x14ac:dyDescent="0.3">
      <c r="A64" s="26" t="s">
        <v>435</v>
      </c>
      <c r="B64" s="225" t="s">
        <v>443</v>
      </c>
      <c r="E64" s="127" t="s">
        <v>674</v>
      </c>
    </row>
    <row r="65" spans="1:58" x14ac:dyDescent="0.3">
      <c r="A65" s="26" t="s">
        <v>436</v>
      </c>
      <c r="B65" s="225" t="s">
        <v>442</v>
      </c>
      <c r="E65" s="127" t="s">
        <v>161</v>
      </c>
      <c r="F65" s="151">
        <f>+(I58/E56-1)/(60/360)</f>
        <v>0.55000000000000071</v>
      </c>
    </row>
    <row r="66" spans="1:58" x14ac:dyDescent="0.3">
      <c r="B66" s="229"/>
      <c r="C66" s="194">
        <v>3</v>
      </c>
      <c r="D66" s="195"/>
      <c r="E66" s="195"/>
      <c r="F66" s="195"/>
      <c r="G66" s="195"/>
      <c r="H66" s="195"/>
      <c r="I66" s="195"/>
      <c r="J66" s="195"/>
      <c r="K66" s="195"/>
      <c r="L66" s="195"/>
      <c r="M66" s="195"/>
      <c r="N66" s="195"/>
      <c r="O66" s="198"/>
      <c r="V66" s="195"/>
      <c r="W66" s="195"/>
      <c r="X66" s="195"/>
      <c r="Y66" s="195"/>
      <c r="Z66" s="195"/>
      <c r="AA66" s="195"/>
      <c r="AB66" s="195"/>
      <c r="AC66" s="195"/>
      <c r="AD66" s="195"/>
      <c r="AE66" s="195"/>
      <c r="AF66" s="195"/>
      <c r="AG66" s="198"/>
      <c r="AI66" s="127"/>
    </row>
    <row r="67" spans="1:58" ht="57.6" x14ac:dyDescent="0.3">
      <c r="A67" s="125">
        <v>3</v>
      </c>
      <c r="B67" s="475" t="s">
        <v>446</v>
      </c>
      <c r="D67" s="127" t="s">
        <v>156</v>
      </c>
      <c r="E67" s="127">
        <v>1000000</v>
      </c>
      <c r="G67" s="130" t="s">
        <v>679</v>
      </c>
      <c r="H67" s="130" t="s">
        <v>683</v>
      </c>
      <c r="I67" s="130" t="s">
        <v>682</v>
      </c>
      <c r="J67" s="127" t="s">
        <v>217</v>
      </c>
      <c r="K67" s="127" t="s">
        <v>5</v>
      </c>
      <c r="L67" s="130" t="s">
        <v>680</v>
      </c>
      <c r="M67" s="130" t="s">
        <v>681</v>
      </c>
      <c r="N67" s="127" t="s">
        <v>161</v>
      </c>
      <c r="O67" s="198" t="s">
        <v>685</v>
      </c>
      <c r="P67" s="127" t="s">
        <v>686</v>
      </c>
      <c r="Q67" s="127" t="s">
        <v>687</v>
      </c>
      <c r="V67" s="127" t="s">
        <v>156</v>
      </c>
      <c r="W67" s="127">
        <v>1000000</v>
      </c>
      <c r="Y67" s="130" t="s">
        <v>679</v>
      </c>
      <c r="Z67" s="130" t="s">
        <v>692</v>
      </c>
      <c r="AA67" s="130" t="s">
        <v>693</v>
      </c>
      <c r="AB67" s="127" t="s">
        <v>217</v>
      </c>
      <c r="AC67" s="127" t="s">
        <v>5</v>
      </c>
      <c r="AD67" s="130" t="s">
        <v>680</v>
      </c>
      <c r="AE67" s="130" t="s">
        <v>681</v>
      </c>
      <c r="AF67" s="127" t="s">
        <v>161</v>
      </c>
      <c r="AG67" s="198" t="s">
        <v>685</v>
      </c>
      <c r="AH67" s="127" t="s">
        <v>686</v>
      </c>
      <c r="AI67" s="127" t="s">
        <v>687</v>
      </c>
      <c r="AJ67" s="140"/>
      <c r="BE67" s="128"/>
      <c r="BF67" s="140"/>
    </row>
    <row r="68" spans="1:58" x14ac:dyDescent="0.3">
      <c r="A68" s="125"/>
      <c r="B68" s="475"/>
      <c r="D68" s="127" t="s">
        <v>675</v>
      </c>
      <c r="F68" s="26" t="s">
        <v>435</v>
      </c>
      <c r="G68" s="127">
        <v>360</v>
      </c>
      <c r="H68" s="159">
        <v>1</v>
      </c>
      <c r="I68" s="159">
        <f t="shared" ref="I68:I73" si="1">360/G68</f>
        <v>1</v>
      </c>
      <c r="J68" s="127">
        <f>+$E$67*(1+$E$69*H68)^(I68)</f>
        <v>1200000</v>
      </c>
      <c r="K68" s="127">
        <f>+J68-$E$67</f>
        <v>200000</v>
      </c>
      <c r="L68" s="127">
        <f>+$E$67*E$69</f>
        <v>200000</v>
      </c>
      <c r="M68" s="127">
        <f>+K68-L68</f>
        <v>0</v>
      </c>
      <c r="N68" s="133">
        <f>+J68/$E$67-1</f>
        <v>0.19999999999999996</v>
      </c>
      <c r="O68" s="198">
        <f>+$E$67*(1+($E$69/I68))^(I68*1)</f>
        <v>1200000</v>
      </c>
      <c r="P68" s="127">
        <f>1000000*(1+(0.2/I69))^(I69*2)</f>
        <v>1464100.0000000005</v>
      </c>
      <c r="Q68" s="127">
        <f>+$E$67*(1+($E$69/I68))^(I68*3)</f>
        <v>1728000</v>
      </c>
      <c r="V68" s="127" t="s">
        <v>675</v>
      </c>
      <c r="X68" s="26" t="s">
        <v>435</v>
      </c>
      <c r="Y68" s="127">
        <v>360</v>
      </c>
      <c r="Z68" s="159">
        <f>+Y68/30</f>
        <v>12</v>
      </c>
      <c r="AA68" s="159">
        <f>30/Y68</f>
        <v>8.3333333333333329E-2</v>
      </c>
      <c r="AB68" s="127">
        <f>+$E$67*(1+$E$69*Z68)^(AA68)</f>
        <v>1107362.7483126814</v>
      </c>
      <c r="AC68" s="127">
        <f>+AB68-$E$67</f>
        <v>107362.74831268145</v>
      </c>
      <c r="AD68" s="127">
        <f>+$E$67*W$69</f>
        <v>16666.666666666668</v>
      </c>
      <c r="AE68" s="127">
        <f>+AC68-AD68</f>
        <v>90696.081646014776</v>
      </c>
      <c r="AF68" s="133">
        <f>+AB68/$E$67-1</f>
        <v>0.10736274831268156</v>
      </c>
      <c r="AG68" s="198">
        <f>+$E$67*(1+(W69/AA68))^(AA68*1)</f>
        <v>1015309.4704997311</v>
      </c>
      <c r="AH68" s="127">
        <f>1000000*(1+($W$69/AA68))^(AA68*2)</f>
        <v>1030853.3208864445</v>
      </c>
      <c r="AI68" s="127">
        <f>+$E$67*(1+($E$69/AA68))^(AA68*3)</f>
        <v>1357906.0687170441</v>
      </c>
      <c r="AJ68" s="140"/>
      <c r="BE68" s="128"/>
      <c r="BF68" s="140"/>
    </row>
    <row r="69" spans="1:58" x14ac:dyDescent="0.3">
      <c r="A69" s="125"/>
      <c r="B69" s="475"/>
      <c r="D69" s="127" t="s">
        <v>676</v>
      </c>
      <c r="E69" s="127">
        <v>0.2</v>
      </c>
      <c r="F69" s="26" t="s">
        <v>436</v>
      </c>
      <c r="G69" s="127">
        <v>180</v>
      </c>
      <c r="H69" s="159">
        <f>+G69/360</f>
        <v>0.5</v>
      </c>
      <c r="I69" s="159">
        <f>360/G69</f>
        <v>2</v>
      </c>
      <c r="J69" s="127">
        <f t="shared" ref="J69:J73" si="2">+$E$67*(1+$E$69*H69)^(I69)</f>
        <v>1210000.0000000002</v>
      </c>
      <c r="K69" s="127">
        <f t="shared" ref="K69:K73" si="3">+J69-$E$67</f>
        <v>210000.00000000023</v>
      </c>
      <c r="L69" s="127">
        <f t="shared" ref="L69:L73" si="4">+$E$67*E$69</f>
        <v>200000</v>
      </c>
      <c r="M69" s="127">
        <f t="shared" ref="M69:M73" si="5">+K69-L69</f>
        <v>10000.000000000233</v>
      </c>
      <c r="N69" s="133">
        <f t="shared" ref="N69:N73" si="6">+J69/$E$67-1</f>
        <v>0.21000000000000019</v>
      </c>
      <c r="O69" s="198">
        <f>+$E$67*(1+($E$69/I69))^(I69)</f>
        <v>1210000.0000000002</v>
      </c>
      <c r="P69" s="127">
        <f>1000000*(1+(0.2/I69))^(I69*2)</f>
        <v>1464100.0000000005</v>
      </c>
      <c r="Q69" s="127">
        <f t="shared" ref="Q69:Q73" si="7">+$E$67*(1+($E$69/I69))^(I69*3)</f>
        <v>1771561.0000000009</v>
      </c>
      <c r="V69" s="127" t="s">
        <v>691</v>
      </c>
      <c r="W69" s="129">
        <f>0.2*30/360</f>
        <v>1.6666666666666666E-2</v>
      </c>
      <c r="X69" s="26" t="s">
        <v>436</v>
      </c>
      <c r="Y69" s="127">
        <v>180</v>
      </c>
      <c r="Z69" s="159">
        <f t="shared" ref="Z69:Z73" si="8">+Y69/30</f>
        <v>6</v>
      </c>
      <c r="AA69" s="159">
        <f t="shared" ref="AA69:AA73" si="9">30/Y69</f>
        <v>0.16666666666666666</v>
      </c>
      <c r="AB69" s="127">
        <f t="shared" ref="AB69:AB73" si="10">+$E$67*(1+$E$69*Z69)^(AA69)</f>
        <v>1140434.7622075481</v>
      </c>
      <c r="AC69" s="127">
        <f t="shared" ref="AC69:AC73" si="11">+AB69-$E$67</f>
        <v>140434.76220754813</v>
      </c>
      <c r="AD69" s="127">
        <f t="shared" ref="AD69:AD73" si="12">+$E$67*W$69</f>
        <v>16666.666666666668</v>
      </c>
      <c r="AE69" s="127">
        <f t="shared" ref="AE69:AE73" si="13">+AC69-AD69</f>
        <v>123768.09554088146</v>
      </c>
      <c r="AF69" s="133">
        <f t="shared" ref="AF69:AF73" si="14">+AB69/$E$67-1</f>
        <v>0.14043476220754814</v>
      </c>
      <c r="AG69" s="198">
        <f>+$E$67*(1+($E$69/AA69))^(AA69)</f>
        <v>1140434.7622075481</v>
      </c>
      <c r="AH69" s="127">
        <f>1000000*(1+(0.2/AA69))^(AA69*2)</f>
        <v>1300591.4468513872</v>
      </c>
      <c r="AI69" s="127">
        <f t="shared" ref="AI69:AI73" si="15">+$E$67*(1+($E$69/AA69))^(AA69*3)</f>
        <v>1483239.6974191326</v>
      </c>
      <c r="AJ69" s="140"/>
      <c r="BE69" s="128"/>
      <c r="BF69" s="140"/>
    </row>
    <row r="70" spans="1:58" x14ac:dyDescent="0.3">
      <c r="A70" s="26" t="s">
        <v>435</v>
      </c>
      <c r="B70" s="227" t="s">
        <v>447</v>
      </c>
      <c r="D70" s="127" t="s">
        <v>163</v>
      </c>
      <c r="E70" s="127" t="s">
        <v>40</v>
      </c>
      <c r="F70" s="26" t="s">
        <v>437</v>
      </c>
      <c r="G70" s="127">
        <v>90</v>
      </c>
      <c r="H70" s="159">
        <f t="shared" ref="H70:H73" si="16">+G70/360</f>
        <v>0.25</v>
      </c>
      <c r="I70" s="159">
        <f t="shared" si="1"/>
        <v>4</v>
      </c>
      <c r="J70" s="127">
        <f t="shared" si="2"/>
        <v>1215506.25</v>
      </c>
      <c r="K70" s="127">
        <f t="shared" si="3"/>
        <v>215506.25</v>
      </c>
      <c r="L70" s="127">
        <f t="shared" si="4"/>
        <v>200000</v>
      </c>
      <c r="M70" s="127">
        <f t="shared" si="5"/>
        <v>15506.25</v>
      </c>
      <c r="N70" s="133">
        <f t="shared" si="6"/>
        <v>0.21550625000000001</v>
      </c>
      <c r="O70" s="198">
        <f>+$E$67*(1+($E$69/I70))^(I70)</f>
        <v>1215506.25</v>
      </c>
      <c r="P70" s="127">
        <f t="shared" ref="P70:P73" si="17">1000000*(1+(0.2/I70))^(I70*2)</f>
        <v>1477455.4437890626</v>
      </c>
      <c r="Q70" s="127">
        <f t="shared" si="7"/>
        <v>1795856.3260221293</v>
      </c>
      <c r="V70" s="127" t="s">
        <v>163</v>
      </c>
      <c r="W70" s="127" t="s">
        <v>40</v>
      </c>
      <c r="X70" s="26" t="s">
        <v>437</v>
      </c>
      <c r="Y70" s="127">
        <v>90</v>
      </c>
      <c r="Z70" s="159">
        <f t="shared" si="8"/>
        <v>3</v>
      </c>
      <c r="AA70" s="159">
        <f t="shared" si="9"/>
        <v>0.33333333333333331</v>
      </c>
      <c r="AB70" s="127">
        <f t="shared" si="10"/>
        <v>1169607.0952851465</v>
      </c>
      <c r="AC70" s="127">
        <f t="shared" si="11"/>
        <v>169607.0952851465</v>
      </c>
      <c r="AD70" s="127">
        <f t="shared" si="12"/>
        <v>16666.666666666668</v>
      </c>
      <c r="AE70" s="127">
        <f t="shared" si="13"/>
        <v>152940.42861847984</v>
      </c>
      <c r="AF70" s="133">
        <f t="shared" si="14"/>
        <v>0.1696070952851465</v>
      </c>
      <c r="AG70" s="198">
        <f>+$E$67*(1+($E$69/AA70))^(AA70)</f>
        <v>1169607.0952851465</v>
      </c>
      <c r="AH70" s="127">
        <f t="shared" ref="AH70:AH73" si="18">1000000*(1+(0.2/AA70))^(AA70*2)</f>
        <v>1367980.7573413576</v>
      </c>
      <c r="AI70" s="127">
        <f t="shared" si="15"/>
        <v>1600000</v>
      </c>
      <c r="AJ70" s="140"/>
      <c r="BE70" s="128"/>
      <c r="BF70" s="140"/>
    </row>
    <row r="71" spans="1:58" ht="28.8" x14ac:dyDescent="0.3">
      <c r="A71" s="26" t="s">
        <v>436</v>
      </c>
      <c r="B71" s="227" t="s">
        <v>448</v>
      </c>
      <c r="D71" s="195" t="s">
        <v>677</v>
      </c>
      <c r="E71" s="197" t="s">
        <v>684</v>
      </c>
      <c r="F71" s="26" t="s">
        <v>450</v>
      </c>
      <c r="G71" s="127">
        <v>60</v>
      </c>
      <c r="H71" s="159">
        <f t="shared" si="16"/>
        <v>0.16666666666666666</v>
      </c>
      <c r="I71" s="159">
        <f t="shared" si="1"/>
        <v>6</v>
      </c>
      <c r="J71" s="127">
        <f t="shared" si="2"/>
        <v>1217426.174211249</v>
      </c>
      <c r="K71" s="127">
        <f t="shared" si="3"/>
        <v>217426.17421124899</v>
      </c>
      <c r="L71" s="127">
        <f t="shared" si="4"/>
        <v>200000</v>
      </c>
      <c r="M71" s="127">
        <f t="shared" si="5"/>
        <v>17426.174211248988</v>
      </c>
      <c r="N71" s="133">
        <f t="shared" si="6"/>
        <v>0.21742617421124888</v>
      </c>
      <c r="O71" s="198">
        <f t="shared" ref="O71:O73" si="19">+$E$67*(1+($E$69/I71))^(I71)</f>
        <v>1217426.174211249</v>
      </c>
      <c r="P71" s="127">
        <f t="shared" si="17"/>
        <v>1482126.4896546383</v>
      </c>
      <c r="Q71" s="127">
        <f t="shared" si="7"/>
        <v>1804379.5819973946</v>
      </c>
      <c r="V71" s="195" t="s">
        <v>677</v>
      </c>
      <c r="W71" s="197" t="s">
        <v>684</v>
      </c>
      <c r="X71" s="26" t="s">
        <v>450</v>
      </c>
      <c r="Y71" s="127">
        <v>60</v>
      </c>
      <c r="Z71" s="159">
        <f t="shared" si="8"/>
        <v>2</v>
      </c>
      <c r="AA71" s="159">
        <f t="shared" si="9"/>
        <v>0.5</v>
      </c>
      <c r="AB71" s="127">
        <f t="shared" si="10"/>
        <v>1183215.9566199232</v>
      </c>
      <c r="AC71" s="127">
        <f t="shared" si="11"/>
        <v>183215.95661992324</v>
      </c>
      <c r="AD71" s="127">
        <f t="shared" si="12"/>
        <v>16666.666666666668</v>
      </c>
      <c r="AE71" s="127">
        <f t="shared" si="13"/>
        <v>166549.28995325658</v>
      </c>
      <c r="AF71" s="133">
        <f t="shared" si="14"/>
        <v>0.18321595661992318</v>
      </c>
      <c r="AG71" s="198">
        <f t="shared" ref="AG71:AG73" si="20">+$E$67*(1+($E$69/AA71))^(AA71)</f>
        <v>1183215.9566199232</v>
      </c>
      <c r="AH71" s="127">
        <f t="shared" si="18"/>
        <v>1400000</v>
      </c>
      <c r="AI71" s="127">
        <f t="shared" si="15"/>
        <v>1656502.3392678923</v>
      </c>
      <c r="AJ71" s="140"/>
      <c r="BE71" s="128"/>
      <c r="BF71" s="140"/>
    </row>
    <row r="72" spans="1:58" x14ac:dyDescent="0.3">
      <c r="A72" s="26" t="s">
        <v>437</v>
      </c>
      <c r="B72" s="227" t="s">
        <v>449</v>
      </c>
      <c r="F72" s="26" t="s">
        <v>451</v>
      </c>
      <c r="G72" s="127">
        <v>30</v>
      </c>
      <c r="H72" s="159">
        <f t="shared" si="16"/>
        <v>8.3333333333333329E-2</v>
      </c>
      <c r="I72" s="159">
        <f t="shared" si="1"/>
        <v>12</v>
      </c>
      <c r="J72" s="127">
        <f t="shared" si="2"/>
        <v>1219391.0849052318</v>
      </c>
      <c r="K72" s="127">
        <f t="shared" si="3"/>
        <v>219391.08490523184</v>
      </c>
      <c r="L72" s="127">
        <f t="shared" si="4"/>
        <v>200000</v>
      </c>
      <c r="M72" s="127">
        <f t="shared" si="5"/>
        <v>19391.084905231837</v>
      </c>
      <c r="N72" s="133">
        <f t="shared" si="6"/>
        <v>0.21939108490523185</v>
      </c>
      <c r="O72" s="198">
        <f t="shared" si="19"/>
        <v>1219391.0849052318</v>
      </c>
      <c r="P72" s="127">
        <f t="shared" si="17"/>
        <v>1486914.6179463584</v>
      </c>
      <c r="Q72" s="127">
        <f t="shared" si="7"/>
        <v>1813130.4291390579</v>
      </c>
      <c r="X72" s="26" t="s">
        <v>451</v>
      </c>
      <c r="Y72" s="127">
        <v>30</v>
      </c>
      <c r="Z72" s="159">
        <f t="shared" si="8"/>
        <v>1</v>
      </c>
      <c r="AA72" s="159">
        <f t="shared" si="9"/>
        <v>1</v>
      </c>
      <c r="AB72" s="127">
        <f t="shared" si="10"/>
        <v>1200000</v>
      </c>
      <c r="AC72" s="127">
        <f t="shared" si="11"/>
        <v>200000</v>
      </c>
      <c r="AD72" s="127">
        <f t="shared" si="12"/>
        <v>16666.666666666668</v>
      </c>
      <c r="AE72" s="127">
        <f t="shared" si="13"/>
        <v>183333.33333333334</v>
      </c>
      <c r="AF72" s="133">
        <f t="shared" si="14"/>
        <v>0.19999999999999996</v>
      </c>
      <c r="AG72" s="198">
        <f t="shared" si="20"/>
        <v>1200000</v>
      </c>
      <c r="AH72" s="127">
        <f t="shared" si="18"/>
        <v>1440000</v>
      </c>
      <c r="AI72" s="127">
        <f t="shared" si="15"/>
        <v>1728000</v>
      </c>
      <c r="AJ72" s="140"/>
      <c r="BE72" s="128"/>
      <c r="BF72" s="140"/>
    </row>
    <row r="73" spans="1:58" x14ac:dyDescent="0.3">
      <c r="A73" s="26" t="s">
        <v>450</v>
      </c>
      <c r="B73" s="227" t="s">
        <v>455</v>
      </c>
      <c r="F73" s="26" t="s">
        <v>452</v>
      </c>
      <c r="G73" s="127">
        <v>1</v>
      </c>
      <c r="H73" s="159">
        <f t="shared" si="16"/>
        <v>2.7777777777777779E-3</v>
      </c>
      <c r="I73" s="159">
        <f t="shared" si="1"/>
        <v>360</v>
      </c>
      <c r="J73" s="127">
        <f t="shared" si="2"/>
        <v>1221334.9294561611</v>
      </c>
      <c r="K73" s="127">
        <f t="shared" si="3"/>
        <v>221334.9294561611</v>
      </c>
      <c r="L73" s="127">
        <f t="shared" si="4"/>
        <v>200000</v>
      </c>
      <c r="M73" s="127">
        <f t="shared" si="5"/>
        <v>21334.929456161102</v>
      </c>
      <c r="N73" s="133">
        <f t="shared" si="6"/>
        <v>0.22133492945616107</v>
      </c>
      <c r="O73" s="198">
        <f t="shared" si="19"/>
        <v>1221334.9294561611</v>
      </c>
      <c r="P73" s="127">
        <f t="shared" si="17"/>
        <v>1491659.0099096859</v>
      </c>
      <c r="Q73" s="127">
        <f t="shared" si="7"/>
        <v>1821815.2516406935</v>
      </c>
      <c r="X73" s="26" t="s">
        <v>452</v>
      </c>
      <c r="Y73" s="127">
        <v>1</v>
      </c>
      <c r="Z73" s="159">
        <f t="shared" si="8"/>
        <v>3.3333333333333333E-2</v>
      </c>
      <c r="AA73" s="159">
        <f t="shared" si="9"/>
        <v>30</v>
      </c>
      <c r="AB73" s="127">
        <f t="shared" si="10"/>
        <v>1220592.3595949658</v>
      </c>
      <c r="AC73" s="127">
        <f t="shared" si="11"/>
        <v>220592.35959496582</v>
      </c>
      <c r="AD73" s="127">
        <f t="shared" si="12"/>
        <v>16666.666666666668</v>
      </c>
      <c r="AE73" s="127">
        <f t="shared" si="13"/>
        <v>203925.69292829916</v>
      </c>
      <c r="AF73" s="133">
        <f t="shared" si="14"/>
        <v>0.22059235959496593</v>
      </c>
      <c r="AG73" s="198">
        <f t="shared" si="20"/>
        <v>1220592.3595949658</v>
      </c>
      <c r="AH73" s="127">
        <f t="shared" si="18"/>
        <v>1489845.7083016061</v>
      </c>
      <c r="AI73" s="127">
        <f t="shared" si="15"/>
        <v>1818494.2885282906</v>
      </c>
      <c r="AJ73" s="140"/>
      <c r="BE73" s="128"/>
      <c r="BF73" s="140"/>
    </row>
    <row r="74" spans="1:58" x14ac:dyDescent="0.3">
      <c r="A74" s="26" t="s">
        <v>451</v>
      </c>
      <c r="B74" s="227" t="s">
        <v>454</v>
      </c>
      <c r="E74" s="195" t="s">
        <v>688</v>
      </c>
      <c r="W74" s="195" t="s">
        <v>688</v>
      </c>
      <c r="AI74" s="127"/>
    </row>
    <row r="75" spans="1:58" x14ac:dyDescent="0.3">
      <c r="A75" s="26" t="s">
        <v>452</v>
      </c>
      <c r="B75" s="227" t="s">
        <v>453</v>
      </c>
      <c r="D75" s="127" t="s">
        <v>689</v>
      </c>
      <c r="E75" s="195" t="s">
        <v>690</v>
      </c>
      <c r="V75" s="127" t="s">
        <v>689</v>
      </c>
      <c r="W75" s="195" t="s">
        <v>690</v>
      </c>
      <c r="AI75" s="127"/>
    </row>
    <row r="76" spans="1:58" ht="39.6" x14ac:dyDescent="0.3">
      <c r="B76" s="227" t="s">
        <v>445</v>
      </c>
      <c r="E76" s="186"/>
    </row>
    <row r="77" spans="1:58" x14ac:dyDescent="0.3">
      <c r="B77" s="229"/>
      <c r="C77" s="194">
        <v>4</v>
      </c>
      <c r="D77" s="195"/>
      <c r="E77" s="195"/>
      <c r="F77" s="195"/>
      <c r="G77" s="195"/>
      <c r="H77" s="195"/>
      <c r="I77" s="195" t="s">
        <v>695</v>
      </c>
      <c r="J77" s="195" t="s">
        <v>694</v>
      </c>
      <c r="K77" s="195"/>
      <c r="L77" s="195"/>
      <c r="M77" s="195"/>
      <c r="N77" s="195"/>
      <c r="O77" s="195"/>
      <c r="P77" s="195"/>
    </row>
    <row r="78" spans="1:58" x14ac:dyDescent="0.3">
      <c r="A78" s="125">
        <v>4</v>
      </c>
      <c r="B78" s="475" t="s">
        <v>460</v>
      </c>
      <c r="D78" s="127" t="s">
        <v>697</v>
      </c>
      <c r="I78" s="127">
        <v>360</v>
      </c>
      <c r="J78" s="127">
        <v>1</v>
      </c>
      <c r="K78" s="127">
        <f>+D84/D85</f>
        <v>1</v>
      </c>
      <c r="L78" s="127">
        <f>+K78*360</f>
        <v>360</v>
      </c>
      <c r="M78" s="127" t="s">
        <v>678</v>
      </c>
    </row>
    <row r="79" spans="1:58" x14ac:dyDescent="0.3">
      <c r="A79" s="125"/>
      <c r="B79" s="475"/>
      <c r="D79" s="127" t="s">
        <v>696</v>
      </c>
      <c r="I79" s="127">
        <v>180</v>
      </c>
      <c r="J79" s="127">
        <v>2</v>
      </c>
      <c r="K79" s="127">
        <f>+D84/E85</f>
        <v>0.90852974625564364</v>
      </c>
      <c r="L79" s="127">
        <f>+K79*360</f>
        <v>327.07070865203173</v>
      </c>
      <c r="M79" s="127" t="s">
        <v>678</v>
      </c>
    </row>
    <row r="80" spans="1:58" x14ac:dyDescent="0.3">
      <c r="A80" s="125"/>
      <c r="B80" s="475"/>
      <c r="D80" s="127" t="s">
        <v>698</v>
      </c>
      <c r="I80" s="127">
        <v>1</v>
      </c>
      <c r="J80" s="127">
        <v>360</v>
      </c>
      <c r="K80" s="127">
        <f>+D84/F85</f>
        <v>0.81149323193240774</v>
      </c>
      <c r="L80" s="127">
        <f>+K80*360</f>
        <v>292.13756349566677</v>
      </c>
      <c r="M80" s="127" t="s">
        <v>678</v>
      </c>
    </row>
    <row r="81" spans="1:16" x14ac:dyDescent="0.3">
      <c r="A81" s="125"/>
      <c r="B81" s="475"/>
      <c r="D81" s="127" t="s">
        <v>699</v>
      </c>
    </row>
    <row r="82" spans="1:16" x14ac:dyDescent="0.3">
      <c r="A82" s="26" t="s">
        <v>435</v>
      </c>
      <c r="B82" s="227" t="s">
        <v>447</v>
      </c>
      <c r="D82" s="127" t="s">
        <v>700</v>
      </c>
    </row>
    <row r="83" spans="1:16" x14ac:dyDescent="0.3">
      <c r="A83" s="26" t="s">
        <v>436</v>
      </c>
      <c r="B83" s="227" t="s">
        <v>448</v>
      </c>
      <c r="D83" s="127" t="s">
        <v>701</v>
      </c>
    </row>
    <row r="84" spans="1:16" x14ac:dyDescent="0.3">
      <c r="A84" s="26" t="s">
        <v>437</v>
      </c>
      <c r="B84" s="227" t="s">
        <v>453</v>
      </c>
      <c r="D84" s="127">
        <f>+LOG(1.5)</f>
        <v>0.17609125905568124</v>
      </c>
    </row>
    <row r="85" spans="1:16" ht="39.6" x14ac:dyDescent="0.3">
      <c r="B85" s="227" t="s">
        <v>456</v>
      </c>
      <c r="D85" s="127">
        <f>+LOG((1+(0.5/1))^1)</f>
        <v>0.17609125905568124</v>
      </c>
      <c r="E85" s="127">
        <f>+LOG((1+(0.5/2))^2)</f>
        <v>0.19382002601611284</v>
      </c>
      <c r="F85" s="127">
        <f>+LOG((1+(0.5/360))^360)</f>
        <v>0.21699658373780317</v>
      </c>
      <c r="I85" s="159">
        <f>+LOG(1.5)/LOG((1+(0.5/2))^2)</f>
        <v>0.90852974625564364</v>
      </c>
      <c r="J85" s="127">
        <f>+I85*360</f>
        <v>327.07070865203173</v>
      </c>
      <c r="K85" s="127">
        <f>+NPER(0.5,,-100000, 150000)</f>
        <v>1</v>
      </c>
    </row>
    <row r="86" spans="1:16" x14ac:dyDescent="0.3">
      <c r="B86" s="229"/>
      <c r="K86" s="127">
        <f>+NPER(0.5/2,,-100000, 150000)</f>
        <v>1.8170594925112873</v>
      </c>
    </row>
    <row r="87" spans="1:16" ht="39.6" x14ac:dyDescent="0.3">
      <c r="A87" s="125">
        <v>5</v>
      </c>
      <c r="B87" s="227" t="s">
        <v>462</v>
      </c>
      <c r="C87" s="194">
        <v>5</v>
      </c>
      <c r="D87" s="195"/>
      <c r="E87" s="195" t="s">
        <v>645</v>
      </c>
      <c r="F87" s="195" t="s">
        <v>644</v>
      </c>
      <c r="G87" s="195" t="s">
        <v>712</v>
      </c>
      <c r="H87" s="195"/>
      <c r="I87" s="195"/>
      <c r="J87" s="195"/>
      <c r="K87" s="195"/>
      <c r="L87" s="195"/>
      <c r="M87" s="195"/>
      <c r="N87" s="195"/>
      <c r="O87" s="195"/>
      <c r="P87" s="195"/>
    </row>
    <row r="88" spans="1:16" ht="39.6" x14ac:dyDescent="0.3">
      <c r="A88" s="26" t="s">
        <v>435</v>
      </c>
      <c r="B88" s="227" t="s">
        <v>463</v>
      </c>
      <c r="D88" s="159" t="s">
        <v>702</v>
      </c>
      <c r="E88" s="159">
        <f>+(1+0.1)^(1)-1*1</f>
        <v>0.10000000000000009</v>
      </c>
      <c r="F88" s="159">
        <f>+((1+F89)^(0.493150684931507)-1)*2.02777777777778</f>
        <v>0.20277777777777861</v>
      </c>
      <c r="G88" s="159">
        <v>0.06</v>
      </c>
      <c r="H88" s="159"/>
      <c r="I88" s="159"/>
      <c r="J88" s="159"/>
      <c r="K88" s="159"/>
    </row>
    <row r="89" spans="1:16" x14ac:dyDescent="0.3">
      <c r="A89" s="478" t="s">
        <v>436</v>
      </c>
      <c r="B89" s="475" t="s">
        <v>464</v>
      </c>
      <c r="D89" s="159" t="s">
        <v>703</v>
      </c>
      <c r="E89" s="159">
        <f>220000/200000-1</f>
        <v>0.10000000000000009</v>
      </c>
      <c r="F89" s="159">
        <f>+(1+F90)^(2.02777777777778)-1</f>
        <v>0.2132077254042839</v>
      </c>
      <c r="G89" s="159">
        <f>(1+(G88/(12.1666666666667)))^(365/30)-1</f>
        <v>6.1679979032808863E-2</v>
      </c>
      <c r="H89" s="159"/>
      <c r="I89" s="159"/>
      <c r="J89" s="159"/>
      <c r="K89" s="159"/>
    </row>
    <row r="90" spans="1:16" x14ac:dyDescent="0.3">
      <c r="A90" s="478"/>
      <c r="B90" s="475"/>
      <c r="D90" s="159" t="s">
        <v>705</v>
      </c>
      <c r="E90" s="159">
        <f>+(1+0.1)^(180/365)-1</f>
        <v>4.8124399273734131E-2</v>
      </c>
      <c r="F90" s="159">
        <f>1.1-1</f>
        <v>0.10000000000000009</v>
      </c>
      <c r="G90" s="159">
        <f>+(1+G89)^(0.493150684931507)-1</f>
        <v>2.9956245043479157E-2</v>
      </c>
      <c r="H90" s="159"/>
      <c r="I90" s="159"/>
      <c r="J90" s="159"/>
      <c r="K90" s="159"/>
    </row>
    <row r="91" spans="1:16" x14ac:dyDescent="0.3">
      <c r="A91" s="478"/>
      <c r="B91" s="475"/>
      <c r="D91" s="159" t="s">
        <v>704</v>
      </c>
      <c r="E91" s="159">
        <f>+(1+0.1)^(30/365)-1</f>
        <v>7.8644772206188929E-3</v>
      </c>
      <c r="F91" s="159">
        <f>+(1+F89)^(0.0821917808219178)-1</f>
        <v>1.6011867773387367E-2</v>
      </c>
      <c r="G91" s="159">
        <f>+(1+G89)^(0.0821917808219178)-1</f>
        <v>4.9315068493149816E-3</v>
      </c>
      <c r="H91" s="159"/>
      <c r="I91" s="159"/>
      <c r="J91" s="159"/>
      <c r="K91" s="159"/>
    </row>
    <row r="92" spans="1:16" x14ac:dyDescent="0.3">
      <c r="A92" s="478" t="s">
        <v>437</v>
      </c>
      <c r="B92" s="475" t="s">
        <v>465</v>
      </c>
      <c r="D92" s="159" t="s">
        <v>704</v>
      </c>
      <c r="E92" s="159">
        <f>+(1+E90)^(0.166666666666667)-1</f>
        <v>7.8644772206188929E-3</v>
      </c>
      <c r="F92" s="159">
        <f>+(1+F90)^(0.166666666666667)-1</f>
        <v>1.6011867773387367E-2</v>
      </c>
      <c r="G92" s="159">
        <f>+(1+G90)^(30/180)-1</f>
        <v>4.9315068493149816E-3</v>
      </c>
      <c r="H92" s="159"/>
      <c r="I92" s="159"/>
      <c r="J92" s="159"/>
      <c r="K92" s="159"/>
    </row>
    <row r="93" spans="1:16" x14ac:dyDescent="0.3">
      <c r="A93" s="478"/>
      <c r="B93" s="475"/>
      <c r="D93" s="159"/>
      <c r="E93" s="159"/>
      <c r="F93" s="159"/>
      <c r="G93" s="159"/>
      <c r="H93" s="159"/>
      <c r="I93" s="159"/>
      <c r="J93" s="159"/>
      <c r="K93" s="159"/>
    </row>
    <row r="94" spans="1:16" x14ac:dyDescent="0.3">
      <c r="A94" s="478"/>
      <c r="B94" s="475"/>
      <c r="E94" s="159"/>
      <c r="F94" s="159"/>
      <c r="G94" s="159"/>
      <c r="H94" s="159"/>
      <c r="I94" s="159"/>
      <c r="J94" s="159"/>
      <c r="K94" s="159"/>
    </row>
    <row r="95" spans="1:16" ht="26.4" x14ac:dyDescent="0.3">
      <c r="B95" s="227" t="s">
        <v>461</v>
      </c>
      <c r="D95" s="159"/>
      <c r="E95" s="159"/>
      <c r="F95" s="159"/>
      <c r="G95" s="159"/>
      <c r="H95" s="159"/>
      <c r="I95" s="159"/>
      <c r="J95" s="159"/>
      <c r="K95" s="159"/>
    </row>
    <row r="96" spans="1:16" x14ac:dyDescent="0.3">
      <c r="B96" s="229"/>
      <c r="D96" s="159"/>
      <c r="E96" s="159"/>
      <c r="F96" s="159"/>
      <c r="G96" s="159"/>
      <c r="H96" s="159"/>
      <c r="I96" s="159"/>
      <c r="J96" s="159"/>
      <c r="K96" s="159"/>
    </row>
    <row r="97" spans="1:11" x14ac:dyDescent="0.3">
      <c r="A97" s="476">
        <v>6</v>
      </c>
      <c r="B97" s="475" t="s">
        <v>466</v>
      </c>
      <c r="D97" s="127" t="s">
        <v>718</v>
      </c>
      <c r="E97" s="127">
        <v>0.04</v>
      </c>
      <c r="F97" s="159" t="s">
        <v>713</v>
      </c>
      <c r="G97" s="159">
        <f>+(1+(0.04/12.1666666666667))^(12.1666666666667)-1</f>
        <v>4.0742489189402376E-2</v>
      </c>
      <c r="H97" s="201" t="s">
        <v>717</v>
      </c>
      <c r="I97" s="201">
        <f>93*(1+G100)/(1+G99)</f>
        <v>111.78018460452236</v>
      </c>
      <c r="J97" s="159"/>
      <c r="K97" s="159"/>
    </row>
    <row r="98" spans="1:11" x14ac:dyDescent="0.3">
      <c r="A98" s="476"/>
      <c r="B98" s="475"/>
      <c r="D98" s="127" t="s">
        <v>719</v>
      </c>
      <c r="E98" s="127">
        <v>0.42</v>
      </c>
      <c r="F98" s="159" t="s">
        <v>714</v>
      </c>
      <c r="G98" s="159">
        <f>+(1+(0.42/12.1666666666667))^(12.1666666666667)-1</f>
        <v>0.51121402074072009</v>
      </c>
      <c r="H98" s="159"/>
      <c r="I98" s="159"/>
      <c r="J98" s="159"/>
      <c r="K98" s="159"/>
    </row>
    <row r="99" spans="1:11" x14ac:dyDescent="0.3">
      <c r="A99" s="476"/>
      <c r="B99" s="475"/>
      <c r="F99" s="159" t="s">
        <v>715</v>
      </c>
      <c r="G99" s="159">
        <f>+(1+G97)^(0.493150684931507)-1</f>
        <v>1.9888871598486402E-2</v>
      </c>
      <c r="H99" s="159"/>
      <c r="I99" s="159"/>
      <c r="J99" s="159"/>
      <c r="K99" s="159"/>
    </row>
    <row r="100" spans="1:11" x14ac:dyDescent="0.3">
      <c r="A100" s="476"/>
      <c r="B100" s="475"/>
      <c r="F100" s="127" t="s">
        <v>716</v>
      </c>
      <c r="G100" s="159">
        <f>+(1+G98)^(0.493150684931507)-1</f>
        <v>0.22584264885351413</v>
      </c>
    </row>
    <row r="101" spans="1:11" x14ac:dyDescent="0.3">
      <c r="A101" s="476"/>
      <c r="B101" s="475"/>
      <c r="D101" s="128" t="s">
        <v>720</v>
      </c>
      <c r="E101" s="128">
        <v>0.04</v>
      </c>
    </row>
    <row r="102" spans="1:11" x14ac:dyDescent="0.3">
      <c r="A102" s="476"/>
      <c r="B102" s="475"/>
      <c r="D102" s="128" t="s">
        <v>721</v>
      </c>
      <c r="E102" s="128">
        <f>+(108*(1+E98))/(93)-1</f>
        <v>0.64903225806451603</v>
      </c>
    </row>
    <row r="103" spans="1:11" x14ac:dyDescent="0.3">
      <c r="A103" s="476"/>
      <c r="B103" s="475"/>
    </row>
    <row r="104" spans="1:11" x14ac:dyDescent="0.3">
      <c r="A104" s="476"/>
      <c r="B104" s="475"/>
    </row>
    <row r="105" spans="1:11" x14ac:dyDescent="0.3">
      <c r="A105" s="476"/>
      <c r="B105" s="475"/>
    </row>
    <row r="106" spans="1:11" x14ac:dyDescent="0.3">
      <c r="B106" s="227"/>
    </row>
    <row r="107" spans="1:11" x14ac:dyDescent="0.3">
      <c r="A107" s="476">
        <v>7</v>
      </c>
      <c r="B107" s="475" t="s">
        <v>842</v>
      </c>
      <c r="D107" s="127" t="s">
        <v>222</v>
      </c>
      <c r="E107" s="127">
        <v>100000</v>
      </c>
      <c r="F107" s="127" t="s">
        <v>714</v>
      </c>
      <c r="G107" s="196">
        <f>+(1+(E108/12))^12-1</f>
        <v>0.26824179456254527</v>
      </c>
      <c r="H107" s="127" t="s">
        <v>722</v>
      </c>
      <c r="I107" s="127">
        <f>100000*(1.02^2)/2.02</f>
        <v>51504.950495049503</v>
      </c>
    </row>
    <row r="108" spans="1:11" x14ac:dyDescent="0.3">
      <c r="A108" s="476"/>
      <c r="B108" s="475"/>
      <c r="D108" s="127" t="s">
        <v>719</v>
      </c>
      <c r="E108" s="127">
        <v>0.24</v>
      </c>
      <c r="F108" s="127" t="s">
        <v>713</v>
      </c>
      <c r="G108" s="196">
        <f>+(1+(E109/12))^12-1</f>
        <v>3.0415956913506736E-2</v>
      </c>
    </row>
    <row r="109" spans="1:11" x14ac:dyDescent="0.3">
      <c r="A109" s="476"/>
      <c r="B109" s="475"/>
      <c r="D109" s="127" t="s">
        <v>718</v>
      </c>
      <c r="E109" s="127">
        <v>0.03</v>
      </c>
      <c r="F109" s="127" t="s">
        <v>724</v>
      </c>
      <c r="G109" s="196">
        <f>+(1+G107)^(0.0833333333333333)-1</f>
        <v>2.0000000000000018E-2</v>
      </c>
    </row>
    <row r="110" spans="1:11" x14ac:dyDescent="0.3">
      <c r="A110" s="476"/>
      <c r="B110" s="475"/>
      <c r="D110" s="127" t="s">
        <v>723</v>
      </c>
      <c r="E110" s="127">
        <f>+E107/80</f>
        <v>1250</v>
      </c>
      <c r="F110" s="127" t="s">
        <v>725</v>
      </c>
      <c r="G110" s="159">
        <f>+(1+G108)^(0.0833333333333333)-1</f>
        <v>2.4999999999999467E-3</v>
      </c>
      <c r="H110" s="127" t="s">
        <v>722</v>
      </c>
      <c r="I110" s="127">
        <f>E110*(1.0025^2)/2.0025</f>
        <v>627.34472534332076</v>
      </c>
    </row>
    <row r="111" spans="1:11" x14ac:dyDescent="0.3">
      <c r="A111" s="476"/>
      <c r="B111" s="475"/>
    </row>
    <row r="112" spans="1:11" x14ac:dyDescent="0.3">
      <c r="A112" s="476"/>
      <c r="B112" s="475"/>
    </row>
    <row r="113" spans="1:8" x14ac:dyDescent="0.3">
      <c r="B113" s="227" t="s">
        <v>467</v>
      </c>
    </row>
    <row r="114" spans="1:8" ht="26.4" x14ac:dyDescent="0.3">
      <c r="A114" s="26" t="s">
        <v>435</v>
      </c>
      <c r="B114" s="227" t="s">
        <v>468</v>
      </c>
    </row>
    <row r="115" spans="1:8" ht="39.6" x14ac:dyDescent="0.3">
      <c r="A115" s="26" t="s">
        <v>436</v>
      </c>
      <c r="B115" s="227" t="s">
        <v>469</v>
      </c>
    </row>
    <row r="116" spans="1:8" x14ac:dyDescent="0.3">
      <c r="B116" s="229"/>
    </row>
    <row r="117" spans="1:8" x14ac:dyDescent="0.3">
      <c r="B117" s="229"/>
    </row>
    <row r="118" spans="1:8" x14ac:dyDescent="0.3">
      <c r="A118" s="476">
        <v>8</v>
      </c>
      <c r="B118" s="475" t="s">
        <v>470</v>
      </c>
      <c r="D118" s="127" t="s">
        <v>156</v>
      </c>
      <c r="E118" s="127">
        <v>100000</v>
      </c>
    </row>
    <row r="119" spans="1:8" x14ac:dyDescent="0.3">
      <c r="A119" s="476"/>
      <c r="B119" s="475"/>
      <c r="D119" s="127" t="s">
        <v>726</v>
      </c>
    </row>
    <row r="120" spans="1:8" x14ac:dyDescent="0.3">
      <c r="A120" s="476"/>
      <c r="B120" s="475"/>
      <c r="D120" s="127" t="s">
        <v>727</v>
      </c>
      <c r="E120" s="127">
        <v>0.5</v>
      </c>
      <c r="F120" s="127" t="s">
        <v>730</v>
      </c>
      <c r="G120" s="159">
        <f>+(1+(0.5/12))-1</f>
        <v>4.1666666666666741E-2</v>
      </c>
      <c r="H120" s="159">
        <f>+E118*(1+G120)*(1+G121)</f>
        <v>108327.51121776087</v>
      </c>
    </row>
    <row r="121" spans="1:8" x14ac:dyDescent="0.3">
      <c r="A121" s="476"/>
      <c r="B121" s="475"/>
      <c r="D121" s="127" t="s">
        <v>728</v>
      </c>
      <c r="E121" s="127">
        <v>0.6</v>
      </c>
      <c r="F121" s="127" t="s">
        <v>731</v>
      </c>
      <c r="G121" s="159">
        <f>+(1+E122)-1</f>
        <v>3.9944107690504271E-2</v>
      </c>
      <c r="H121" s="159"/>
    </row>
    <row r="122" spans="1:8" x14ac:dyDescent="0.3">
      <c r="A122" s="476"/>
      <c r="B122" s="475"/>
      <c r="D122" s="127" t="s">
        <v>729</v>
      </c>
      <c r="E122" s="127">
        <f>+(1+E121)^(1/12)-1</f>
        <v>3.9944107690504271E-2</v>
      </c>
      <c r="H122" s="127">
        <f>+H120/E118</f>
        <v>1.0832751121776087</v>
      </c>
    </row>
    <row r="123" spans="1:8" x14ac:dyDescent="0.3">
      <c r="A123" s="476"/>
      <c r="B123" s="475"/>
      <c r="H123" s="127">
        <f>+H122^6</f>
        <v>1.6159673921081097</v>
      </c>
    </row>
    <row r="124" spans="1:8" ht="26.4" x14ac:dyDescent="0.3">
      <c r="B124" s="231" t="s">
        <v>441</v>
      </c>
      <c r="G124" s="127" t="s">
        <v>732</v>
      </c>
      <c r="H124" s="129">
        <f>+H123-1</f>
        <v>0.61596739210810969</v>
      </c>
    </row>
    <row r="125" spans="1:8" x14ac:dyDescent="0.3">
      <c r="A125" s="26" t="s">
        <v>435</v>
      </c>
      <c r="B125" s="232" t="s">
        <v>472</v>
      </c>
    </row>
    <row r="126" spans="1:8" x14ac:dyDescent="0.3">
      <c r="A126" s="26" t="s">
        <v>436</v>
      </c>
      <c r="B126" s="232" t="s">
        <v>471</v>
      </c>
    </row>
    <row r="127" spans="1:8" ht="52.8" x14ac:dyDescent="0.3">
      <c r="A127" s="125">
        <v>9</v>
      </c>
      <c r="B127" s="233" t="s">
        <v>473</v>
      </c>
    </row>
    <row r="128" spans="1:8" ht="52.8" x14ac:dyDescent="0.3">
      <c r="A128" s="26">
        <v>10</v>
      </c>
      <c r="B128" s="234" t="s">
        <v>474</v>
      </c>
      <c r="D128" s="127">
        <f>100000*EXP(0.2)</f>
        <v>122140.27581601699</v>
      </c>
    </row>
    <row r="129" spans="1:123" s="128" customFormat="1" x14ac:dyDescent="0.3">
      <c r="A129" s="124" t="s">
        <v>475</v>
      </c>
      <c r="B129" s="222" t="s">
        <v>476</v>
      </c>
      <c r="C129" s="139"/>
      <c r="U129" s="139"/>
      <c r="AI129" s="139"/>
      <c r="BE129" s="139"/>
    </row>
    <row r="130" spans="1:123" x14ac:dyDescent="0.3">
      <c r="A130" s="125">
        <v>1</v>
      </c>
      <c r="B130" s="479" t="s">
        <v>477</v>
      </c>
      <c r="D130" s="127">
        <f>+SUM(E141:DS141)</f>
        <v>356618.9859459523</v>
      </c>
      <c r="E130" s="127">
        <f>200000+D130</f>
        <v>556618.98594595236</v>
      </c>
      <c r="F130" s="127">
        <f>+PV(D135, 120, 4000)</f>
        <v>-360293.81330867438</v>
      </c>
      <c r="U130" s="140" t="s">
        <v>846</v>
      </c>
      <c r="V130" s="127">
        <v>120</v>
      </c>
      <c r="W130" s="127">
        <v>4000</v>
      </c>
    </row>
    <row r="131" spans="1:123" x14ac:dyDescent="0.3">
      <c r="B131" s="475"/>
      <c r="D131" s="127">
        <f>PV(0.06/12,120,-4000)</f>
        <v>360293.81330866663</v>
      </c>
      <c r="U131" s="140" t="s">
        <v>847</v>
      </c>
      <c r="V131" s="127">
        <v>18</v>
      </c>
      <c r="X131" s="187">
        <f>1/0.005</f>
        <v>200</v>
      </c>
      <c r="Y131" s="187">
        <f>1/(0.005*((1.005)^(102)))</f>
        <v>120.25183063213682</v>
      </c>
    </row>
    <row r="132" spans="1:123" x14ac:dyDescent="0.3">
      <c r="B132" s="475"/>
      <c r="D132" s="133">
        <v>0.06</v>
      </c>
      <c r="E132" s="127" t="s">
        <v>161</v>
      </c>
      <c r="U132" s="140" t="s">
        <v>848</v>
      </c>
      <c r="V132" s="127">
        <f>+V130-V131</f>
        <v>102</v>
      </c>
      <c r="X132" s="187">
        <f>+X131-Y131</f>
        <v>79.748169367863184</v>
      </c>
      <c r="Y132" s="187"/>
    </row>
    <row r="133" spans="1:123" x14ac:dyDescent="0.3">
      <c r="B133" s="475"/>
      <c r="D133" s="179">
        <f>+(1+(0.06/12))^12-1</f>
        <v>6.1677811864497611E-2</v>
      </c>
      <c r="E133" s="127" t="s">
        <v>163</v>
      </c>
      <c r="U133" s="140" t="s">
        <v>849</v>
      </c>
      <c r="V133" s="127">
        <f>+V140*((1/(0.005))-(1/((0.005*((1+0.005)^(V132))))))</f>
        <v>318992.67747145274</v>
      </c>
      <c r="X133" s="127">
        <f>+W130*X132</f>
        <v>318992.67747145274</v>
      </c>
    </row>
    <row r="134" spans="1:123" x14ac:dyDescent="0.3">
      <c r="A134" s="26" t="s">
        <v>435</v>
      </c>
      <c r="B134" s="227" t="s">
        <v>478</v>
      </c>
      <c r="D134" s="159">
        <f>+EFFECT(D132, 12)</f>
        <v>6.1677811864497611E-2</v>
      </c>
      <c r="E134" s="127" t="s">
        <v>163</v>
      </c>
      <c r="V134" s="127">
        <f>+V133*(1+0.005)</f>
        <v>320587.64085880999</v>
      </c>
    </row>
    <row r="135" spans="1:123" x14ac:dyDescent="0.3">
      <c r="A135" s="26" t="s">
        <v>436</v>
      </c>
      <c r="B135" s="475" t="s">
        <v>479</v>
      </c>
      <c r="D135" s="187">
        <f>+(1+D134)^(0.0833333333333333)-1</f>
        <v>4.9999999999998934E-3</v>
      </c>
      <c r="E135" s="127" t="s">
        <v>261</v>
      </c>
    </row>
    <row r="136" spans="1:123" x14ac:dyDescent="0.3">
      <c r="B136" s="475"/>
    </row>
    <row r="137" spans="1:123" x14ac:dyDescent="0.3">
      <c r="B137" s="475"/>
      <c r="D137" s="127">
        <f>4000*((1/D135)-(1/(D135*((1+D135)^120))))</f>
        <v>360293.81330867432</v>
      </c>
      <c r="U137" s="140" t="s">
        <v>813</v>
      </c>
      <c r="V137" s="127">
        <f>+SUM(D140:U140)</f>
        <v>268000</v>
      </c>
    </row>
    <row r="138" spans="1:123" x14ac:dyDescent="0.3">
      <c r="B138" s="475"/>
      <c r="U138" s="140" t="s">
        <v>814</v>
      </c>
      <c r="V138" s="127">
        <f>+SUM(V142:DS142)</f>
        <v>318992.67747146258</v>
      </c>
    </row>
    <row r="139" spans="1:123" x14ac:dyDescent="0.3">
      <c r="B139" s="230"/>
      <c r="C139" s="140" t="s">
        <v>808</v>
      </c>
      <c r="D139" s="127">
        <v>0</v>
      </c>
      <c r="E139" s="127">
        <v>1</v>
      </c>
      <c r="F139" s="127">
        <v>2</v>
      </c>
      <c r="G139" s="127">
        <v>3</v>
      </c>
      <c r="H139" s="127">
        <v>4</v>
      </c>
      <c r="I139" s="127">
        <v>5</v>
      </c>
      <c r="J139" s="127">
        <v>6</v>
      </c>
      <c r="K139" s="127">
        <v>7</v>
      </c>
      <c r="L139" s="127">
        <v>8</v>
      </c>
      <c r="M139" s="127">
        <v>9</v>
      </c>
      <c r="N139" s="127">
        <v>10</v>
      </c>
      <c r="O139" s="127">
        <v>11</v>
      </c>
      <c r="P139" s="127">
        <v>12</v>
      </c>
      <c r="Q139" s="127">
        <v>13</v>
      </c>
      <c r="R139" s="127">
        <v>14</v>
      </c>
      <c r="S139" s="127">
        <v>15</v>
      </c>
      <c r="T139" s="127">
        <v>16</v>
      </c>
      <c r="U139" s="127">
        <v>18</v>
      </c>
      <c r="V139" s="127">
        <v>19</v>
      </c>
      <c r="W139" s="127">
        <v>20</v>
      </c>
      <c r="X139" s="127">
        <v>21</v>
      </c>
      <c r="Y139" s="127">
        <v>22</v>
      </c>
      <c r="Z139" s="127">
        <v>23</v>
      </c>
      <c r="AA139" s="127">
        <v>24</v>
      </c>
      <c r="AB139" s="127">
        <v>25</v>
      </c>
      <c r="AC139" s="127">
        <v>26</v>
      </c>
      <c r="AD139" s="127">
        <v>27</v>
      </c>
      <c r="AE139" s="127">
        <v>28</v>
      </c>
      <c r="AF139" s="127">
        <v>29</v>
      </c>
      <c r="AG139" s="127">
        <v>30</v>
      </c>
      <c r="AH139" s="127">
        <v>31</v>
      </c>
      <c r="AI139" s="127">
        <v>32</v>
      </c>
      <c r="AJ139" s="127">
        <v>33</v>
      </c>
      <c r="AK139" s="127">
        <v>34</v>
      </c>
      <c r="AL139" s="127">
        <v>35</v>
      </c>
      <c r="AM139" s="127">
        <v>36</v>
      </c>
      <c r="AN139" s="127">
        <v>37</v>
      </c>
      <c r="AO139" s="127">
        <v>38</v>
      </c>
      <c r="AP139" s="127">
        <v>39</v>
      </c>
      <c r="AQ139" s="127">
        <v>40</v>
      </c>
      <c r="AR139" s="127">
        <v>41</v>
      </c>
      <c r="AS139" s="127">
        <v>42</v>
      </c>
      <c r="AT139" s="127">
        <v>43</v>
      </c>
      <c r="AU139" s="127">
        <v>44</v>
      </c>
      <c r="AV139" s="127">
        <v>45</v>
      </c>
      <c r="AW139" s="127">
        <v>46</v>
      </c>
      <c r="AX139" s="127">
        <v>47</v>
      </c>
      <c r="AY139" s="127">
        <v>48</v>
      </c>
      <c r="AZ139" s="127">
        <v>49</v>
      </c>
      <c r="BA139" s="127">
        <v>50</v>
      </c>
      <c r="BB139" s="127">
        <v>51</v>
      </c>
      <c r="BC139" s="127">
        <v>52</v>
      </c>
      <c r="BD139" s="127">
        <v>53</v>
      </c>
      <c r="BE139" s="128">
        <v>54</v>
      </c>
      <c r="BF139" s="127">
        <v>55</v>
      </c>
      <c r="BG139" s="127">
        <v>56</v>
      </c>
      <c r="BH139" s="127">
        <v>57</v>
      </c>
      <c r="BI139" s="127">
        <v>58</v>
      </c>
      <c r="BJ139" s="127">
        <v>59</v>
      </c>
      <c r="BK139" s="127">
        <v>60</v>
      </c>
      <c r="BL139" s="127">
        <v>61</v>
      </c>
      <c r="BM139" s="127">
        <v>62</v>
      </c>
      <c r="BN139" s="127">
        <v>63</v>
      </c>
      <c r="BO139" s="127">
        <v>64</v>
      </c>
      <c r="BP139" s="127">
        <v>65</v>
      </c>
      <c r="BQ139" s="127">
        <v>66</v>
      </c>
      <c r="BR139" s="127">
        <v>67</v>
      </c>
      <c r="BS139" s="127">
        <v>68</v>
      </c>
      <c r="BT139" s="127">
        <v>69</v>
      </c>
      <c r="BU139" s="127">
        <v>70</v>
      </c>
      <c r="BV139" s="127">
        <v>71</v>
      </c>
      <c r="BW139" s="127">
        <v>72</v>
      </c>
      <c r="BX139" s="127">
        <v>73</v>
      </c>
      <c r="BY139" s="127">
        <v>74</v>
      </c>
      <c r="BZ139" s="127">
        <v>75</v>
      </c>
      <c r="CA139" s="127">
        <v>76</v>
      </c>
      <c r="CB139" s="127">
        <v>77</v>
      </c>
      <c r="CC139" s="127">
        <v>78</v>
      </c>
      <c r="CD139" s="127">
        <v>79</v>
      </c>
      <c r="CE139" s="127">
        <v>80</v>
      </c>
      <c r="CF139" s="127">
        <v>81</v>
      </c>
      <c r="CG139" s="127">
        <v>82</v>
      </c>
      <c r="CH139" s="127">
        <v>83</v>
      </c>
      <c r="CI139" s="127">
        <v>84</v>
      </c>
      <c r="CJ139" s="127">
        <v>85</v>
      </c>
      <c r="CK139" s="127">
        <v>86</v>
      </c>
      <c r="CL139" s="127">
        <v>87</v>
      </c>
      <c r="CM139" s="127">
        <v>88</v>
      </c>
      <c r="CN139" s="127">
        <v>89</v>
      </c>
      <c r="CO139" s="127">
        <v>90</v>
      </c>
      <c r="CP139" s="127">
        <v>91</v>
      </c>
      <c r="CQ139" s="127">
        <v>92</v>
      </c>
      <c r="CR139" s="127">
        <v>93</v>
      </c>
      <c r="CS139" s="127">
        <v>94</v>
      </c>
      <c r="CT139" s="127">
        <v>95</v>
      </c>
      <c r="CU139" s="127">
        <v>96</v>
      </c>
      <c r="CV139" s="127">
        <v>97</v>
      </c>
      <c r="CW139" s="127">
        <v>98</v>
      </c>
      <c r="CX139" s="127">
        <v>99</v>
      </c>
      <c r="CY139" s="127">
        <v>100</v>
      </c>
      <c r="CZ139" s="127">
        <v>101</v>
      </c>
      <c r="DA139" s="127">
        <v>102</v>
      </c>
      <c r="DB139" s="127">
        <v>103</v>
      </c>
      <c r="DC139" s="127">
        <v>104</v>
      </c>
      <c r="DD139" s="127">
        <v>105</v>
      </c>
      <c r="DE139" s="127">
        <v>106</v>
      </c>
      <c r="DF139" s="127">
        <v>107</v>
      </c>
      <c r="DG139" s="127">
        <v>108</v>
      </c>
      <c r="DH139" s="127">
        <v>109</v>
      </c>
      <c r="DI139" s="127">
        <v>110</v>
      </c>
      <c r="DJ139" s="127">
        <v>111</v>
      </c>
      <c r="DK139" s="127">
        <v>112</v>
      </c>
      <c r="DL139" s="127">
        <v>113</v>
      </c>
      <c r="DM139" s="127">
        <v>114</v>
      </c>
      <c r="DN139" s="127">
        <v>115</v>
      </c>
      <c r="DO139" s="127">
        <v>116</v>
      </c>
      <c r="DP139" s="127">
        <v>117</v>
      </c>
      <c r="DQ139" s="127">
        <v>118</v>
      </c>
      <c r="DR139" s="127">
        <v>119</v>
      </c>
      <c r="DS139" s="127">
        <v>120</v>
      </c>
    </row>
    <row r="140" spans="1:123" x14ac:dyDescent="0.3">
      <c r="B140" s="230"/>
      <c r="C140" s="140" t="s">
        <v>809</v>
      </c>
      <c r="D140" s="127">
        <v>200000</v>
      </c>
      <c r="E140" s="127">
        <v>4000</v>
      </c>
      <c r="F140" s="127">
        <v>4000</v>
      </c>
      <c r="G140" s="127">
        <v>4000</v>
      </c>
      <c r="H140" s="127">
        <v>4000</v>
      </c>
      <c r="I140" s="127">
        <v>4000</v>
      </c>
      <c r="J140" s="127">
        <v>4000</v>
      </c>
      <c r="K140" s="127">
        <v>4000</v>
      </c>
      <c r="L140" s="127">
        <v>4000</v>
      </c>
      <c r="M140" s="127">
        <v>4000</v>
      </c>
      <c r="N140" s="127">
        <v>4000</v>
      </c>
      <c r="O140" s="127">
        <v>4000</v>
      </c>
      <c r="P140" s="127">
        <v>4000</v>
      </c>
      <c r="Q140" s="127">
        <v>4000</v>
      </c>
      <c r="R140" s="127">
        <v>4000</v>
      </c>
      <c r="S140" s="127">
        <v>4000</v>
      </c>
      <c r="T140" s="127">
        <v>4000</v>
      </c>
      <c r="U140" s="127">
        <v>4000</v>
      </c>
      <c r="V140" s="127">
        <v>4000</v>
      </c>
      <c r="W140" s="127">
        <v>4000</v>
      </c>
      <c r="X140" s="127">
        <v>4000</v>
      </c>
      <c r="Y140" s="127">
        <v>4000</v>
      </c>
      <c r="Z140" s="127">
        <v>4000</v>
      </c>
      <c r="AA140" s="127">
        <v>4000</v>
      </c>
      <c r="AB140" s="127">
        <v>4000</v>
      </c>
      <c r="AC140" s="127">
        <v>4000</v>
      </c>
      <c r="AD140" s="127">
        <v>4000</v>
      </c>
      <c r="AE140" s="127">
        <v>4000</v>
      </c>
      <c r="AF140" s="127">
        <v>4000</v>
      </c>
      <c r="AG140" s="127">
        <v>4000</v>
      </c>
      <c r="AH140" s="127">
        <v>4000</v>
      </c>
      <c r="AI140" s="127">
        <v>4000</v>
      </c>
      <c r="AJ140" s="127">
        <v>4000</v>
      </c>
      <c r="AK140" s="127">
        <v>4000</v>
      </c>
      <c r="AL140" s="127">
        <v>4000</v>
      </c>
      <c r="AM140" s="127">
        <v>4000</v>
      </c>
      <c r="AN140" s="127">
        <v>4000</v>
      </c>
      <c r="AO140" s="127">
        <v>4000</v>
      </c>
      <c r="AP140" s="127">
        <v>4000</v>
      </c>
      <c r="AQ140" s="127">
        <v>4000</v>
      </c>
      <c r="AR140" s="127">
        <v>4000</v>
      </c>
      <c r="AS140" s="127">
        <v>4000</v>
      </c>
      <c r="AT140" s="127">
        <v>4000</v>
      </c>
      <c r="AU140" s="127">
        <v>4000</v>
      </c>
      <c r="AV140" s="127">
        <v>4000</v>
      </c>
      <c r="AW140" s="127">
        <v>4000</v>
      </c>
      <c r="AX140" s="127">
        <v>4000</v>
      </c>
      <c r="AY140" s="127">
        <v>4000</v>
      </c>
      <c r="AZ140" s="127">
        <v>4000</v>
      </c>
      <c r="BA140" s="127">
        <v>4000</v>
      </c>
      <c r="BB140" s="127">
        <v>4000</v>
      </c>
      <c r="BC140" s="127">
        <v>4000</v>
      </c>
      <c r="BD140" s="127">
        <v>4000</v>
      </c>
      <c r="BE140" s="128">
        <v>4000</v>
      </c>
      <c r="BF140" s="127">
        <v>4000</v>
      </c>
      <c r="BG140" s="127">
        <v>4000</v>
      </c>
      <c r="BH140" s="127">
        <v>4000</v>
      </c>
      <c r="BI140" s="127">
        <v>4000</v>
      </c>
      <c r="BJ140" s="127">
        <v>4000</v>
      </c>
      <c r="BK140" s="127">
        <v>4000</v>
      </c>
      <c r="BL140" s="127">
        <v>4000</v>
      </c>
      <c r="BM140" s="127">
        <v>4000</v>
      </c>
      <c r="BN140" s="127">
        <v>4000</v>
      </c>
      <c r="BO140" s="127">
        <v>4000</v>
      </c>
      <c r="BP140" s="127">
        <v>4000</v>
      </c>
      <c r="BQ140" s="127">
        <v>4000</v>
      </c>
      <c r="BR140" s="127">
        <v>4000</v>
      </c>
      <c r="BS140" s="127">
        <v>4000</v>
      </c>
      <c r="BT140" s="127">
        <v>4000</v>
      </c>
      <c r="BU140" s="127">
        <v>4000</v>
      </c>
      <c r="BV140" s="127">
        <v>4000</v>
      </c>
      <c r="BW140" s="127">
        <v>4000</v>
      </c>
      <c r="BX140" s="127">
        <v>4000</v>
      </c>
      <c r="BY140" s="127">
        <v>4000</v>
      </c>
      <c r="BZ140" s="127">
        <v>4000</v>
      </c>
      <c r="CA140" s="127">
        <v>4000</v>
      </c>
      <c r="CB140" s="127">
        <v>4000</v>
      </c>
      <c r="CC140" s="127">
        <v>4000</v>
      </c>
      <c r="CD140" s="127">
        <v>4000</v>
      </c>
      <c r="CE140" s="127">
        <v>4000</v>
      </c>
      <c r="CF140" s="127">
        <v>4000</v>
      </c>
      <c r="CG140" s="127">
        <v>4000</v>
      </c>
      <c r="CH140" s="127">
        <v>4000</v>
      </c>
      <c r="CI140" s="127">
        <v>4000</v>
      </c>
      <c r="CJ140" s="127">
        <v>4000</v>
      </c>
      <c r="CK140" s="127">
        <v>4000</v>
      </c>
      <c r="CL140" s="127">
        <v>4000</v>
      </c>
      <c r="CM140" s="127">
        <v>4000</v>
      </c>
      <c r="CN140" s="127">
        <v>4000</v>
      </c>
      <c r="CO140" s="127">
        <v>4000</v>
      </c>
      <c r="CP140" s="127">
        <v>4000</v>
      </c>
      <c r="CQ140" s="127">
        <v>4000</v>
      </c>
      <c r="CR140" s="127">
        <v>4000</v>
      </c>
      <c r="CS140" s="127">
        <v>4000</v>
      </c>
      <c r="CT140" s="127">
        <v>4000</v>
      </c>
      <c r="CU140" s="127">
        <v>4000</v>
      </c>
      <c r="CV140" s="127">
        <v>4000</v>
      </c>
      <c r="CW140" s="127">
        <v>4000</v>
      </c>
      <c r="CX140" s="127">
        <v>4000</v>
      </c>
      <c r="CY140" s="127">
        <v>4000</v>
      </c>
      <c r="CZ140" s="127">
        <v>4000</v>
      </c>
      <c r="DA140" s="127">
        <v>4000</v>
      </c>
      <c r="DB140" s="127">
        <v>4000</v>
      </c>
      <c r="DC140" s="127">
        <v>4000</v>
      </c>
      <c r="DD140" s="127">
        <v>4000</v>
      </c>
      <c r="DE140" s="127">
        <v>4000</v>
      </c>
      <c r="DF140" s="127">
        <v>4000</v>
      </c>
      <c r="DG140" s="127">
        <v>4000</v>
      </c>
      <c r="DH140" s="127">
        <v>4000</v>
      </c>
      <c r="DI140" s="127">
        <v>4000</v>
      </c>
      <c r="DJ140" s="127">
        <v>4000</v>
      </c>
      <c r="DK140" s="127">
        <v>4000</v>
      </c>
      <c r="DL140" s="127">
        <v>4000</v>
      </c>
      <c r="DM140" s="127">
        <v>4000</v>
      </c>
      <c r="DN140" s="127">
        <v>4000</v>
      </c>
      <c r="DO140" s="127">
        <v>4000</v>
      </c>
      <c r="DP140" s="127">
        <v>4000</v>
      </c>
      <c r="DQ140" s="127">
        <v>4000</v>
      </c>
      <c r="DR140" s="127">
        <v>4000</v>
      </c>
      <c r="DS140" s="127">
        <v>4000</v>
      </c>
    </row>
    <row r="141" spans="1:123" s="209" customFormat="1" x14ac:dyDescent="0.3">
      <c r="A141" s="210"/>
      <c r="B141" s="235"/>
      <c r="C141" s="211" t="s">
        <v>710</v>
      </c>
      <c r="E141" s="209">
        <f t="shared" ref="E141:AJ141" si="21">+E140/((1+$D$135)^(E139))</f>
        <v>3980.0995024875624</v>
      </c>
      <c r="F141" s="209">
        <f t="shared" si="21"/>
        <v>3960.2980124254359</v>
      </c>
      <c r="G141" s="209">
        <f t="shared" si="21"/>
        <v>3940.5950372392404</v>
      </c>
      <c r="H141" s="209">
        <f t="shared" si="21"/>
        <v>3920.9900868052155</v>
      </c>
      <c r="I141" s="209">
        <f t="shared" si="21"/>
        <v>3901.4826734380258</v>
      </c>
      <c r="J141" s="209">
        <f t="shared" si="21"/>
        <v>3882.0723118786332</v>
      </c>
      <c r="K141" s="209">
        <f t="shared" si="21"/>
        <v>3862.7585192822226</v>
      </c>
      <c r="L141" s="209">
        <f t="shared" si="21"/>
        <v>3843.5408152061918</v>
      </c>
      <c r="M141" s="209">
        <f t="shared" si="21"/>
        <v>3824.418721598201</v>
      </c>
      <c r="N141" s="209">
        <f t="shared" si="21"/>
        <v>3805.3917627842807</v>
      </c>
      <c r="O141" s="209">
        <f t="shared" si="21"/>
        <v>3786.459465456996</v>
      </c>
      <c r="P141" s="209">
        <f t="shared" si="21"/>
        <v>3767.6213586636786</v>
      </c>
      <c r="Q141" s="209">
        <f t="shared" si="21"/>
        <v>3748.8769737947055</v>
      </c>
      <c r="R141" s="209">
        <f t="shared" si="21"/>
        <v>3730.2258445718471</v>
      </c>
      <c r="S141" s="209">
        <f t="shared" si="21"/>
        <v>3711.6675070366646</v>
      </c>
      <c r="T141" s="209">
        <f t="shared" si="21"/>
        <v>3693.20149953897</v>
      </c>
      <c r="U141" s="209">
        <f t="shared" si="21"/>
        <v>3656.5446395277063</v>
      </c>
      <c r="V141" s="209">
        <f t="shared" si="21"/>
        <v>3638.3528751519466</v>
      </c>
      <c r="W141" s="209">
        <f t="shared" si="21"/>
        <v>3620.251617066614</v>
      </c>
      <c r="X141" s="209">
        <f t="shared" si="21"/>
        <v>3602.2404149916565</v>
      </c>
      <c r="Y141" s="209">
        <f t="shared" si="21"/>
        <v>3584.3188208872211</v>
      </c>
      <c r="Z141" s="209">
        <f t="shared" si="21"/>
        <v>3566.4863889425092</v>
      </c>
      <c r="AA141" s="209">
        <f t="shared" si="21"/>
        <v>3548.7426755646857</v>
      </c>
      <c r="AB141" s="209">
        <f t="shared" si="21"/>
        <v>3531.0872393678469</v>
      </c>
      <c r="AC141" s="209">
        <f t="shared" si="21"/>
        <v>3513.5196411620373</v>
      </c>
      <c r="AD141" s="209">
        <f t="shared" si="21"/>
        <v>3496.0394439423262</v>
      </c>
      <c r="AE141" s="209">
        <f t="shared" si="21"/>
        <v>3478.6462128779372</v>
      </c>
      <c r="AF141" s="209">
        <f t="shared" si="21"/>
        <v>3461.3395153014308</v>
      </c>
      <c r="AG141" s="209">
        <f t="shared" si="21"/>
        <v>3444.1189206979411</v>
      </c>
      <c r="AH141" s="209">
        <f t="shared" si="21"/>
        <v>3426.9840006944701</v>
      </c>
      <c r="AI141" s="209">
        <f t="shared" si="21"/>
        <v>3409.9343290492243</v>
      </c>
      <c r="AJ141" s="209">
        <f t="shared" si="21"/>
        <v>3392.9694816410197</v>
      </c>
      <c r="AK141" s="209">
        <f t="shared" ref="AK141:BP141" si="22">+AK140/((1+$D$135)^(AK139))</f>
        <v>3376.0890364587262</v>
      </c>
      <c r="AL141" s="209">
        <f t="shared" si="22"/>
        <v>3359.2925735907729</v>
      </c>
      <c r="AM141" s="209">
        <f t="shared" si="22"/>
        <v>3342.5796752147003</v>
      </c>
      <c r="AN141" s="209">
        <f t="shared" si="22"/>
        <v>3325.9499255867672</v>
      </c>
      <c r="AO141" s="209">
        <f t="shared" si="22"/>
        <v>3309.4029110316092</v>
      </c>
      <c r="AP141" s="209">
        <f t="shared" si="22"/>
        <v>3292.9382199319502</v>
      </c>
      <c r="AQ141" s="209">
        <f t="shared" si="22"/>
        <v>3276.5554427183583</v>
      </c>
      <c r="AR141" s="209">
        <f t="shared" si="22"/>
        <v>3260.2541718590637</v>
      </c>
      <c r="AS141" s="209">
        <f t="shared" si="22"/>
        <v>3244.0340018498155</v>
      </c>
      <c r="AT141" s="209">
        <f t="shared" si="22"/>
        <v>3227.8945292037965</v>
      </c>
      <c r="AU141" s="209">
        <f t="shared" si="22"/>
        <v>3211.8353524415893</v>
      </c>
      <c r="AV141" s="209">
        <f t="shared" si="22"/>
        <v>3195.8560720811843</v>
      </c>
      <c r="AW141" s="209">
        <f t="shared" si="22"/>
        <v>3179.9562906280439</v>
      </c>
      <c r="AX141" s="209">
        <f t="shared" si="22"/>
        <v>3164.1356125652192</v>
      </c>
      <c r="AY141" s="209">
        <f t="shared" si="22"/>
        <v>3148.3936443435018</v>
      </c>
      <c r="AZ141" s="209">
        <f t="shared" si="22"/>
        <v>3132.7299943716434</v>
      </c>
      <c r="BA141" s="209">
        <f t="shared" si="22"/>
        <v>3117.1442730066115</v>
      </c>
      <c r="BB141" s="209">
        <f t="shared" si="22"/>
        <v>3101.6360925438926</v>
      </c>
      <c r="BC141" s="209">
        <f t="shared" si="22"/>
        <v>3086.2050672078535</v>
      </c>
      <c r="BD141" s="209">
        <f t="shared" si="22"/>
        <v>3070.8508131421436</v>
      </c>
      <c r="BE141" s="430">
        <f t="shared" si="22"/>
        <v>3055.5729484001436</v>
      </c>
      <c r="BF141" s="209">
        <f t="shared" si="22"/>
        <v>3040.3710929354661</v>
      </c>
      <c r="BG141" s="209">
        <f t="shared" si="22"/>
        <v>3025.2448685925037</v>
      </c>
      <c r="BH141" s="209">
        <f t="shared" si="22"/>
        <v>3010.1938990970193</v>
      </c>
      <c r="BI141" s="209">
        <f t="shared" si="22"/>
        <v>2995.2178100467859</v>
      </c>
      <c r="BJ141" s="209">
        <f t="shared" si="22"/>
        <v>2980.3162289022748</v>
      </c>
      <c r="BK141" s="209">
        <f t="shared" si="22"/>
        <v>2965.4887849773886</v>
      </c>
      <c r="BL141" s="209">
        <f t="shared" si="22"/>
        <v>2950.7351094302376</v>
      </c>
      <c r="BM141" s="209">
        <f t="shared" si="22"/>
        <v>2936.0548352539686</v>
      </c>
      <c r="BN141" s="209">
        <f t="shared" si="22"/>
        <v>2921.4475972676305</v>
      </c>
      <c r="BO141" s="209">
        <f t="shared" si="22"/>
        <v>2906.9130321070957</v>
      </c>
      <c r="BP141" s="209">
        <f t="shared" si="22"/>
        <v>2892.4507782160158</v>
      </c>
      <c r="BQ141" s="209">
        <f t="shared" ref="BQ141:CV141" si="23">+BQ140/((1+$D$135)^(BQ139))</f>
        <v>2878.0604758368322</v>
      </c>
      <c r="BR141" s="209">
        <f t="shared" si="23"/>
        <v>2863.7417670018231</v>
      </c>
      <c r="BS141" s="209">
        <f t="shared" si="23"/>
        <v>2849.4942955242027</v>
      </c>
      <c r="BT141" s="209">
        <f t="shared" si="23"/>
        <v>2835.3177069892572</v>
      </c>
      <c r="BU141" s="209">
        <f t="shared" si="23"/>
        <v>2821.2116487455301</v>
      </c>
      <c r="BV141" s="209">
        <f t="shared" si="23"/>
        <v>2807.17576989605</v>
      </c>
      <c r="BW141" s="209">
        <f t="shared" si="23"/>
        <v>2793.2097212896024</v>
      </c>
      <c r="BX141" s="209">
        <f t="shared" si="23"/>
        <v>2779.3131555120422</v>
      </c>
      <c r="BY141" s="209">
        <f t="shared" si="23"/>
        <v>2765.4857268776545</v>
      </c>
      <c r="BZ141" s="209">
        <f t="shared" si="23"/>
        <v>2751.7270914205519</v>
      </c>
      <c r="CA141" s="209">
        <f t="shared" si="23"/>
        <v>2738.0369068861223</v>
      </c>
      <c r="CB141" s="209">
        <f t="shared" si="23"/>
        <v>2724.4148327225098</v>
      </c>
      <c r="CC141" s="209">
        <f t="shared" si="23"/>
        <v>2710.8605300721497</v>
      </c>
      <c r="CD141" s="209">
        <f t="shared" si="23"/>
        <v>2697.373661763334</v>
      </c>
      <c r="CE141" s="209">
        <f t="shared" si="23"/>
        <v>2683.9538923018249</v>
      </c>
      <c r="CF141" s="209">
        <f t="shared" si="23"/>
        <v>2670.6008878625125</v>
      </c>
      <c r="CG141" s="209">
        <f t="shared" si="23"/>
        <v>2657.3143162811075</v>
      </c>
      <c r="CH141" s="209">
        <f t="shared" si="23"/>
        <v>2644.0938470458782</v>
      </c>
      <c r="CI141" s="209">
        <f t="shared" si="23"/>
        <v>2630.9391512894317</v>
      </c>
      <c r="CJ141" s="209">
        <f t="shared" si="23"/>
        <v>2617.8499017805298</v>
      </c>
      <c r="CK141" s="209">
        <f t="shared" si="23"/>
        <v>2604.8257729159504</v>
      </c>
      <c r="CL141" s="209">
        <f t="shared" si="23"/>
        <v>2591.8664407123892</v>
      </c>
      <c r="CM141" s="209">
        <f t="shared" si="23"/>
        <v>2578.9715827983969</v>
      </c>
      <c r="CN141" s="209">
        <f t="shared" si="23"/>
        <v>2566.1408784063656</v>
      </c>
      <c r="CO141" s="209">
        <f t="shared" si="23"/>
        <v>2553.374008364543</v>
      </c>
      <c r="CP141" s="209">
        <f t="shared" si="23"/>
        <v>2540.6706550890981</v>
      </c>
      <c r="CQ141" s="209">
        <f t="shared" si="23"/>
        <v>2528.0305025762177</v>
      </c>
      <c r="CR141" s="209">
        <f t="shared" si="23"/>
        <v>2515.4532363942467</v>
      </c>
      <c r="CS141" s="209">
        <f t="shared" si="23"/>
        <v>2502.9385436758675</v>
      </c>
      <c r="CT141" s="209">
        <f t="shared" si="23"/>
        <v>2490.4861131103166</v>
      </c>
      <c r="CU141" s="209">
        <f t="shared" si="23"/>
        <v>2478.0956349356388</v>
      </c>
      <c r="CV141" s="209">
        <f t="shared" si="23"/>
        <v>2465.7668009309841</v>
      </c>
      <c r="CW141" s="209">
        <f t="shared" ref="CW141:DS141" si="24">+CW140/((1+$D$135)^(CW139))</f>
        <v>2453.4993044089397</v>
      </c>
      <c r="CX141" s="209">
        <f t="shared" si="24"/>
        <v>2441.2928402079001</v>
      </c>
      <c r="CY141" s="209">
        <f t="shared" si="24"/>
        <v>2429.147104684479</v>
      </c>
      <c r="CZ141" s="209">
        <f t="shared" si="24"/>
        <v>2417.0617957059494</v>
      </c>
      <c r="DA141" s="209">
        <f t="shared" si="24"/>
        <v>2405.0366126427361</v>
      </c>
      <c r="DB141" s="209">
        <f t="shared" si="24"/>
        <v>2393.0712563609318</v>
      </c>
      <c r="DC141" s="209">
        <f t="shared" si="24"/>
        <v>2381.1654292148573</v>
      </c>
      <c r="DD141" s="209">
        <f t="shared" si="24"/>
        <v>2369.3188350396599</v>
      </c>
      <c r="DE141" s="209">
        <f t="shared" si="24"/>
        <v>2357.5311791439403</v>
      </c>
      <c r="DF141" s="209">
        <f t="shared" si="24"/>
        <v>2345.8021683024285</v>
      </c>
      <c r="DG141" s="209">
        <f t="shared" si="24"/>
        <v>2334.1315107486857</v>
      </c>
      <c r="DH141" s="209">
        <f t="shared" si="24"/>
        <v>2322.5189161678468</v>
      </c>
      <c r="DI141" s="209">
        <f t="shared" si="24"/>
        <v>2310.9640956894</v>
      </c>
      <c r="DJ141" s="209">
        <f t="shared" si="24"/>
        <v>2299.4667618800008</v>
      </c>
      <c r="DK141" s="209">
        <f t="shared" si="24"/>
        <v>2288.0266287363193</v>
      </c>
      <c r="DL141" s="209">
        <f t="shared" si="24"/>
        <v>2276.6434116779296</v>
      </c>
      <c r="DM141" s="209">
        <f t="shared" si="24"/>
        <v>2265.3168275402295</v>
      </c>
      <c r="DN141" s="209">
        <f t="shared" si="24"/>
        <v>2254.0465945673923</v>
      </c>
      <c r="DO141" s="209">
        <f t="shared" si="24"/>
        <v>2242.832432405366</v>
      </c>
      <c r="DP141" s="209">
        <f t="shared" si="24"/>
        <v>2231.6740620948922</v>
      </c>
      <c r="DQ141" s="209">
        <f t="shared" si="24"/>
        <v>2220.5712060645697</v>
      </c>
      <c r="DR141" s="209">
        <f t="shared" si="24"/>
        <v>2209.52358812395</v>
      </c>
      <c r="DS141" s="209">
        <f t="shared" si="24"/>
        <v>2198.5309334566668</v>
      </c>
    </row>
    <row r="142" spans="1:123" x14ac:dyDescent="0.3">
      <c r="B142" s="230"/>
      <c r="F142" s="196"/>
      <c r="V142" s="127">
        <f>+V140/(1+0.005)^(V139-18)</f>
        <v>3980.0995024875624</v>
      </c>
      <c r="W142" s="127">
        <f t="shared" ref="W142:CH142" si="25">+W140/(1+0.005)^(W139-18)</f>
        <v>3960.2980124254359</v>
      </c>
      <c r="X142" s="127">
        <f t="shared" si="25"/>
        <v>3940.5950372392404</v>
      </c>
      <c r="Y142" s="127">
        <f t="shared" si="25"/>
        <v>3920.9900868052155</v>
      </c>
      <c r="Z142" s="127">
        <f t="shared" si="25"/>
        <v>3901.4826734380258</v>
      </c>
      <c r="AA142" s="127">
        <f t="shared" si="25"/>
        <v>3882.0723118786332</v>
      </c>
      <c r="AB142" s="127">
        <f t="shared" si="25"/>
        <v>3862.7585192822226</v>
      </c>
      <c r="AC142" s="127">
        <f t="shared" si="25"/>
        <v>3843.5408152061918</v>
      </c>
      <c r="AD142" s="127">
        <f t="shared" si="25"/>
        <v>3824.418721598201</v>
      </c>
      <c r="AE142" s="127">
        <f t="shared" si="25"/>
        <v>3805.3917627842807</v>
      </c>
      <c r="AF142" s="127">
        <f t="shared" si="25"/>
        <v>3786.459465456996</v>
      </c>
      <c r="AG142" s="127">
        <f t="shared" si="25"/>
        <v>3767.6213586636786</v>
      </c>
      <c r="AH142" s="127">
        <f t="shared" si="25"/>
        <v>3748.8769737947055</v>
      </c>
      <c r="AI142" s="127">
        <f t="shared" si="25"/>
        <v>3730.2258445718471</v>
      </c>
      <c r="AJ142" s="127">
        <f t="shared" si="25"/>
        <v>3711.6675070366646</v>
      </c>
      <c r="AK142" s="127">
        <f t="shared" si="25"/>
        <v>3693.20149953897</v>
      </c>
      <c r="AL142" s="127">
        <f t="shared" si="25"/>
        <v>3674.8273627253434</v>
      </c>
      <c r="AM142" s="127">
        <f t="shared" si="25"/>
        <v>3656.5446395277063</v>
      </c>
      <c r="AN142" s="127">
        <f t="shared" si="25"/>
        <v>3638.3528751519466</v>
      </c>
      <c r="AO142" s="127">
        <f t="shared" si="25"/>
        <v>3620.251617066614</v>
      </c>
      <c r="AP142" s="127">
        <f t="shared" si="25"/>
        <v>3602.2404149916565</v>
      </c>
      <c r="AQ142" s="127">
        <f t="shared" si="25"/>
        <v>3584.3188208872211</v>
      </c>
      <c r="AR142" s="127">
        <f t="shared" si="25"/>
        <v>3566.4863889425092</v>
      </c>
      <c r="AS142" s="127">
        <f t="shared" si="25"/>
        <v>3548.7426755646857</v>
      </c>
      <c r="AT142" s="127">
        <f t="shared" si="25"/>
        <v>3531.0872393678469</v>
      </c>
      <c r="AU142" s="127">
        <f t="shared" si="25"/>
        <v>3513.5196411620373</v>
      </c>
      <c r="AV142" s="127">
        <f t="shared" si="25"/>
        <v>3496.0394439423262</v>
      </c>
      <c r="AW142" s="127">
        <f t="shared" si="25"/>
        <v>3478.6462128779372</v>
      </c>
      <c r="AX142" s="127">
        <f t="shared" si="25"/>
        <v>3461.3395153014308</v>
      </c>
      <c r="AY142" s="127">
        <f t="shared" si="25"/>
        <v>3444.1189206979411</v>
      </c>
      <c r="AZ142" s="127">
        <f t="shared" si="25"/>
        <v>3426.9840006944701</v>
      </c>
      <c r="BA142" s="127">
        <f t="shared" si="25"/>
        <v>3409.9343290492243</v>
      </c>
      <c r="BB142" s="127">
        <f t="shared" si="25"/>
        <v>3392.9694816410197</v>
      </c>
      <c r="BC142" s="127">
        <f t="shared" si="25"/>
        <v>3376.0890364587262</v>
      </c>
      <c r="BD142" s="127">
        <f t="shared" si="25"/>
        <v>3359.2925735907729</v>
      </c>
      <c r="BE142" s="128">
        <f t="shared" si="25"/>
        <v>3342.5796752147003</v>
      </c>
      <c r="BF142" s="127">
        <f t="shared" si="25"/>
        <v>3325.9499255867672</v>
      </c>
      <c r="BG142" s="127">
        <f t="shared" si="25"/>
        <v>3309.4029110316092</v>
      </c>
      <c r="BH142" s="127">
        <f t="shared" si="25"/>
        <v>3292.9382199319502</v>
      </c>
      <c r="BI142" s="127">
        <f t="shared" si="25"/>
        <v>3276.5554427183583</v>
      </c>
      <c r="BJ142" s="127">
        <f t="shared" si="25"/>
        <v>3260.2541718590637</v>
      </c>
      <c r="BK142" s="127">
        <f t="shared" si="25"/>
        <v>3244.0340018498155</v>
      </c>
      <c r="BL142" s="127">
        <f t="shared" si="25"/>
        <v>3227.8945292037965</v>
      </c>
      <c r="BM142" s="127">
        <f t="shared" si="25"/>
        <v>3211.8353524415893</v>
      </c>
      <c r="BN142" s="127">
        <f t="shared" si="25"/>
        <v>3195.8560720811843</v>
      </c>
      <c r="BO142" s="127">
        <f t="shared" si="25"/>
        <v>3179.9562906280439</v>
      </c>
      <c r="BP142" s="127">
        <f t="shared" si="25"/>
        <v>3164.1356125652192</v>
      </c>
      <c r="BQ142" s="127">
        <f t="shared" si="25"/>
        <v>3148.3936443435018</v>
      </c>
      <c r="BR142" s="127">
        <f t="shared" si="25"/>
        <v>3132.7299943716434</v>
      </c>
      <c r="BS142" s="127">
        <f t="shared" si="25"/>
        <v>3117.1442730066115</v>
      </c>
      <c r="BT142" s="127">
        <f t="shared" si="25"/>
        <v>3101.6360925438926</v>
      </c>
      <c r="BU142" s="127">
        <f t="shared" si="25"/>
        <v>3086.2050672078535</v>
      </c>
      <c r="BV142" s="127">
        <f t="shared" si="25"/>
        <v>3070.8508131421436</v>
      </c>
      <c r="BW142" s="127">
        <f t="shared" si="25"/>
        <v>3055.5729484001436</v>
      </c>
      <c r="BX142" s="127">
        <f t="shared" si="25"/>
        <v>3040.3710929354661</v>
      </c>
      <c r="BY142" s="127">
        <f t="shared" si="25"/>
        <v>3025.2448685925037</v>
      </c>
      <c r="BZ142" s="127">
        <f t="shared" si="25"/>
        <v>3010.1938990970193</v>
      </c>
      <c r="CA142" s="127">
        <f t="shared" si="25"/>
        <v>2995.2178100467859</v>
      </c>
      <c r="CB142" s="127">
        <f t="shared" si="25"/>
        <v>2980.3162289022748</v>
      </c>
      <c r="CC142" s="127">
        <f t="shared" si="25"/>
        <v>2965.4887849773886</v>
      </c>
      <c r="CD142" s="127">
        <f t="shared" si="25"/>
        <v>2950.7351094302376</v>
      </c>
      <c r="CE142" s="127">
        <f t="shared" si="25"/>
        <v>2936.0548352539686</v>
      </c>
      <c r="CF142" s="127">
        <f t="shared" si="25"/>
        <v>2921.4475972676305</v>
      </c>
      <c r="CG142" s="127">
        <f t="shared" si="25"/>
        <v>2906.9130321070957</v>
      </c>
      <c r="CH142" s="127">
        <f t="shared" si="25"/>
        <v>2892.4507782160158</v>
      </c>
      <c r="CI142" s="127">
        <f t="shared" ref="CI142:DS142" si="26">+CI140/(1+0.005)^(CI139-18)</f>
        <v>2878.0604758368322</v>
      </c>
      <c r="CJ142" s="127">
        <f t="shared" si="26"/>
        <v>2863.7417670018231</v>
      </c>
      <c r="CK142" s="127">
        <f t="shared" si="26"/>
        <v>2849.4942955242027</v>
      </c>
      <c r="CL142" s="127">
        <f t="shared" si="26"/>
        <v>2835.3177069892572</v>
      </c>
      <c r="CM142" s="127">
        <f t="shared" si="26"/>
        <v>2821.2116487455301</v>
      </c>
      <c r="CN142" s="127">
        <f t="shared" si="26"/>
        <v>2807.17576989605</v>
      </c>
      <c r="CO142" s="127">
        <f t="shared" si="26"/>
        <v>2793.2097212896024</v>
      </c>
      <c r="CP142" s="127">
        <f t="shared" si="26"/>
        <v>2779.3131555120422</v>
      </c>
      <c r="CQ142" s="127">
        <f t="shared" si="26"/>
        <v>2765.4857268776545</v>
      </c>
      <c r="CR142" s="127">
        <f t="shared" si="26"/>
        <v>2751.7270914205519</v>
      </c>
      <c r="CS142" s="127">
        <f t="shared" si="26"/>
        <v>2738.0369068861223</v>
      </c>
      <c r="CT142" s="127">
        <f t="shared" si="26"/>
        <v>2724.4148327225098</v>
      </c>
      <c r="CU142" s="127">
        <f t="shared" si="26"/>
        <v>2710.8605300721497</v>
      </c>
      <c r="CV142" s="127">
        <f t="shared" si="26"/>
        <v>2697.373661763334</v>
      </c>
      <c r="CW142" s="127">
        <f t="shared" si="26"/>
        <v>2683.9538923018249</v>
      </c>
      <c r="CX142" s="127">
        <f t="shared" si="26"/>
        <v>2670.6008878625125</v>
      </c>
      <c r="CY142" s="127">
        <f t="shared" si="26"/>
        <v>2657.3143162811075</v>
      </c>
      <c r="CZ142" s="127">
        <f t="shared" si="26"/>
        <v>2644.0938470458782</v>
      </c>
      <c r="DA142" s="127">
        <f t="shared" si="26"/>
        <v>2630.9391512894317</v>
      </c>
      <c r="DB142" s="127">
        <f t="shared" si="26"/>
        <v>2617.8499017805298</v>
      </c>
      <c r="DC142" s="127">
        <f t="shared" si="26"/>
        <v>2604.8257729159504</v>
      </c>
      <c r="DD142" s="127">
        <f t="shared" si="26"/>
        <v>2591.8664407123892</v>
      </c>
      <c r="DE142" s="127">
        <f t="shared" si="26"/>
        <v>2578.9715827983969</v>
      </c>
      <c r="DF142" s="127">
        <f t="shared" si="26"/>
        <v>2566.1408784063656</v>
      </c>
      <c r="DG142" s="127">
        <f t="shared" si="26"/>
        <v>2553.374008364543</v>
      </c>
      <c r="DH142" s="127">
        <f t="shared" si="26"/>
        <v>2540.6706550890981</v>
      </c>
      <c r="DI142" s="127">
        <f t="shared" si="26"/>
        <v>2528.0305025762177</v>
      </c>
      <c r="DJ142" s="127">
        <f t="shared" si="26"/>
        <v>2515.4532363942467</v>
      </c>
      <c r="DK142" s="127">
        <f t="shared" si="26"/>
        <v>2502.9385436758675</v>
      </c>
      <c r="DL142" s="127">
        <f t="shared" si="26"/>
        <v>2490.4861131103166</v>
      </c>
      <c r="DM142" s="127">
        <f t="shared" si="26"/>
        <v>2478.0956349356388</v>
      </c>
      <c r="DN142" s="127">
        <f t="shared" si="26"/>
        <v>2465.7668009309841</v>
      </c>
      <c r="DO142" s="127">
        <f t="shared" si="26"/>
        <v>2453.4993044089397</v>
      </c>
      <c r="DP142" s="127">
        <f t="shared" si="26"/>
        <v>2441.2928402079001</v>
      </c>
      <c r="DQ142" s="127">
        <f t="shared" si="26"/>
        <v>2429.147104684479</v>
      </c>
      <c r="DR142" s="127">
        <f t="shared" si="26"/>
        <v>2417.0617957059494</v>
      </c>
      <c r="DS142" s="127">
        <f t="shared" si="26"/>
        <v>2405.0366126427361</v>
      </c>
    </row>
    <row r="143" spans="1:123" x14ac:dyDescent="0.3">
      <c r="B143" s="230"/>
      <c r="F143" s="196"/>
    </row>
    <row r="144" spans="1:123" s="220" customFormat="1" x14ac:dyDescent="0.3">
      <c r="A144" s="218">
        <v>2</v>
      </c>
      <c r="B144" s="475" t="s">
        <v>480</v>
      </c>
      <c r="C144" s="219"/>
      <c r="D144" s="220">
        <v>1000000</v>
      </c>
      <c r="E144" s="220" t="s">
        <v>810</v>
      </c>
      <c r="F144" s="244" t="s">
        <v>161</v>
      </c>
      <c r="G144" s="245">
        <v>0.08</v>
      </c>
      <c r="U144" s="219"/>
      <c r="AI144" s="219"/>
      <c r="BE144" s="139"/>
    </row>
    <row r="145" spans="1:57" x14ac:dyDescent="0.3">
      <c r="A145" s="125"/>
      <c r="B145" s="475"/>
      <c r="D145" s="127" t="s">
        <v>710</v>
      </c>
      <c r="E145" s="127">
        <f>25000*((1/G146)-((1/((G146)*(1+G146)^20))))</f>
        <v>339758.15862419218</v>
      </c>
      <c r="F145" s="196" t="s">
        <v>163</v>
      </c>
      <c r="G145" s="133">
        <f>+(1+G144/2)^2-1</f>
        <v>8.1600000000000117E-2</v>
      </c>
    </row>
    <row r="146" spans="1:57" x14ac:dyDescent="0.3">
      <c r="A146" s="125"/>
      <c r="B146" s="475"/>
      <c r="D146" s="127" t="s">
        <v>710</v>
      </c>
      <c r="E146" s="127">
        <f>+E145+(1000000/(1+0.04)^20)</f>
        <v>796145.10482548422</v>
      </c>
      <c r="F146" s="196" t="s">
        <v>811</v>
      </c>
      <c r="G146" s="159">
        <f>+(1+G145)^(0.5)-1</f>
        <v>4.0000000000000036E-2</v>
      </c>
    </row>
    <row r="147" spans="1:57" x14ac:dyDescent="0.3">
      <c r="A147" s="125"/>
      <c r="B147" s="475"/>
      <c r="D147" s="127" t="s">
        <v>812</v>
      </c>
      <c r="F147" s="196"/>
    </row>
    <row r="148" spans="1:57" x14ac:dyDescent="0.3">
      <c r="A148" s="125"/>
      <c r="B148" s="475"/>
      <c r="F148" s="196"/>
    </row>
    <row r="149" spans="1:57" x14ac:dyDescent="0.3">
      <c r="A149" s="125"/>
      <c r="B149" s="475"/>
      <c r="F149" s="196"/>
    </row>
    <row r="150" spans="1:57" x14ac:dyDescent="0.3">
      <c r="B150" s="229"/>
      <c r="F150" s="196"/>
    </row>
    <row r="151" spans="1:57" s="220" customFormat="1" x14ac:dyDescent="0.3">
      <c r="A151" s="218">
        <v>3</v>
      </c>
      <c r="B151" s="475" t="s">
        <v>481</v>
      </c>
      <c r="C151" s="219"/>
      <c r="F151" s="244"/>
      <c r="U151" s="219"/>
      <c r="AI151" s="219"/>
      <c r="BE151" s="139"/>
    </row>
    <row r="152" spans="1:57" x14ac:dyDescent="0.3">
      <c r="A152" s="125"/>
      <c r="B152" s="475"/>
      <c r="D152" s="127" t="s">
        <v>163</v>
      </c>
      <c r="E152" s="127">
        <f>+(1+0.48/12)^12-1</f>
        <v>0.60103221856768174</v>
      </c>
      <c r="F152" s="196" t="s">
        <v>850</v>
      </c>
    </row>
    <row r="153" spans="1:57" x14ac:dyDescent="0.3">
      <c r="A153" s="125"/>
      <c r="B153" s="475"/>
      <c r="D153" s="127" t="s">
        <v>261</v>
      </c>
      <c r="E153" s="127">
        <f>+(1+E152)^(0.0833333333333333)-1</f>
        <v>4.0000000000000036E-2</v>
      </c>
      <c r="F153" s="196" t="s">
        <v>851</v>
      </c>
    </row>
    <row r="154" spans="1:57" x14ac:dyDescent="0.3">
      <c r="A154" s="125"/>
      <c r="B154" s="475"/>
      <c r="F154" s="248">
        <f>90000*((1/E153)-(1/(E153*(1+E153)^12)))</f>
        <v>844656.6384448529</v>
      </c>
      <c r="G154" s="127" t="s">
        <v>853</v>
      </c>
    </row>
    <row r="155" spans="1:57" x14ac:dyDescent="0.3">
      <c r="B155" s="229"/>
      <c r="F155" s="127">
        <f>+F154*(1+E153)</f>
        <v>878442.903982647</v>
      </c>
      <c r="G155" s="127" t="s">
        <v>852</v>
      </c>
    </row>
    <row r="156" spans="1:57" s="220" customFormat="1" x14ac:dyDescent="0.3">
      <c r="A156" s="476">
        <v>4</v>
      </c>
      <c r="B156" s="474" t="s">
        <v>484</v>
      </c>
      <c r="C156" s="219"/>
      <c r="U156" s="219"/>
      <c r="AI156" s="219"/>
      <c r="BE156" s="139"/>
    </row>
    <row r="157" spans="1:57" x14ac:dyDescent="0.3">
      <c r="A157" s="476"/>
      <c r="B157" s="474"/>
      <c r="D157" s="127" t="s">
        <v>161</v>
      </c>
      <c r="E157" s="179">
        <v>0.12</v>
      </c>
      <c r="F157" s="247">
        <v>44681</v>
      </c>
      <c r="G157" s="127" t="s">
        <v>854</v>
      </c>
      <c r="J157" s="127">
        <v>700000</v>
      </c>
      <c r="L157" s="220"/>
      <c r="M157" s="127" t="s">
        <v>161</v>
      </c>
      <c r="N157" s="159">
        <v>0.09</v>
      </c>
      <c r="O157" s="127" t="s">
        <v>857</v>
      </c>
      <c r="P157" s="127">
        <f>+N161</f>
        <v>255590.17879372233</v>
      </c>
    </row>
    <row r="158" spans="1:57" x14ac:dyDescent="0.3">
      <c r="A158" s="476"/>
      <c r="B158" s="474" t="s">
        <v>482</v>
      </c>
      <c r="D158" s="127" t="s">
        <v>163</v>
      </c>
      <c r="E158" s="179">
        <f>+E157</f>
        <v>0.12</v>
      </c>
      <c r="F158" s="247">
        <v>44711</v>
      </c>
      <c r="G158" s="127" t="s">
        <v>854</v>
      </c>
      <c r="I158" s="127">
        <v>800000</v>
      </c>
      <c r="L158" s="220"/>
      <c r="M158" s="127" t="s">
        <v>163</v>
      </c>
      <c r="N158" s="159">
        <f>+EFFECT(N157, 6)</f>
        <v>9.3443263942639687E-2</v>
      </c>
      <c r="O158" s="127" t="s">
        <v>858</v>
      </c>
      <c r="P158" s="127">
        <f>+N162/(1+N160)</f>
        <v>253694.55179729912</v>
      </c>
    </row>
    <row r="159" spans="1:57" x14ac:dyDescent="0.3">
      <c r="A159" s="476"/>
      <c r="B159" s="474"/>
      <c r="D159" s="127" t="s">
        <v>811</v>
      </c>
      <c r="E159" s="179">
        <f>+E157/2</f>
        <v>0.06</v>
      </c>
      <c r="F159" s="247">
        <v>44742</v>
      </c>
      <c r="G159" s="127" t="s">
        <v>854</v>
      </c>
      <c r="H159" s="127">
        <v>500000</v>
      </c>
      <c r="L159" s="220"/>
      <c r="M159" s="127" t="s">
        <v>811</v>
      </c>
      <c r="N159" s="159">
        <f>+(1+N158)^(0.5)-1</f>
        <v>4.5678374999999605E-2</v>
      </c>
      <c r="O159" s="127" t="s">
        <v>859</v>
      </c>
    </row>
    <row r="160" spans="1:57" x14ac:dyDescent="0.3">
      <c r="A160" s="476"/>
      <c r="B160" s="474" t="s">
        <v>483</v>
      </c>
      <c r="D160" s="127" t="s">
        <v>261</v>
      </c>
      <c r="E160" s="179">
        <f>+E157/12</f>
        <v>0.01</v>
      </c>
      <c r="F160" s="247">
        <v>44772</v>
      </c>
      <c r="L160" s="220"/>
      <c r="M160" s="127" t="s">
        <v>261</v>
      </c>
      <c r="N160" s="159">
        <f>+(1+N158)^(0.0833333333333333)-1</f>
        <v>7.4720839804940375E-3</v>
      </c>
      <c r="O160" s="127">
        <f>+P158/(1+N159)</f>
        <v>242612.4111032699</v>
      </c>
    </row>
    <row r="161" spans="1:57" x14ac:dyDescent="0.3">
      <c r="B161" s="474"/>
      <c r="F161" s="247">
        <v>44803</v>
      </c>
      <c r="L161" s="220"/>
      <c r="M161" s="127" t="s">
        <v>856</v>
      </c>
      <c r="N161" s="127">
        <f>+E166</f>
        <v>255590.17879372233</v>
      </c>
      <c r="O161" s="127" t="s">
        <v>860</v>
      </c>
    </row>
    <row r="162" spans="1:57" x14ac:dyDescent="0.3">
      <c r="A162" s="26" t="s">
        <v>435</v>
      </c>
      <c r="B162" s="227" t="s">
        <v>486</v>
      </c>
      <c r="F162" s="247">
        <v>44834</v>
      </c>
      <c r="L162" s="220"/>
      <c r="N162" s="127">
        <f>+N161</f>
        <v>255590.17879372233</v>
      </c>
      <c r="O162" s="127">
        <f>+((1/N160)-(1/(N160*((1+N160)^6))))</f>
        <v>5.8461610406158826</v>
      </c>
    </row>
    <row r="163" spans="1:57" x14ac:dyDescent="0.3">
      <c r="A163" s="458" t="s">
        <v>436</v>
      </c>
      <c r="B163" s="475" t="s">
        <v>485</v>
      </c>
      <c r="F163" s="247">
        <v>44864</v>
      </c>
      <c r="L163" s="220"/>
      <c r="N163" s="129"/>
      <c r="O163" s="127" t="s">
        <v>861</v>
      </c>
    </row>
    <row r="164" spans="1:57" x14ac:dyDescent="0.3">
      <c r="A164" s="458"/>
      <c r="B164" s="475"/>
      <c r="F164" s="247">
        <v>44895</v>
      </c>
      <c r="L164" s="220"/>
      <c r="O164" s="128">
        <f>+O160/O162</f>
        <v>41499.440302402465</v>
      </c>
    </row>
    <row r="165" spans="1:57" x14ac:dyDescent="0.3">
      <c r="A165" s="458"/>
      <c r="B165" s="475"/>
      <c r="F165" s="247">
        <v>44925</v>
      </c>
      <c r="H165" s="127">
        <f>+$H$159*((1+$E$159))</f>
        <v>530000</v>
      </c>
      <c r="I165" s="127">
        <f>+$I$158*((1+E159)^(2*7/12))</f>
        <v>856275.45746395504</v>
      </c>
      <c r="J165" s="127">
        <f>+$J$157*((1+$E$159)^(2*8/12))</f>
        <v>756552.71423728461</v>
      </c>
      <c r="L165" s="220"/>
    </row>
    <row r="166" spans="1:57" x14ac:dyDescent="0.3">
      <c r="A166" s="458"/>
      <c r="B166" s="475"/>
      <c r="E166" s="220">
        <f>+H166+J166+I166</f>
        <v>255590.17879372233</v>
      </c>
      <c r="F166" s="249">
        <v>44956</v>
      </c>
      <c r="G166" s="220" t="s">
        <v>855</v>
      </c>
      <c r="H166" s="127">
        <f>+H165/((1/$E$159)-(1/($E$159*(1+$E$159)^12)))</f>
        <v>63216.82557175168</v>
      </c>
      <c r="I166" s="127">
        <f>+I165/((1/$E$159)-(1/($E$159*(1+$E$159)^12)))</f>
        <v>102133.99289786929</v>
      </c>
      <c r="J166" s="127">
        <f>+J165/((1/$E$159)-(1/($E$159*(1+$E$159)^12)))</f>
        <v>90239.360324101348</v>
      </c>
      <c r="K166" s="127">
        <v>10</v>
      </c>
      <c r="L166" s="220"/>
    </row>
    <row r="167" spans="1:57" x14ac:dyDescent="0.3">
      <c r="A167" s="458"/>
      <c r="B167" s="475"/>
      <c r="F167" s="247"/>
      <c r="L167" s="220"/>
    </row>
    <row r="168" spans="1:57" x14ac:dyDescent="0.3">
      <c r="F168" s="247"/>
      <c r="L168" s="220"/>
    </row>
    <row r="169" spans="1:57" s="220" customFormat="1" x14ac:dyDescent="0.3">
      <c r="A169" s="218">
        <v>5</v>
      </c>
      <c r="B169" s="480" t="s">
        <v>487</v>
      </c>
      <c r="C169" s="219"/>
      <c r="F169" s="249"/>
      <c r="U169" s="219"/>
      <c r="AI169" s="219"/>
      <c r="BE169" s="139"/>
    </row>
    <row r="170" spans="1:57" x14ac:dyDescent="0.3">
      <c r="B170" s="480"/>
      <c r="D170" s="127" t="s">
        <v>163</v>
      </c>
      <c r="E170" s="127">
        <v>0.15</v>
      </c>
      <c r="F170" s="127" t="s">
        <v>862</v>
      </c>
      <c r="H170" s="127">
        <f>300000*((1/E171)-(1/(E171*((E171+1)^10))))</f>
        <v>1505630.5877562682</v>
      </c>
    </row>
    <row r="171" spans="1:57" x14ac:dyDescent="0.3">
      <c r="A171" s="127"/>
      <c r="B171" s="480"/>
      <c r="D171" s="127" t="s">
        <v>163</v>
      </c>
      <c r="E171" s="133">
        <v>0.15</v>
      </c>
      <c r="F171" s="127" t="s">
        <v>864</v>
      </c>
      <c r="H171" s="127">
        <f>2500000/((1+E170)^12)</f>
        <v>467267.87546666525</v>
      </c>
    </row>
    <row r="172" spans="1:57" x14ac:dyDescent="0.3">
      <c r="A172" s="136"/>
      <c r="B172" s="480"/>
      <c r="D172" s="127" t="s">
        <v>811</v>
      </c>
      <c r="E172" s="129">
        <f>+(1+E171)^(0.5)-1</f>
        <v>7.2380529476360866E-2</v>
      </c>
      <c r="H172" s="127">
        <f>+H170/((1+E171)^2)</f>
        <v>1138473.0342202408</v>
      </c>
      <c r="J172" s="127">
        <v>2</v>
      </c>
      <c r="K172" s="127">
        <v>3</v>
      </c>
      <c r="L172" s="127">
        <v>4</v>
      </c>
      <c r="M172" s="127">
        <v>5</v>
      </c>
      <c r="N172" s="127">
        <v>6</v>
      </c>
      <c r="O172" s="127">
        <v>7</v>
      </c>
      <c r="P172" s="127">
        <v>8</v>
      </c>
    </row>
    <row r="173" spans="1:57" x14ac:dyDescent="0.3">
      <c r="A173" s="136"/>
      <c r="B173" s="480"/>
      <c r="D173" s="127" t="s">
        <v>261</v>
      </c>
      <c r="E173" s="159">
        <f>+(1+E172)^(0.166666666666667)-1</f>
        <v>1.171491691985338E-2</v>
      </c>
      <c r="F173" s="127" t="s">
        <v>863</v>
      </c>
      <c r="H173" s="127">
        <f>+H171+H172</f>
        <v>1605740.909686906</v>
      </c>
      <c r="J173" s="127">
        <f>+H173/((1+$E$172))</f>
        <v>1497361.1190712152</v>
      </c>
      <c r="K173" s="127">
        <f t="shared" ref="K173:P173" si="27">+J173/((1+$E$172))</f>
        <v>1396296.443206005</v>
      </c>
      <c r="L173" s="127">
        <f t="shared" si="27"/>
        <v>1302053.1470184478</v>
      </c>
      <c r="M173" s="127">
        <f t="shared" si="27"/>
        <v>1214170.8201791346</v>
      </c>
      <c r="N173" s="127">
        <f t="shared" si="27"/>
        <v>1132220.1278421283</v>
      </c>
      <c r="O173" s="127">
        <f t="shared" si="27"/>
        <v>1055800.7131992474</v>
      </c>
      <c r="P173" s="127">
        <f t="shared" si="27"/>
        <v>984539.2416018506</v>
      </c>
    </row>
    <row r="174" spans="1:57" ht="26.4" x14ac:dyDescent="0.25">
      <c r="A174" s="136" t="s">
        <v>645</v>
      </c>
      <c r="B174" s="236" t="s">
        <v>488</v>
      </c>
      <c r="H174" s="128">
        <f>+SUM(H173:P173)</f>
        <v>10188182.521804934</v>
      </c>
    </row>
    <row r="175" spans="1:57" ht="39.6" x14ac:dyDescent="0.25">
      <c r="A175" s="26" t="s">
        <v>644</v>
      </c>
      <c r="B175" s="236" t="s">
        <v>489</v>
      </c>
      <c r="H175" s="127">
        <f>+H174/((1/E172)-(1/(E172*((1+E172)^6))))</f>
        <v>2153170.7927839388</v>
      </c>
    </row>
    <row r="176" spans="1:57" x14ac:dyDescent="0.3">
      <c r="A176" s="127"/>
      <c r="B176" s="224"/>
      <c r="H176" s="128">
        <f>+H175/(1+E172)</f>
        <v>2007842.1172336312</v>
      </c>
      <c r="AI176" s="127"/>
      <c r="BE176" s="128"/>
    </row>
    <row r="177" spans="1:57" s="218" customFormat="1" x14ac:dyDescent="0.3">
      <c r="A177" s="251">
        <v>6</v>
      </c>
      <c r="B177" s="474" t="s">
        <v>491</v>
      </c>
      <c r="C177" s="250"/>
      <c r="F177" s="249"/>
      <c r="G177" s="220"/>
      <c r="H177" s="220"/>
      <c r="I177" s="220"/>
      <c r="J177" s="220"/>
      <c r="U177" s="250"/>
      <c r="BE177" s="125"/>
    </row>
    <row r="178" spans="1:57" s="26" customFormat="1" x14ac:dyDescent="0.3">
      <c r="A178" s="251"/>
      <c r="B178" s="474"/>
      <c r="C178" s="188"/>
      <c r="D178" s="127" t="s">
        <v>712</v>
      </c>
      <c r="E178" s="127">
        <v>100</v>
      </c>
      <c r="F178" s="127" t="s">
        <v>710</v>
      </c>
      <c r="G178" s="127">
        <f>100/(0.1-0.03)</f>
        <v>1428.5714285714284</v>
      </c>
      <c r="H178" s="26">
        <f>+G178*(1+(0.1/12))^10</f>
        <v>1552.1840010103401</v>
      </c>
      <c r="I178" s="127"/>
      <c r="J178" s="127"/>
      <c r="K178" s="127"/>
      <c r="L178" s="127"/>
      <c r="U178" s="188"/>
      <c r="BE178" s="125"/>
    </row>
    <row r="179" spans="1:57" s="26" customFormat="1" x14ac:dyDescent="0.3">
      <c r="A179" s="251"/>
      <c r="B179" s="474"/>
      <c r="C179" s="188"/>
      <c r="D179" s="127" t="s">
        <v>865</v>
      </c>
      <c r="E179" s="127" t="s">
        <v>866</v>
      </c>
      <c r="F179" s="127"/>
      <c r="G179" s="127">
        <f>+G178*((1+0.1))</f>
        <v>1571.4285714285713</v>
      </c>
      <c r="I179" s="127"/>
      <c r="J179" s="127"/>
      <c r="K179" s="127"/>
      <c r="L179" s="127"/>
      <c r="U179" s="188"/>
      <c r="BE179" s="125"/>
    </row>
    <row r="180" spans="1:57" s="26" customFormat="1" x14ac:dyDescent="0.3">
      <c r="A180" s="251"/>
      <c r="B180" s="473" t="s">
        <v>490</v>
      </c>
      <c r="C180" s="188"/>
      <c r="D180" s="127" t="s">
        <v>867</v>
      </c>
      <c r="E180" s="127">
        <v>0.1</v>
      </c>
      <c r="F180" s="127"/>
      <c r="G180" s="127">
        <f>+G179/((1+(0.1/12))^2)</f>
        <v>1545.5618761403884</v>
      </c>
      <c r="H180" s="127"/>
      <c r="I180" s="127"/>
      <c r="J180" s="127"/>
      <c r="K180" s="127"/>
      <c r="L180" s="127"/>
      <c r="U180" s="188"/>
      <c r="BE180" s="125"/>
    </row>
    <row r="181" spans="1:57" s="26" customFormat="1" x14ac:dyDescent="0.3">
      <c r="A181" s="126"/>
      <c r="B181" s="473"/>
      <c r="C181" s="188"/>
      <c r="D181" s="127"/>
      <c r="E181" s="127"/>
      <c r="F181" s="127"/>
      <c r="G181" s="127"/>
      <c r="H181" s="127"/>
      <c r="I181" s="127"/>
      <c r="J181" s="127"/>
      <c r="K181" s="127"/>
      <c r="L181" s="127"/>
      <c r="U181" s="188"/>
      <c r="BE181" s="125"/>
    </row>
    <row r="182" spans="1:57" s="218" customFormat="1" x14ac:dyDescent="0.3">
      <c r="A182" s="476">
        <v>7</v>
      </c>
      <c r="B182" s="475" t="s">
        <v>492</v>
      </c>
      <c r="C182" s="250"/>
      <c r="D182" s="220" t="s">
        <v>868</v>
      </c>
      <c r="E182" s="220">
        <v>2870000</v>
      </c>
      <c r="F182" s="220"/>
      <c r="G182" s="220"/>
      <c r="H182" s="220" t="s">
        <v>874</v>
      </c>
      <c r="I182" s="220" t="s">
        <v>875</v>
      </c>
      <c r="J182" s="220" t="s">
        <v>876</v>
      </c>
      <c r="K182" s="220" t="s">
        <v>877</v>
      </c>
      <c r="L182" s="220"/>
      <c r="U182" s="250"/>
      <c r="BE182" s="125"/>
    </row>
    <row r="183" spans="1:57" s="26" customFormat="1" x14ac:dyDescent="0.3">
      <c r="A183" s="476"/>
      <c r="B183" s="475"/>
      <c r="C183" s="188"/>
      <c r="D183" s="127"/>
      <c r="E183" s="127"/>
      <c r="F183" s="127"/>
      <c r="G183" s="127"/>
      <c r="H183" s="127">
        <v>0</v>
      </c>
      <c r="I183" s="127">
        <f>+E194</f>
        <v>26000</v>
      </c>
      <c r="J183" s="127">
        <f>+I183</f>
        <v>26000</v>
      </c>
      <c r="K183" s="127">
        <f>+J183*2</f>
        <v>52000</v>
      </c>
      <c r="L183" s="127"/>
      <c r="U183" s="188"/>
      <c r="BE183" s="125"/>
    </row>
    <row r="184" spans="1:57" s="26" customFormat="1" x14ac:dyDescent="0.3">
      <c r="A184" s="476"/>
      <c r="B184" s="475"/>
      <c r="C184" s="188"/>
      <c r="D184" s="127" t="s">
        <v>869</v>
      </c>
      <c r="E184" s="127">
        <v>0.12</v>
      </c>
      <c r="F184" s="127"/>
      <c r="G184" s="127"/>
      <c r="H184" s="127">
        <v>1</v>
      </c>
      <c r="I184" s="127">
        <v>26000</v>
      </c>
      <c r="J184" s="127">
        <f>+I183*1.005</f>
        <v>26129.999999999996</v>
      </c>
      <c r="K184" s="127">
        <f t="shared" ref="K184:K207" si="28">+J184/((1+$E$185)^H184)</f>
        <v>25871.287128712869</v>
      </c>
      <c r="L184" s="127"/>
      <c r="U184" s="188"/>
      <c r="BE184" s="125"/>
    </row>
    <row r="185" spans="1:57" s="26" customFormat="1" x14ac:dyDescent="0.3">
      <c r="A185" s="476"/>
      <c r="B185" s="475"/>
      <c r="C185" s="188"/>
      <c r="D185" s="26" t="s">
        <v>873</v>
      </c>
      <c r="E185" s="252">
        <f>+E184/12</f>
        <v>0.01</v>
      </c>
      <c r="F185" s="127" t="s">
        <v>710</v>
      </c>
      <c r="G185" s="127">
        <f>+E193/(1+E184)^2</f>
        <v>2391581.6326530608</v>
      </c>
      <c r="H185" s="127">
        <v>2</v>
      </c>
      <c r="I185" s="127">
        <v>26000</v>
      </c>
      <c r="J185" s="127">
        <f>+J184*1.005</f>
        <v>26260.649999999994</v>
      </c>
      <c r="K185" s="127">
        <f t="shared" si="28"/>
        <v>25743.211449857852</v>
      </c>
      <c r="L185" s="127"/>
      <c r="U185" s="188"/>
      <c r="BE185" s="125"/>
    </row>
    <row r="186" spans="1:57" s="26" customFormat="1" x14ac:dyDescent="0.3">
      <c r="A186" s="476"/>
      <c r="B186" s="475"/>
      <c r="C186" s="188"/>
      <c r="F186" s="26" t="s">
        <v>710</v>
      </c>
      <c r="G186" s="26">
        <f>+E194*((1/(E185-E187)))*(((1-1+E187)^2)/((1+E185)^2))</f>
        <v>-1592.9810802862467</v>
      </c>
      <c r="H186" s="127">
        <v>3</v>
      </c>
      <c r="I186" s="127">
        <v>26000</v>
      </c>
      <c r="J186" s="127">
        <f t="shared" ref="J186:J194" si="29">+J185*1.005</f>
        <v>26391.953249999991</v>
      </c>
      <c r="K186" s="127">
        <f t="shared" si="28"/>
        <v>25615.769809016969</v>
      </c>
      <c r="L186" s="127"/>
      <c r="U186" s="188"/>
      <c r="BE186" s="125"/>
    </row>
    <row r="187" spans="1:57" s="26" customFormat="1" x14ac:dyDescent="0.3">
      <c r="A187" s="476"/>
      <c r="B187" s="475"/>
      <c r="C187" s="188"/>
      <c r="D187" s="127" t="s">
        <v>870</v>
      </c>
      <c r="E187" s="127">
        <v>0.05</v>
      </c>
      <c r="F187" s="127"/>
      <c r="G187" s="127"/>
      <c r="H187" s="127">
        <v>4</v>
      </c>
      <c r="I187" s="127">
        <v>26000</v>
      </c>
      <c r="J187" s="127">
        <f t="shared" si="29"/>
        <v>26523.91301624999</v>
      </c>
      <c r="K187" s="127">
        <f t="shared" si="28"/>
        <v>25488.959067388168</v>
      </c>
      <c r="L187" s="127"/>
      <c r="U187" s="188"/>
      <c r="BE187" s="125"/>
    </row>
    <row r="188" spans="1:57" s="26" customFormat="1" x14ac:dyDescent="0.3">
      <c r="A188" s="476"/>
      <c r="B188" s="475"/>
      <c r="C188" s="188"/>
      <c r="F188" s="127"/>
      <c r="G188" s="127"/>
      <c r="H188" s="127">
        <v>5</v>
      </c>
      <c r="I188" s="127">
        <v>26000</v>
      </c>
      <c r="J188" s="127">
        <f t="shared" si="29"/>
        <v>26656.532581331237</v>
      </c>
      <c r="K188" s="127">
        <f t="shared" si="28"/>
        <v>25362.77610170803</v>
      </c>
      <c r="L188" s="127"/>
      <c r="U188" s="188"/>
      <c r="BE188" s="125"/>
    </row>
    <row r="189" spans="1:57" s="26" customFormat="1" x14ac:dyDescent="0.3">
      <c r="A189" s="476"/>
      <c r="B189" s="475"/>
      <c r="C189" s="188"/>
      <c r="D189" s="127"/>
      <c r="E189" s="127"/>
      <c r="F189" s="127"/>
      <c r="G189" s="127"/>
      <c r="H189" s="127">
        <v>6</v>
      </c>
      <c r="I189" s="127">
        <v>26000</v>
      </c>
      <c r="J189" s="127">
        <f t="shared" si="29"/>
        <v>26789.815244237892</v>
      </c>
      <c r="K189" s="127">
        <f t="shared" si="28"/>
        <v>25237.217804174816</v>
      </c>
      <c r="L189" s="127"/>
      <c r="U189" s="188"/>
      <c r="BE189" s="125"/>
    </row>
    <row r="190" spans="1:57" s="26" customFormat="1" x14ac:dyDescent="0.3">
      <c r="A190" s="477"/>
      <c r="B190" s="475"/>
      <c r="C190" s="188"/>
      <c r="D190" s="127"/>
      <c r="E190" s="145">
        <v>2870000</v>
      </c>
      <c r="F190" s="127"/>
      <c r="G190" s="127"/>
      <c r="H190" s="127">
        <v>7</v>
      </c>
      <c r="I190" s="127">
        <v>26000</v>
      </c>
      <c r="J190" s="127">
        <f t="shared" si="29"/>
        <v>26923.764320459079</v>
      </c>
      <c r="K190" s="127">
        <f t="shared" si="28"/>
        <v>25112.281082371974</v>
      </c>
      <c r="L190" s="127"/>
      <c r="U190" s="188"/>
      <c r="BE190" s="125"/>
    </row>
    <row r="191" spans="1:57" s="26" customFormat="1" x14ac:dyDescent="0.25">
      <c r="B191" s="236"/>
      <c r="C191" s="188"/>
      <c r="D191" s="127"/>
      <c r="E191" s="127"/>
      <c r="F191" s="127"/>
      <c r="G191" s="127"/>
      <c r="H191" s="127">
        <v>8</v>
      </c>
      <c r="I191" s="127">
        <v>26000</v>
      </c>
      <c r="J191" s="127">
        <f t="shared" si="29"/>
        <v>27058.383142061371</v>
      </c>
      <c r="K191" s="127">
        <f t="shared" si="28"/>
        <v>24987.962859191906</v>
      </c>
      <c r="L191" s="127"/>
      <c r="U191" s="188"/>
      <c r="BE191" s="125"/>
    </row>
    <row r="192" spans="1:57" s="26" customFormat="1" x14ac:dyDescent="0.25">
      <c r="B192" s="236"/>
      <c r="C192" s="188"/>
      <c r="D192" s="127"/>
      <c r="E192" s="127"/>
      <c r="F192" s="196"/>
      <c r="H192" s="127">
        <v>9</v>
      </c>
      <c r="I192" s="127">
        <v>26000</v>
      </c>
      <c r="J192" s="127">
        <f t="shared" si="29"/>
        <v>27193.675057771674</v>
      </c>
      <c r="K192" s="127">
        <f t="shared" si="28"/>
        <v>24864.260072760258</v>
      </c>
      <c r="U192" s="188"/>
      <c r="BE192" s="125"/>
    </row>
    <row r="193" spans="2:57" s="26" customFormat="1" x14ac:dyDescent="0.25">
      <c r="B193" s="236"/>
      <c r="C193" s="188"/>
      <c r="D193" s="127" t="s">
        <v>871</v>
      </c>
      <c r="E193" s="127">
        <v>3000000</v>
      </c>
      <c r="F193" s="196"/>
      <c r="H193" s="127">
        <v>10</v>
      </c>
      <c r="I193" s="127">
        <v>26000</v>
      </c>
      <c r="J193" s="127">
        <f t="shared" si="29"/>
        <v>27329.64343306053</v>
      </c>
      <c r="K193" s="127">
        <f t="shared" si="28"/>
        <v>24741.169676360452</v>
      </c>
      <c r="U193" s="188"/>
      <c r="BE193" s="125"/>
    </row>
    <row r="194" spans="2:57" s="26" customFormat="1" x14ac:dyDescent="0.25">
      <c r="B194" s="236"/>
      <c r="C194" s="188"/>
      <c r="D194" s="127" t="s">
        <v>872</v>
      </c>
      <c r="E194" s="127">
        <v>26000</v>
      </c>
      <c r="F194" s="196"/>
      <c r="H194" s="127">
        <v>11</v>
      </c>
      <c r="I194" s="127">
        <v>26000</v>
      </c>
      <c r="J194" s="127">
        <f t="shared" si="29"/>
        <v>27466.29165022583</v>
      </c>
      <c r="K194" s="127">
        <f t="shared" si="28"/>
        <v>24618.688638358668</v>
      </c>
      <c r="U194" s="188"/>
      <c r="BE194" s="125"/>
    </row>
    <row r="195" spans="2:57" s="26" customFormat="1" x14ac:dyDescent="0.25">
      <c r="B195" s="236"/>
      <c r="C195" s="188"/>
      <c r="D195" s="127"/>
      <c r="E195" s="127"/>
      <c r="F195" s="196"/>
      <c r="H195" s="127">
        <v>12</v>
      </c>
      <c r="I195" s="127">
        <v>26000</v>
      </c>
      <c r="J195" s="127">
        <f t="shared" ref="J195:J206" si="30">+J194*1.005</f>
        <v>27603.623108476957</v>
      </c>
      <c r="K195" s="127">
        <f t="shared" si="28"/>
        <v>24496.813942129167</v>
      </c>
      <c r="U195" s="188"/>
      <c r="BE195" s="125"/>
    </row>
    <row r="196" spans="2:57" s="26" customFormat="1" x14ac:dyDescent="0.25">
      <c r="B196" s="236"/>
      <c r="C196" s="188"/>
      <c r="D196" s="127"/>
      <c r="E196" s="127"/>
      <c r="F196" s="196"/>
      <c r="H196" s="127">
        <v>13</v>
      </c>
      <c r="I196" s="127">
        <v>26000</v>
      </c>
      <c r="J196" s="127">
        <f t="shared" si="30"/>
        <v>27741.641224019339</v>
      </c>
      <c r="K196" s="127">
        <f t="shared" si="28"/>
        <v>24375.542585980009</v>
      </c>
      <c r="U196" s="188"/>
      <c r="BE196" s="125"/>
    </row>
    <row r="197" spans="2:57" s="26" customFormat="1" x14ac:dyDescent="0.25">
      <c r="B197" s="236"/>
      <c r="C197" s="188"/>
      <c r="D197" s="127"/>
      <c r="E197" s="127"/>
      <c r="F197" s="196"/>
      <c r="H197" s="127">
        <v>14</v>
      </c>
      <c r="I197" s="127">
        <v>26000</v>
      </c>
      <c r="J197" s="127">
        <f t="shared" si="30"/>
        <v>27880.349430139431</v>
      </c>
      <c r="K197" s="127">
        <f t="shared" si="28"/>
        <v>24254.871583079112</v>
      </c>
      <c r="U197" s="188"/>
      <c r="BE197" s="125"/>
    </row>
    <row r="198" spans="2:57" s="26" customFormat="1" x14ac:dyDescent="0.25">
      <c r="B198" s="236"/>
      <c r="C198" s="188"/>
      <c r="D198" s="127"/>
      <c r="E198" s="127"/>
      <c r="F198" s="196"/>
      <c r="H198" s="127">
        <v>15</v>
      </c>
      <c r="I198" s="127">
        <v>26000</v>
      </c>
      <c r="J198" s="127">
        <f t="shared" si="30"/>
        <v>28019.751177290127</v>
      </c>
      <c r="K198" s="127">
        <f t="shared" si="28"/>
        <v>24134.797961380707</v>
      </c>
      <c r="U198" s="188"/>
      <c r="BE198" s="125"/>
    </row>
    <row r="199" spans="2:57" s="26" customFormat="1" x14ac:dyDescent="0.25">
      <c r="B199" s="236"/>
      <c r="C199" s="188"/>
      <c r="D199" s="127"/>
      <c r="E199" s="127"/>
      <c r="F199" s="196"/>
      <c r="H199" s="127">
        <v>16</v>
      </c>
      <c r="I199" s="127">
        <v>26000</v>
      </c>
      <c r="J199" s="127">
        <f t="shared" si="30"/>
        <v>28159.849933176574</v>
      </c>
      <c r="K199" s="127">
        <f t="shared" si="28"/>
        <v>24015.318763552081</v>
      </c>
      <c r="U199" s="188"/>
      <c r="BE199" s="125"/>
    </row>
    <row r="200" spans="2:57" s="26" customFormat="1" x14ac:dyDescent="0.25">
      <c r="B200" s="236"/>
      <c r="C200" s="188"/>
      <c r="D200" s="127"/>
      <c r="E200" s="127"/>
      <c r="F200" s="196"/>
      <c r="H200" s="127">
        <v>17</v>
      </c>
      <c r="I200" s="127">
        <v>26000</v>
      </c>
      <c r="J200" s="127">
        <f t="shared" si="30"/>
        <v>28300.649182842455</v>
      </c>
      <c r="K200" s="127">
        <f t="shared" si="28"/>
        <v>23896.431046900827</v>
      </c>
      <c r="U200" s="188"/>
      <c r="BE200" s="125"/>
    </row>
    <row r="201" spans="2:57" s="26" customFormat="1" x14ac:dyDescent="0.25">
      <c r="B201" s="236"/>
      <c r="C201" s="188"/>
      <c r="D201" s="127"/>
      <c r="E201" s="127"/>
      <c r="F201" s="196"/>
      <c r="H201" s="127">
        <v>18</v>
      </c>
      <c r="I201" s="127">
        <v>26000</v>
      </c>
      <c r="J201" s="127">
        <f t="shared" si="30"/>
        <v>28442.152428756664</v>
      </c>
      <c r="K201" s="127">
        <f t="shared" si="28"/>
        <v>23778.131883302307</v>
      </c>
      <c r="U201" s="188"/>
      <c r="BE201" s="125"/>
    </row>
    <row r="202" spans="2:57" s="26" customFormat="1" x14ac:dyDescent="0.25">
      <c r="B202" s="236"/>
      <c r="C202" s="188"/>
      <c r="D202" s="127"/>
      <c r="E202" s="127"/>
      <c r="F202" s="196"/>
      <c r="H202" s="127">
        <v>19</v>
      </c>
      <c r="I202" s="127">
        <v>26000</v>
      </c>
      <c r="J202" s="127">
        <f t="shared" si="30"/>
        <v>28584.363190900443</v>
      </c>
      <c r="K202" s="127">
        <f t="shared" si="28"/>
        <v>23660.418359127543</v>
      </c>
      <c r="U202" s="188"/>
      <c r="BE202" s="125"/>
    </row>
    <row r="203" spans="2:57" s="26" customFormat="1" x14ac:dyDescent="0.25">
      <c r="B203" s="236"/>
      <c r="C203" s="188"/>
      <c r="D203" s="127"/>
      <c r="E203" s="127"/>
      <c r="F203" s="196"/>
      <c r="H203" s="127">
        <v>20</v>
      </c>
      <c r="I203" s="127">
        <v>26000</v>
      </c>
      <c r="J203" s="127">
        <f t="shared" si="30"/>
        <v>28727.285006854941</v>
      </c>
      <c r="K203" s="127">
        <f t="shared" si="28"/>
        <v>23543.28757517146</v>
      </c>
      <c r="U203" s="188"/>
      <c r="BE203" s="125"/>
    </row>
    <row r="204" spans="2:57" s="26" customFormat="1" x14ac:dyDescent="0.25">
      <c r="B204" s="236"/>
      <c r="C204" s="188"/>
      <c r="D204" s="127"/>
      <c r="E204" s="127"/>
      <c r="F204" s="196"/>
      <c r="H204" s="127">
        <v>21</v>
      </c>
      <c r="I204" s="127">
        <v>26000</v>
      </c>
      <c r="J204" s="127">
        <f t="shared" si="30"/>
        <v>28870.921431889212</v>
      </c>
      <c r="K204" s="127">
        <f t="shared" si="28"/>
        <v>23426.736646581503</v>
      </c>
      <c r="U204" s="188"/>
      <c r="BE204" s="125"/>
    </row>
    <row r="205" spans="2:57" s="26" customFormat="1" x14ac:dyDescent="0.25">
      <c r="B205" s="236"/>
      <c r="C205" s="188"/>
      <c r="D205" s="127"/>
      <c r="E205" s="127"/>
      <c r="F205" s="196"/>
      <c r="H205" s="127">
        <v>22</v>
      </c>
      <c r="I205" s="127">
        <v>26000</v>
      </c>
      <c r="J205" s="127">
        <f t="shared" si="30"/>
        <v>29015.276039048655</v>
      </c>
      <c r="K205" s="127">
        <f t="shared" si="28"/>
        <v>23310.762702786535</v>
      </c>
      <c r="U205" s="188"/>
      <c r="BE205" s="125"/>
    </row>
    <row r="206" spans="2:57" s="26" customFormat="1" x14ac:dyDescent="0.25">
      <c r="B206" s="236"/>
      <c r="C206" s="188"/>
      <c r="D206" s="127"/>
      <c r="E206" s="127"/>
      <c r="F206" s="196"/>
      <c r="H206" s="127">
        <v>23</v>
      </c>
      <c r="I206" s="127">
        <f>26000</f>
        <v>26000</v>
      </c>
      <c r="J206" s="127">
        <f t="shared" si="30"/>
        <v>29160.352419243896</v>
      </c>
      <c r="K206" s="127">
        <f t="shared" si="28"/>
        <v>23195.36288742621</v>
      </c>
      <c r="U206" s="188"/>
      <c r="BE206" s="125"/>
    </row>
    <row r="207" spans="2:57" s="26" customFormat="1" x14ac:dyDescent="0.25">
      <c r="B207" s="236"/>
      <c r="C207" s="188"/>
      <c r="D207" s="127"/>
      <c r="E207" s="127"/>
      <c r="F207" s="196"/>
      <c r="H207" s="127">
        <v>24</v>
      </c>
      <c r="I207" s="127">
        <f>+E193</f>
        <v>3000000</v>
      </c>
      <c r="J207" s="127">
        <f>+I207-J183</f>
        <v>2974000</v>
      </c>
      <c r="K207" s="127">
        <f t="shared" si="28"/>
        <v>2342221.662958147</v>
      </c>
      <c r="U207" s="188"/>
      <c r="BE207" s="125"/>
    </row>
    <row r="208" spans="2:57" s="26" customFormat="1" x14ac:dyDescent="0.25">
      <c r="B208" s="236"/>
      <c r="C208" s="188"/>
      <c r="D208" s="127"/>
      <c r="E208" s="127"/>
      <c r="F208" s="196"/>
      <c r="H208" s="127"/>
      <c r="I208" s="127"/>
      <c r="J208" s="128" t="s">
        <v>878</v>
      </c>
      <c r="K208" s="128">
        <f>+SUM(K182:K207)</f>
        <v>2957953.7225854662</v>
      </c>
      <c r="U208" s="188"/>
      <c r="BE208" s="125"/>
    </row>
    <row r="209" spans="1:57" s="26" customFormat="1" x14ac:dyDescent="0.25">
      <c r="B209" s="236"/>
      <c r="C209" s="188"/>
      <c r="D209" s="127"/>
      <c r="E209" s="127"/>
      <c r="F209" s="196"/>
      <c r="H209" s="127"/>
      <c r="I209" s="127"/>
      <c r="J209" s="127" t="s">
        <v>57</v>
      </c>
      <c r="K209" s="127">
        <f>+K208-E190</f>
        <v>87953.722585466225</v>
      </c>
      <c r="U209" s="188"/>
      <c r="BE209" s="125"/>
    </row>
    <row r="210" spans="1:57" s="26" customFormat="1" x14ac:dyDescent="0.25">
      <c r="B210" s="236"/>
      <c r="C210" s="188"/>
      <c r="D210" s="127"/>
      <c r="E210" s="127"/>
      <c r="F210" s="196"/>
      <c r="H210" s="127"/>
      <c r="I210" s="127"/>
      <c r="J210" s="127" t="s">
        <v>879</v>
      </c>
      <c r="K210" s="127"/>
      <c r="U210" s="188"/>
      <c r="BE210" s="125"/>
    </row>
    <row r="211" spans="1:57" s="125" customFormat="1" x14ac:dyDescent="0.3">
      <c r="A211" s="124" t="s">
        <v>546</v>
      </c>
      <c r="B211" s="222" t="s">
        <v>493</v>
      </c>
      <c r="C211" s="189"/>
      <c r="D211" s="128"/>
      <c r="E211" s="128"/>
      <c r="F211" s="246"/>
      <c r="U211" s="189"/>
    </row>
    <row r="212" spans="1:57" x14ac:dyDescent="0.25">
      <c r="A212" s="185">
        <v>1</v>
      </c>
      <c r="B212" s="236" t="s">
        <v>494</v>
      </c>
      <c r="D212" s="127">
        <v>-100</v>
      </c>
      <c r="E212" s="127">
        <v>-100</v>
      </c>
      <c r="F212" s="196"/>
    </row>
    <row r="213" spans="1:57" x14ac:dyDescent="0.25">
      <c r="B213" s="236" t="s">
        <v>495</v>
      </c>
      <c r="D213" s="127">
        <v>65</v>
      </c>
      <c r="E213" s="127">
        <v>10</v>
      </c>
      <c r="F213" s="196"/>
    </row>
    <row r="214" spans="1:57" x14ac:dyDescent="0.25">
      <c r="B214" s="236" t="s">
        <v>496</v>
      </c>
      <c r="D214" s="127">
        <v>30</v>
      </c>
      <c r="E214" s="127">
        <v>10</v>
      </c>
      <c r="F214" s="196"/>
    </row>
    <row r="215" spans="1:57" ht="52.8" x14ac:dyDescent="0.25">
      <c r="B215" s="236" t="s">
        <v>498</v>
      </c>
      <c r="D215" s="127">
        <v>25</v>
      </c>
      <c r="E215" s="127">
        <v>10</v>
      </c>
      <c r="F215" s="196"/>
    </row>
    <row r="216" spans="1:57" x14ac:dyDescent="0.25">
      <c r="B216" s="236"/>
      <c r="D216" s="127">
        <v>5</v>
      </c>
      <c r="E216" s="127">
        <v>110</v>
      </c>
      <c r="F216" s="196"/>
    </row>
    <row r="217" spans="1:57" s="195" customFormat="1" ht="39.6" x14ac:dyDescent="0.25">
      <c r="A217" s="213">
        <v>2</v>
      </c>
      <c r="B217" s="237" t="s">
        <v>499</v>
      </c>
      <c r="C217" s="194"/>
      <c r="F217" s="214"/>
      <c r="U217" s="194"/>
      <c r="AI217" s="194"/>
      <c r="BE217" s="139"/>
    </row>
    <row r="218" spans="1:57" x14ac:dyDescent="0.3">
      <c r="B218" s="473" t="s">
        <v>500</v>
      </c>
      <c r="F218" s="196"/>
    </row>
    <row r="219" spans="1:57" x14ac:dyDescent="0.3">
      <c r="B219" s="473"/>
      <c r="F219" s="196"/>
    </row>
    <row r="220" spans="1:57" x14ac:dyDescent="0.25">
      <c r="A220" s="125">
        <v>3</v>
      </c>
      <c r="B220" s="236" t="s">
        <v>501</v>
      </c>
      <c r="F220" s="196"/>
    </row>
    <row r="221" spans="1:57" x14ac:dyDescent="0.25">
      <c r="B221" s="236" t="s">
        <v>502</v>
      </c>
      <c r="F221" s="196"/>
    </row>
    <row r="222" spans="1:57" x14ac:dyDescent="0.25">
      <c r="B222" s="236" t="s">
        <v>503</v>
      </c>
      <c r="F222" s="196"/>
    </row>
    <row r="223" spans="1:57" x14ac:dyDescent="0.3">
      <c r="B223" s="473" t="s">
        <v>497</v>
      </c>
      <c r="F223" s="196"/>
    </row>
    <row r="224" spans="1:57" x14ac:dyDescent="0.3">
      <c r="B224" s="473"/>
      <c r="F224" s="196"/>
    </row>
    <row r="225" spans="1:57" ht="39.6" x14ac:dyDescent="0.25">
      <c r="A225" s="125">
        <v>4</v>
      </c>
      <c r="B225" s="236" t="s">
        <v>504</v>
      </c>
      <c r="F225" s="196"/>
    </row>
    <row r="226" spans="1:57" x14ac:dyDescent="0.25">
      <c r="B226" s="236" t="s">
        <v>511</v>
      </c>
      <c r="F226" s="196"/>
    </row>
    <row r="227" spans="1:57" x14ac:dyDescent="0.25">
      <c r="B227" s="236">
        <v>0.14000000000000001</v>
      </c>
      <c r="F227" s="196"/>
    </row>
    <row r="228" spans="1:57" ht="39.6" x14ac:dyDescent="0.25">
      <c r="B228" s="236" t="s">
        <v>505</v>
      </c>
      <c r="F228" s="196"/>
    </row>
    <row r="229" spans="1:57" x14ac:dyDescent="0.25">
      <c r="B229" s="236"/>
      <c r="F229" s="196"/>
    </row>
    <row r="230" spans="1:57" x14ac:dyDescent="0.25">
      <c r="A230" s="125">
        <v>5</v>
      </c>
      <c r="B230" s="236" t="s">
        <v>506</v>
      </c>
      <c r="F230" s="196"/>
    </row>
    <row r="231" spans="1:57" x14ac:dyDescent="0.25">
      <c r="B231" s="236" t="s">
        <v>507</v>
      </c>
      <c r="F231" s="196"/>
    </row>
    <row r="232" spans="1:57" ht="26.4" x14ac:dyDescent="0.25">
      <c r="B232" s="236" t="s">
        <v>510</v>
      </c>
      <c r="F232" s="196"/>
    </row>
    <row r="233" spans="1:57" ht="26.4" x14ac:dyDescent="0.25">
      <c r="B233" s="236" t="s">
        <v>509</v>
      </c>
      <c r="F233" s="196"/>
    </row>
    <row r="234" spans="1:57" x14ac:dyDescent="0.25">
      <c r="B234" s="236" t="s">
        <v>508</v>
      </c>
      <c r="F234" s="196"/>
    </row>
    <row r="235" spans="1:57" s="195" customFormat="1" x14ac:dyDescent="0.25">
      <c r="A235" s="213"/>
      <c r="B235" s="237"/>
      <c r="C235" s="194"/>
      <c r="F235" s="214"/>
      <c r="X235" s="491" t="s">
        <v>816</v>
      </c>
      <c r="Y235" s="492"/>
      <c r="Z235" s="215" t="s">
        <v>815</v>
      </c>
      <c r="AB235" s="195" t="s">
        <v>828</v>
      </c>
      <c r="AC235" s="195">
        <v>0.08</v>
      </c>
      <c r="AD235" s="195" t="s">
        <v>829</v>
      </c>
      <c r="AI235" s="194"/>
      <c r="BE235" s="139"/>
    </row>
    <row r="236" spans="1:57" ht="43.2" x14ac:dyDescent="0.25">
      <c r="A236" s="125">
        <v>6</v>
      </c>
      <c r="B236" s="236" t="s">
        <v>512</v>
      </c>
      <c r="F236" s="196"/>
      <c r="V236" s="194" t="s">
        <v>57</v>
      </c>
      <c r="W236" s="140"/>
      <c r="X236" s="493" t="s">
        <v>817</v>
      </c>
      <c r="Y236" s="494"/>
      <c r="Z236" s="216" t="s">
        <v>818</v>
      </c>
      <c r="AA236" s="127">
        <v>0</v>
      </c>
      <c r="AB236" s="127">
        <v>-400000</v>
      </c>
      <c r="AC236" s="127">
        <v>-200000</v>
      </c>
      <c r="AD236" s="127">
        <f>+AB236-AC236</f>
        <v>-200000</v>
      </c>
    </row>
    <row r="237" spans="1:57" x14ac:dyDescent="0.25">
      <c r="B237" s="236" t="s">
        <v>513</v>
      </c>
      <c r="F237" s="196"/>
      <c r="V237" s="140"/>
      <c r="W237" s="140"/>
      <c r="X237" s="140"/>
      <c r="Y237" s="140"/>
      <c r="Z237" s="140"/>
      <c r="AA237" s="127">
        <v>1</v>
      </c>
      <c r="AB237" s="127">
        <v>241000</v>
      </c>
      <c r="AC237" s="127">
        <v>131000</v>
      </c>
      <c r="AD237" s="127">
        <f t="shared" ref="AD237:AD238" si="31">+AB237-AC237</f>
        <v>110000</v>
      </c>
    </row>
    <row r="238" spans="1:57" x14ac:dyDescent="0.25">
      <c r="B238" s="236" t="s">
        <v>514</v>
      </c>
      <c r="F238" s="196"/>
      <c r="V238" s="140"/>
      <c r="W238" s="140"/>
      <c r="X238" s="140"/>
      <c r="Y238" s="140"/>
      <c r="Z238" s="140"/>
      <c r="AA238" s="127">
        <v>2</v>
      </c>
      <c r="AB238" s="127">
        <v>293000</v>
      </c>
      <c r="AC238" s="127">
        <v>172000</v>
      </c>
      <c r="AD238" s="127">
        <f t="shared" si="31"/>
        <v>121000</v>
      </c>
    </row>
    <row r="239" spans="1:57" ht="28.8" x14ac:dyDescent="0.25">
      <c r="B239" s="236" t="s">
        <v>515</v>
      </c>
      <c r="F239" s="196"/>
      <c r="V239" s="194" t="s">
        <v>819</v>
      </c>
      <c r="W239" s="217" t="s">
        <v>825</v>
      </c>
      <c r="X239" s="495" t="s">
        <v>821</v>
      </c>
      <c r="Y239" s="496"/>
      <c r="Z239" s="496"/>
      <c r="AB239" s="127">
        <f>+IRR(AB236:AB238)</f>
        <v>0.20858211256959258</v>
      </c>
      <c r="AC239" s="127">
        <f>+IRR(AC236:AC238)</f>
        <v>0.31099186575182136</v>
      </c>
      <c r="AD239" s="127">
        <f>+IRR(AD236:AD238)</f>
        <v>0.10000000000000009</v>
      </c>
      <c r="AE239" s="127" t="s">
        <v>830</v>
      </c>
    </row>
    <row r="240" spans="1:57" ht="40.799999999999997" x14ac:dyDescent="0.3">
      <c r="B240" s="236" t="s">
        <v>843</v>
      </c>
      <c r="F240" s="196"/>
      <c r="V240" s="140"/>
      <c r="W240" s="194" t="s">
        <v>820</v>
      </c>
      <c r="X240" s="194" t="s">
        <v>822</v>
      </c>
      <c r="Y240" s="140" t="s">
        <v>824</v>
      </c>
      <c r="Z240" s="140" t="s">
        <v>827</v>
      </c>
    </row>
    <row r="241" spans="1:57" x14ac:dyDescent="0.25">
      <c r="B241" s="236"/>
      <c r="F241" s="196"/>
      <c r="V241" s="140"/>
      <c r="W241" s="140"/>
      <c r="X241" s="194" t="s">
        <v>823</v>
      </c>
      <c r="Y241" s="140" t="s">
        <v>826</v>
      </c>
      <c r="Z241" s="140"/>
    </row>
    <row r="242" spans="1:57" s="195" customFormat="1" ht="39.6" x14ac:dyDescent="0.25">
      <c r="A242" s="213">
        <v>7</v>
      </c>
      <c r="B242" s="237" t="s">
        <v>516</v>
      </c>
      <c r="C242" s="194"/>
      <c r="F242" s="214"/>
      <c r="U242" s="194"/>
      <c r="AI242" s="194"/>
      <c r="BE242" s="139"/>
    </row>
    <row r="243" spans="1:57" x14ac:dyDescent="0.3">
      <c r="B243" s="224"/>
      <c r="F243" s="196"/>
    </row>
    <row r="244" spans="1:57" s="195" customFormat="1" x14ac:dyDescent="0.3">
      <c r="A244" s="125">
        <v>8</v>
      </c>
      <c r="B244" s="475" t="s">
        <v>844</v>
      </c>
      <c r="C244" s="194"/>
      <c r="F244" s="214"/>
      <c r="U244" s="194"/>
      <c r="V244" s="195" t="s">
        <v>831</v>
      </c>
      <c r="AI244" s="194"/>
      <c r="BE244" s="139"/>
    </row>
    <row r="245" spans="1:57" x14ac:dyDescent="0.3">
      <c r="B245" s="475"/>
      <c r="F245" s="196"/>
      <c r="V245" s="127">
        <v>0</v>
      </c>
      <c r="W245" s="127">
        <v>-100000</v>
      </c>
      <c r="X245" s="127">
        <v>-160000</v>
      </c>
      <c r="Y245" s="127">
        <f>+W245-X245</f>
        <v>60000</v>
      </c>
    </row>
    <row r="246" spans="1:57" x14ac:dyDescent="0.3">
      <c r="B246" s="475"/>
      <c r="F246" s="196"/>
      <c r="V246" s="127">
        <v>1</v>
      </c>
      <c r="W246" s="127">
        <v>45000</v>
      </c>
      <c r="X246" s="127">
        <v>40000</v>
      </c>
      <c r="Y246" s="127">
        <f t="shared" ref="Y246:Y263" si="32">+W246-X246</f>
        <v>5000</v>
      </c>
    </row>
    <row r="247" spans="1:57" x14ac:dyDescent="0.3">
      <c r="B247" s="475"/>
      <c r="F247" s="196"/>
      <c r="V247" s="127">
        <v>2</v>
      </c>
      <c r="W247" s="127">
        <v>45000</v>
      </c>
      <c r="X247" s="127">
        <v>40000</v>
      </c>
      <c r="Y247" s="127">
        <f t="shared" si="32"/>
        <v>5000</v>
      </c>
    </row>
    <row r="248" spans="1:57" x14ac:dyDescent="0.3">
      <c r="B248" s="475"/>
      <c r="F248" s="196"/>
      <c r="V248" s="127">
        <v>3</v>
      </c>
      <c r="W248" s="127">
        <f>45000-100000</f>
        <v>-55000</v>
      </c>
      <c r="X248" s="127">
        <v>40000</v>
      </c>
      <c r="Y248" s="127">
        <f t="shared" si="32"/>
        <v>-95000</v>
      </c>
    </row>
    <row r="249" spans="1:57" x14ac:dyDescent="0.3">
      <c r="B249" s="475"/>
      <c r="F249" s="196"/>
      <c r="V249" s="127">
        <v>4</v>
      </c>
      <c r="W249" s="127">
        <v>45000</v>
      </c>
      <c r="X249" s="127">
        <v>40000</v>
      </c>
      <c r="Y249" s="127">
        <f t="shared" si="32"/>
        <v>5000</v>
      </c>
    </row>
    <row r="250" spans="1:57" x14ac:dyDescent="0.3">
      <c r="B250" s="473" t="s">
        <v>517</v>
      </c>
      <c r="F250" s="196"/>
      <c r="V250" s="127">
        <v>5</v>
      </c>
      <c r="W250" s="127">
        <v>45000</v>
      </c>
      <c r="X250" s="127">
        <v>40000</v>
      </c>
      <c r="Y250" s="127">
        <f t="shared" si="32"/>
        <v>5000</v>
      </c>
    </row>
    <row r="251" spans="1:57" x14ac:dyDescent="0.3">
      <c r="B251" s="473"/>
      <c r="F251" s="196"/>
      <c r="V251" s="127">
        <v>6</v>
      </c>
      <c r="W251" s="127">
        <f>45000-100000</f>
        <v>-55000</v>
      </c>
      <c r="X251" s="127">
        <f>40000-160000</f>
        <v>-120000</v>
      </c>
      <c r="Y251" s="127">
        <f t="shared" si="32"/>
        <v>65000</v>
      </c>
    </row>
    <row r="252" spans="1:57" x14ac:dyDescent="0.25">
      <c r="B252" s="236" t="s">
        <v>518</v>
      </c>
      <c r="F252" s="196"/>
      <c r="V252" s="127">
        <v>7</v>
      </c>
      <c r="W252" s="127">
        <v>45000</v>
      </c>
      <c r="X252" s="127">
        <v>40000</v>
      </c>
      <c r="Y252" s="127">
        <f t="shared" si="32"/>
        <v>5000</v>
      </c>
    </row>
    <row r="253" spans="1:57" ht="26.4" x14ac:dyDescent="0.25">
      <c r="B253" s="236" t="s">
        <v>519</v>
      </c>
      <c r="F253" s="196"/>
      <c r="V253" s="127">
        <v>8</v>
      </c>
      <c r="W253" s="127">
        <v>45000</v>
      </c>
      <c r="X253" s="127">
        <v>40000</v>
      </c>
      <c r="Y253" s="127">
        <f t="shared" si="32"/>
        <v>5000</v>
      </c>
    </row>
    <row r="254" spans="1:57" x14ac:dyDescent="0.25">
      <c r="B254" s="236"/>
      <c r="F254" s="196"/>
      <c r="V254" s="127">
        <v>9</v>
      </c>
      <c r="W254" s="127">
        <f>45000-100000</f>
        <v>-55000</v>
      </c>
      <c r="X254" s="127">
        <v>40000</v>
      </c>
      <c r="Y254" s="127">
        <f t="shared" si="32"/>
        <v>-95000</v>
      </c>
    </row>
    <row r="255" spans="1:57" x14ac:dyDescent="0.25">
      <c r="B255" s="236"/>
      <c r="F255" s="196"/>
      <c r="V255" s="127">
        <v>10</v>
      </c>
      <c r="W255" s="127">
        <v>45000</v>
      </c>
      <c r="X255" s="127">
        <v>40000</v>
      </c>
      <c r="Y255" s="127">
        <f t="shared" si="32"/>
        <v>5000</v>
      </c>
    </row>
    <row r="256" spans="1:57" x14ac:dyDescent="0.25">
      <c r="B256" s="236"/>
      <c r="F256" s="196"/>
      <c r="V256" s="127">
        <v>11</v>
      </c>
      <c r="W256" s="127">
        <v>45000</v>
      </c>
      <c r="X256" s="127">
        <v>40000</v>
      </c>
      <c r="Y256" s="127">
        <f t="shared" si="32"/>
        <v>5000</v>
      </c>
    </row>
    <row r="257" spans="1:57" x14ac:dyDescent="0.25">
      <c r="B257" s="236"/>
      <c r="F257" s="196"/>
      <c r="V257" s="127">
        <v>12</v>
      </c>
      <c r="W257" s="127">
        <f>45000-100000</f>
        <v>-55000</v>
      </c>
      <c r="X257" s="127">
        <f>40000-160000</f>
        <v>-120000</v>
      </c>
      <c r="Y257" s="127">
        <f t="shared" si="32"/>
        <v>65000</v>
      </c>
    </row>
    <row r="258" spans="1:57" x14ac:dyDescent="0.25">
      <c r="B258" s="236"/>
      <c r="F258" s="196"/>
      <c r="V258" s="127">
        <v>13</v>
      </c>
      <c r="W258" s="127">
        <v>45000</v>
      </c>
      <c r="X258" s="127">
        <v>40000</v>
      </c>
      <c r="Y258" s="127">
        <f t="shared" si="32"/>
        <v>5000</v>
      </c>
    </row>
    <row r="259" spans="1:57" x14ac:dyDescent="0.25">
      <c r="B259" s="236"/>
      <c r="F259" s="196"/>
      <c r="V259" s="127">
        <v>14</v>
      </c>
      <c r="W259" s="127">
        <v>45000</v>
      </c>
      <c r="X259" s="127">
        <v>40000</v>
      </c>
      <c r="Y259" s="127">
        <f t="shared" si="32"/>
        <v>5000</v>
      </c>
    </row>
    <row r="260" spans="1:57" x14ac:dyDescent="0.25">
      <c r="B260" s="236"/>
      <c r="F260" s="196"/>
      <c r="V260" s="127">
        <v>15</v>
      </c>
      <c r="W260" s="127">
        <f>45000-100000</f>
        <v>-55000</v>
      </c>
      <c r="X260" s="127">
        <v>40000</v>
      </c>
      <c r="Y260" s="127">
        <f t="shared" si="32"/>
        <v>-95000</v>
      </c>
    </row>
    <row r="261" spans="1:57" x14ac:dyDescent="0.25">
      <c r="B261" s="236"/>
      <c r="F261" s="196"/>
      <c r="V261" s="127">
        <v>16</v>
      </c>
      <c r="W261" s="127">
        <v>45000</v>
      </c>
      <c r="X261" s="127">
        <v>40000</v>
      </c>
      <c r="Y261" s="127">
        <f t="shared" si="32"/>
        <v>5000</v>
      </c>
    </row>
    <row r="262" spans="1:57" x14ac:dyDescent="0.25">
      <c r="B262" s="236"/>
      <c r="F262" s="196"/>
      <c r="V262" s="127">
        <v>17</v>
      </c>
      <c r="W262" s="127">
        <v>45000</v>
      </c>
      <c r="X262" s="127">
        <v>40000</v>
      </c>
      <c r="Y262" s="127">
        <f t="shared" si="32"/>
        <v>5000</v>
      </c>
    </row>
    <row r="263" spans="1:57" x14ac:dyDescent="0.3">
      <c r="F263" s="196"/>
      <c r="V263" s="127">
        <v>18</v>
      </c>
      <c r="W263" s="127">
        <v>45000</v>
      </c>
      <c r="X263" s="127">
        <v>40000</v>
      </c>
      <c r="Y263" s="127">
        <f t="shared" si="32"/>
        <v>5000</v>
      </c>
    </row>
    <row r="264" spans="1:57" x14ac:dyDescent="0.3">
      <c r="F264" s="196"/>
      <c r="W264" s="128">
        <f>+NPV(0.1, W246:W263)+W245</f>
        <v>39272.622900117625</v>
      </c>
      <c r="X264" s="127">
        <f>+NPV(0.1, X246:X263)+X245</f>
        <v>26759.724394052901</v>
      </c>
    </row>
    <row r="265" spans="1:57" s="128" customFormat="1" x14ac:dyDescent="0.3">
      <c r="A265" s="124" t="s">
        <v>733</v>
      </c>
      <c r="B265" s="222" t="s">
        <v>734</v>
      </c>
      <c r="C265" s="139"/>
      <c r="F265" s="246"/>
      <c r="U265" s="139"/>
      <c r="AI265" s="139"/>
      <c r="BE265" s="139"/>
    </row>
    <row r="266" spans="1:57" ht="26.4" x14ac:dyDescent="0.3">
      <c r="A266" s="125">
        <v>1</v>
      </c>
      <c r="B266" s="238" t="s">
        <v>772</v>
      </c>
      <c r="F266" s="196"/>
      <c r="V266" s="127" t="s">
        <v>832</v>
      </c>
      <c r="X266" s="127" t="s">
        <v>836</v>
      </c>
    </row>
    <row r="267" spans="1:57" x14ac:dyDescent="0.3">
      <c r="A267" s="26" t="s">
        <v>735</v>
      </c>
      <c r="B267" s="226" t="s">
        <v>736</v>
      </c>
      <c r="F267" s="196"/>
      <c r="V267" s="127" t="s">
        <v>833</v>
      </c>
      <c r="X267" s="152">
        <f>+(W273/-V273)^(0.142857142857143)-1</f>
        <v>0.10679378851389831</v>
      </c>
    </row>
    <row r="268" spans="1:57" x14ac:dyDescent="0.3">
      <c r="A268">
        <v>0</v>
      </c>
      <c r="B268" s="226">
        <v>-100000</v>
      </c>
      <c r="F268" s="196"/>
      <c r="V268" s="127" t="s">
        <v>834</v>
      </c>
      <c r="W268" s="127" t="s">
        <v>835</v>
      </c>
    </row>
    <row r="269" spans="1:57" x14ac:dyDescent="0.3">
      <c r="A269" s="26">
        <v>1</v>
      </c>
      <c r="B269" s="226">
        <v>10000</v>
      </c>
      <c r="F269" s="196"/>
      <c r="V269" s="127">
        <f>+B268</f>
        <v>-100000</v>
      </c>
      <c r="W269" s="127">
        <f>+B269*(1+0.14)^(7-A269)</f>
        <v>21949.726239360014</v>
      </c>
    </row>
    <row r="270" spans="1:57" x14ac:dyDescent="0.3">
      <c r="A270" s="26">
        <v>2</v>
      </c>
      <c r="B270" s="226">
        <v>25000</v>
      </c>
      <c r="F270" s="196"/>
      <c r="V270" s="127">
        <f>+B271/(1+0.064)^(3)</f>
        <v>-24075.377969486999</v>
      </c>
      <c r="W270" s="127">
        <f>+B270*(1+0.14)^(7-A270)</f>
        <v>48135.364560000024</v>
      </c>
    </row>
    <row r="271" spans="1:57" x14ac:dyDescent="0.3">
      <c r="A271" s="26">
        <v>3</v>
      </c>
      <c r="B271" s="226">
        <v>-29000</v>
      </c>
      <c r="W271" s="127">
        <f>+B272*(1+0.178)^(7-A272)</f>
        <v>65387.670079999989</v>
      </c>
    </row>
    <row r="272" spans="1:57" x14ac:dyDescent="0.3">
      <c r="A272" s="26">
        <v>4</v>
      </c>
      <c r="B272" s="226">
        <v>40000</v>
      </c>
      <c r="W272" s="127">
        <f>+B273*(1+0.14)^(7-A273)</f>
        <v>116964.00000000003</v>
      </c>
    </row>
    <row r="273" spans="1:23" x14ac:dyDescent="0.3">
      <c r="A273" s="26">
        <v>5</v>
      </c>
      <c r="B273" s="226">
        <v>90000</v>
      </c>
      <c r="V273" s="127">
        <f>SUM(V269:V272)</f>
        <v>-124075.377969487</v>
      </c>
      <c r="W273" s="127">
        <f>SUM(W269:W272)</f>
        <v>252436.76087936005</v>
      </c>
    </row>
    <row r="274" spans="1:23" x14ac:dyDescent="0.3">
      <c r="B274" s="480" t="s">
        <v>737</v>
      </c>
    </row>
    <row r="275" spans="1:23" x14ac:dyDescent="0.3">
      <c r="B275" s="480"/>
    </row>
    <row r="276" spans="1:23" x14ac:dyDescent="0.3">
      <c r="B276" s="480"/>
    </row>
    <row r="284" spans="1:23" x14ac:dyDescent="0.3">
      <c r="B284" s="480" t="s">
        <v>845</v>
      </c>
    </row>
    <row r="285" spans="1:23" x14ac:dyDescent="0.3">
      <c r="B285" s="480" t="s">
        <v>738</v>
      </c>
    </row>
    <row r="286" spans="1:23" x14ac:dyDescent="0.3">
      <c r="B286" s="480"/>
    </row>
    <row r="287" spans="1:23" ht="26.4" x14ac:dyDescent="0.3">
      <c r="B287" s="239" t="s">
        <v>739</v>
      </c>
    </row>
    <row r="289" spans="1:57" s="220" customFormat="1" x14ac:dyDescent="0.3">
      <c r="A289" s="218">
        <v>2</v>
      </c>
      <c r="B289" s="240" t="s">
        <v>744</v>
      </c>
      <c r="C289" s="219"/>
      <c r="T289" s="220" t="s">
        <v>839</v>
      </c>
      <c r="U289" s="219"/>
      <c r="V289" s="220" t="s">
        <v>808</v>
      </c>
      <c r="W289" s="220" t="s">
        <v>645</v>
      </c>
      <c r="X289" s="220" t="s">
        <v>644</v>
      </c>
      <c r="Y289" s="219" t="s">
        <v>840</v>
      </c>
      <c r="Z289" s="219" t="s">
        <v>837</v>
      </c>
      <c r="AA289" s="219" t="s">
        <v>838</v>
      </c>
      <c r="AI289" s="219"/>
      <c r="BE289" s="139"/>
    </row>
    <row r="290" spans="1:57" x14ac:dyDescent="0.3">
      <c r="T290" s="127">
        <f>+W290-X290</f>
        <v>80000</v>
      </c>
      <c r="U290" s="127"/>
      <c r="V290" s="127">
        <v>0</v>
      </c>
      <c r="W290" s="127">
        <v>-100000</v>
      </c>
      <c r="X290" s="127">
        <v>-180000</v>
      </c>
      <c r="Y290" s="212">
        <v>0.05</v>
      </c>
      <c r="Z290" s="140">
        <f>+NPV(Y290, $W$291:$W$295)+$W$290</f>
        <v>10573.710101684526</v>
      </c>
      <c r="AA290" s="140">
        <f>+NPV(Y290, $X$291:$X$295)+$X$290</f>
        <v>17840.357033285865</v>
      </c>
    </row>
    <row r="291" spans="1:57" x14ac:dyDescent="0.3">
      <c r="T291" s="127">
        <f t="shared" ref="T291:T295" si="33">+W291-X291</f>
        <v>10000</v>
      </c>
      <c r="U291" s="127"/>
      <c r="V291" s="127">
        <v>1</v>
      </c>
      <c r="W291" s="127">
        <v>10000</v>
      </c>
      <c r="X291" s="127">
        <v>0</v>
      </c>
      <c r="Y291" s="212">
        <v>0.06</v>
      </c>
      <c r="Z291" s="140">
        <f t="shared" ref="Z291:Z297" si="34">+NPV(Y291, $W$291:$W$295)+$W$290</f>
        <v>6271.8961440361454</v>
      </c>
      <c r="AA291" s="140">
        <f t="shared" ref="AA291:AA297" si="35">+NPV(Y291, $X$291:$X$295)+$X$290</f>
        <v>9056.3177351123886</v>
      </c>
    </row>
    <row r="292" spans="1:57" x14ac:dyDescent="0.3">
      <c r="T292" s="127">
        <f t="shared" si="33"/>
        <v>25000</v>
      </c>
      <c r="U292" s="127"/>
      <c r="V292" s="127">
        <v>2</v>
      </c>
      <c r="W292" s="127">
        <v>25000</v>
      </c>
      <c r="X292" s="127">
        <v>0</v>
      </c>
      <c r="Y292" s="212">
        <f>+T296</f>
        <v>6.6509388692389981E-2</v>
      </c>
      <c r="Z292" s="140">
        <f t="shared" si="34"/>
        <v>3592.7136871919793</v>
      </c>
      <c r="AA292" s="140">
        <f t="shared" si="35"/>
        <v>3592.7136871919502</v>
      </c>
    </row>
    <row r="293" spans="1:57" x14ac:dyDescent="0.3">
      <c r="T293" s="127">
        <f t="shared" si="33"/>
        <v>-29000</v>
      </c>
      <c r="U293" s="127"/>
      <c r="V293" s="127">
        <v>3</v>
      </c>
      <c r="W293" s="127">
        <v>-29000</v>
      </c>
      <c r="X293" s="127">
        <v>0</v>
      </c>
      <c r="Y293" s="212">
        <f>+X296</f>
        <v>7.0919542586619144E-2</v>
      </c>
      <c r="Z293" s="140">
        <f t="shared" si="34"/>
        <v>1829.4149017949967</v>
      </c>
      <c r="AA293" s="140">
        <f t="shared" si="35"/>
        <v>0</v>
      </c>
    </row>
    <row r="294" spans="1:57" x14ac:dyDescent="0.3">
      <c r="T294" s="127">
        <f t="shared" si="33"/>
        <v>-10000</v>
      </c>
      <c r="U294" s="127"/>
      <c r="V294" s="127">
        <v>4</v>
      </c>
      <c r="W294" s="127">
        <v>40000</v>
      </c>
      <c r="X294" s="127">
        <v>50000</v>
      </c>
      <c r="Y294" s="212">
        <f>+W296</f>
        <v>7.5606159995469158E-2</v>
      </c>
      <c r="Z294" s="140">
        <f t="shared" si="34"/>
        <v>0</v>
      </c>
      <c r="AA294" s="140">
        <f t="shared" si="35"/>
        <v>-3724.678144210251</v>
      </c>
    </row>
    <row r="295" spans="1:57" x14ac:dyDescent="0.3">
      <c r="T295" s="127">
        <f t="shared" si="33"/>
        <v>-110000</v>
      </c>
      <c r="U295" s="127"/>
      <c r="V295" s="127">
        <v>5</v>
      </c>
      <c r="W295" s="127">
        <v>90000</v>
      </c>
      <c r="X295" s="127">
        <v>200000</v>
      </c>
      <c r="Y295" s="212">
        <v>0.08</v>
      </c>
      <c r="Z295" s="140">
        <f t="shared" si="34"/>
        <v>-1674.7233778851805</v>
      </c>
      <c r="AA295" s="140">
        <f t="shared" si="35"/>
        <v>-7131.8679534267576</v>
      </c>
    </row>
    <row r="296" spans="1:57" x14ac:dyDescent="0.3">
      <c r="T296" s="129">
        <f>+IRR(T290:T295)</f>
        <v>6.6509388692389981E-2</v>
      </c>
      <c r="U296" s="127"/>
      <c r="W296" s="133">
        <f>+IRR(W290:W295)</f>
        <v>7.5606159995469158E-2</v>
      </c>
      <c r="X296" s="159">
        <f>+IRR(X290:X295)</f>
        <v>7.0919542586619144E-2</v>
      </c>
      <c r="Y296" s="212">
        <v>0.09</v>
      </c>
      <c r="Z296" s="140">
        <f t="shared" si="34"/>
        <v>-5346.17595404241</v>
      </c>
      <c r="AA296" s="140">
        <f t="shared" si="35"/>
        <v>-14592.462187071098</v>
      </c>
    </row>
    <row r="297" spans="1:57" x14ac:dyDescent="0.3">
      <c r="B297" s="489" t="s">
        <v>740</v>
      </c>
      <c r="U297" s="127"/>
      <c r="Y297" s="212">
        <v>0.1</v>
      </c>
      <c r="Z297" s="140">
        <f t="shared" si="34"/>
        <v>-8832.6058205165318</v>
      </c>
      <c r="AA297" s="140">
        <f t="shared" si="35"/>
        <v>-21665.062619915494</v>
      </c>
    </row>
    <row r="298" spans="1:57" x14ac:dyDescent="0.3">
      <c r="B298" s="489"/>
      <c r="U298" s="127"/>
      <c r="Y298" s="221"/>
    </row>
    <row r="299" spans="1:57" x14ac:dyDescent="0.3">
      <c r="B299" s="489" t="s">
        <v>741</v>
      </c>
      <c r="U299" s="127"/>
      <c r="Y299" s="221"/>
    </row>
    <row r="300" spans="1:57" x14ac:dyDescent="0.3">
      <c r="B300" s="489"/>
      <c r="U300" s="127"/>
      <c r="Y300" s="221"/>
    </row>
    <row r="301" spans="1:57" x14ac:dyDescent="0.3">
      <c r="B301" s="238" t="s">
        <v>742</v>
      </c>
      <c r="U301" s="127"/>
      <c r="Y301" s="221"/>
    </row>
    <row r="302" spans="1:57" x14ac:dyDescent="0.3">
      <c r="B302" s="238" t="s">
        <v>743</v>
      </c>
      <c r="U302" s="127"/>
      <c r="Y302" s="221"/>
    </row>
    <row r="303" spans="1:57" x14ac:dyDescent="0.3">
      <c r="U303" s="127"/>
      <c r="Y303" s="221"/>
    </row>
    <row r="304" spans="1:57" x14ac:dyDescent="0.3">
      <c r="U304" s="127"/>
      <c r="Y304" s="221"/>
    </row>
    <row r="305" spans="1:57" s="220" customFormat="1" ht="26.4" x14ac:dyDescent="0.3">
      <c r="A305" s="218">
        <v>3</v>
      </c>
      <c r="B305" s="241" t="s">
        <v>745</v>
      </c>
      <c r="C305" s="219"/>
      <c r="U305" s="219"/>
      <c r="AI305" s="219"/>
      <c r="BE305" s="139"/>
    </row>
    <row r="306" spans="1:57" x14ac:dyDescent="0.3">
      <c r="B306" s="238" t="s">
        <v>746</v>
      </c>
    </row>
    <row r="307" spans="1:57" x14ac:dyDescent="0.3">
      <c r="B307" s="238" t="s">
        <v>518</v>
      </c>
    </row>
    <row r="308" spans="1:57" x14ac:dyDescent="0.3">
      <c r="B308" s="238" t="s">
        <v>747</v>
      </c>
    </row>
    <row r="309" spans="1:57" x14ac:dyDescent="0.3">
      <c r="B309" s="238" t="s">
        <v>749</v>
      </c>
    </row>
    <row r="310" spans="1:57" x14ac:dyDescent="0.3">
      <c r="B310" s="489" t="s">
        <v>750</v>
      </c>
    </row>
    <row r="311" spans="1:57" x14ac:dyDescent="0.3">
      <c r="B311" s="489"/>
    </row>
    <row r="312" spans="1:57" x14ac:dyDescent="0.3">
      <c r="B312" s="489"/>
    </row>
    <row r="313" spans="1:57" x14ac:dyDescent="0.3">
      <c r="B313" s="489" t="s">
        <v>751</v>
      </c>
    </row>
    <row r="314" spans="1:57" x14ac:dyDescent="0.3">
      <c r="B314" s="489"/>
    </row>
    <row r="315" spans="1:57" ht="26.4" x14ac:dyDescent="0.3">
      <c r="B315" s="238" t="s">
        <v>752</v>
      </c>
    </row>
    <row r="316" spans="1:57" x14ac:dyDescent="0.3">
      <c r="B316" s="238" t="s">
        <v>753</v>
      </c>
    </row>
    <row r="317" spans="1:57" x14ac:dyDescent="0.3">
      <c r="B317" s="238" t="s">
        <v>754</v>
      </c>
    </row>
    <row r="318" spans="1:57" x14ac:dyDescent="0.3">
      <c r="B318" s="238" t="s">
        <v>755</v>
      </c>
      <c r="AQ318" s="127" t="s">
        <v>910</v>
      </c>
    </row>
    <row r="319" spans="1:57" x14ac:dyDescent="0.3">
      <c r="B319" s="489" t="s">
        <v>748</v>
      </c>
      <c r="AQ319" s="127">
        <f>0.24/12</f>
        <v>0.02</v>
      </c>
      <c r="AR319" s="127">
        <f>+AP324/((1/AQ319)-(1/(AQ319*((1+AQ319)^36))))</f>
        <v>3923.2852597798155</v>
      </c>
    </row>
    <row r="320" spans="1:57" x14ac:dyDescent="0.3">
      <c r="B320" s="489"/>
    </row>
    <row r="321" spans="1:60" x14ac:dyDescent="0.3">
      <c r="B321" s="489"/>
    </row>
    <row r="322" spans="1:60" x14ac:dyDescent="0.3">
      <c r="B322" s="489"/>
      <c r="AO322" s="127" t="s">
        <v>911</v>
      </c>
      <c r="AS322" s="127" t="s">
        <v>909</v>
      </c>
      <c r="AV322" s="127" t="s">
        <v>913</v>
      </c>
      <c r="AY322" s="127" t="s">
        <v>912</v>
      </c>
    </row>
    <row r="323" spans="1:60" s="128" customFormat="1" x14ac:dyDescent="0.3">
      <c r="A323" s="124" t="s">
        <v>756</v>
      </c>
      <c r="B323" s="222" t="s">
        <v>757</v>
      </c>
      <c r="C323" s="139"/>
      <c r="U323" s="139"/>
      <c r="AI323" s="139"/>
      <c r="AO323" s="128" t="s">
        <v>904</v>
      </c>
      <c r="AP323" s="128" t="s">
        <v>905</v>
      </c>
      <c r="AQ323" s="128" t="s">
        <v>906</v>
      </c>
      <c r="AR323" s="128" t="s">
        <v>890</v>
      </c>
      <c r="AS323" s="128" t="s">
        <v>907</v>
      </c>
      <c r="AT323" s="128" t="s">
        <v>908</v>
      </c>
      <c r="AV323" s="128" t="s">
        <v>904</v>
      </c>
      <c r="AW323" s="128" t="s">
        <v>905</v>
      </c>
      <c r="AX323" s="128" t="s">
        <v>906</v>
      </c>
      <c r="AY323" s="128" t="s">
        <v>890</v>
      </c>
      <c r="AZ323" s="128" t="s">
        <v>907</v>
      </c>
      <c r="BA323" s="128" t="s">
        <v>908</v>
      </c>
      <c r="BC323" s="128" t="s">
        <v>904</v>
      </c>
      <c r="BD323" s="128" t="s">
        <v>905</v>
      </c>
      <c r="BE323" s="128" t="s">
        <v>906</v>
      </c>
      <c r="BF323" s="128" t="s">
        <v>890</v>
      </c>
      <c r="BG323" s="128" t="s">
        <v>907</v>
      </c>
      <c r="BH323" s="128" t="s">
        <v>908</v>
      </c>
    </row>
    <row r="324" spans="1:60" x14ac:dyDescent="0.3">
      <c r="A324" s="486">
        <v>1</v>
      </c>
      <c r="B324" s="490" t="s">
        <v>761</v>
      </c>
      <c r="AJ324" s="127" t="s">
        <v>897</v>
      </c>
      <c r="AL324" s="127" t="s">
        <v>898</v>
      </c>
      <c r="AO324" s="127">
        <v>1</v>
      </c>
      <c r="AP324" s="127">
        <v>100000</v>
      </c>
      <c r="AQ324" s="127">
        <f>+AP324*(0.24/12)</f>
        <v>2000</v>
      </c>
      <c r="AR324" s="127">
        <f>+AS324-AQ324</f>
        <v>1923.2852597798151</v>
      </c>
      <c r="AS324" s="127">
        <f>+PMT(0.24/12, 36, -$AP$324)</f>
        <v>3923.2852597798151</v>
      </c>
      <c r="AT324" s="127">
        <f>+AR324</f>
        <v>1923.2852597798151</v>
      </c>
      <c r="AV324" s="127">
        <v>1</v>
      </c>
      <c r="AW324" s="127">
        <v>100000</v>
      </c>
      <c r="AX324" s="127">
        <f>+$AW$324*(0.24/12)</f>
        <v>2000</v>
      </c>
      <c r="AY324" s="127">
        <f>+AW324/36</f>
        <v>2777.7777777777778</v>
      </c>
      <c r="AZ324" s="127">
        <f>+AY324+AX324</f>
        <v>4777.7777777777774</v>
      </c>
      <c r="BA324" s="127">
        <f>+AY324</f>
        <v>2777.7777777777778</v>
      </c>
      <c r="BC324" s="127">
        <v>1</v>
      </c>
      <c r="BD324" s="127">
        <v>100000</v>
      </c>
      <c r="BE324" s="128">
        <f>+$AW$324*(0.24/12)</f>
        <v>2000</v>
      </c>
      <c r="BF324" s="127">
        <v>0</v>
      </c>
      <c r="BG324" s="127">
        <f>+BF324+BE324</f>
        <v>2000</v>
      </c>
      <c r="BH324" s="127">
        <f>+BF324</f>
        <v>0</v>
      </c>
    </row>
    <row r="325" spans="1:60" x14ac:dyDescent="0.3">
      <c r="A325" s="476"/>
      <c r="B325" s="489"/>
      <c r="AJ325" s="127" t="s">
        <v>899</v>
      </c>
      <c r="AL325" s="127">
        <v>100000</v>
      </c>
      <c r="AO325" s="127">
        <v>2</v>
      </c>
      <c r="AP325" s="127">
        <f>+AQ324+AP324-AS324</f>
        <v>98076.714740220181</v>
      </c>
      <c r="AQ325" s="127">
        <f>+AP325*(0.24/12)</f>
        <v>1961.5342948044035</v>
      </c>
      <c r="AR325" s="127">
        <f>+AS325-AQ325</f>
        <v>1961.7509649754115</v>
      </c>
      <c r="AS325" s="127">
        <f>+PMT(0.24/12, 36, -$AP$324)</f>
        <v>3923.2852597798151</v>
      </c>
      <c r="AT325" s="127">
        <f>+AT324+AR325</f>
        <v>3885.0362247552266</v>
      </c>
      <c r="AV325" s="127">
        <v>2</v>
      </c>
      <c r="AW325" s="127">
        <f>+AX324+AW324-AZ324</f>
        <v>97222.222222222219</v>
      </c>
      <c r="AX325" s="127">
        <f>+$AW$324*(0.24/12)</f>
        <v>2000</v>
      </c>
      <c r="AY325" s="127">
        <f>+$AW$324/36</f>
        <v>2777.7777777777778</v>
      </c>
      <c r="AZ325" s="127">
        <f>+AY325+AX325</f>
        <v>4777.7777777777774</v>
      </c>
      <c r="BA325" s="127">
        <f>+BA324+AY325</f>
        <v>5555.5555555555557</v>
      </c>
      <c r="BC325" s="127">
        <v>2</v>
      </c>
      <c r="BD325" s="127">
        <f>+BE324+BD324-BG324</f>
        <v>100000</v>
      </c>
      <c r="BE325" s="128">
        <f>+$AW$324*(0.24/12)</f>
        <v>2000</v>
      </c>
      <c r="BF325" s="127">
        <v>0</v>
      </c>
      <c r="BG325" s="127">
        <f>+BF325+BE325</f>
        <v>2000</v>
      </c>
      <c r="BH325" s="127">
        <f>+BH324+BF325</f>
        <v>0</v>
      </c>
    </row>
    <row r="326" spans="1:60" x14ac:dyDescent="0.3">
      <c r="A326" s="476"/>
      <c r="B326" s="489"/>
      <c r="AJ326" s="127" t="s">
        <v>161</v>
      </c>
      <c r="AL326" s="127">
        <v>0.24</v>
      </c>
      <c r="AO326" s="127">
        <v>3</v>
      </c>
      <c r="AP326" s="127">
        <f t="shared" ref="AP326:AP359" si="36">+AQ325+AP325-AS325</f>
        <v>96114.96377524476</v>
      </c>
      <c r="AQ326" s="127">
        <f t="shared" ref="AQ326:AQ359" si="37">+AP326*(0.24/12)</f>
        <v>1922.2992755048951</v>
      </c>
      <c r="AR326" s="127">
        <f t="shared" ref="AR326:AR359" si="38">+AS326-AQ326</f>
        <v>2000.9859842749199</v>
      </c>
      <c r="AS326" s="127">
        <f t="shared" ref="AS326:AS359" si="39">+PMT(0.24/12, 36, -$AP$324)</f>
        <v>3923.2852597798151</v>
      </c>
      <c r="AT326" s="127">
        <f t="shared" ref="AT326:AT359" si="40">+AT325+AR326</f>
        <v>5886.0222090301468</v>
      </c>
      <c r="AV326" s="127">
        <v>3</v>
      </c>
      <c r="AW326" s="127">
        <f t="shared" ref="AW326:AW359" si="41">+AX325+AW325-AZ325</f>
        <v>94444.444444444438</v>
      </c>
      <c r="AX326" s="127">
        <f t="shared" ref="AX326:AX359" si="42">+$AW$324*(0.24/12)</f>
        <v>2000</v>
      </c>
      <c r="AY326" s="127">
        <f t="shared" ref="AY326:AY359" si="43">+$AW$324/36</f>
        <v>2777.7777777777778</v>
      </c>
      <c r="AZ326" s="127">
        <f t="shared" ref="AZ326:AZ359" si="44">+AY326+AX326</f>
        <v>4777.7777777777774</v>
      </c>
      <c r="BA326" s="127">
        <f t="shared" ref="BA326:BA359" si="45">+BA325+AY326</f>
        <v>8333.3333333333339</v>
      </c>
      <c r="BC326" s="127">
        <v>3</v>
      </c>
      <c r="BD326" s="127">
        <f t="shared" ref="BD326:BD359" si="46">+BE325+BD325-BG325</f>
        <v>100000</v>
      </c>
      <c r="BE326" s="128">
        <f t="shared" ref="BE326:BE359" si="47">+$AW$324*(0.24/12)</f>
        <v>2000</v>
      </c>
      <c r="BF326" s="127">
        <v>0</v>
      </c>
      <c r="BG326" s="127">
        <f t="shared" ref="BG326:BG359" si="48">+BF326+BE326</f>
        <v>2000</v>
      </c>
      <c r="BH326" s="127">
        <f t="shared" ref="BH326:BH359" si="49">+BH325+BF326</f>
        <v>0</v>
      </c>
    </row>
    <row r="327" spans="1:60" x14ac:dyDescent="0.3">
      <c r="A327" s="476"/>
      <c r="B327" s="489"/>
      <c r="AJ327" s="127" t="s">
        <v>900</v>
      </c>
      <c r="AL327" s="127">
        <v>36</v>
      </c>
      <c r="AM327" s="127" t="s">
        <v>901</v>
      </c>
      <c r="AO327" s="127">
        <v>4</v>
      </c>
      <c r="AP327" s="127">
        <f t="shared" si="36"/>
        <v>94113.977790969831</v>
      </c>
      <c r="AQ327" s="127">
        <f t="shared" si="37"/>
        <v>1882.2795558193966</v>
      </c>
      <c r="AR327" s="127">
        <f t="shared" si="38"/>
        <v>2041.0057039604185</v>
      </c>
      <c r="AS327" s="127">
        <f t="shared" si="39"/>
        <v>3923.2852597798151</v>
      </c>
      <c r="AT327" s="127">
        <f t="shared" si="40"/>
        <v>7927.0279129905648</v>
      </c>
      <c r="AV327" s="127">
        <v>4</v>
      </c>
      <c r="AW327" s="127">
        <f t="shared" si="41"/>
        <v>91666.666666666657</v>
      </c>
      <c r="AX327" s="127">
        <f t="shared" si="42"/>
        <v>2000</v>
      </c>
      <c r="AY327" s="127">
        <f t="shared" si="43"/>
        <v>2777.7777777777778</v>
      </c>
      <c r="AZ327" s="127">
        <f t="shared" si="44"/>
        <v>4777.7777777777774</v>
      </c>
      <c r="BA327" s="127">
        <f t="shared" si="45"/>
        <v>11111.111111111111</v>
      </c>
      <c r="BC327" s="127">
        <v>4</v>
      </c>
      <c r="BD327" s="127">
        <f t="shared" si="46"/>
        <v>100000</v>
      </c>
      <c r="BE327" s="128">
        <f t="shared" si="47"/>
        <v>2000</v>
      </c>
      <c r="BF327" s="127">
        <v>0</v>
      </c>
      <c r="BG327" s="127">
        <f t="shared" si="48"/>
        <v>2000</v>
      </c>
      <c r="BH327" s="127">
        <f t="shared" si="49"/>
        <v>0</v>
      </c>
    </row>
    <row r="328" spans="1:60" x14ac:dyDescent="0.3">
      <c r="B328" s="238" t="s">
        <v>758</v>
      </c>
      <c r="AJ328" s="127" t="s">
        <v>902</v>
      </c>
      <c r="AK328" s="127" t="s">
        <v>903</v>
      </c>
      <c r="AO328" s="127">
        <v>5</v>
      </c>
      <c r="AP328" s="127">
        <f t="shared" si="36"/>
        <v>92072.972087009402</v>
      </c>
      <c r="AQ328" s="127">
        <f t="shared" si="37"/>
        <v>1841.4594417401881</v>
      </c>
      <c r="AR328" s="127">
        <f t="shared" si="38"/>
        <v>2081.8258180396269</v>
      </c>
      <c r="AS328" s="127">
        <f t="shared" si="39"/>
        <v>3923.2852597798151</v>
      </c>
      <c r="AT328" s="127">
        <f t="shared" si="40"/>
        <v>10008.853731030191</v>
      </c>
      <c r="AV328" s="127">
        <v>5</v>
      </c>
      <c r="AW328" s="127">
        <f t="shared" si="41"/>
        <v>88888.888888888876</v>
      </c>
      <c r="AX328" s="127">
        <f t="shared" si="42"/>
        <v>2000</v>
      </c>
      <c r="AY328" s="127">
        <f t="shared" si="43"/>
        <v>2777.7777777777778</v>
      </c>
      <c r="AZ328" s="127">
        <f t="shared" si="44"/>
        <v>4777.7777777777774</v>
      </c>
      <c r="BA328" s="127">
        <f t="shared" si="45"/>
        <v>13888.888888888889</v>
      </c>
      <c r="BC328" s="127">
        <v>5</v>
      </c>
      <c r="BD328" s="127">
        <f t="shared" si="46"/>
        <v>100000</v>
      </c>
      <c r="BE328" s="128">
        <f t="shared" si="47"/>
        <v>2000</v>
      </c>
      <c r="BF328" s="127">
        <v>0</v>
      </c>
      <c r="BG328" s="127">
        <f t="shared" si="48"/>
        <v>2000</v>
      </c>
      <c r="BH328" s="127">
        <f t="shared" si="49"/>
        <v>0</v>
      </c>
    </row>
    <row r="329" spans="1:60" x14ac:dyDescent="0.3">
      <c r="B329" s="238" t="s">
        <v>759</v>
      </c>
      <c r="AO329" s="127">
        <v>6</v>
      </c>
      <c r="AP329" s="127">
        <f t="shared" si="36"/>
        <v>89991.146268969766</v>
      </c>
      <c r="AQ329" s="127">
        <f t="shared" si="37"/>
        <v>1799.8229253793954</v>
      </c>
      <c r="AR329" s="127">
        <f t="shared" si="38"/>
        <v>2123.4623344004194</v>
      </c>
      <c r="AS329" s="127">
        <f t="shared" si="39"/>
        <v>3923.2852597798151</v>
      </c>
      <c r="AT329" s="127">
        <f t="shared" si="40"/>
        <v>12132.31606543061</v>
      </c>
      <c r="AV329" s="127">
        <v>6</v>
      </c>
      <c r="AW329" s="127">
        <f t="shared" si="41"/>
        <v>86111.111111111095</v>
      </c>
      <c r="AX329" s="127">
        <f t="shared" si="42"/>
        <v>2000</v>
      </c>
      <c r="AY329" s="127">
        <f t="shared" si="43"/>
        <v>2777.7777777777778</v>
      </c>
      <c r="AZ329" s="127">
        <f t="shared" si="44"/>
        <v>4777.7777777777774</v>
      </c>
      <c r="BA329" s="127">
        <f t="shared" si="45"/>
        <v>16666.666666666668</v>
      </c>
      <c r="BC329" s="127">
        <v>6</v>
      </c>
      <c r="BD329" s="127">
        <f t="shared" si="46"/>
        <v>100000</v>
      </c>
      <c r="BE329" s="128">
        <f t="shared" si="47"/>
        <v>2000</v>
      </c>
      <c r="BF329" s="127">
        <v>0</v>
      </c>
      <c r="BG329" s="127">
        <f t="shared" si="48"/>
        <v>2000</v>
      </c>
      <c r="BH329" s="127">
        <f t="shared" si="49"/>
        <v>0</v>
      </c>
    </row>
    <row r="330" spans="1:60" x14ac:dyDescent="0.3">
      <c r="B330" s="238" t="s">
        <v>760</v>
      </c>
      <c r="AO330" s="127">
        <v>7</v>
      </c>
      <c r="AP330" s="127">
        <f t="shared" si="36"/>
        <v>87867.683934569344</v>
      </c>
      <c r="AQ330" s="127">
        <f t="shared" si="37"/>
        <v>1757.3536786913869</v>
      </c>
      <c r="AR330" s="127">
        <f t="shared" si="38"/>
        <v>2165.9315810884282</v>
      </c>
      <c r="AS330" s="127">
        <f t="shared" si="39"/>
        <v>3923.2852597798151</v>
      </c>
      <c r="AT330" s="127">
        <f t="shared" si="40"/>
        <v>14298.247646519038</v>
      </c>
      <c r="AV330" s="127">
        <v>7</v>
      </c>
      <c r="AW330" s="127">
        <f t="shared" si="41"/>
        <v>83333.333333333314</v>
      </c>
      <c r="AX330" s="127">
        <f t="shared" si="42"/>
        <v>2000</v>
      </c>
      <c r="AY330" s="127">
        <f t="shared" si="43"/>
        <v>2777.7777777777778</v>
      </c>
      <c r="AZ330" s="127">
        <f t="shared" si="44"/>
        <v>4777.7777777777774</v>
      </c>
      <c r="BA330" s="127">
        <f t="shared" si="45"/>
        <v>19444.444444444445</v>
      </c>
      <c r="BC330" s="127">
        <v>7</v>
      </c>
      <c r="BD330" s="127">
        <f t="shared" si="46"/>
        <v>100000</v>
      </c>
      <c r="BE330" s="128">
        <f t="shared" si="47"/>
        <v>2000</v>
      </c>
      <c r="BF330" s="127">
        <v>0</v>
      </c>
      <c r="BG330" s="127">
        <f t="shared" si="48"/>
        <v>2000</v>
      </c>
      <c r="BH330" s="127">
        <f t="shared" si="49"/>
        <v>0</v>
      </c>
    </row>
    <row r="331" spans="1:60" x14ac:dyDescent="0.3">
      <c r="B331" s="238"/>
      <c r="AO331" s="127">
        <v>8</v>
      </c>
      <c r="AP331" s="127">
        <f t="shared" si="36"/>
        <v>85701.752353480915</v>
      </c>
      <c r="AQ331" s="127">
        <f t="shared" si="37"/>
        <v>1714.0350470696183</v>
      </c>
      <c r="AR331" s="127">
        <f t="shared" si="38"/>
        <v>2209.250212710197</v>
      </c>
      <c r="AS331" s="127">
        <f t="shared" si="39"/>
        <v>3923.2852597798151</v>
      </c>
      <c r="AT331" s="127">
        <f t="shared" si="40"/>
        <v>16507.497859229235</v>
      </c>
      <c r="AV331" s="127">
        <v>8</v>
      </c>
      <c r="AW331" s="127">
        <f t="shared" si="41"/>
        <v>80555.555555555533</v>
      </c>
      <c r="AX331" s="127">
        <f t="shared" si="42"/>
        <v>2000</v>
      </c>
      <c r="AY331" s="127">
        <f t="shared" si="43"/>
        <v>2777.7777777777778</v>
      </c>
      <c r="AZ331" s="127">
        <f t="shared" si="44"/>
        <v>4777.7777777777774</v>
      </c>
      <c r="BA331" s="127">
        <f t="shared" si="45"/>
        <v>22222.222222222223</v>
      </c>
      <c r="BC331" s="127">
        <v>8</v>
      </c>
      <c r="BD331" s="127">
        <f t="shared" si="46"/>
        <v>100000</v>
      </c>
      <c r="BE331" s="128">
        <f t="shared" si="47"/>
        <v>2000</v>
      </c>
      <c r="BF331" s="127">
        <v>0</v>
      </c>
      <c r="BG331" s="127">
        <f t="shared" si="48"/>
        <v>2000</v>
      </c>
      <c r="BH331" s="127">
        <f t="shared" si="49"/>
        <v>0</v>
      </c>
    </row>
    <row r="332" spans="1:60" x14ac:dyDescent="0.3">
      <c r="B332" s="238"/>
      <c r="AO332" s="127">
        <v>9</v>
      </c>
      <c r="AP332" s="127">
        <f t="shared" si="36"/>
        <v>83492.50214077071</v>
      </c>
      <c r="AQ332" s="127">
        <f t="shared" si="37"/>
        <v>1669.8500428154143</v>
      </c>
      <c r="AR332" s="127">
        <f t="shared" si="38"/>
        <v>2253.4352169644008</v>
      </c>
      <c r="AS332" s="127">
        <f t="shared" si="39"/>
        <v>3923.2852597798151</v>
      </c>
      <c r="AT332" s="127">
        <f t="shared" si="40"/>
        <v>18760.933076193636</v>
      </c>
      <c r="AV332" s="127">
        <v>9</v>
      </c>
      <c r="AW332" s="127">
        <f t="shared" si="41"/>
        <v>77777.777777777752</v>
      </c>
      <c r="AX332" s="127">
        <f t="shared" si="42"/>
        <v>2000</v>
      </c>
      <c r="AY332" s="127">
        <f t="shared" si="43"/>
        <v>2777.7777777777778</v>
      </c>
      <c r="AZ332" s="127">
        <f t="shared" si="44"/>
        <v>4777.7777777777774</v>
      </c>
      <c r="BA332" s="127">
        <f t="shared" si="45"/>
        <v>25000</v>
      </c>
      <c r="BC332" s="127">
        <v>9</v>
      </c>
      <c r="BD332" s="127">
        <f t="shared" si="46"/>
        <v>100000</v>
      </c>
      <c r="BE332" s="128">
        <f t="shared" si="47"/>
        <v>2000</v>
      </c>
      <c r="BF332" s="127">
        <v>0</v>
      </c>
      <c r="BG332" s="127">
        <f t="shared" si="48"/>
        <v>2000</v>
      </c>
      <c r="BH332" s="127">
        <f t="shared" si="49"/>
        <v>0</v>
      </c>
    </row>
    <row r="333" spans="1:60" x14ac:dyDescent="0.3">
      <c r="B333" s="238"/>
      <c r="AO333" s="127">
        <v>10</v>
      </c>
      <c r="AP333" s="127">
        <f t="shared" si="36"/>
        <v>81239.066923806298</v>
      </c>
      <c r="AQ333" s="127">
        <f t="shared" si="37"/>
        <v>1624.7813384761259</v>
      </c>
      <c r="AR333" s="127">
        <f t="shared" si="38"/>
        <v>2298.5039213036889</v>
      </c>
      <c r="AS333" s="127">
        <f t="shared" si="39"/>
        <v>3923.2852597798151</v>
      </c>
      <c r="AT333" s="127">
        <f t="shared" si="40"/>
        <v>21059.436997497323</v>
      </c>
      <c r="AV333" s="127">
        <v>10</v>
      </c>
      <c r="AW333" s="127">
        <f t="shared" si="41"/>
        <v>74999.999999999971</v>
      </c>
      <c r="AX333" s="127">
        <f t="shared" si="42"/>
        <v>2000</v>
      </c>
      <c r="AY333" s="127">
        <f t="shared" si="43"/>
        <v>2777.7777777777778</v>
      </c>
      <c r="AZ333" s="127">
        <f t="shared" si="44"/>
        <v>4777.7777777777774</v>
      </c>
      <c r="BA333" s="127">
        <f t="shared" si="45"/>
        <v>27777.777777777777</v>
      </c>
      <c r="BC333" s="127">
        <v>10</v>
      </c>
      <c r="BD333" s="127">
        <f t="shared" si="46"/>
        <v>100000</v>
      </c>
      <c r="BE333" s="128">
        <f t="shared" si="47"/>
        <v>2000</v>
      </c>
      <c r="BF333" s="127">
        <v>0</v>
      </c>
      <c r="BG333" s="127">
        <f t="shared" si="48"/>
        <v>2000</v>
      </c>
      <c r="BH333" s="127">
        <f t="shared" si="49"/>
        <v>0</v>
      </c>
    </row>
    <row r="334" spans="1:60" x14ac:dyDescent="0.3">
      <c r="B334" s="238"/>
      <c r="AO334" s="127">
        <v>11</v>
      </c>
      <c r="AP334" s="127">
        <f t="shared" si="36"/>
        <v>78940.563002502604</v>
      </c>
      <c r="AQ334" s="127">
        <f t="shared" si="37"/>
        <v>1578.8112600500522</v>
      </c>
      <c r="AR334" s="127">
        <f t="shared" si="38"/>
        <v>2344.4739997297629</v>
      </c>
      <c r="AS334" s="127">
        <f t="shared" si="39"/>
        <v>3923.2852597798151</v>
      </c>
      <c r="AT334" s="127">
        <f t="shared" si="40"/>
        <v>23403.910997227085</v>
      </c>
      <c r="AV334" s="127">
        <v>11</v>
      </c>
      <c r="AW334" s="127">
        <f t="shared" si="41"/>
        <v>72222.22222222219</v>
      </c>
      <c r="AX334" s="127">
        <f t="shared" si="42"/>
        <v>2000</v>
      </c>
      <c r="AY334" s="127">
        <f t="shared" si="43"/>
        <v>2777.7777777777778</v>
      </c>
      <c r="AZ334" s="127">
        <f t="shared" si="44"/>
        <v>4777.7777777777774</v>
      </c>
      <c r="BA334" s="127">
        <f t="shared" si="45"/>
        <v>30555.555555555555</v>
      </c>
      <c r="BC334" s="127">
        <v>11</v>
      </c>
      <c r="BD334" s="127">
        <f t="shared" si="46"/>
        <v>100000</v>
      </c>
      <c r="BE334" s="128">
        <f t="shared" si="47"/>
        <v>2000</v>
      </c>
      <c r="BF334" s="127">
        <v>0</v>
      </c>
      <c r="BG334" s="127">
        <f t="shared" si="48"/>
        <v>2000</v>
      </c>
      <c r="BH334" s="127">
        <f t="shared" si="49"/>
        <v>0</v>
      </c>
    </row>
    <row r="335" spans="1:60" x14ac:dyDescent="0.3">
      <c r="B335" s="238"/>
      <c r="AO335" s="127">
        <v>12</v>
      </c>
      <c r="AP335" s="127">
        <f t="shared" si="36"/>
        <v>76596.089002772831</v>
      </c>
      <c r="AQ335" s="127">
        <f t="shared" si="37"/>
        <v>1531.9217800554566</v>
      </c>
      <c r="AR335" s="127">
        <f t="shared" si="38"/>
        <v>2391.3634797243585</v>
      </c>
      <c r="AS335" s="127">
        <f t="shared" si="39"/>
        <v>3923.2852597798151</v>
      </c>
      <c r="AT335" s="127">
        <f t="shared" si="40"/>
        <v>25795.274476951443</v>
      </c>
      <c r="AV335" s="127">
        <v>12</v>
      </c>
      <c r="AW335" s="127">
        <f t="shared" si="41"/>
        <v>69444.444444444409</v>
      </c>
      <c r="AX335" s="127">
        <f t="shared" si="42"/>
        <v>2000</v>
      </c>
      <c r="AY335" s="127">
        <f t="shared" si="43"/>
        <v>2777.7777777777778</v>
      </c>
      <c r="AZ335" s="127">
        <f t="shared" si="44"/>
        <v>4777.7777777777774</v>
      </c>
      <c r="BA335" s="127">
        <f t="shared" si="45"/>
        <v>33333.333333333336</v>
      </c>
      <c r="BC335" s="127">
        <v>12</v>
      </c>
      <c r="BD335" s="127">
        <f t="shared" si="46"/>
        <v>100000</v>
      </c>
      <c r="BE335" s="128">
        <f t="shared" si="47"/>
        <v>2000</v>
      </c>
      <c r="BF335" s="127">
        <v>0</v>
      </c>
      <c r="BG335" s="127">
        <f t="shared" si="48"/>
        <v>2000</v>
      </c>
      <c r="BH335" s="127">
        <f t="shared" si="49"/>
        <v>0</v>
      </c>
    </row>
    <row r="336" spans="1:60" x14ac:dyDescent="0.3">
      <c r="B336" s="238"/>
      <c r="AO336" s="127">
        <v>13</v>
      </c>
      <c r="AP336" s="127">
        <f t="shared" si="36"/>
        <v>74204.725523048473</v>
      </c>
      <c r="AQ336" s="127">
        <f t="shared" si="37"/>
        <v>1484.0945104609696</v>
      </c>
      <c r="AR336" s="127">
        <f t="shared" si="38"/>
        <v>2439.1907493188455</v>
      </c>
      <c r="AS336" s="127">
        <f t="shared" si="39"/>
        <v>3923.2852597798151</v>
      </c>
      <c r="AT336" s="127">
        <f t="shared" si="40"/>
        <v>28234.465226270288</v>
      </c>
      <c r="AV336" s="127">
        <v>13</v>
      </c>
      <c r="AW336" s="127">
        <f t="shared" si="41"/>
        <v>66666.666666666628</v>
      </c>
      <c r="AX336" s="127">
        <f t="shared" si="42"/>
        <v>2000</v>
      </c>
      <c r="AY336" s="127">
        <f t="shared" si="43"/>
        <v>2777.7777777777778</v>
      </c>
      <c r="AZ336" s="127">
        <f t="shared" si="44"/>
        <v>4777.7777777777774</v>
      </c>
      <c r="BA336" s="127">
        <f t="shared" si="45"/>
        <v>36111.111111111117</v>
      </c>
      <c r="BC336" s="127">
        <v>13</v>
      </c>
      <c r="BD336" s="127">
        <f t="shared" si="46"/>
        <v>100000</v>
      </c>
      <c r="BE336" s="128">
        <f t="shared" si="47"/>
        <v>2000</v>
      </c>
      <c r="BF336" s="127">
        <v>0</v>
      </c>
      <c r="BG336" s="127">
        <f t="shared" si="48"/>
        <v>2000</v>
      </c>
      <c r="BH336" s="127">
        <f t="shared" si="49"/>
        <v>0</v>
      </c>
    </row>
    <row r="337" spans="2:60" x14ac:dyDescent="0.3">
      <c r="B337" s="238"/>
      <c r="AO337" s="127">
        <v>14</v>
      </c>
      <c r="AP337" s="127">
        <f t="shared" si="36"/>
        <v>71765.534773729625</v>
      </c>
      <c r="AQ337" s="127">
        <f t="shared" si="37"/>
        <v>1435.3106954745924</v>
      </c>
      <c r="AR337" s="127">
        <f t="shared" si="38"/>
        <v>2487.9745643052229</v>
      </c>
      <c r="AS337" s="127">
        <f t="shared" si="39"/>
        <v>3923.2852597798151</v>
      </c>
      <c r="AT337" s="127">
        <f t="shared" si="40"/>
        <v>30722.43979057551</v>
      </c>
      <c r="AV337" s="127">
        <v>14</v>
      </c>
      <c r="AW337" s="127">
        <f t="shared" si="41"/>
        <v>63888.888888888847</v>
      </c>
      <c r="AX337" s="127">
        <f t="shared" si="42"/>
        <v>2000</v>
      </c>
      <c r="AY337" s="127">
        <f t="shared" si="43"/>
        <v>2777.7777777777778</v>
      </c>
      <c r="AZ337" s="127">
        <f t="shared" si="44"/>
        <v>4777.7777777777774</v>
      </c>
      <c r="BA337" s="127">
        <f t="shared" si="45"/>
        <v>38888.888888888898</v>
      </c>
      <c r="BC337" s="127">
        <v>14</v>
      </c>
      <c r="BD337" s="127">
        <f t="shared" si="46"/>
        <v>100000</v>
      </c>
      <c r="BE337" s="128">
        <f t="shared" si="47"/>
        <v>2000</v>
      </c>
      <c r="BF337" s="127">
        <v>0</v>
      </c>
      <c r="BG337" s="127">
        <f t="shared" si="48"/>
        <v>2000</v>
      </c>
      <c r="BH337" s="127">
        <f t="shared" si="49"/>
        <v>0</v>
      </c>
    </row>
    <row r="338" spans="2:60" x14ac:dyDescent="0.3">
      <c r="B338" s="238"/>
      <c r="AO338" s="127">
        <v>15</v>
      </c>
      <c r="AP338" s="127">
        <f t="shared" si="36"/>
        <v>69277.560209424395</v>
      </c>
      <c r="AQ338" s="127">
        <f t="shared" si="37"/>
        <v>1385.5512041884879</v>
      </c>
      <c r="AR338" s="127">
        <f t="shared" si="38"/>
        <v>2537.734055591327</v>
      </c>
      <c r="AS338" s="127">
        <f t="shared" si="39"/>
        <v>3923.2852597798151</v>
      </c>
      <c r="AT338" s="127">
        <f t="shared" si="40"/>
        <v>33260.173846166836</v>
      </c>
      <c r="AV338" s="127">
        <v>15</v>
      </c>
      <c r="AW338" s="127">
        <f t="shared" si="41"/>
        <v>61111.111111111066</v>
      </c>
      <c r="AX338" s="127">
        <f t="shared" si="42"/>
        <v>2000</v>
      </c>
      <c r="AY338" s="127">
        <f t="shared" si="43"/>
        <v>2777.7777777777778</v>
      </c>
      <c r="AZ338" s="127">
        <f t="shared" si="44"/>
        <v>4777.7777777777774</v>
      </c>
      <c r="BA338" s="127">
        <f t="shared" si="45"/>
        <v>41666.666666666679</v>
      </c>
      <c r="BC338" s="127">
        <v>15</v>
      </c>
      <c r="BD338" s="127">
        <f t="shared" si="46"/>
        <v>100000</v>
      </c>
      <c r="BE338" s="128">
        <f t="shared" si="47"/>
        <v>2000</v>
      </c>
      <c r="BF338" s="127">
        <v>0</v>
      </c>
      <c r="BG338" s="127">
        <f t="shared" si="48"/>
        <v>2000</v>
      </c>
      <c r="BH338" s="127">
        <f t="shared" si="49"/>
        <v>0</v>
      </c>
    </row>
    <row r="339" spans="2:60" x14ac:dyDescent="0.3">
      <c r="B339" s="238"/>
      <c r="AO339" s="127">
        <v>16</v>
      </c>
      <c r="AP339" s="127">
        <f t="shared" si="36"/>
        <v>66739.82615383307</v>
      </c>
      <c r="AQ339" s="127">
        <f t="shared" si="37"/>
        <v>1334.7965230766615</v>
      </c>
      <c r="AR339" s="127">
        <f t="shared" si="38"/>
        <v>2588.4887367031533</v>
      </c>
      <c r="AS339" s="127">
        <f t="shared" si="39"/>
        <v>3923.2852597798151</v>
      </c>
      <c r="AT339" s="127">
        <f t="shared" si="40"/>
        <v>35848.662582869991</v>
      </c>
      <c r="AV339" s="127">
        <v>16</v>
      </c>
      <c r="AW339" s="127">
        <f t="shared" si="41"/>
        <v>58333.333333333285</v>
      </c>
      <c r="AX339" s="127">
        <f t="shared" si="42"/>
        <v>2000</v>
      </c>
      <c r="AY339" s="127">
        <f t="shared" si="43"/>
        <v>2777.7777777777778</v>
      </c>
      <c r="AZ339" s="127">
        <f t="shared" si="44"/>
        <v>4777.7777777777774</v>
      </c>
      <c r="BA339" s="127">
        <f t="shared" si="45"/>
        <v>44444.44444444446</v>
      </c>
      <c r="BC339" s="127">
        <v>16</v>
      </c>
      <c r="BD339" s="127">
        <f t="shared" si="46"/>
        <v>100000</v>
      </c>
      <c r="BE339" s="128">
        <f t="shared" si="47"/>
        <v>2000</v>
      </c>
      <c r="BF339" s="127">
        <v>0</v>
      </c>
      <c r="BG339" s="127">
        <f t="shared" si="48"/>
        <v>2000</v>
      </c>
      <c r="BH339" s="127">
        <f t="shared" si="49"/>
        <v>0</v>
      </c>
    </row>
    <row r="340" spans="2:60" x14ac:dyDescent="0.3">
      <c r="B340" s="238"/>
      <c r="AO340" s="127">
        <v>17</v>
      </c>
      <c r="AP340" s="127">
        <f t="shared" si="36"/>
        <v>64151.337417129915</v>
      </c>
      <c r="AQ340" s="127">
        <f t="shared" si="37"/>
        <v>1283.0267483425982</v>
      </c>
      <c r="AR340" s="127">
        <f t="shared" si="38"/>
        <v>2640.2585114372168</v>
      </c>
      <c r="AS340" s="127">
        <f t="shared" si="39"/>
        <v>3923.2852597798151</v>
      </c>
      <c r="AT340" s="127">
        <f t="shared" si="40"/>
        <v>38488.92109430721</v>
      </c>
      <c r="AV340" s="127">
        <v>17</v>
      </c>
      <c r="AW340" s="127">
        <f t="shared" si="41"/>
        <v>55555.555555555504</v>
      </c>
      <c r="AX340" s="127">
        <f t="shared" si="42"/>
        <v>2000</v>
      </c>
      <c r="AY340" s="127">
        <f t="shared" si="43"/>
        <v>2777.7777777777778</v>
      </c>
      <c r="AZ340" s="127">
        <f t="shared" si="44"/>
        <v>4777.7777777777774</v>
      </c>
      <c r="BA340" s="127">
        <f t="shared" si="45"/>
        <v>47222.222222222241</v>
      </c>
      <c r="BC340" s="127">
        <v>17</v>
      </c>
      <c r="BD340" s="127">
        <f t="shared" si="46"/>
        <v>100000</v>
      </c>
      <c r="BE340" s="128">
        <f t="shared" si="47"/>
        <v>2000</v>
      </c>
      <c r="BF340" s="127">
        <v>0</v>
      </c>
      <c r="BG340" s="127">
        <f t="shared" si="48"/>
        <v>2000</v>
      </c>
      <c r="BH340" s="127">
        <f t="shared" si="49"/>
        <v>0</v>
      </c>
    </row>
    <row r="341" spans="2:60" x14ac:dyDescent="0.3">
      <c r="B341" s="238"/>
      <c r="AO341" s="127">
        <v>18</v>
      </c>
      <c r="AP341" s="127">
        <f t="shared" si="36"/>
        <v>61511.078905692702</v>
      </c>
      <c r="AQ341" s="127">
        <f t="shared" si="37"/>
        <v>1230.2215781138541</v>
      </c>
      <c r="AR341" s="127">
        <f t="shared" si="38"/>
        <v>2693.0636816659608</v>
      </c>
      <c r="AS341" s="127">
        <f t="shared" si="39"/>
        <v>3923.2852597798151</v>
      </c>
      <c r="AT341" s="127">
        <f t="shared" si="40"/>
        <v>41181.984775973171</v>
      </c>
      <c r="AV341" s="127">
        <v>18</v>
      </c>
      <c r="AW341" s="127">
        <f t="shared" si="41"/>
        <v>52777.777777777723</v>
      </c>
      <c r="AX341" s="127">
        <f t="shared" si="42"/>
        <v>2000</v>
      </c>
      <c r="AY341" s="127">
        <f t="shared" si="43"/>
        <v>2777.7777777777778</v>
      </c>
      <c r="AZ341" s="127">
        <f t="shared" si="44"/>
        <v>4777.7777777777774</v>
      </c>
      <c r="BA341" s="127">
        <f t="shared" si="45"/>
        <v>50000.000000000022</v>
      </c>
      <c r="BC341" s="127">
        <v>18</v>
      </c>
      <c r="BD341" s="127">
        <f t="shared" si="46"/>
        <v>100000</v>
      </c>
      <c r="BE341" s="128">
        <f t="shared" si="47"/>
        <v>2000</v>
      </c>
      <c r="BF341" s="127">
        <v>0</v>
      </c>
      <c r="BG341" s="127">
        <f t="shared" si="48"/>
        <v>2000</v>
      </c>
      <c r="BH341" s="127">
        <f t="shared" si="49"/>
        <v>0</v>
      </c>
    </row>
    <row r="342" spans="2:60" x14ac:dyDescent="0.3">
      <c r="B342" s="238"/>
      <c r="AO342" s="127">
        <v>19</v>
      </c>
      <c r="AP342" s="127">
        <f t="shared" si="36"/>
        <v>58818.015224026742</v>
      </c>
      <c r="AQ342" s="127">
        <f t="shared" si="37"/>
        <v>1176.3603044805348</v>
      </c>
      <c r="AR342" s="127">
        <f t="shared" si="38"/>
        <v>2746.9249552992806</v>
      </c>
      <c r="AS342" s="127">
        <f t="shared" si="39"/>
        <v>3923.2852597798151</v>
      </c>
      <c r="AT342" s="127">
        <f t="shared" si="40"/>
        <v>43928.909731272448</v>
      </c>
      <c r="AV342" s="127">
        <v>19</v>
      </c>
      <c r="AW342" s="127">
        <f t="shared" si="41"/>
        <v>49999.999999999942</v>
      </c>
      <c r="AX342" s="127">
        <f t="shared" si="42"/>
        <v>2000</v>
      </c>
      <c r="AY342" s="127">
        <f t="shared" si="43"/>
        <v>2777.7777777777778</v>
      </c>
      <c r="AZ342" s="127">
        <f t="shared" si="44"/>
        <v>4777.7777777777774</v>
      </c>
      <c r="BA342" s="127">
        <f t="shared" si="45"/>
        <v>52777.777777777803</v>
      </c>
      <c r="BC342" s="127">
        <v>19</v>
      </c>
      <c r="BD342" s="127">
        <f t="shared" si="46"/>
        <v>100000</v>
      </c>
      <c r="BE342" s="128">
        <f t="shared" si="47"/>
        <v>2000</v>
      </c>
      <c r="BF342" s="127">
        <v>0</v>
      </c>
      <c r="BG342" s="127">
        <f t="shared" si="48"/>
        <v>2000</v>
      </c>
      <c r="BH342" s="127">
        <f t="shared" si="49"/>
        <v>0</v>
      </c>
    </row>
    <row r="343" spans="2:60" x14ac:dyDescent="0.3">
      <c r="B343" s="238"/>
      <c r="AO343" s="127">
        <v>20</v>
      </c>
      <c r="AP343" s="127">
        <f t="shared" si="36"/>
        <v>56071.090268727465</v>
      </c>
      <c r="AQ343" s="127">
        <f t="shared" si="37"/>
        <v>1121.4218053745494</v>
      </c>
      <c r="AR343" s="127">
        <f t="shared" si="38"/>
        <v>2801.8634544052657</v>
      </c>
      <c r="AS343" s="127">
        <f t="shared" si="39"/>
        <v>3923.2852597798151</v>
      </c>
      <c r="AT343" s="127">
        <f t="shared" si="40"/>
        <v>46730.77318567771</v>
      </c>
      <c r="AV343" s="127">
        <v>20</v>
      </c>
      <c r="AW343" s="127">
        <f t="shared" si="41"/>
        <v>47222.222222222161</v>
      </c>
      <c r="AX343" s="127">
        <f t="shared" si="42"/>
        <v>2000</v>
      </c>
      <c r="AY343" s="127">
        <f t="shared" si="43"/>
        <v>2777.7777777777778</v>
      </c>
      <c r="AZ343" s="127">
        <f t="shared" si="44"/>
        <v>4777.7777777777774</v>
      </c>
      <c r="BA343" s="127">
        <f t="shared" si="45"/>
        <v>55555.555555555584</v>
      </c>
      <c r="BC343" s="127">
        <v>20</v>
      </c>
      <c r="BD343" s="127">
        <f t="shared" si="46"/>
        <v>100000</v>
      </c>
      <c r="BE343" s="128">
        <f t="shared" si="47"/>
        <v>2000</v>
      </c>
      <c r="BF343" s="127">
        <v>0</v>
      </c>
      <c r="BG343" s="127">
        <f t="shared" si="48"/>
        <v>2000</v>
      </c>
      <c r="BH343" s="127">
        <f t="shared" si="49"/>
        <v>0</v>
      </c>
    </row>
    <row r="344" spans="2:60" x14ac:dyDescent="0.3">
      <c r="B344" s="238"/>
      <c r="AO344" s="127">
        <v>21</v>
      </c>
      <c r="AP344" s="127">
        <f t="shared" si="36"/>
        <v>53269.226814322203</v>
      </c>
      <c r="AQ344" s="127">
        <f t="shared" si="37"/>
        <v>1065.384536286444</v>
      </c>
      <c r="AR344" s="127">
        <f t="shared" si="38"/>
        <v>2857.9007234933711</v>
      </c>
      <c r="AS344" s="127">
        <f t="shared" si="39"/>
        <v>3923.2852597798151</v>
      </c>
      <c r="AT344" s="127">
        <f t="shared" si="40"/>
        <v>49588.673909171084</v>
      </c>
      <c r="AV344" s="127">
        <v>21</v>
      </c>
      <c r="AW344" s="127">
        <f t="shared" si="41"/>
        <v>44444.44444444438</v>
      </c>
      <c r="AX344" s="127">
        <f t="shared" si="42"/>
        <v>2000</v>
      </c>
      <c r="AY344" s="127">
        <f t="shared" si="43"/>
        <v>2777.7777777777778</v>
      </c>
      <c r="AZ344" s="127">
        <f t="shared" si="44"/>
        <v>4777.7777777777774</v>
      </c>
      <c r="BA344" s="127">
        <f t="shared" si="45"/>
        <v>58333.333333333365</v>
      </c>
      <c r="BC344" s="127">
        <v>21</v>
      </c>
      <c r="BD344" s="127">
        <f t="shared" si="46"/>
        <v>100000</v>
      </c>
      <c r="BE344" s="128">
        <f t="shared" si="47"/>
        <v>2000</v>
      </c>
      <c r="BF344" s="127">
        <v>0</v>
      </c>
      <c r="BG344" s="127">
        <f t="shared" si="48"/>
        <v>2000</v>
      </c>
      <c r="BH344" s="127">
        <f t="shared" si="49"/>
        <v>0</v>
      </c>
    </row>
    <row r="345" spans="2:60" x14ac:dyDescent="0.3">
      <c r="B345" s="238"/>
      <c r="AO345" s="127">
        <v>22</v>
      </c>
      <c r="AP345" s="127">
        <f t="shared" si="36"/>
        <v>50411.326090828836</v>
      </c>
      <c r="AQ345" s="127">
        <f t="shared" si="37"/>
        <v>1008.2265218165768</v>
      </c>
      <c r="AR345" s="127">
        <f t="shared" si="38"/>
        <v>2915.0587379632384</v>
      </c>
      <c r="AS345" s="127">
        <f t="shared" si="39"/>
        <v>3923.2852597798151</v>
      </c>
      <c r="AT345" s="127">
        <f t="shared" si="40"/>
        <v>52503.732647134326</v>
      </c>
      <c r="AV345" s="127">
        <v>22</v>
      </c>
      <c r="AW345" s="127">
        <f t="shared" si="41"/>
        <v>41666.666666666599</v>
      </c>
      <c r="AX345" s="127">
        <f t="shared" si="42"/>
        <v>2000</v>
      </c>
      <c r="AY345" s="127">
        <f t="shared" si="43"/>
        <v>2777.7777777777778</v>
      </c>
      <c r="AZ345" s="127">
        <f t="shared" si="44"/>
        <v>4777.7777777777774</v>
      </c>
      <c r="BA345" s="127">
        <f t="shared" si="45"/>
        <v>61111.111111111146</v>
      </c>
      <c r="BC345" s="127">
        <v>22</v>
      </c>
      <c r="BD345" s="127">
        <f t="shared" si="46"/>
        <v>100000</v>
      </c>
      <c r="BE345" s="128">
        <f t="shared" si="47"/>
        <v>2000</v>
      </c>
      <c r="BF345" s="127">
        <v>0</v>
      </c>
      <c r="BG345" s="127">
        <f t="shared" si="48"/>
        <v>2000</v>
      </c>
      <c r="BH345" s="127">
        <f t="shared" si="49"/>
        <v>0</v>
      </c>
    </row>
    <row r="346" spans="2:60" x14ac:dyDescent="0.3">
      <c r="B346" s="238"/>
      <c r="AO346" s="127">
        <v>23</v>
      </c>
      <c r="AP346" s="127">
        <f t="shared" si="36"/>
        <v>47496.267352865601</v>
      </c>
      <c r="AQ346" s="127">
        <f t="shared" si="37"/>
        <v>949.92534705731202</v>
      </c>
      <c r="AR346" s="127">
        <f t="shared" si="38"/>
        <v>2973.3599127225029</v>
      </c>
      <c r="AS346" s="127">
        <f t="shared" si="39"/>
        <v>3923.2852597798151</v>
      </c>
      <c r="AT346" s="127">
        <f t="shared" si="40"/>
        <v>55477.092559856828</v>
      </c>
      <c r="AV346" s="127">
        <v>23</v>
      </c>
      <c r="AW346" s="127">
        <f t="shared" si="41"/>
        <v>38888.888888888818</v>
      </c>
      <c r="AX346" s="127">
        <f t="shared" si="42"/>
        <v>2000</v>
      </c>
      <c r="AY346" s="127">
        <f t="shared" si="43"/>
        <v>2777.7777777777778</v>
      </c>
      <c r="AZ346" s="127">
        <f t="shared" si="44"/>
        <v>4777.7777777777774</v>
      </c>
      <c r="BA346" s="127">
        <f t="shared" si="45"/>
        <v>63888.888888888927</v>
      </c>
      <c r="BC346" s="127">
        <v>23</v>
      </c>
      <c r="BD346" s="127">
        <f t="shared" si="46"/>
        <v>100000</v>
      </c>
      <c r="BE346" s="128">
        <f t="shared" si="47"/>
        <v>2000</v>
      </c>
      <c r="BF346" s="127">
        <v>0</v>
      </c>
      <c r="BG346" s="127">
        <f t="shared" si="48"/>
        <v>2000</v>
      </c>
      <c r="BH346" s="127">
        <f t="shared" si="49"/>
        <v>0</v>
      </c>
    </row>
    <row r="347" spans="2:60" x14ac:dyDescent="0.3">
      <c r="B347" s="238"/>
      <c r="AO347" s="127">
        <v>24</v>
      </c>
      <c r="AP347" s="127">
        <f t="shared" si="36"/>
        <v>44522.907440143099</v>
      </c>
      <c r="AQ347" s="127">
        <f t="shared" si="37"/>
        <v>890.45814880286196</v>
      </c>
      <c r="AR347" s="127">
        <f t="shared" si="38"/>
        <v>3032.827110976953</v>
      </c>
      <c r="AS347" s="127">
        <f t="shared" si="39"/>
        <v>3923.2852597798151</v>
      </c>
      <c r="AT347" s="127">
        <f t="shared" si="40"/>
        <v>58509.919670833784</v>
      </c>
      <c r="AV347" s="127">
        <v>24</v>
      </c>
      <c r="AW347" s="127">
        <f t="shared" si="41"/>
        <v>36111.111111111037</v>
      </c>
      <c r="AX347" s="127">
        <f t="shared" si="42"/>
        <v>2000</v>
      </c>
      <c r="AY347" s="127">
        <f t="shared" si="43"/>
        <v>2777.7777777777778</v>
      </c>
      <c r="AZ347" s="127">
        <f t="shared" si="44"/>
        <v>4777.7777777777774</v>
      </c>
      <c r="BA347" s="127">
        <f t="shared" si="45"/>
        <v>66666.666666666701</v>
      </c>
      <c r="BC347" s="127">
        <v>24</v>
      </c>
      <c r="BD347" s="127">
        <f t="shared" si="46"/>
        <v>100000</v>
      </c>
      <c r="BE347" s="128">
        <f t="shared" si="47"/>
        <v>2000</v>
      </c>
      <c r="BF347" s="127">
        <v>0</v>
      </c>
      <c r="BG347" s="127">
        <f t="shared" si="48"/>
        <v>2000</v>
      </c>
      <c r="BH347" s="127">
        <f t="shared" si="49"/>
        <v>0</v>
      </c>
    </row>
    <row r="348" spans="2:60" x14ac:dyDescent="0.3">
      <c r="B348" s="238"/>
      <c r="AO348" s="127">
        <v>25</v>
      </c>
      <c r="AP348" s="127">
        <f t="shared" si="36"/>
        <v>41490.08032916615</v>
      </c>
      <c r="AQ348" s="127">
        <f t="shared" si="37"/>
        <v>829.80160658332306</v>
      </c>
      <c r="AR348" s="127">
        <f t="shared" si="38"/>
        <v>3093.483653196492</v>
      </c>
      <c r="AS348" s="127">
        <f t="shared" si="39"/>
        <v>3923.2852597798151</v>
      </c>
      <c r="AT348" s="127">
        <f t="shared" si="40"/>
        <v>61603.403324030274</v>
      </c>
      <c r="AV348" s="127">
        <v>25</v>
      </c>
      <c r="AW348" s="127">
        <f t="shared" si="41"/>
        <v>33333.333333333256</v>
      </c>
      <c r="AX348" s="127">
        <f t="shared" si="42"/>
        <v>2000</v>
      </c>
      <c r="AY348" s="127">
        <f t="shared" si="43"/>
        <v>2777.7777777777778</v>
      </c>
      <c r="AZ348" s="127">
        <f t="shared" si="44"/>
        <v>4777.7777777777774</v>
      </c>
      <c r="BA348" s="127">
        <f t="shared" si="45"/>
        <v>69444.444444444482</v>
      </c>
      <c r="BC348" s="127">
        <v>25</v>
      </c>
      <c r="BD348" s="127">
        <f t="shared" si="46"/>
        <v>100000</v>
      </c>
      <c r="BE348" s="128">
        <f t="shared" si="47"/>
        <v>2000</v>
      </c>
      <c r="BF348" s="127">
        <v>0</v>
      </c>
      <c r="BG348" s="127">
        <f t="shared" si="48"/>
        <v>2000</v>
      </c>
      <c r="BH348" s="127">
        <f t="shared" si="49"/>
        <v>0</v>
      </c>
    </row>
    <row r="349" spans="2:60" x14ac:dyDescent="0.3">
      <c r="B349" s="238"/>
      <c r="AO349" s="127">
        <v>26</v>
      </c>
      <c r="AP349" s="127">
        <f t="shared" si="36"/>
        <v>38396.59667596966</v>
      </c>
      <c r="AQ349" s="127">
        <f t="shared" si="37"/>
        <v>767.93193351939317</v>
      </c>
      <c r="AR349" s="127">
        <f t="shared" si="38"/>
        <v>3155.3533262604219</v>
      </c>
      <c r="AS349" s="127">
        <f t="shared" si="39"/>
        <v>3923.2852597798151</v>
      </c>
      <c r="AT349" s="127">
        <f t="shared" si="40"/>
        <v>64758.756650290699</v>
      </c>
      <c r="AV349" s="127">
        <v>26</v>
      </c>
      <c r="AW349" s="127">
        <f t="shared" si="41"/>
        <v>30555.555555555478</v>
      </c>
      <c r="AX349" s="127">
        <f t="shared" si="42"/>
        <v>2000</v>
      </c>
      <c r="AY349" s="127">
        <f t="shared" si="43"/>
        <v>2777.7777777777778</v>
      </c>
      <c r="AZ349" s="127">
        <f t="shared" si="44"/>
        <v>4777.7777777777774</v>
      </c>
      <c r="BA349" s="127">
        <f t="shared" si="45"/>
        <v>72222.222222222263</v>
      </c>
      <c r="BC349" s="127">
        <v>26</v>
      </c>
      <c r="BD349" s="127">
        <f t="shared" si="46"/>
        <v>100000</v>
      </c>
      <c r="BE349" s="128">
        <f t="shared" si="47"/>
        <v>2000</v>
      </c>
      <c r="BF349" s="127">
        <v>0</v>
      </c>
      <c r="BG349" s="127">
        <f t="shared" si="48"/>
        <v>2000</v>
      </c>
      <c r="BH349" s="127">
        <f t="shared" si="49"/>
        <v>0</v>
      </c>
    </row>
    <row r="350" spans="2:60" x14ac:dyDescent="0.3">
      <c r="B350" s="238"/>
      <c r="AO350" s="127">
        <v>27</v>
      </c>
      <c r="AP350" s="127">
        <f t="shared" si="36"/>
        <v>35241.243349709242</v>
      </c>
      <c r="AQ350" s="127">
        <f t="shared" si="37"/>
        <v>704.82486699418484</v>
      </c>
      <c r="AR350" s="127">
        <f t="shared" si="38"/>
        <v>3218.4603927856301</v>
      </c>
      <c r="AS350" s="127">
        <f t="shared" si="39"/>
        <v>3923.2852597798151</v>
      </c>
      <c r="AT350" s="127">
        <f t="shared" si="40"/>
        <v>67977.217043076336</v>
      </c>
      <c r="AV350" s="127">
        <v>27</v>
      </c>
      <c r="AW350" s="127">
        <f t="shared" si="41"/>
        <v>27777.777777777701</v>
      </c>
      <c r="AX350" s="127">
        <f t="shared" si="42"/>
        <v>2000</v>
      </c>
      <c r="AY350" s="127">
        <f t="shared" si="43"/>
        <v>2777.7777777777778</v>
      </c>
      <c r="AZ350" s="127">
        <f t="shared" si="44"/>
        <v>4777.7777777777774</v>
      </c>
      <c r="BA350" s="127">
        <f t="shared" si="45"/>
        <v>75000.000000000044</v>
      </c>
      <c r="BC350" s="127">
        <v>27</v>
      </c>
      <c r="BD350" s="127">
        <f t="shared" si="46"/>
        <v>100000</v>
      </c>
      <c r="BE350" s="128">
        <f t="shared" si="47"/>
        <v>2000</v>
      </c>
      <c r="BF350" s="127">
        <v>0</v>
      </c>
      <c r="BG350" s="127">
        <f t="shared" si="48"/>
        <v>2000</v>
      </c>
      <c r="BH350" s="127">
        <f t="shared" si="49"/>
        <v>0</v>
      </c>
    </row>
    <row r="351" spans="2:60" x14ac:dyDescent="0.3">
      <c r="B351" s="238"/>
      <c r="AO351" s="127">
        <v>28</v>
      </c>
      <c r="AP351" s="127">
        <f t="shared" si="36"/>
        <v>32022.782956923609</v>
      </c>
      <c r="AQ351" s="127">
        <f t="shared" si="37"/>
        <v>640.45565913847224</v>
      </c>
      <c r="AR351" s="127">
        <f t="shared" si="38"/>
        <v>3282.8296006413429</v>
      </c>
      <c r="AS351" s="127">
        <f t="shared" si="39"/>
        <v>3923.2852597798151</v>
      </c>
      <c r="AT351" s="127">
        <f t="shared" si="40"/>
        <v>71260.04664371768</v>
      </c>
      <c r="AV351" s="127">
        <v>28</v>
      </c>
      <c r="AW351" s="127">
        <f t="shared" si="41"/>
        <v>24999.999999999924</v>
      </c>
      <c r="AX351" s="127">
        <f t="shared" si="42"/>
        <v>2000</v>
      </c>
      <c r="AY351" s="127">
        <f t="shared" si="43"/>
        <v>2777.7777777777778</v>
      </c>
      <c r="AZ351" s="127">
        <f t="shared" si="44"/>
        <v>4777.7777777777774</v>
      </c>
      <c r="BA351" s="127">
        <f t="shared" si="45"/>
        <v>77777.777777777825</v>
      </c>
      <c r="BC351" s="127">
        <v>28</v>
      </c>
      <c r="BD351" s="127">
        <f t="shared" si="46"/>
        <v>100000</v>
      </c>
      <c r="BE351" s="128">
        <f t="shared" si="47"/>
        <v>2000</v>
      </c>
      <c r="BF351" s="127">
        <v>0</v>
      </c>
      <c r="BG351" s="127">
        <f t="shared" si="48"/>
        <v>2000</v>
      </c>
      <c r="BH351" s="127">
        <f t="shared" si="49"/>
        <v>0</v>
      </c>
    </row>
    <row r="352" spans="2:60" x14ac:dyDescent="0.3">
      <c r="B352" s="238"/>
      <c r="AO352" s="127">
        <v>29</v>
      </c>
      <c r="AP352" s="127">
        <f t="shared" si="36"/>
        <v>28739.953356282265</v>
      </c>
      <c r="AQ352" s="127">
        <f t="shared" si="37"/>
        <v>574.79906712564537</v>
      </c>
      <c r="AR352" s="127">
        <f t="shared" si="38"/>
        <v>3348.4861926541698</v>
      </c>
      <c r="AS352" s="127">
        <f t="shared" si="39"/>
        <v>3923.2852597798151</v>
      </c>
      <c r="AT352" s="127">
        <f t="shared" si="40"/>
        <v>74608.532836371844</v>
      </c>
      <c r="AV352" s="127">
        <v>29</v>
      </c>
      <c r="AW352" s="127">
        <f t="shared" si="41"/>
        <v>22222.222222222146</v>
      </c>
      <c r="AX352" s="127">
        <f t="shared" si="42"/>
        <v>2000</v>
      </c>
      <c r="AY352" s="127">
        <f t="shared" si="43"/>
        <v>2777.7777777777778</v>
      </c>
      <c r="AZ352" s="127">
        <f t="shared" si="44"/>
        <v>4777.7777777777774</v>
      </c>
      <c r="BA352" s="127">
        <f t="shared" si="45"/>
        <v>80555.555555555606</v>
      </c>
      <c r="BC352" s="127">
        <v>29</v>
      </c>
      <c r="BD352" s="127">
        <f t="shared" si="46"/>
        <v>100000</v>
      </c>
      <c r="BE352" s="128">
        <f t="shared" si="47"/>
        <v>2000</v>
      </c>
      <c r="BF352" s="127">
        <v>0</v>
      </c>
      <c r="BG352" s="127">
        <f t="shared" si="48"/>
        <v>2000</v>
      </c>
      <c r="BH352" s="127">
        <f t="shared" si="49"/>
        <v>0</v>
      </c>
    </row>
    <row r="353" spans="1:60" x14ac:dyDescent="0.3">
      <c r="B353" s="238"/>
      <c r="AO353" s="127">
        <v>30</v>
      </c>
      <c r="AP353" s="127">
        <f t="shared" si="36"/>
        <v>25391.467163628095</v>
      </c>
      <c r="AQ353" s="127">
        <f t="shared" si="37"/>
        <v>507.82934327256191</v>
      </c>
      <c r="AR353" s="127">
        <f t="shared" si="38"/>
        <v>3415.4559165072533</v>
      </c>
      <c r="AS353" s="127">
        <f t="shared" si="39"/>
        <v>3923.2852597798151</v>
      </c>
      <c r="AT353" s="127">
        <f t="shared" si="40"/>
        <v>78023.988752879101</v>
      </c>
      <c r="AV353" s="127">
        <v>30</v>
      </c>
      <c r="AW353" s="127">
        <f t="shared" si="41"/>
        <v>19444.444444444369</v>
      </c>
      <c r="AX353" s="127">
        <f t="shared" si="42"/>
        <v>2000</v>
      </c>
      <c r="AY353" s="127">
        <f t="shared" si="43"/>
        <v>2777.7777777777778</v>
      </c>
      <c r="AZ353" s="127">
        <f t="shared" si="44"/>
        <v>4777.7777777777774</v>
      </c>
      <c r="BA353" s="127">
        <f t="shared" si="45"/>
        <v>83333.333333333387</v>
      </c>
      <c r="BC353" s="127">
        <v>30</v>
      </c>
      <c r="BD353" s="127">
        <f t="shared" si="46"/>
        <v>100000</v>
      </c>
      <c r="BE353" s="128">
        <f t="shared" si="47"/>
        <v>2000</v>
      </c>
      <c r="BF353" s="127">
        <v>0</v>
      </c>
      <c r="BG353" s="127">
        <f t="shared" si="48"/>
        <v>2000</v>
      </c>
      <c r="BH353" s="127">
        <f t="shared" si="49"/>
        <v>0</v>
      </c>
    </row>
    <row r="354" spans="1:60" x14ac:dyDescent="0.3">
      <c r="B354" s="238"/>
      <c r="AO354" s="127">
        <v>31</v>
      </c>
      <c r="AP354" s="127">
        <f t="shared" si="36"/>
        <v>21976.011247120841</v>
      </c>
      <c r="AQ354" s="127">
        <f t="shared" si="37"/>
        <v>439.52022494241686</v>
      </c>
      <c r="AR354" s="127">
        <f t="shared" si="38"/>
        <v>3483.7650348373982</v>
      </c>
      <c r="AS354" s="127">
        <f t="shared" si="39"/>
        <v>3923.2852597798151</v>
      </c>
      <c r="AT354" s="127">
        <f t="shared" si="40"/>
        <v>81507.753787716501</v>
      </c>
      <c r="AV354" s="127">
        <v>31</v>
      </c>
      <c r="AW354" s="127">
        <f t="shared" si="41"/>
        <v>16666.666666666591</v>
      </c>
      <c r="AX354" s="127">
        <f t="shared" si="42"/>
        <v>2000</v>
      </c>
      <c r="AY354" s="127">
        <f t="shared" si="43"/>
        <v>2777.7777777777778</v>
      </c>
      <c r="AZ354" s="127">
        <f t="shared" si="44"/>
        <v>4777.7777777777774</v>
      </c>
      <c r="BA354" s="127">
        <f t="shared" si="45"/>
        <v>86111.111111111168</v>
      </c>
      <c r="BC354" s="127">
        <v>31</v>
      </c>
      <c r="BD354" s="127">
        <f t="shared" si="46"/>
        <v>100000</v>
      </c>
      <c r="BE354" s="128">
        <f t="shared" si="47"/>
        <v>2000</v>
      </c>
      <c r="BF354" s="127">
        <v>0</v>
      </c>
      <c r="BG354" s="127">
        <f t="shared" si="48"/>
        <v>2000</v>
      </c>
      <c r="BH354" s="127">
        <f t="shared" si="49"/>
        <v>0</v>
      </c>
    </row>
    <row r="355" spans="1:60" x14ac:dyDescent="0.3">
      <c r="B355" s="238"/>
      <c r="AO355" s="127">
        <v>32</v>
      </c>
      <c r="AP355" s="127">
        <f t="shared" si="36"/>
        <v>18492.246212283444</v>
      </c>
      <c r="AQ355" s="127">
        <f t="shared" si="37"/>
        <v>369.84492424566889</v>
      </c>
      <c r="AR355" s="127">
        <f t="shared" si="38"/>
        <v>3553.440335534146</v>
      </c>
      <c r="AS355" s="127">
        <f t="shared" si="39"/>
        <v>3923.2852597798151</v>
      </c>
      <c r="AT355" s="127">
        <f t="shared" si="40"/>
        <v>85061.194123250651</v>
      </c>
      <c r="AV355" s="127">
        <v>32</v>
      </c>
      <c r="AW355" s="127">
        <f t="shared" si="41"/>
        <v>13888.888888888814</v>
      </c>
      <c r="AX355" s="127">
        <f t="shared" si="42"/>
        <v>2000</v>
      </c>
      <c r="AY355" s="127">
        <f t="shared" si="43"/>
        <v>2777.7777777777778</v>
      </c>
      <c r="AZ355" s="127">
        <f t="shared" si="44"/>
        <v>4777.7777777777774</v>
      </c>
      <c r="BA355" s="127">
        <f t="shared" si="45"/>
        <v>88888.888888888949</v>
      </c>
      <c r="BC355" s="127">
        <v>32</v>
      </c>
      <c r="BD355" s="127">
        <f t="shared" si="46"/>
        <v>100000</v>
      </c>
      <c r="BE355" s="128">
        <f t="shared" si="47"/>
        <v>2000</v>
      </c>
      <c r="BF355" s="127">
        <v>0</v>
      </c>
      <c r="BG355" s="127">
        <f t="shared" si="48"/>
        <v>2000</v>
      </c>
      <c r="BH355" s="127">
        <f t="shared" si="49"/>
        <v>0</v>
      </c>
    </row>
    <row r="356" spans="1:60" x14ac:dyDescent="0.3">
      <c r="B356" s="238"/>
      <c r="AO356" s="127">
        <v>33</v>
      </c>
      <c r="AP356" s="127">
        <f t="shared" si="36"/>
        <v>14938.805876749298</v>
      </c>
      <c r="AQ356" s="127">
        <f t="shared" si="37"/>
        <v>298.77611753498599</v>
      </c>
      <c r="AR356" s="127">
        <f t="shared" si="38"/>
        <v>3624.509142244829</v>
      </c>
      <c r="AS356" s="127">
        <f t="shared" si="39"/>
        <v>3923.2852597798151</v>
      </c>
      <c r="AT356" s="127">
        <f t="shared" si="40"/>
        <v>88685.703265495482</v>
      </c>
      <c r="AV356" s="127">
        <v>33</v>
      </c>
      <c r="AW356" s="127">
        <f t="shared" si="41"/>
        <v>11111.111111111037</v>
      </c>
      <c r="AX356" s="127">
        <f t="shared" si="42"/>
        <v>2000</v>
      </c>
      <c r="AY356" s="127">
        <f t="shared" si="43"/>
        <v>2777.7777777777778</v>
      </c>
      <c r="AZ356" s="127">
        <f t="shared" si="44"/>
        <v>4777.7777777777774</v>
      </c>
      <c r="BA356" s="127">
        <f t="shared" si="45"/>
        <v>91666.66666666673</v>
      </c>
      <c r="BC356" s="127">
        <v>33</v>
      </c>
      <c r="BD356" s="127">
        <f t="shared" si="46"/>
        <v>100000</v>
      </c>
      <c r="BE356" s="128">
        <f t="shared" si="47"/>
        <v>2000</v>
      </c>
      <c r="BF356" s="127">
        <v>0</v>
      </c>
      <c r="BG356" s="127">
        <f t="shared" si="48"/>
        <v>2000</v>
      </c>
      <c r="BH356" s="127">
        <f t="shared" si="49"/>
        <v>0</v>
      </c>
    </row>
    <row r="357" spans="1:60" x14ac:dyDescent="0.3">
      <c r="B357" s="238"/>
      <c r="AO357" s="127">
        <v>34</v>
      </c>
      <c r="AP357" s="127">
        <f t="shared" si="36"/>
        <v>11314.296734504469</v>
      </c>
      <c r="AQ357" s="127">
        <f t="shared" si="37"/>
        <v>226.28593469008939</v>
      </c>
      <c r="AR357" s="127">
        <f t="shared" si="38"/>
        <v>3696.9993250897255</v>
      </c>
      <c r="AS357" s="127">
        <f t="shared" si="39"/>
        <v>3923.2852597798151</v>
      </c>
      <c r="AT357" s="127">
        <f t="shared" si="40"/>
        <v>92382.702590585206</v>
      </c>
      <c r="AV357" s="127">
        <v>34</v>
      </c>
      <c r="AW357" s="127">
        <f t="shared" si="41"/>
        <v>8333.3333333332594</v>
      </c>
      <c r="AX357" s="127">
        <f t="shared" si="42"/>
        <v>2000</v>
      </c>
      <c r="AY357" s="127">
        <f t="shared" si="43"/>
        <v>2777.7777777777778</v>
      </c>
      <c r="AZ357" s="127">
        <f t="shared" si="44"/>
        <v>4777.7777777777774</v>
      </c>
      <c r="BA357" s="127">
        <f t="shared" si="45"/>
        <v>94444.444444444511</v>
      </c>
      <c r="BC357" s="127">
        <v>34</v>
      </c>
      <c r="BD357" s="127">
        <f t="shared" si="46"/>
        <v>100000</v>
      </c>
      <c r="BE357" s="128">
        <f t="shared" si="47"/>
        <v>2000</v>
      </c>
      <c r="BF357" s="127">
        <v>0</v>
      </c>
      <c r="BG357" s="127">
        <f t="shared" si="48"/>
        <v>2000</v>
      </c>
      <c r="BH357" s="127">
        <f t="shared" si="49"/>
        <v>0</v>
      </c>
    </row>
    <row r="358" spans="1:60" x14ac:dyDescent="0.3">
      <c r="B358" s="238"/>
      <c r="AO358" s="127">
        <v>35</v>
      </c>
      <c r="AP358" s="127">
        <f t="shared" si="36"/>
        <v>7617.297409414743</v>
      </c>
      <c r="AQ358" s="127">
        <f t="shared" si="37"/>
        <v>152.34594818829487</v>
      </c>
      <c r="AR358" s="127">
        <f t="shared" si="38"/>
        <v>3770.93931159152</v>
      </c>
      <c r="AS358" s="127">
        <f t="shared" si="39"/>
        <v>3923.2852597798151</v>
      </c>
      <c r="AT358" s="127">
        <f t="shared" si="40"/>
        <v>96153.641902176721</v>
      </c>
      <c r="AV358" s="127">
        <v>35</v>
      </c>
      <c r="AW358" s="127">
        <f t="shared" si="41"/>
        <v>5555.555555555482</v>
      </c>
      <c r="AX358" s="127">
        <f t="shared" si="42"/>
        <v>2000</v>
      </c>
      <c r="AY358" s="127">
        <f t="shared" si="43"/>
        <v>2777.7777777777778</v>
      </c>
      <c r="AZ358" s="127">
        <f t="shared" si="44"/>
        <v>4777.7777777777774</v>
      </c>
      <c r="BA358" s="127">
        <f t="shared" si="45"/>
        <v>97222.222222222292</v>
      </c>
      <c r="BC358" s="127">
        <v>35</v>
      </c>
      <c r="BD358" s="127">
        <f t="shared" si="46"/>
        <v>100000</v>
      </c>
      <c r="BE358" s="128">
        <f t="shared" si="47"/>
        <v>2000</v>
      </c>
      <c r="BF358" s="127">
        <v>0</v>
      </c>
      <c r="BG358" s="127">
        <f t="shared" si="48"/>
        <v>2000</v>
      </c>
      <c r="BH358" s="127">
        <f t="shared" si="49"/>
        <v>0</v>
      </c>
    </row>
    <row r="359" spans="1:60" x14ac:dyDescent="0.3">
      <c r="B359" s="238"/>
      <c r="AO359" s="127">
        <v>36</v>
      </c>
      <c r="AP359" s="127">
        <f t="shared" si="36"/>
        <v>3846.3580978232226</v>
      </c>
      <c r="AQ359" s="127">
        <f t="shared" si="37"/>
        <v>76.92716195646446</v>
      </c>
      <c r="AR359" s="127">
        <f t="shared" si="38"/>
        <v>3846.3580978233508</v>
      </c>
      <c r="AS359" s="127">
        <f t="shared" si="39"/>
        <v>3923.2852597798151</v>
      </c>
      <c r="AT359" s="195">
        <f t="shared" si="40"/>
        <v>100000.00000000007</v>
      </c>
      <c r="AV359" s="127">
        <v>36</v>
      </c>
      <c r="AW359" s="127">
        <f t="shared" si="41"/>
        <v>2777.7777777777046</v>
      </c>
      <c r="AX359" s="127">
        <f t="shared" si="42"/>
        <v>2000</v>
      </c>
      <c r="AY359" s="127">
        <f t="shared" si="43"/>
        <v>2777.7777777777778</v>
      </c>
      <c r="AZ359" s="127">
        <f t="shared" si="44"/>
        <v>4777.7777777777774</v>
      </c>
      <c r="BA359" s="127">
        <f t="shared" si="45"/>
        <v>100000.00000000007</v>
      </c>
      <c r="BC359" s="127">
        <v>36</v>
      </c>
      <c r="BD359" s="127">
        <f t="shared" si="46"/>
        <v>100000</v>
      </c>
      <c r="BE359" s="128">
        <f t="shared" si="47"/>
        <v>2000</v>
      </c>
      <c r="BF359" s="127">
        <v>100000</v>
      </c>
      <c r="BG359" s="127">
        <f t="shared" si="48"/>
        <v>102000</v>
      </c>
      <c r="BH359" s="127">
        <f t="shared" si="49"/>
        <v>100000</v>
      </c>
    </row>
    <row r="360" spans="1:60" x14ac:dyDescent="0.3">
      <c r="B360" s="238"/>
    </row>
    <row r="361" spans="1:60" x14ac:dyDescent="0.3">
      <c r="AV361" s="127" t="s">
        <v>913</v>
      </c>
      <c r="AY361" s="127" t="s">
        <v>912</v>
      </c>
    </row>
    <row r="362" spans="1:60" x14ac:dyDescent="0.3">
      <c r="A362" s="125">
        <v>2</v>
      </c>
      <c r="B362" s="489" t="s">
        <v>763</v>
      </c>
      <c r="AO362" s="128" t="s">
        <v>904</v>
      </c>
      <c r="AP362" s="128" t="s">
        <v>905</v>
      </c>
      <c r="AQ362" s="128" t="s">
        <v>906</v>
      </c>
      <c r="AR362" s="128" t="s">
        <v>890</v>
      </c>
      <c r="AS362" s="128" t="s">
        <v>907</v>
      </c>
      <c r="AT362" s="128" t="s">
        <v>908</v>
      </c>
    </row>
    <row r="363" spans="1:60" x14ac:dyDescent="0.3">
      <c r="B363" s="489"/>
      <c r="AO363" s="127">
        <v>1</v>
      </c>
      <c r="AP363" s="127">
        <v>100000</v>
      </c>
      <c r="AQ363" s="127">
        <f t="shared" ref="AQ363:AQ371" si="50">+AP363*(0.24/12)</f>
        <v>2000</v>
      </c>
      <c r="AR363" s="127">
        <f t="shared" ref="AR363:AR398" si="51">+AS363-AQ363</f>
        <v>1923.2852597798151</v>
      </c>
      <c r="AS363" s="127">
        <f>+PMT(0.24/12, 36, -$AP$324)</f>
        <v>3923.2852597798151</v>
      </c>
      <c r="AT363" s="127">
        <f>+AR363</f>
        <v>1923.2852597798151</v>
      </c>
    </row>
    <row r="364" spans="1:60" ht="22.5" customHeight="1" x14ac:dyDescent="0.3">
      <c r="B364" s="489"/>
      <c r="AO364" s="127">
        <v>2</v>
      </c>
      <c r="AP364" s="127">
        <f t="shared" ref="AP364:AP398" si="52">+AQ363+AP363-AS363</f>
        <v>98076.714740220181</v>
      </c>
      <c r="AQ364" s="127">
        <f t="shared" si="50"/>
        <v>1961.5342948044035</v>
      </c>
      <c r="AR364" s="127">
        <f t="shared" si="51"/>
        <v>1961.7509649754115</v>
      </c>
      <c r="AS364" s="127">
        <f>+PMT(0.24/12, 36, -$AP$324)</f>
        <v>3923.2852597798151</v>
      </c>
      <c r="AT364" s="127">
        <f t="shared" ref="AT364:AT398" si="53">+AT363+AR364</f>
        <v>3885.0362247552266</v>
      </c>
    </row>
    <row r="365" spans="1:60" x14ac:dyDescent="0.3">
      <c r="AO365" s="127">
        <v>3</v>
      </c>
      <c r="AP365" s="127">
        <f t="shared" si="52"/>
        <v>96114.96377524476</v>
      </c>
      <c r="AQ365" s="127">
        <f t="shared" si="50"/>
        <v>1922.2992755048951</v>
      </c>
      <c r="AR365" s="127">
        <f t="shared" si="51"/>
        <v>2000.9859842749199</v>
      </c>
      <c r="AS365" s="127">
        <f t="shared" ref="AS365:AS371" si="54">+PMT(0.24/12, 36, -$AP$324)</f>
        <v>3923.2852597798151</v>
      </c>
      <c r="AT365" s="127">
        <f t="shared" si="53"/>
        <v>5886.0222090301468</v>
      </c>
    </row>
    <row r="366" spans="1:60" x14ac:dyDescent="0.3">
      <c r="B366" s="254"/>
      <c r="AO366" s="127">
        <v>4</v>
      </c>
      <c r="AP366" s="127">
        <f t="shared" si="52"/>
        <v>94113.977790969831</v>
      </c>
      <c r="AQ366" s="127">
        <f t="shared" si="50"/>
        <v>1882.2795558193966</v>
      </c>
      <c r="AR366" s="127">
        <f t="shared" si="51"/>
        <v>2041.0057039604185</v>
      </c>
      <c r="AS366" s="127">
        <f t="shared" si="54"/>
        <v>3923.2852597798151</v>
      </c>
      <c r="AT366" s="127">
        <f t="shared" si="53"/>
        <v>7927.0279129905648</v>
      </c>
    </row>
    <row r="367" spans="1:60" x14ac:dyDescent="0.3">
      <c r="B367" s="254"/>
      <c r="AO367" s="127">
        <v>5</v>
      </c>
      <c r="AP367" s="127">
        <f t="shared" si="52"/>
        <v>92072.972087009402</v>
      </c>
      <c r="AQ367" s="127">
        <f t="shared" si="50"/>
        <v>1841.4594417401881</v>
      </c>
      <c r="AR367" s="127">
        <f t="shared" si="51"/>
        <v>2081.8258180396269</v>
      </c>
      <c r="AS367" s="127">
        <f t="shared" si="54"/>
        <v>3923.2852597798151</v>
      </c>
      <c r="AT367" s="127">
        <f t="shared" si="53"/>
        <v>10008.853731030191</v>
      </c>
    </row>
    <row r="368" spans="1:60" x14ac:dyDescent="0.3">
      <c r="B368" s="254"/>
      <c r="AO368" s="127">
        <v>6</v>
      </c>
      <c r="AP368" s="127">
        <f t="shared" si="52"/>
        <v>89991.146268969766</v>
      </c>
      <c r="AQ368" s="127">
        <f t="shared" si="50"/>
        <v>1799.8229253793954</v>
      </c>
      <c r="AR368" s="127">
        <f t="shared" si="51"/>
        <v>2123.4623344004194</v>
      </c>
      <c r="AS368" s="127">
        <f t="shared" si="54"/>
        <v>3923.2852597798151</v>
      </c>
      <c r="AT368" s="127">
        <f t="shared" si="53"/>
        <v>12132.31606543061</v>
      </c>
    </row>
    <row r="369" spans="2:46" x14ac:dyDescent="0.3">
      <c r="B369" s="254"/>
      <c r="AO369" s="127">
        <v>7</v>
      </c>
      <c r="AP369" s="127">
        <f t="shared" si="52"/>
        <v>87867.683934569344</v>
      </c>
      <c r="AQ369" s="127">
        <f t="shared" si="50"/>
        <v>1757.3536786913869</v>
      </c>
      <c r="AR369" s="127">
        <f t="shared" si="51"/>
        <v>2165.9315810884282</v>
      </c>
      <c r="AS369" s="127">
        <f t="shared" si="54"/>
        <v>3923.2852597798151</v>
      </c>
      <c r="AT369" s="127">
        <f t="shared" si="53"/>
        <v>14298.247646519038</v>
      </c>
    </row>
    <row r="370" spans="2:46" x14ac:dyDescent="0.3">
      <c r="B370" s="254"/>
      <c r="AO370" s="127">
        <v>8</v>
      </c>
      <c r="AP370" s="127">
        <f t="shared" si="52"/>
        <v>85701.752353480915</v>
      </c>
      <c r="AQ370" s="127">
        <f t="shared" si="50"/>
        <v>1714.0350470696183</v>
      </c>
      <c r="AR370" s="127">
        <f t="shared" si="51"/>
        <v>2209.250212710197</v>
      </c>
      <c r="AS370" s="127">
        <f t="shared" si="54"/>
        <v>3923.2852597798151</v>
      </c>
      <c r="AT370" s="127">
        <f t="shared" si="53"/>
        <v>16507.497859229235</v>
      </c>
    </row>
    <row r="371" spans="2:46" x14ac:dyDescent="0.3">
      <c r="B371" s="254"/>
      <c r="AO371" s="127">
        <v>9</v>
      </c>
      <c r="AP371" s="127">
        <f t="shared" si="52"/>
        <v>83492.50214077071</v>
      </c>
      <c r="AQ371" s="127">
        <f t="shared" si="50"/>
        <v>1669.8500428154143</v>
      </c>
      <c r="AR371" s="127">
        <f t="shared" si="51"/>
        <v>2253.4352169644008</v>
      </c>
      <c r="AS371" s="127">
        <f t="shared" si="54"/>
        <v>3923.2852597798151</v>
      </c>
      <c r="AT371" s="127">
        <f t="shared" si="53"/>
        <v>18760.933076193636</v>
      </c>
    </row>
    <row r="372" spans="2:46" x14ac:dyDescent="0.3">
      <c r="B372" s="254"/>
      <c r="AO372" s="195">
        <v>10</v>
      </c>
      <c r="AP372" s="195">
        <f t="shared" si="52"/>
        <v>81239.066923806298</v>
      </c>
      <c r="AQ372" s="195">
        <f>+AP372*(0.36/12)</f>
        <v>2437.172007714189</v>
      </c>
      <c r="AR372" s="195">
        <f t="shared" si="51"/>
        <v>1995.573526494165</v>
      </c>
      <c r="AS372" s="195">
        <f t="shared" ref="AS372:AS398" si="55">+PMT(0.36/12, 36-9, -$AP$372)</f>
        <v>4432.745534208354</v>
      </c>
      <c r="AT372" s="195">
        <f t="shared" si="53"/>
        <v>20756.506602687801</v>
      </c>
    </row>
    <row r="373" spans="2:46" x14ac:dyDescent="0.3">
      <c r="B373" s="254"/>
      <c r="AO373" s="127">
        <v>11</v>
      </c>
      <c r="AP373" s="127">
        <f t="shared" si="52"/>
        <v>79243.493397312137</v>
      </c>
      <c r="AQ373" s="127">
        <f t="shared" ref="AQ373:AQ398" si="56">+AP373*(0.36/12)</f>
        <v>2377.3048019193639</v>
      </c>
      <c r="AR373" s="127">
        <f t="shared" si="51"/>
        <v>2055.4407322889901</v>
      </c>
      <c r="AS373" s="127">
        <f t="shared" si="55"/>
        <v>4432.745534208354</v>
      </c>
      <c r="AT373" s="127">
        <f t="shared" si="53"/>
        <v>22811.94733497679</v>
      </c>
    </row>
    <row r="374" spans="2:46" x14ac:dyDescent="0.3">
      <c r="B374" s="254"/>
      <c r="AO374" s="127">
        <v>12</v>
      </c>
      <c r="AP374" s="127">
        <f t="shared" si="52"/>
        <v>77188.052665023148</v>
      </c>
      <c r="AQ374" s="127">
        <f t="shared" si="56"/>
        <v>2315.6415799506944</v>
      </c>
      <c r="AR374" s="127">
        <f t="shared" si="51"/>
        <v>2117.1039542576596</v>
      </c>
      <c r="AS374" s="127">
        <f t="shared" si="55"/>
        <v>4432.745534208354</v>
      </c>
      <c r="AT374" s="127">
        <f t="shared" si="53"/>
        <v>24929.051289234449</v>
      </c>
    </row>
    <row r="375" spans="2:46" x14ac:dyDescent="0.3">
      <c r="B375" s="254"/>
      <c r="AO375" s="127">
        <v>13</v>
      </c>
      <c r="AP375" s="127">
        <f t="shared" si="52"/>
        <v>75070.948710765486</v>
      </c>
      <c r="AQ375" s="127">
        <f t="shared" si="56"/>
        <v>2252.1284613229645</v>
      </c>
      <c r="AR375" s="127">
        <f t="shared" si="51"/>
        <v>2180.6170728853895</v>
      </c>
      <c r="AS375" s="127">
        <f t="shared" si="55"/>
        <v>4432.745534208354</v>
      </c>
      <c r="AT375" s="127">
        <f t="shared" si="53"/>
        <v>27109.668362119839</v>
      </c>
    </row>
    <row r="376" spans="2:46" x14ac:dyDescent="0.3">
      <c r="B376" s="254"/>
      <c r="AO376" s="127">
        <v>14</v>
      </c>
      <c r="AP376" s="127">
        <f t="shared" si="52"/>
        <v>72890.331637880096</v>
      </c>
      <c r="AQ376" s="127">
        <f t="shared" si="56"/>
        <v>2186.7099491364029</v>
      </c>
      <c r="AR376" s="127">
        <f t="shared" si="51"/>
        <v>2246.0355850719511</v>
      </c>
      <c r="AS376" s="127">
        <f t="shared" si="55"/>
        <v>4432.745534208354</v>
      </c>
      <c r="AT376" s="127">
        <f t="shared" si="53"/>
        <v>29355.703947191789</v>
      </c>
    </row>
    <row r="377" spans="2:46" x14ac:dyDescent="0.3">
      <c r="B377" s="254"/>
      <c r="AO377" s="127">
        <v>15</v>
      </c>
      <c r="AP377" s="127">
        <f t="shared" si="52"/>
        <v>70644.296052808146</v>
      </c>
      <c r="AQ377" s="127">
        <f t="shared" si="56"/>
        <v>2119.3288815842443</v>
      </c>
      <c r="AR377" s="127">
        <f t="shared" si="51"/>
        <v>2313.4166526241097</v>
      </c>
      <c r="AS377" s="127">
        <f t="shared" si="55"/>
        <v>4432.745534208354</v>
      </c>
      <c r="AT377" s="127">
        <f t="shared" si="53"/>
        <v>31669.120599815898</v>
      </c>
    </row>
    <row r="378" spans="2:46" x14ac:dyDescent="0.3">
      <c r="B378" s="254"/>
      <c r="AO378" s="127">
        <v>16</v>
      </c>
      <c r="AP378" s="127">
        <f t="shared" si="52"/>
        <v>68330.879400184029</v>
      </c>
      <c r="AQ378" s="127">
        <f t="shared" si="56"/>
        <v>2049.9263820055207</v>
      </c>
      <c r="AR378" s="127">
        <f t="shared" si="51"/>
        <v>2382.8191522028333</v>
      </c>
      <c r="AS378" s="127">
        <f t="shared" si="55"/>
        <v>4432.745534208354</v>
      </c>
      <c r="AT378" s="127">
        <f t="shared" si="53"/>
        <v>34051.939752018734</v>
      </c>
    </row>
    <row r="379" spans="2:46" x14ac:dyDescent="0.3">
      <c r="B379" s="254"/>
      <c r="AO379" s="127">
        <v>17</v>
      </c>
      <c r="AP379" s="127">
        <f t="shared" si="52"/>
        <v>65948.060247981193</v>
      </c>
      <c r="AQ379" s="127">
        <f t="shared" si="56"/>
        <v>1978.4418074394357</v>
      </c>
      <c r="AR379" s="127">
        <f t="shared" si="51"/>
        <v>2454.3037267689183</v>
      </c>
      <c r="AS379" s="127">
        <f t="shared" si="55"/>
        <v>4432.745534208354</v>
      </c>
      <c r="AT379" s="127">
        <f t="shared" si="53"/>
        <v>36506.243478787655</v>
      </c>
    </row>
    <row r="380" spans="2:46" x14ac:dyDescent="0.3">
      <c r="B380" s="254"/>
      <c r="AO380" s="127">
        <v>18</v>
      </c>
      <c r="AP380" s="127">
        <f t="shared" si="52"/>
        <v>63493.756521212272</v>
      </c>
      <c r="AQ380" s="127">
        <f t="shared" si="56"/>
        <v>1904.8126956363681</v>
      </c>
      <c r="AR380" s="127">
        <f t="shared" si="51"/>
        <v>2527.9328385719859</v>
      </c>
      <c r="AS380" s="127">
        <f t="shared" si="55"/>
        <v>4432.745534208354</v>
      </c>
      <c r="AT380" s="127">
        <f t="shared" si="53"/>
        <v>39034.176317359641</v>
      </c>
    </row>
    <row r="381" spans="2:46" x14ac:dyDescent="0.3">
      <c r="B381" s="254"/>
      <c r="AO381" s="127">
        <v>19</v>
      </c>
      <c r="AP381" s="127">
        <f t="shared" si="52"/>
        <v>60965.823682640286</v>
      </c>
      <c r="AQ381" s="127">
        <f t="shared" si="56"/>
        <v>1828.9747104792086</v>
      </c>
      <c r="AR381" s="127">
        <f t="shared" si="51"/>
        <v>2603.7708237291454</v>
      </c>
      <c r="AS381" s="127">
        <f t="shared" si="55"/>
        <v>4432.745534208354</v>
      </c>
      <c r="AT381" s="127">
        <f t="shared" si="53"/>
        <v>41637.947141088785</v>
      </c>
    </row>
    <row r="382" spans="2:46" x14ac:dyDescent="0.3">
      <c r="B382" s="254"/>
      <c r="AO382" s="127">
        <v>20</v>
      </c>
      <c r="AP382" s="127">
        <f t="shared" si="52"/>
        <v>58362.052858911142</v>
      </c>
      <c r="AQ382" s="127">
        <f t="shared" si="56"/>
        <v>1750.8615857673342</v>
      </c>
      <c r="AR382" s="127">
        <f t="shared" si="51"/>
        <v>2681.88394844102</v>
      </c>
      <c r="AS382" s="127">
        <f t="shared" si="55"/>
        <v>4432.745534208354</v>
      </c>
      <c r="AT382" s="127">
        <f t="shared" si="53"/>
        <v>44319.831089529805</v>
      </c>
    </row>
    <row r="383" spans="2:46" x14ac:dyDescent="0.3">
      <c r="B383" s="254"/>
      <c r="AO383" s="127">
        <v>21</v>
      </c>
      <c r="AP383" s="127">
        <f t="shared" si="52"/>
        <v>55680.168910470122</v>
      </c>
      <c r="AQ383" s="127">
        <f t="shared" si="56"/>
        <v>1670.4050673141037</v>
      </c>
      <c r="AR383" s="127">
        <f t="shared" si="51"/>
        <v>2762.3404668942503</v>
      </c>
      <c r="AS383" s="127">
        <f t="shared" si="55"/>
        <v>4432.745534208354</v>
      </c>
      <c r="AT383" s="127">
        <f t="shared" si="53"/>
        <v>47082.171556424059</v>
      </c>
    </row>
    <row r="384" spans="2:46" x14ac:dyDescent="0.3">
      <c r="B384" s="254"/>
      <c r="AO384" s="127">
        <v>22</v>
      </c>
      <c r="AP384" s="127">
        <f t="shared" si="52"/>
        <v>52917.828443575869</v>
      </c>
      <c r="AQ384" s="127">
        <f t="shared" si="56"/>
        <v>1587.5348533072761</v>
      </c>
      <c r="AR384" s="127">
        <f t="shared" si="51"/>
        <v>2845.2106809010779</v>
      </c>
      <c r="AS384" s="127">
        <f t="shared" si="55"/>
        <v>4432.745534208354</v>
      </c>
      <c r="AT384" s="127">
        <f t="shared" si="53"/>
        <v>49927.382237325139</v>
      </c>
    </row>
    <row r="385" spans="2:46" x14ac:dyDescent="0.3">
      <c r="B385" s="254"/>
      <c r="AO385" s="127">
        <v>23</v>
      </c>
      <c r="AP385" s="127">
        <f t="shared" si="52"/>
        <v>50072.617762674789</v>
      </c>
      <c r="AQ385" s="127">
        <f t="shared" si="56"/>
        <v>1502.1785328802437</v>
      </c>
      <c r="AR385" s="127">
        <f t="shared" si="51"/>
        <v>2930.5670013281106</v>
      </c>
      <c r="AS385" s="127">
        <f t="shared" si="55"/>
        <v>4432.745534208354</v>
      </c>
      <c r="AT385" s="127">
        <f t="shared" si="53"/>
        <v>52857.949238653251</v>
      </c>
    </row>
    <row r="386" spans="2:46" x14ac:dyDescent="0.3">
      <c r="B386" s="254"/>
      <c r="AO386" s="127">
        <v>24</v>
      </c>
      <c r="AP386" s="127">
        <f t="shared" si="52"/>
        <v>47142.050761346676</v>
      </c>
      <c r="AQ386" s="127">
        <f t="shared" si="56"/>
        <v>1414.2615228404002</v>
      </c>
      <c r="AR386" s="127">
        <f t="shared" si="51"/>
        <v>3018.4840113679538</v>
      </c>
      <c r="AS386" s="127">
        <f t="shared" si="55"/>
        <v>4432.745534208354</v>
      </c>
      <c r="AT386" s="127">
        <f t="shared" si="53"/>
        <v>55876.433250021204</v>
      </c>
    </row>
    <row r="387" spans="2:46" x14ac:dyDescent="0.3">
      <c r="B387" s="254"/>
      <c r="AO387" s="127">
        <v>25</v>
      </c>
      <c r="AP387" s="127">
        <f t="shared" si="52"/>
        <v>44123.566749978723</v>
      </c>
      <c r="AQ387" s="127">
        <f t="shared" si="56"/>
        <v>1323.7070024993616</v>
      </c>
      <c r="AR387" s="127">
        <f t="shared" si="51"/>
        <v>3109.0385317089922</v>
      </c>
      <c r="AS387" s="127">
        <f t="shared" si="55"/>
        <v>4432.745534208354</v>
      </c>
      <c r="AT387" s="127">
        <f t="shared" si="53"/>
        <v>58985.471781730193</v>
      </c>
    </row>
    <row r="388" spans="2:46" x14ac:dyDescent="0.3">
      <c r="B388" s="254"/>
      <c r="AO388" s="127">
        <v>26</v>
      </c>
      <c r="AP388" s="127">
        <f t="shared" si="52"/>
        <v>41014.528218269726</v>
      </c>
      <c r="AQ388" s="127">
        <f t="shared" si="56"/>
        <v>1230.4358465480918</v>
      </c>
      <c r="AR388" s="127">
        <f t="shared" si="51"/>
        <v>3202.3096876602622</v>
      </c>
      <c r="AS388" s="127">
        <f t="shared" si="55"/>
        <v>4432.745534208354</v>
      </c>
      <c r="AT388" s="127">
        <f t="shared" si="53"/>
        <v>62187.781469390458</v>
      </c>
    </row>
    <row r="389" spans="2:46" x14ac:dyDescent="0.3">
      <c r="B389" s="254"/>
      <c r="AO389" s="127">
        <v>27</v>
      </c>
      <c r="AP389" s="127">
        <f t="shared" si="52"/>
        <v>37812.218530609462</v>
      </c>
      <c r="AQ389" s="127">
        <f t="shared" si="56"/>
        <v>1134.3665559182839</v>
      </c>
      <c r="AR389" s="127">
        <f t="shared" si="51"/>
        <v>3298.3789782900703</v>
      </c>
      <c r="AS389" s="127">
        <f t="shared" si="55"/>
        <v>4432.745534208354</v>
      </c>
      <c r="AT389" s="127">
        <f t="shared" si="53"/>
        <v>65486.16044768053</v>
      </c>
    </row>
    <row r="390" spans="2:46" x14ac:dyDescent="0.3">
      <c r="B390" s="254"/>
      <c r="AO390" s="127">
        <v>28</v>
      </c>
      <c r="AP390" s="127">
        <f t="shared" si="52"/>
        <v>34513.83955231939</v>
      </c>
      <c r="AQ390" s="127">
        <f t="shared" si="56"/>
        <v>1035.4151865695817</v>
      </c>
      <c r="AR390" s="127">
        <f t="shared" si="51"/>
        <v>3397.3303476387723</v>
      </c>
      <c r="AS390" s="127">
        <f t="shared" si="55"/>
        <v>4432.745534208354</v>
      </c>
      <c r="AT390" s="127">
        <f t="shared" si="53"/>
        <v>68883.490795319303</v>
      </c>
    </row>
    <row r="391" spans="2:46" x14ac:dyDescent="0.3">
      <c r="B391" s="254"/>
      <c r="AO391" s="127">
        <v>29</v>
      </c>
      <c r="AP391" s="127">
        <f t="shared" si="52"/>
        <v>31116.509204680617</v>
      </c>
      <c r="AQ391" s="127">
        <f t="shared" si="56"/>
        <v>933.49527614041847</v>
      </c>
      <c r="AR391" s="127">
        <f t="shared" si="51"/>
        <v>3499.2502580679356</v>
      </c>
      <c r="AS391" s="127">
        <f t="shared" si="55"/>
        <v>4432.745534208354</v>
      </c>
      <c r="AT391" s="127">
        <f t="shared" si="53"/>
        <v>72382.741053387232</v>
      </c>
    </row>
    <row r="392" spans="2:46" x14ac:dyDescent="0.3">
      <c r="B392" s="254"/>
      <c r="AO392" s="127">
        <v>30</v>
      </c>
      <c r="AP392" s="127">
        <f t="shared" si="52"/>
        <v>27617.258946612681</v>
      </c>
      <c r="AQ392" s="127">
        <f t="shared" si="56"/>
        <v>828.51776839838044</v>
      </c>
      <c r="AR392" s="127">
        <f t="shared" si="51"/>
        <v>3604.2277658099738</v>
      </c>
      <c r="AS392" s="127">
        <f t="shared" si="55"/>
        <v>4432.745534208354</v>
      </c>
      <c r="AT392" s="127">
        <f t="shared" si="53"/>
        <v>75986.968819197209</v>
      </c>
    </row>
    <row r="393" spans="2:46" x14ac:dyDescent="0.3">
      <c r="B393" s="254"/>
      <c r="AO393" s="127">
        <v>31</v>
      </c>
      <c r="AP393" s="127">
        <f t="shared" si="52"/>
        <v>24013.031180802711</v>
      </c>
      <c r="AQ393" s="127">
        <f t="shared" si="56"/>
        <v>720.39093542408125</v>
      </c>
      <c r="AR393" s="127">
        <f t="shared" si="51"/>
        <v>3712.3545987842726</v>
      </c>
      <c r="AS393" s="127">
        <f t="shared" si="55"/>
        <v>4432.745534208354</v>
      </c>
      <c r="AT393" s="127">
        <f t="shared" si="53"/>
        <v>79699.323417981475</v>
      </c>
    </row>
    <row r="394" spans="2:46" x14ac:dyDescent="0.3">
      <c r="B394" s="254"/>
      <c r="AO394" s="127">
        <v>32</v>
      </c>
      <c r="AP394" s="127">
        <f t="shared" si="52"/>
        <v>20300.676582018437</v>
      </c>
      <c r="AQ394" s="127">
        <f t="shared" si="56"/>
        <v>609.02029746055314</v>
      </c>
      <c r="AR394" s="127">
        <f t="shared" si="51"/>
        <v>3823.7252367478009</v>
      </c>
      <c r="AS394" s="127">
        <f t="shared" si="55"/>
        <v>4432.745534208354</v>
      </c>
      <c r="AT394" s="127">
        <f t="shared" si="53"/>
        <v>83523.048654729282</v>
      </c>
    </row>
    <row r="395" spans="2:46" x14ac:dyDescent="0.3">
      <c r="B395" s="254"/>
      <c r="AO395" s="127">
        <v>33</v>
      </c>
      <c r="AP395" s="127">
        <f t="shared" si="52"/>
        <v>16476.951345270638</v>
      </c>
      <c r="AQ395" s="127">
        <f t="shared" si="56"/>
        <v>494.3085403581191</v>
      </c>
      <c r="AR395" s="127">
        <f t="shared" si="51"/>
        <v>3938.436993850235</v>
      </c>
      <c r="AS395" s="127">
        <f t="shared" si="55"/>
        <v>4432.745534208354</v>
      </c>
      <c r="AT395" s="127">
        <f t="shared" si="53"/>
        <v>87461.485648579517</v>
      </c>
    </row>
    <row r="396" spans="2:46" x14ac:dyDescent="0.3">
      <c r="B396" s="254"/>
      <c r="AO396" s="127">
        <v>34</v>
      </c>
      <c r="AP396" s="127">
        <f t="shared" si="52"/>
        <v>12538.514351420405</v>
      </c>
      <c r="AQ396" s="127">
        <f t="shared" si="56"/>
        <v>376.15543054261212</v>
      </c>
      <c r="AR396" s="127">
        <f t="shared" si="51"/>
        <v>4056.5901036657419</v>
      </c>
      <c r="AS396" s="127">
        <f t="shared" si="55"/>
        <v>4432.745534208354</v>
      </c>
      <c r="AT396" s="127">
        <f t="shared" si="53"/>
        <v>91518.075752245262</v>
      </c>
    </row>
    <row r="397" spans="2:46" x14ac:dyDescent="0.3">
      <c r="B397" s="254"/>
      <c r="AO397" s="127">
        <v>35</v>
      </c>
      <c r="AP397" s="127">
        <f t="shared" si="52"/>
        <v>8481.9242477546632</v>
      </c>
      <c r="AQ397" s="127">
        <f t="shared" si="56"/>
        <v>254.4577274326399</v>
      </c>
      <c r="AR397" s="127">
        <f t="shared" si="51"/>
        <v>4178.2878067757138</v>
      </c>
      <c r="AS397" s="127">
        <f t="shared" si="55"/>
        <v>4432.745534208354</v>
      </c>
      <c r="AT397" s="127">
        <f t="shared" si="53"/>
        <v>95696.363559020974</v>
      </c>
    </row>
    <row r="398" spans="2:46" x14ac:dyDescent="0.3">
      <c r="B398" s="254"/>
      <c r="AO398" s="127">
        <v>36</v>
      </c>
      <c r="AP398" s="127">
        <f t="shared" si="52"/>
        <v>4303.6364409789494</v>
      </c>
      <c r="AQ398" s="127">
        <f t="shared" si="56"/>
        <v>129.10909322936848</v>
      </c>
      <c r="AR398" s="127">
        <f t="shared" si="51"/>
        <v>4303.6364409789858</v>
      </c>
      <c r="AS398" s="127">
        <f t="shared" si="55"/>
        <v>4432.745534208354</v>
      </c>
      <c r="AT398" s="195">
        <f t="shared" si="53"/>
        <v>99999.999999999956</v>
      </c>
    </row>
    <row r="399" spans="2:46" x14ac:dyDescent="0.3">
      <c r="B399" s="254"/>
    </row>
    <row r="400" spans="2:46" x14ac:dyDescent="0.3">
      <c r="B400" s="254"/>
    </row>
    <row r="402" spans="1:46" x14ac:dyDescent="0.3">
      <c r="A402" s="476">
        <v>3</v>
      </c>
      <c r="B402" s="489" t="s">
        <v>762</v>
      </c>
      <c r="AO402" s="128" t="s">
        <v>904</v>
      </c>
      <c r="AP402" s="128" t="s">
        <v>905</v>
      </c>
      <c r="AQ402" s="128" t="s">
        <v>906</v>
      </c>
      <c r="AR402" s="128" t="s">
        <v>890</v>
      </c>
      <c r="AS402" s="128" t="s">
        <v>907</v>
      </c>
      <c r="AT402" s="128" t="s">
        <v>908</v>
      </c>
    </row>
    <row r="403" spans="1:46" x14ac:dyDescent="0.3">
      <c r="A403" s="476"/>
      <c r="B403" s="489"/>
      <c r="AO403" s="127">
        <v>1</v>
      </c>
      <c r="AP403" s="127">
        <v>100000</v>
      </c>
      <c r="AQ403" s="127">
        <f>+$AW$324*(0.24/12)</f>
        <v>2000</v>
      </c>
      <c r="AR403" s="127">
        <f>+AP403/36</f>
        <v>2777.7777777777778</v>
      </c>
      <c r="AS403" s="127">
        <f t="shared" ref="AS403:AS425" si="57">+AR403+AQ403</f>
        <v>4777.7777777777774</v>
      </c>
      <c r="AT403" s="127">
        <f>+AR403</f>
        <v>2777.7777777777778</v>
      </c>
    </row>
    <row r="404" spans="1:46" x14ac:dyDescent="0.3">
      <c r="A404" s="476"/>
      <c r="B404" s="489"/>
      <c r="AO404" s="127">
        <v>2</v>
      </c>
      <c r="AP404" s="127">
        <f t="shared" ref="AP404:AP438" si="58">+AQ403+AP403-AS403</f>
        <v>97222.222222222219</v>
      </c>
      <c r="AQ404" s="127">
        <f>+$AW$324*(0.24/12)</f>
        <v>2000</v>
      </c>
      <c r="AR404" s="127">
        <f>+$AW$324/36</f>
        <v>2777.7777777777778</v>
      </c>
      <c r="AS404" s="127">
        <f t="shared" si="57"/>
        <v>4777.7777777777774</v>
      </c>
      <c r="AT404" s="127">
        <f t="shared" ref="AT404:AT425" si="59">+AT403+AR404</f>
        <v>5555.5555555555557</v>
      </c>
    </row>
    <row r="405" spans="1:46" x14ac:dyDescent="0.3">
      <c r="A405" s="254"/>
      <c r="B405" s="254"/>
      <c r="AO405" s="127">
        <v>3</v>
      </c>
      <c r="AP405" s="127">
        <f t="shared" si="58"/>
        <v>94444.444444444438</v>
      </c>
      <c r="AQ405" s="127">
        <f t="shared" ref="AQ405:AQ438" si="60">+$AW$324*(0.24/12)</f>
        <v>2000</v>
      </c>
      <c r="AR405" s="127">
        <f t="shared" ref="AR405:AR438" si="61">+$AW$324/36</f>
        <v>2777.7777777777778</v>
      </c>
      <c r="AS405" s="127">
        <f t="shared" si="57"/>
        <v>4777.7777777777774</v>
      </c>
      <c r="AT405" s="127">
        <f t="shared" si="59"/>
        <v>8333.3333333333339</v>
      </c>
    </row>
    <row r="406" spans="1:46" x14ac:dyDescent="0.3">
      <c r="A406" s="254"/>
      <c r="B406" s="254"/>
      <c r="AO406" s="127">
        <v>4</v>
      </c>
      <c r="AP406" s="127">
        <f t="shared" si="58"/>
        <v>91666.666666666657</v>
      </c>
      <c r="AQ406" s="127">
        <f t="shared" si="60"/>
        <v>2000</v>
      </c>
      <c r="AR406" s="127">
        <f t="shared" si="61"/>
        <v>2777.7777777777778</v>
      </c>
      <c r="AS406" s="127">
        <f t="shared" si="57"/>
        <v>4777.7777777777774</v>
      </c>
      <c r="AT406" s="127">
        <f t="shared" si="59"/>
        <v>11111.111111111111</v>
      </c>
    </row>
    <row r="407" spans="1:46" x14ac:dyDescent="0.3">
      <c r="A407" s="254"/>
      <c r="B407" s="254"/>
      <c r="AO407" s="127">
        <v>5</v>
      </c>
      <c r="AP407" s="127">
        <f t="shared" si="58"/>
        <v>88888.888888888876</v>
      </c>
      <c r="AQ407" s="127">
        <f t="shared" si="60"/>
        <v>2000</v>
      </c>
      <c r="AR407" s="127">
        <f t="shared" si="61"/>
        <v>2777.7777777777778</v>
      </c>
      <c r="AS407" s="127">
        <f t="shared" si="57"/>
        <v>4777.7777777777774</v>
      </c>
      <c r="AT407" s="127">
        <f t="shared" si="59"/>
        <v>13888.888888888889</v>
      </c>
    </row>
    <row r="408" spans="1:46" x14ac:dyDescent="0.3">
      <c r="A408" s="254"/>
      <c r="B408" s="254"/>
      <c r="AO408" s="127">
        <v>6</v>
      </c>
      <c r="AP408" s="127">
        <f t="shared" si="58"/>
        <v>86111.111111111095</v>
      </c>
      <c r="AQ408" s="127">
        <f t="shared" si="60"/>
        <v>2000</v>
      </c>
      <c r="AR408" s="127">
        <f t="shared" si="61"/>
        <v>2777.7777777777778</v>
      </c>
      <c r="AS408" s="127">
        <f t="shared" si="57"/>
        <v>4777.7777777777774</v>
      </c>
      <c r="AT408" s="127">
        <f t="shared" si="59"/>
        <v>16666.666666666668</v>
      </c>
    </row>
    <row r="409" spans="1:46" x14ac:dyDescent="0.3">
      <c r="A409" s="254"/>
      <c r="B409" s="254"/>
      <c r="AO409" s="127">
        <v>7</v>
      </c>
      <c r="AP409" s="127">
        <f t="shared" si="58"/>
        <v>83333.333333333314</v>
      </c>
      <c r="AQ409" s="127">
        <f t="shared" si="60"/>
        <v>2000</v>
      </c>
      <c r="AR409" s="127">
        <f t="shared" si="61"/>
        <v>2777.7777777777778</v>
      </c>
      <c r="AS409" s="127">
        <f t="shared" si="57"/>
        <v>4777.7777777777774</v>
      </c>
      <c r="AT409" s="127">
        <f t="shared" si="59"/>
        <v>19444.444444444445</v>
      </c>
    </row>
    <row r="410" spans="1:46" x14ac:dyDescent="0.3">
      <c r="A410" s="254"/>
      <c r="B410" s="254"/>
      <c r="AO410" s="127">
        <v>8</v>
      </c>
      <c r="AP410" s="127">
        <f t="shared" si="58"/>
        <v>80555.555555555533</v>
      </c>
      <c r="AQ410" s="127">
        <f t="shared" si="60"/>
        <v>2000</v>
      </c>
      <c r="AR410" s="127">
        <f t="shared" si="61"/>
        <v>2777.7777777777778</v>
      </c>
      <c r="AS410" s="127">
        <f t="shared" si="57"/>
        <v>4777.7777777777774</v>
      </c>
      <c r="AT410" s="127">
        <f t="shared" si="59"/>
        <v>22222.222222222223</v>
      </c>
    </row>
    <row r="411" spans="1:46" x14ac:dyDescent="0.3">
      <c r="A411" s="254"/>
      <c r="B411" s="254"/>
      <c r="AO411" s="127">
        <v>9</v>
      </c>
      <c r="AP411" s="127">
        <f t="shared" si="58"/>
        <v>77777.777777777752</v>
      </c>
      <c r="AQ411" s="127">
        <f t="shared" si="60"/>
        <v>2000</v>
      </c>
      <c r="AR411" s="127">
        <f t="shared" si="61"/>
        <v>2777.7777777777778</v>
      </c>
      <c r="AS411" s="127">
        <f t="shared" si="57"/>
        <v>4777.7777777777774</v>
      </c>
      <c r="AT411" s="127">
        <f t="shared" si="59"/>
        <v>25000</v>
      </c>
    </row>
    <row r="412" spans="1:46" x14ac:dyDescent="0.3">
      <c r="A412" s="254"/>
      <c r="B412" s="254"/>
      <c r="AO412" s="127">
        <v>10</v>
      </c>
      <c r="AP412" s="127">
        <f t="shared" si="58"/>
        <v>74999.999999999971</v>
      </c>
      <c r="AQ412" s="127">
        <f t="shared" si="60"/>
        <v>2000</v>
      </c>
      <c r="AR412" s="127">
        <f t="shared" si="61"/>
        <v>2777.7777777777778</v>
      </c>
      <c r="AS412" s="127">
        <f t="shared" si="57"/>
        <v>4777.7777777777774</v>
      </c>
      <c r="AT412" s="127">
        <f t="shared" si="59"/>
        <v>27777.777777777777</v>
      </c>
    </row>
    <row r="413" spans="1:46" x14ac:dyDescent="0.3">
      <c r="A413" s="254"/>
      <c r="B413" s="254"/>
      <c r="AO413" s="127">
        <v>11</v>
      </c>
      <c r="AP413" s="127">
        <f t="shared" si="58"/>
        <v>72222.22222222219</v>
      </c>
      <c r="AQ413" s="127">
        <f t="shared" si="60"/>
        <v>2000</v>
      </c>
      <c r="AR413" s="127">
        <f t="shared" si="61"/>
        <v>2777.7777777777778</v>
      </c>
      <c r="AS413" s="127">
        <f t="shared" si="57"/>
        <v>4777.7777777777774</v>
      </c>
      <c r="AT413" s="127">
        <f t="shared" si="59"/>
        <v>30555.555555555555</v>
      </c>
    </row>
    <row r="414" spans="1:46" x14ac:dyDescent="0.3">
      <c r="A414" s="254"/>
      <c r="B414" s="254"/>
      <c r="AO414" s="127">
        <v>12</v>
      </c>
      <c r="AP414" s="127">
        <f t="shared" si="58"/>
        <v>69444.444444444409</v>
      </c>
      <c r="AQ414" s="127">
        <f t="shared" si="60"/>
        <v>2000</v>
      </c>
      <c r="AR414" s="127">
        <f t="shared" si="61"/>
        <v>2777.7777777777778</v>
      </c>
      <c r="AS414" s="127">
        <f t="shared" si="57"/>
        <v>4777.7777777777774</v>
      </c>
      <c r="AT414" s="127">
        <f t="shared" si="59"/>
        <v>33333.333333333336</v>
      </c>
    </row>
    <row r="415" spans="1:46" x14ac:dyDescent="0.3">
      <c r="A415" s="254"/>
      <c r="B415" s="254"/>
      <c r="AO415" s="127">
        <v>13</v>
      </c>
      <c r="AP415" s="127">
        <f t="shared" si="58"/>
        <v>66666.666666666628</v>
      </c>
      <c r="AQ415" s="127">
        <f t="shared" si="60"/>
        <v>2000</v>
      </c>
      <c r="AR415" s="127">
        <f t="shared" si="61"/>
        <v>2777.7777777777778</v>
      </c>
      <c r="AS415" s="127">
        <f t="shared" si="57"/>
        <v>4777.7777777777774</v>
      </c>
      <c r="AT415" s="127">
        <f t="shared" si="59"/>
        <v>36111.111111111117</v>
      </c>
    </row>
    <row r="416" spans="1:46" x14ac:dyDescent="0.3">
      <c r="A416" s="254"/>
      <c r="B416" s="254"/>
      <c r="AO416" s="127">
        <v>14</v>
      </c>
      <c r="AP416" s="127">
        <f t="shared" si="58"/>
        <v>63888.888888888847</v>
      </c>
      <c r="AQ416" s="127">
        <f t="shared" si="60"/>
        <v>2000</v>
      </c>
      <c r="AR416" s="127">
        <f t="shared" si="61"/>
        <v>2777.7777777777778</v>
      </c>
      <c r="AS416" s="127">
        <f t="shared" si="57"/>
        <v>4777.7777777777774</v>
      </c>
      <c r="AT416" s="127">
        <f t="shared" si="59"/>
        <v>38888.888888888898</v>
      </c>
    </row>
    <row r="417" spans="1:46" x14ac:dyDescent="0.3">
      <c r="A417" s="254"/>
      <c r="B417" s="254"/>
      <c r="AO417" s="127">
        <v>15</v>
      </c>
      <c r="AP417" s="127">
        <f t="shared" si="58"/>
        <v>61111.111111111066</v>
      </c>
      <c r="AQ417" s="127">
        <f t="shared" si="60"/>
        <v>2000</v>
      </c>
      <c r="AR417" s="127">
        <f t="shared" si="61"/>
        <v>2777.7777777777778</v>
      </c>
      <c r="AS417" s="127">
        <f t="shared" si="57"/>
        <v>4777.7777777777774</v>
      </c>
      <c r="AT417" s="127">
        <f t="shared" si="59"/>
        <v>41666.666666666679</v>
      </c>
    </row>
    <row r="418" spans="1:46" x14ac:dyDescent="0.3">
      <c r="A418" s="254"/>
      <c r="B418" s="254"/>
      <c r="AO418" s="127">
        <v>16</v>
      </c>
      <c r="AP418" s="127">
        <f t="shared" si="58"/>
        <v>58333.333333333285</v>
      </c>
      <c r="AQ418" s="127">
        <f t="shared" si="60"/>
        <v>2000</v>
      </c>
      <c r="AR418" s="127">
        <f t="shared" si="61"/>
        <v>2777.7777777777778</v>
      </c>
      <c r="AS418" s="127">
        <f t="shared" si="57"/>
        <v>4777.7777777777774</v>
      </c>
      <c r="AT418" s="127">
        <f t="shared" si="59"/>
        <v>44444.44444444446</v>
      </c>
    </row>
    <row r="419" spans="1:46" x14ac:dyDescent="0.3">
      <c r="A419" s="254"/>
      <c r="B419" s="254"/>
      <c r="AO419" s="127">
        <v>17</v>
      </c>
      <c r="AP419" s="127">
        <f t="shared" si="58"/>
        <v>55555.555555555504</v>
      </c>
      <c r="AQ419" s="127">
        <f t="shared" si="60"/>
        <v>2000</v>
      </c>
      <c r="AR419" s="127">
        <f t="shared" si="61"/>
        <v>2777.7777777777778</v>
      </c>
      <c r="AS419" s="127">
        <f t="shared" si="57"/>
        <v>4777.7777777777774</v>
      </c>
      <c r="AT419" s="127">
        <f t="shared" si="59"/>
        <v>47222.222222222241</v>
      </c>
    </row>
    <row r="420" spans="1:46" x14ac:dyDescent="0.3">
      <c r="A420" s="254"/>
      <c r="B420" s="254"/>
      <c r="AO420" s="127">
        <v>18</v>
      </c>
      <c r="AP420" s="127">
        <f t="shared" si="58"/>
        <v>52777.777777777723</v>
      </c>
      <c r="AQ420" s="127">
        <f t="shared" si="60"/>
        <v>2000</v>
      </c>
      <c r="AR420" s="127">
        <f t="shared" si="61"/>
        <v>2777.7777777777778</v>
      </c>
      <c r="AS420" s="127">
        <f t="shared" si="57"/>
        <v>4777.7777777777774</v>
      </c>
      <c r="AT420" s="127">
        <f t="shared" si="59"/>
        <v>50000.000000000022</v>
      </c>
    </row>
    <row r="421" spans="1:46" x14ac:dyDescent="0.3">
      <c r="A421" s="254"/>
      <c r="B421" s="254"/>
      <c r="AO421" s="127">
        <v>19</v>
      </c>
      <c r="AP421" s="127">
        <f t="shared" si="58"/>
        <v>49999.999999999942</v>
      </c>
      <c r="AQ421" s="127">
        <f t="shared" si="60"/>
        <v>2000</v>
      </c>
      <c r="AR421" s="127">
        <f t="shared" si="61"/>
        <v>2777.7777777777778</v>
      </c>
      <c r="AS421" s="127">
        <f t="shared" si="57"/>
        <v>4777.7777777777774</v>
      </c>
      <c r="AT421" s="127">
        <f t="shared" si="59"/>
        <v>52777.777777777803</v>
      </c>
    </row>
    <row r="422" spans="1:46" x14ac:dyDescent="0.3">
      <c r="A422" s="254"/>
      <c r="B422" s="254"/>
      <c r="AO422" s="127">
        <v>20</v>
      </c>
      <c r="AP422" s="127">
        <f t="shared" si="58"/>
        <v>47222.222222222161</v>
      </c>
      <c r="AQ422" s="127">
        <f t="shared" si="60"/>
        <v>2000</v>
      </c>
      <c r="AR422" s="127">
        <f t="shared" si="61"/>
        <v>2777.7777777777778</v>
      </c>
      <c r="AS422" s="127">
        <f t="shared" si="57"/>
        <v>4777.7777777777774</v>
      </c>
      <c r="AT422" s="127">
        <f t="shared" si="59"/>
        <v>55555.555555555584</v>
      </c>
    </row>
    <row r="423" spans="1:46" x14ac:dyDescent="0.3">
      <c r="A423" s="254"/>
      <c r="B423" s="254"/>
      <c r="AO423" s="127">
        <v>21</v>
      </c>
      <c r="AP423" s="127">
        <f t="shared" si="58"/>
        <v>44444.44444444438</v>
      </c>
      <c r="AQ423" s="127">
        <f t="shared" si="60"/>
        <v>2000</v>
      </c>
      <c r="AR423" s="127">
        <f t="shared" si="61"/>
        <v>2777.7777777777778</v>
      </c>
      <c r="AS423" s="127">
        <f t="shared" si="57"/>
        <v>4777.7777777777774</v>
      </c>
      <c r="AT423" s="127">
        <f t="shared" si="59"/>
        <v>58333.333333333365</v>
      </c>
    </row>
    <row r="424" spans="1:46" x14ac:dyDescent="0.3">
      <c r="A424" s="254"/>
      <c r="B424" s="254"/>
      <c r="AO424" s="127">
        <v>22</v>
      </c>
      <c r="AP424" s="127">
        <f t="shared" si="58"/>
        <v>41666.666666666599</v>
      </c>
      <c r="AQ424" s="127">
        <f t="shared" si="60"/>
        <v>2000</v>
      </c>
      <c r="AR424" s="127">
        <f t="shared" si="61"/>
        <v>2777.7777777777778</v>
      </c>
      <c r="AS424" s="127">
        <f t="shared" si="57"/>
        <v>4777.7777777777774</v>
      </c>
      <c r="AT424" s="127">
        <f t="shared" si="59"/>
        <v>61111.111111111146</v>
      </c>
    </row>
    <row r="425" spans="1:46" x14ac:dyDescent="0.3">
      <c r="A425" s="254"/>
      <c r="B425" s="254"/>
      <c r="AO425" s="127">
        <v>23</v>
      </c>
      <c r="AP425" s="127">
        <f t="shared" si="58"/>
        <v>38888.888888888818</v>
      </c>
      <c r="AQ425" s="127">
        <f t="shared" si="60"/>
        <v>2000</v>
      </c>
      <c r="AR425" s="127">
        <f t="shared" si="61"/>
        <v>2777.7777777777778</v>
      </c>
      <c r="AS425" s="127">
        <f t="shared" si="57"/>
        <v>4777.7777777777774</v>
      </c>
      <c r="AT425" s="127">
        <f t="shared" si="59"/>
        <v>63888.888888888927</v>
      </c>
    </row>
    <row r="426" spans="1:46" x14ac:dyDescent="0.3">
      <c r="A426" s="254"/>
      <c r="B426" s="254"/>
      <c r="AO426" s="195">
        <v>24</v>
      </c>
      <c r="AP426" s="195">
        <f t="shared" si="58"/>
        <v>36111.111111111037</v>
      </c>
      <c r="AQ426" s="195">
        <f t="shared" si="60"/>
        <v>2000</v>
      </c>
      <c r="AR426" s="195">
        <f t="shared" si="61"/>
        <v>2777.7777777777778</v>
      </c>
      <c r="AS426" s="195">
        <f>+AR426+AQ426-500</f>
        <v>4277.7777777777774</v>
      </c>
      <c r="AT426" s="195">
        <f>+AT425+AR426+500</f>
        <v>67166.666666666701</v>
      </c>
    </row>
    <row r="427" spans="1:46" x14ac:dyDescent="0.3">
      <c r="A427" s="254"/>
      <c r="B427" s="254"/>
      <c r="AO427" s="127">
        <v>25</v>
      </c>
      <c r="AP427" s="127">
        <f t="shared" si="58"/>
        <v>33833.333333333256</v>
      </c>
      <c r="AQ427" s="127">
        <f t="shared" si="60"/>
        <v>2000</v>
      </c>
      <c r="AR427" s="127">
        <f>+$AW$324/36</f>
        <v>2777.7777777777778</v>
      </c>
      <c r="AS427" s="127">
        <f t="shared" ref="AS427:AS438" si="62">+AR427+AQ427</f>
        <v>4777.7777777777774</v>
      </c>
      <c r="AT427" s="127">
        <f t="shared" ref="AT427:AT438" si="63">+AT426+AR427</f>
        <v>69944.444444444482</v>
      </c>
    </row>
    <row r="428" spans="1:46" x14ac:dyDescent="0.3">
      <c r="A428" s="254"/>
      <c r="B428" s="254"/>
      <c r="AO428" s="127">
        <v>26</v>
      </c>
      <c r="AP428" s="127">
        <f t="shared" si="58"/>
        <v>31055.555555555478</v>
      </c>
      <c r="AQ428" s="127">
        <f t="shared" si="60"/>
        <v>2000</v>
      </c>
      <c r="AR428" s="127">
        <f t="shared" si="61"/>
        <v>2777.7777777777778</v>
      </c>
      <c r="AS428" s="127">
        <f t="shared" si="62"/>
        <v>4777.7777777777774</v>
      </c>
      <c r="AT428" s="127">
        <f t="shared" si="63"/>
        <v>72722.222222222263</v>
      </c>
    </row>
    <row r="429" spans="1:46" x14ac:dyDescent="0.3">
      <c r="A429" s="254"/>
      <c r="B429" s="254"/>
      <c r="AO429" s="127">
        <v>27</v>
      </c>
      <c r="AP429" s="127">
        <f t="shared" si="58"/>
        <v>28277.777777777697</v>
      </c>
      <c r="AQ429" s="127">
        <f t="shared" si="60"/>
        <v>2000</v>
      </c>
      <c r="AR429" s="127">
        <f t="shared" si="61"/>
        <v>2777.7777777777778</v>
      </c>
      <c r="AS429" s="127">
        <f t="shared" si="62"/>
        <v>4777.7777777777774</v>
      </c>
      <c r="AT429" s="127">
        <f t="shared" si="63"/>
        <v>75500.000000000044</v>
      </c>
    </row>
    <row r="430" spans="1:46" x14ac:dyDescent="0.3">
      <c r="A430" s="254"/>
      <c r="B430" s="254"/>
      <c r="AO430" s="127">
        <v>28</v>
      </c>
      <c r="AP430" s="127">
        <f t="shared" si="58"/>
        <v>25499.99999999992</v>
      </c>
      <c r="AQ430" s="127">
        <f t="shared" si="60"/>
        <v>2000</v>
      </c>
      <c r="AR430" s="127">
        <f t="shared" si="61"/>
        <v>2777.7777777777778</v>
      </c>
      <c r="AS430" s="127">
        <f t="shared" si="62"/>
        <v>4777.7777777777774</v>
      </c>
      <c r="AT430" s="127">
        <f t="shared" si="63"/>
        <v>78277.777777777825</v>
      </c>
    </row>
    <row r="431" spans="1:46" x14ac:dyDescent="0.3">
      <c r="A431" s="254"/>
      <c r="B431" s="254"/>
      <c r="AO431" s="127">
        <v>29</v>
      </c>
      <c r="AP431" s="127">
        <f t="shared" si="58"/>
        <v>22722.222222222143</v>
      </c>
      <c r="AQ431" s="127">
        <f t="shared" si="60"/>
        <v>2000</v>
      </c>
      <c r="AR431" s="127">
        <f t="shared" si="61"/>
        <v>2777.7777777777778</v>
      </c>
      <c r="AS431" s="127">
        <f t="shared" si="62"/>
        <v>4777.7777777777774</v>
      </c>
      <c r="AT431" s="127">
        <f t="shared" si="63"/>
        <v>81055.555555555606</v>
      </c>
    </row>
    <row r="432" spans="1:46" x14ac:dyDescent="0.3">
      <c r="A432" s="254"/>
      <c r="B432" s="254"/>
      <c r="AO432" s="127">
        <v>30</v>
      </c>
      <c r="AP432" s="127">
        <f t="shared" si="58"/>
        <v>19944.444444444365</v>
      </c>
      <c r="AQ432" s="127">
        <f t="shared" si="60"/>
        <v>2000</v>
      </c>
      <c r="AR432" s="127">
        <f t="shared" si="61"/>
        <v>2777.7777777777778</v>
      </c>
      <c r="AS432" s="127">
        <f t="shared" si="62"/>
        <v>4777.7777777777774</v>
      </c>
      <c r="AT432" s="127">
        <f t="shared" si="63"/>
        <v>83833.333333333387</v>
      </c>
    </row>
    <row r="433" spans="1:46" x14ac:dyDescent="0.3">
      <c r="A433" s="254"/>
      <c r="B433" s="254"/>
      <c r="AO433" s="127">
        <v>31</v>
      </c>
      <c r="AP433" s="127">
        <f t="shared" si="58"/>
        <v>17166.666666666588</v>
      </c>
      <c r="AQ433" s="127">
        <f t="shared" si="60"/>
        <v>2000</v>
      </c>
      <c r="AR433" s="127">
        <f t="shared" si="61"/>
        <v>2777.7777777777778</v>
      </c>
      <c r="AS433" s="127">
        <f t="shared" si="62"/>
        <v>4777.7777777777774</v>
      </c>
      <c r="AT433" s="127">
        <f t="shared" si="63"/>
        <v>86611.111111111168</v>
      </c>
    </row>
    <row r="434" spans="1:46" x14ac:dyDescent="0.3">
      <c r="A434" s="254"/>
      <c r="B434" s="254"/>
      <c r="AO434" s="127">
        <v>32</v>
      </c>
      <c r="AP434" s="127">
        <f t="shared" si="58"/>
        <v>14388.88888888881</v>
      </c>
      <c r="AQ434" s="127">
        <f t="shared" si="60"/>
        <v>2000</v>
      </c>
      <c r="AR434" s="127">
        <f t="shared" si="61"/>
        <v>2777.7777777777778</v>
      </c>
      <c r="AS434" s="127">
        <f t="shared" si="62"/>
        <v>4777.7777777777774</v>
      </c>
      <c r="AT434" s="127">
        <f t="shared" si="63"/>
        <v>89388.888888888949</v>
      </c>
    </row>
    <row r="435" spans="1:46" x14ac:dyDescent="0.3">
      <c r="A435" s="254"/>
      <c r="B435" s="254"/>
      <c r="AO435" s="127">
        <v>33</v>
      </c>
      <c r="AP435" s="127">
        <f t="shared" si="58"/>
        <v>11611.111111111033</v>
      </c>
      <c r="AQ435" s="127">
        <f t="shared" si="60"/>
        <v>2000</v>
      </c>
      <c r="AR435" s="127">
        <f t="shared" si="61"/>
        <v>2777.7777777777778</v>
      </c>
      <c r="AS435" s="127">
        <f t="shared" si="62"/>
        <v>4777.7777777777774</v>
      </c>
      <c r="AT435" s="127">
        <f t="shared" si="63"/>
        <v>92166.66666666673</v>
      </c>
    </row>
    <row r="436" spans="1:46" x14ac:dyDescent="0.3">
      <c r="A436" s="254"/>
      <c r="B436" s="254"/>
      <c r="AO436" s="127">
        <v>34</v>
      </c>
      <c r="AP436" s="127">
        <f t="shared" si="58"/>
        <v>8833.3333333332557</v>
      </c>
      <c r="AQ436" s="127">
        <f t="shared" si="60"/>
        <v>2000</v>
      </c>
      <c r="AR436" s="127">
        <f t="shared" si="61"/>
        <v>2777.7777777777778</v>
      </c>
      <c r="AS436" s="127">
        <f t="shared" si="62"/>
        <v>4777.7777777777774</v>
      </c>
      <c r="AT436" s="127">
        <f t="shared" si="63"/>
        <v>94944.444444444511</v>
      </c>
    </row>
    <row r="437" spans="1:46" x14ac:dyDescent="0.3">
      <c r="A437" s="254"/>
      <c r="B437" s="254"/>
      <c r="AO437" s="127">
        <v>35</v>
      </c>
      <c r="AP437" s="127">
        <f t="shared" si="58"/>
        <v>6055.5555555554783</v>
      </c>
      <c r="AQ437" s="127">
        <f t="shared" si="60"/>
        <v>2000</v>
      </c>
      <c r="AR437" s="127">
        <f t="shared" si="61"/>
        <v>2777.7777777777778</v>
      </c>
      <c r="AS437" s="127">
        <f t="shared" si="62"/>
        <v>4777.7777777777774</v>
      </c>
      <c r="AT437" s="127">
        <f t="shared" si="63"/>
        <v>97722.222222222292</v>
      </c>
    </row>
    <row r="438" spans="1:46" x14ac:dyDescent="0.3">
      <c r="A438" s="254"/>
      <c r="B438" s="254"/>
      <c r="AO438" s="127">
        <v>36</v>
      </c>
      <c r="AP438" s="127">
        <f t="shared" si="58"/>
        <v>3277.777777777701</v>
      </c>
      <c r="AQ438" s="127">
        <f t="shared" si="60"/>
        <v>2000</v>
      </c>
      <c r="AR438" s="127">
        <f t="shared" si="61"/>
        <v>2777.7777777777778</v>
      </c>
      <c r="AS438" s="127">
        <f t="shared" si="62"/>
        <v>4777.7777777777774</v>
      </c>
      <c r="AT438" s="127">
        <f t="shared" si="63"/>
        <v>100500.00000000007</v>
      </c>
    </row>
    <row r="439" spans="1:46" x14ac:dyDescent="0.3">
      <c r="A439" s="254"/>
      <c r="B439" s="254"/>
    </row>
    <row r="440" spans="1:46" x14ac:dyDescent="0.3">
      <c r="A440" s="254"/>
      <c r="B440" s="254"/>
    </row>
    <row r="441" spans="1:46" x14ac:dyDescent="0.3">
      <c r="A441" s="254"/>
      <c r="B441" s="254"/>
    </row>
    <row r="442" spans="1:46" x14ac:dyDescent="0.3">
      <c r="A442" s="254"/>
      <c r="B442" s="254"/>
    </row>
    <row r="443" spans="1:46" x14ac:dyDescent="0.3">
      <c r="A443" s="254"/>
      <c r="B443" s="254"/>
    </row>
    <row r="445" spans="1:46" x14ac:dyDescent="0.3">
      <c r="A445" s="476">
        <v>4</v>
      </c>
      <c r="B445" s="489" t="s">
        <v>767</v>
      </c>
      <c r="AO445" s="127" t="s">
        <v>914</v>
      </c>
      <c r="AP445" s="127">
        <v>50000</v>
      </c>
    </row>
    <row r="446" spans="1:46" x14ac:dyDescent="0.3">
      <c r="A446" s="476"/>
      <c r="B446" s="489"/>
      <c r="AO446" s="127">
        <v>50000</v>
      </c>
      <c r="AP446" s="127" t="s">
        <v>915</v>
      </c>
      <c r="AQ446" s="127" t="s">
        <v>916</v>
      </c>
    </row>
    <row r="447" spans="1:46" ht="39" customHeight="1" x14ac:dyDescent="0.3">
      <c r="A447" s="476"/>
      <c r="B447" s="489"/>
      <c r="AO447" s="127">
        <v>500000</v>
      </c>
      <c r="AP447" s="127" t="s">
        <v>917</v>
      </c>
      <c r="AQ447" s="127" t="s">
        <v>916</v>
      </c>
    </row>
    <row r="448" spans="1:46" x14ac:dyDescent="0.3">
      <c r="AO448" s="127" t="s">
        <v>918</v>
      </c>
    </row>
    <row r="449" spans="1:42" x14ac:dyDescent="0.3">
      <c r="B449" s="488" t="s">
        <v>771</v>
      </c>
      <c r="AO449" s="127">
        <v>18</v>
      </c>
      <c r="AP449" s="127" t="s">
        <v>919</v>
      </c>
    </row>
    <row r="450" spans="1:42" x14ac:dyDescent="0.3">
      <c r="B450" s="488"/>
    </row>
    <row r="451" spans="1:42" x14ac:dyDescent="0.3">
      <c r="B451" s="488"/>
    </row>
    <row r="452" spans="1:42" x14ac:dyDescent="0.3">
      <c r="B452" s="488"/>
    </row>
    <row r="453" spans="1:42" ht="25.5" customHeight="1" x14ac:dyDescent="0.3">
      <c r="B453" s="488"/>
    </row>
    <row r="454" spans="1:42" ht="21" customHeight="1" x14ac:dyDescent="0.3">
      <c r="B454" s="488"/>
    </row>
    <row r="455" spans="1:42" ht="27" customHeight="1" x14ac:dyDescent="0.3">
      <c r="B455" s="488"/>
    </row>
    <row r="456" spans="1:42" x14ac:dyDescent="0.3">
      <c r="B456" s="242" t="s">
        <v>764</v>
      </c>
    </row>
    <row r="457" spans="1:42" x14ac:dyDescent="0.3">
      <c r="B457" s="242" t="s">
        <v>765</v>
      </c>
    </row>
    <row r="458" spans="1:42" x14ac:dyDescent="0.3">
      <c r="B458" s="242" t="s">
        <v>766</v>
      </c>
    </row>
    <row r="459" spans="1:42" ht="18.75" customHeight="1" x14ac:dyDescent="0.3">
      <c r="A459" s="26" t="s">
        <v>435</v>
      </c>
      <c r="B459" s="489" t="s">
        <v>773</v>
      </c>
    </row>
    <row r="460" spans="1:42" ht="20.25" customHeight="1" x14ac:dyDescent="0.3">
      <c r="B460" s="489"/>
    </row>
    <row r="461" spans="1:42" x14ac:dyDescent="0.3">
      <c r="A461" s="26" t="s">
        <v>436</v>
      </c>
      <c r="B461" s="243" t="s">
        <v>770</v>
      </c>
    </row>
    <row r="462" spans="1:42" x14ac:dyDescent="0.3">
      <c r="A462" s="26" t="s">
        <v>437</v>
      </c>
      <c r="B462" s="474" t="s">
        <v>769</v>
      </c>
    </row>
    <row r="463" spans="1:42" ht="21.75" customHeight="1" x14ac:dyDescent="0.3">
      <c r="B463" s="474"/>
    </row>
    <row r="464" spans="1:42" x14ac:dyDescent="0.3">
      <c r="A464" s="26" t="s">
        <v>450</v>
      </c>
      <c r="B464" s="474" t="s">
        <v>768</v>
      </c>
    </row>
    <row r="465" spans="1:71" ht="25.5" customHeight="1" x14ac:dyDescent="0.3">
      <c r="B465" s="474"/>
    </row>
    <row r="466" spans="1:71" s="128" customFormat="1" x14ac:dyDescent="0.3">
      <c r="A466" s="125" t="s">
        <v>920</v>
      </c>
      <c r="B466" s="255" t="s">
        <v>921</v>
      </c>
      <c r="C466" s="139"/>
      <c r="U466" s="139"/>
      <c r="AI466" s="139"/>
      <c r="BE466" s="139"/>
    </row>
    <row r="467" spans="1:71" x14ac:dyDescent="0.3">
      <c r="A467" s="26">
        <v>1</v>
      </c>
      <c r="B467" s="474" t="s">
        <v>922</v>
      </c>
      <c r="D467" s="127" t="s">
        <v>923</v>
      </c>
    </row>
    <row r="468" spans="1:71" x14ac:dyDescent="0.3">
      <c r="B468" s="474"/>
      <c r="D468" s="127" t="s">
        <v>924</v>
      </c>
    </row>
    <row r="469" spans="1:71" x14ac:dyDescent="0.3">
      <c r="B469" s="474" t="s">
        <v>927</v>
      </c>
      <c r="D469" s="127" t="s">
        <v>925</v>
      </c>
    </row>
    <row r="470" spans="1:71" x14ac:dyDescent="0.3">
      <c r="B470" s="474"/>
      <c r="D470" s="127" t="s">
        <v>926</v>
      </c>
      <c r="BG470"/>
      <c r="BH470"/>
      <c r="BI470"/>
      <c r="BJ470"/>
      <c r="BK470"/>
      <c r="BL470"/>
      <c r="BM470"/>
      <c r="BN470"/>
      <c r="BO470"/>
      <c r="BP470"/>
      <c r="BQ470"/>
      <c r="BR470"/>
      <c r="BS470"/>
    </row>
    <row r="471" spans="1:71" x14ac:dyDescent="0.3">
      <c r="B471" s="474" t="s">
        <v>928</v>
      </c>
      <c r="D471" s="127" t="s">
        <v>929</v>
      </c>
      <c r="E471" s="127" t="s">
        <v>934</v>
      </c>
      <c r="G471" s="127" t="s">
        <v>935</v>
      </c>
      <c r="BG471"/>
      <c r="BH471" s="437" t="s">
        <v>1265</v>
      </c>
      <c r="BI471" s="437" t="s">
        <v>1424</v>
      </c>
      <c r="BJ471" s="437" t="s">
        <v>1425</v>
      </c>
      <c r="BK471" s="437" t="s">
        <v>1426</v>
      </c>
      <c r="BL471"/>
      <c r="BM471"/>
      <c r="BN471" s="438" t="s">
        <v>1427</v>
      </c>
      <c r="BO471" s="438" t="s">
        <v>1428</v>
      </c>
      <c r="BP471" s="438" t="s">
        <v>1429</v>
      </c>
      <c r="BQ471"/>
      <c r="BR471"/>
      <c r="BS471"/>
    </row>
    <row r="472" spans="1:71" x14ac:dyDescent="0.3">
      <c r="B472" s="474"/>
      <c r="G472" s="127" t="s">
        <v>936</v>
      </c>
      <c r="BG472"/>
      <c r="BH472" s="38">
        <v>0</v>
      </c>
      <c r="BI472" s="38">
        <v>-102</v>
      </c>
      <c r="BJ472" s="38">
        <v>-102</v>
      </c>
      <c r="BK472" s="38">
        <f>+BI472-BJ472</f>
        <v>0</v>
      </c>
      <c r="BL472"/>
      <c r="BM472"/>
      <c r="BN472" s="35">
        <v>0</v>
      </c>
      <c r="BO472" s="320">
        <f>+NPV(BN472,$BI$473:$BI$492)+$BI$472</f>
        <v>98</v>
      </c>
      <c r="BP472" s="320">
        <f>+NPV(BN472,$BJ$473:$BJ$492)+$BJ$472</f>
        <v>73</v>
      </c>
      <c r="BQ472"/>
      <c r="BR472"/>
      <c r="BS472"/>
    </row>
    <row r="473" spans="1:71" x14ac:dyDescent="0.3">
      <c r="B473" s="499" t="s">
        <v>930</v>
      </c>
      <c r="G473" s="127" t="s">
        <v>937</v>
      </c>
      <c r="BG473"/>
      <c r="BH473" s="38">
        <v>1</v>
      </c>
      <c r="BI473" s="38">
        <f>0.1*100/2</f>
        <v>5</v>
      </c>
      <c r="BJ473" s="38">
        <f>0.15*100/2</f>
        <v>7.5</v>
      </c>
      <c r="BK473" s="38">
        <f t="shared" ref="BK473:BK492" si="64">+BI473-BJ473</f>
        <v>-2.5</v>
      </c>
      <c r="BL473"/>
      <c r="BM473"/>
      <c r="BN473" s="35">
        <f>0.005+BN472</f>
        <v>5.0000000000000001E-3</v>
      </c>
      <c r="BO473" s="320">
        <f t="shared" ref="BO473:BO492" si="65">+NPV(BN473,$BI$473:$BI$492)+$BI$472</f>
        <v>83.443386160014597</v>
      </c>
      <c r="BP473" s="320">
        <f t="shared" ref="BP473:BP492" si="66">+NPV(BN473,$BJ$473:$BJ$492)+$BJ$472</f>
        <v>66.112883025503862</v>
      </c>
      <c r="BQ473"/>
      <c r="BR473"/>
      <c r="BS473"/>
    </row>
    <row r="474" spans="1:71" x14ac:dyDescent="0.3">
      <c r="B474" s="499"/>
      <c r="E474" s="127" t="s">
        <v>645</v>
      </c>
      <c r="F474" s="127" t="s">
        <v>644</v>
      </c>
      <c r="BG474"/>
      <c r="BH474" s="38">
        <v>2</v>
      </c>
      <c r="BI474" s="38">
        <f t="shared" ref="BI474:BI491" si="67">0.1*100/2</f>
        <v>5</v>
      </c>
      <c r="BJ474" s="38">
        <f t="shared" ref="BJ474:BJ481" si="68">0.15*100/2</f>
        <v>7.5</v>
      </c>
      <c r="BK474" s="38">
        <f t="shared" si="64"/>
        <v>-2.5</v>
      </c>
      <c r="BL474"/>
      <c r="BM474"/>
      <c r="BN474" s="35">
        <f t="shared" ref="BN474:BN486" si="69">0.005+BN473</f>
        <v>0.01</v>
      </c>
      <c r="BO474" s="320">
        <f t="shared" si="65"/>
        <v>70.182211865081769</v>
      </c>
      <c r="BP474" s="320">
        <f t="shared" si="66"/>
        <v>59.563479449560901</v>
      </c>
      <c r="BQ474"/>
      <c r="BR474"/>
      <c r="BS474"/>
    </row>
    <row r="475" spans="1:71" x14ac:dyDescent="0.3">
      <c r="B475" s="499"/>
      <c r="D475" s="127" t="s">
        <v>932</v>
      </c>
      <c r="E475" s="127">
        <v>100</v>
      </c>
      <c r="F475" s="127">
        <v>100</v>
      </c>
      <c r="BG475"/>
      <c r="BH475" s="38">
        <v>3</v>
      </c>
      <c r="BI475" s="38">
        <f t="shared" si="67"/>
        <v>5</v>
      </c>
      <c r="BJ475" s="38">
        <f t="shared" si="68"/>
        <v>7.5</v>
      </c>
      <c r="BK475" s="38">
        <f t="shared" si="64"/>
        <v>-2.5</v>
      </c>
      <c r="BL475"/>
      <c r="BM475"/>
      <c r="BN475" s="35">
        <f t="shared" si="69"/>
        <v>1.4999999999999999E-2</v>
      </c>
      <c r="BO475" s="320">
        <f t="shared" si="65"/>
        <v>58.090235747787005</v>
      </c>
      <c r="BP475" s="320">
        <f t="shared" si="66"/>
        <v>53.333107311126781</v>
      </c>
      <c r="BQ475"/>
      <c r="BR475"/>
      <c r="BS475"/>
    </row>
    <row r="476" spans="1:71" x14ac:dyDescent="0.3">
      <c r="B476" s="498" t="s">
        <v>931</v>
      </c>
      <c r="D476" s="127" t="s">
        <v>654</v>
      </c>
      <c r="E476" s="127">
        <v>102</v>
      </c>
      <c r="F476" s="127">
        <v>102</v>
      </c>
      <c r="BG476"/>
      <c r="BH476" s="38">
        <v>4</v>
      </c>
      <c r="BI476" s="38">
        <f t="shared" si="67"/>
        <v>5</v>
      </c>
      <c r="BJ476" s="38">
        <f t="shared" si="68"/>
        <v>7.5</v>
      </c>
      <c r="BK476" s="38">
        <f t="shared" si="64"/>
        <v>-2.5</v>
      </c>
      <c r="BL476"/>
      <c r="BM476"/>
      <c r="BN476" s="439">
        <f>+BK494</f>
        <v>1.9634241999492597E-2</v>
      </c>
      <c r="BO476" s="320">
        <f t="shared" si="65"/>
        <v>47.828069986949885</v>
      </c>
      <c r="BP476" s="320">
        <f t="shared" si="66"/>
        <v>47.828069986953494</v>
      </c>
      <c r="BQ476"/>
      <c r="BR476"/>
      <c r="BS476"/>
    </row>
    <row r="477" spans="1:71" x14ac:dyDescent="0.3">
      <c r="B477" s="498"/>
      <c r="D477" s="127" t="s">
        <v>933</v>
      </c>
      <c r="E477" s="127">
        <v>0.1</v>
      </c>
      <c r="F477" s="127">
        <v>0.15</v>
      </c>
      <c r="BG477"/>
      <c r="BH477" s="38">
        <v>5</v>
      </c>
      <c r="BI477" s="38">
        <f t="shared" si="67"/>
        <v>5</v>
      </c>
      <c r="BJ477" s="38">
        <f t="shared" si="68"/>
        <v>7.5</v>
      </c>
      <c r="BK477" s="38">
        <f t="shared" si="64"/>
        <v>-2.5</v>
      </c>
      <c r="BL477"/>
      <c r="BM477"/>
      <c r="BN477" s="35">
        <f t="shared" si="69"/>
        <v>2.4634241999492597E-2</v>
      </c>
      <c r="BO477" s="320">
        <f t="shared" si="65"/>
        <v>37.680057052084521</v>
      </c>
      <c r="BP477" s="320">
        <f t="shared" si="66"/>
        <v>42.16386159198268</v>
      </c>
      <c r="BQ477"/>
      <c r="BR477"/>
      <c r="BS477"/>
    </row>
    <row r="478" spans="1:71" x14ac:dyDescent="0.3">
      <c r="B478" s="498"/>
      <c r="D478" s="127" t="s">
        <v>193</v>
      </c>
      <c r="E478" s="127">
        <v>2</v>
      </c>
      <c r="F478" s="127">
        <v>2</v>
      </c>
      <c r="BG478"/>
      <c r="BH478" s="38">
        <v>6</v>
      </c>
      <c r="BI478" s="38">
        <f t="shared" si="67"/>
        <v>5</v>
      </c>
      <c r="BJ478" s="38">
        <f t="shared" si="68"/>
        <v>7.5</v>
      </c>
      <c r="BK478" s="38">
        <f t="shared" si="64"/>
        <v>-2.5</v>
      </c>
      <c r="BL478"/>
      <c r="BM478"/>
      <c r="BN478" s="35">
        <f t="shared" si="69"/>
        <v>2.9634241999492598E-2</v>
      </c>
      <c r="BO478" s="320">
        <f t="shared" si="65"/>
        <v>28.401819514397147</v>
      </c>
      <c r="BP478" s="320">
        <f t="shared" si="66"/>
        <v>36.770245982450035</v>
      </c>
      <c r="BQ478"/>
      <c r="BR478"/>
      <c r="BS478"/>
    </row>
    <row r="479" spans="1:71" x14ac:dyDescent="0.3">
      <c r="B479" s="498"/>
      <c r="D479" s="127" t="s">
        <v>932</v>
      </c>
      <c r="E479" s="127">
        <v>10</v>
      </c>
      <c r="F479" s="127">
        <v>5</v>
      </c>
      <c r="BG479"/>
      <c r="BH479" s="38">
        <v>7</v>
      </c>
      <c r="BI479" s="38">
        <f t="shared" si="67"/>
        <v>5</v>
      </c>
      <c r="BJ479" s="38">
        <f t="shared" si="68"/>
        <v>7.5</v>
      </c>
      <c r="BK479" s="38">
        <f t="shared" si="64"/>
        <v>-2.5</v>
      </c>
      <c r="BL479"/>
      <c r="BM479"/>
      <c r="BN479" s="35">
        <f t="shared" si="69"/>
        <v>3.4634241999492596E-2</v>
      </c>
      <c r="BO479" s="320">
        <f t="shared" si="65"/>
        <v>19.910886852969853</v>
      </c>
      <c r="BP479" s="320">
        <f t="shared" si="66"/>
        <v>31.632581970927959</v>
      </c>
      <c r="BQ479"/>
      <c r="BR479"/>
      <c r="BS479"/>
    </row>
    <row r="480" spans="1:71" x14ac:dyDescent="0.3">
      <c r="BG480"/>
      <c r="BH480" s="38">
        <v>8</v>
      </c>
      <c r="BI480" s="38">
        <f t="shared" si="67"/>
        <v>5</v>
      </c>
      <c r="BJ480" s="38">
        <f t="shared" si="68"/>
        <v>7.5</v>
      </c>
      <c r="BK480" s="38">
        <f t="shared" si="64"/>
        <v>-2.5</v>
      </c>
      <c r="BL480"/>
      <c r="BM480"/>
      <c r="BN480" s="35">
        <f t="shared" si="69"/>
        <v>3.9634241999492593E-2</v>
      </c>
      <c r="BO480" s="320">
        <f t="shared" si="65"/>
        <v>12.13313934994892</v>
      </c>
      <c r="BP480" s="320">
        <f t="shared" si="66"/>
        <v>26.73709817153042</v>
      </c>
      <c r="BQ480"/>
      <c r="BR480"/>
      <c r="BS480"/>
    </row>
    <row r="481" spans="4:71" x14ac:dyDescent="0.3">
      <c r="D481" s="127" t="s">
        <v>909</v>
      </c>
      <c r="E481" s="127">
        <f>+(E477/E478)*E479</f>
        <v>0.5</v>
      </c>
      <c r="F481" s="127">
        <f>+F477/F478*F479</f>
        <v>0.375</v>
      </c>
      <c r="G481" s="127" t="s">
        <v>939</v>
      </c>
      <c r="H481" s="127">
        <v>5</v>
      </c>
      <c r="I481" s="127">
        <v>7.5</v>
      </c>
      <c r="BG481"/>
      <c r="BH481" s="38">
        <v>9</v>
      </c>
      <c r="BI481" s="38">
        <f t="shared" si="67"/>
        <v>5</v>
      </c>
      <c r="BJ481" s="38">
        <f t="shared" si="68"/>
        <v>7.5</v>
      </c>
      <c r="BK481" s="38">
        <f t="shared" si="64"/>
        <v>-2.5</v>
      </c>
      <c r="BL481"/>
      <c r="BM481"/>
      <c r="BN481" s="35">
        <f t="shared" si="69"/>
        <v>4.4634241999492591E-2</v>
      </c>
      <c r="BO481" s="320">
        <f t="shared" si="65"/>
        <v>5.0019177672972575</v>
      </c>
      <c r="BP481" s="320">
        <f t="shared" si="66"/>
        <v>22.070837088651075</v>
      </c>
      <c r="BQ481"/>
      <c r="BR481"/>
      <c r="BS481"/>
    </row>
    <row r="482" spans="4:71" x14ac:dyDescent="0.3">
      <c r="D482" s="127" t="s">
        <v>938</v>
      </c>
      <c r="E482" s="127">
        <f>+E479*E478</f>
        <v>20</v>
      </c>
      <c r="F482" s="127">
        <f>+F479*F478</f>
        <v>10</v>
      </c>
      <c r="G482" s="127" t="s">
        <v>940</v>
      </c>
      <c r="H482" s="127" t="s">
        <v>941</v>
      </c>
      <c r="BG482"/>
      <c r="BH482" s="38">
        <v>10</v>
      </c>
      <c r="BI482" s="38">
        <f t="shared" si="67"/>
        <v>5</v>
      </c>
      <c r="BJ482" s="38">
        <v>107.5</v>
      </c>
      <c r="BK482" s="38">
        <f t="shared" si="64"/>
        <v>-102.5</v>
      </c>
      <c r="BL482"/>
      <c r="BM482"/>
      <c r="BN482" s="439">
        <f>+BI494</f>
        <v>4.8416623456077668E-2</v>
      </c>
      <c r="BO482" s="320">
        <f t="shared" si="65"/>
        <v>1.6328272067767102E-11</v>
      </c>
      <c r="BP482" s="320">
        <f t="shared" si="66"/>
        <v>18.685737447324456</v>
      </c>
      <c r="BQ482"/>
      <c r="BR482"/>
      <c r="BS482"/>
    </row>
    <row r="483" spans="4:71" x14ac:dyDescent="0.3">
      <c r="BG483"/>
      <c r="BH483" s="38">
        <v>11</v>
      </c>
      <c r="BI483" s="38">
        <f t="shared" si="67"/>
        <v>5</v>
      </c>
      <c r="BJ483" s="38"/>
      <c r="BK483" s="38">
        <f t="shared" si="64"/>
        <v>5</v>
      </c>
      <c r="BL483"/>
      <c r="BM483"/>
      <c r="BN483" s="35">
        <v>0.05</v>
      </c>
      <c r="BO483" s="320">
        <f t="shared" si="65"/>
        <v>-2.0000000000000568</v>
      </c>
      <c r="BP483" s="320">
        <f t="shared" si="66"/>
        <v>17.304337322961985</v>
      </c>
      <c r="BQ483"/>
      <c r="BR483"/>
      <c r="BS483"/>
    </row>
    <row r="484" spans="4:71" x14ac:dyDescent="0.3">
      <c r="D484" s="220" t="s">
        <v>942</v>
      </c>
      <c r="E484" s="220" t="s">
        <v>645</v>
      </c>
      <c r="F484" s="220" t="s">
        <v>644</v>
      </c>
      <c r="G484" s="127" t="s">
        <v>829</v>
      </c>
      <c r="BG484"/>
      <c r="BH484" s="38">
        <v>12</v>
      </c>
      <c r="BI484" s="38">
        <f t="shared" si="67"/>
        <v>5</v>
      </c>
      <c r="BJ484" s="38"/>
      <c r="BK484" s="38">
        <f t="shared" si="64"/>
        <v>5</v>
      </c>
      <c r="BL484"/>
      <c r="BM484"/>
      <c r="BN484" s="35">
        <f t="shared" si="69"/>
        <v>5.5E-2</v>
      </c>
      <c r="BO484" s="320">
        <f t="shared" si="65"/>
        <v>-7.9751912424641063</v>
      </c>
      <c r="BP484" s="320">
        <f t="shared" si="66"/>
        <v>13.075251657177958</v>
      </c>
      <c r="BQ484"/>
      <c r="BR484"/>
      <c r="BS484"/>
    </row>
    <row r="485" spans="4:71" x14ac:dyDescent="0.3">
      <c r="D485" s="127" t="s">
        <v>943</v>
      </c>
      <c r="E485" s="127">
        <v>-102</v>
      </c>
      <c r="F485" s="127">
        <v>-102</v>
      </c>
      <c r="G485" s="127">
        <f>+E485-F485</f>
        <v>0</v>
      </c>
      <c r="BG485"/>
      <c r="BH485" s="38">
        <v>13</v>
      </c>
      <c r="BI485" s="38">
        <f t="shared" si="67"/>
        <v>5</v>
      </c>
      <c r="BJ485" s="38"/>
      <c r="BK485" s="38">
        <f t="shared" si="64"/>
        <v>5</v>
      </c>
      <c r="BL485"/>
      <c r="BM485"/>
      <c r="BN485" s="35">
        <f t="shared" si="69"/>
        <v>0.06</v>
      </c>
      <c r="BO485" s="320">
        <f t="shared" si="65"/>
        <v>-13.469921218565318</v>
      </c>
      <c r="BP485" s="320">
        <f t="shared" si="66"/>
        <v>9.0401305771220137</v>
      </c>
      <c r="BQ485"/>
      <c r="BR485"/>
      <c r="BS485"/>
    </row>
    <row r="486" spans="4:71" x14ac:dyDescent="0.3">
      <c r="D486" s="127">
        <v>1</v>
      </c>
      <c r="E486" s="127">
        <v>5</v>
      </c>
      <c r="F486" s="127">
        <v>7.5</v>
      </c>
      <c r="G486" s="127">
        <f t="shared" ref="G486:G505" si="70">+E486-F486</f>
        <v>-2.5</v>
      </c>
      <c r="BG486"/>
      <c r="BH486" s="38">
        <v>14</v>
      </c>
      <c r="BI486" s="38">
        <f t="shared" si="67"/>
        <v>5</v>
      </c>
      <c r="BJ486" s="38"/>
      <c r="BK486" s="38">
        <f t="shared" si="64"/>
        <v>5</v>
      </c>
      <c r="BL486"/>
      <c r="BM486"/>
      <c r="BN486" s="35">
        <f t="shared" si="69"/>
        <v>6.5000000000000002E-2</v>
      </c>
      <c r="BO486" s="320">
        <f t="shared" si="65"/>
        <v>-18.527760871044123</v>
      </c>
      <c r="BP486" s="320">
        <f t="shared" si="66"/>
        <v>5.1888302227611263</v>
      </c>
      <c r="BQ486"/>
      <c r="BR486"/>
      <c r="BS486"/>
    </row>
    <row r="487" spans="4:71" x14ac:dyDescent="0.3">
      <c r="D487" s="127">
        <v>2</v>
      </c>
      <c r="E487" s="127">
        <v>5</v>
      </c>
      <c r="F487" s="127">
        <v>7.5</v>
      </c>
      <c r="G487" s="127">
        <f t="shared" si="70"/>
        <v>-2.5</v>
      </c>
      <c r="BG487"/>
      <c r="BH487" s="38">
        <v>15</v>
      </c>
      <c r="BI487" s="38">
        <f t="shared" si="67"/>
        <v>5</v>
      </c>
      <c r="BJ487" s="38"/>
      <c r="BK487" s="38">
        <f t="shared" si="64"/>
        <v>5</v>
      </c>
      <c r="BL487"/>
      <c r="BM487"/>
      <c r="BN487" s="439">
        <f>+BJ494</f>
        <v>7.2124422450473791E-2</v>
      </c>
      <c r="BO487" s="320">
        <f t="shared" si="65"/>
        <v>-25.056568118187798</v>
      </c>
      <c r="BP487" s="320">
        <f t="shared" si="66"/>
        <v>-3.8667735680064652E-11</v>
      </c>
      <c r="BQ487"/>
      <c r="BR487"/>
      <c r="BS487"/>
    </row>
    <row r="488" spans="4:71" x14ac:dyDescent="0.3">
      <c r="D488" s="127">
        <v>3</v>
      </c>
      <c r="E488" s="127">
        <v>5</v>
      </c>
      <c r="F488" s="127">
        <v>7.5</v>
      </c>
      <c r="G488" s="127">
        <f t="shared" si="70"/>
        <v>-2.5</v>
      </c>
      <c r="BG488"/>
      <c r="BH488" s="38">
        <v>16</v>
      </c>
      <c r="BI488" s="38">
        <f t="shared" si="67"/>
        <v>5</v>
      </c>
      <c r="BJ488" s="38"/>
      <c r="BK488" s="38">
        <f t="shared" si="64"/>
        <v>5</v>
      </c>
      <c r="BL488"/>
      <c r="BM488"/>
      <c r="BN488" s="35">
        <v>0.08</v>
      </c>
      <c r="BO488" s="320">
        <f t="shared" si="65"/>
        <v>-31.454442222347922</v>
      </c>
      <c r="BP488" s="320">
        <f t="shared" si="66"/>
        <v>-5.3550406994707771</v>
      </c>
      <c r="BQ488"/>
      <c r="BR488"/>
      <c r="BS488"/>
    </row>
    <row r="489" spans="4:71" x14ac:dyDescent="0.3">
      <c r="D489" s="127">
        <v>4</v>
      </c>
      <c r="E489" s="127">
        <v>5</v>
      </c>
      <c r="F489" s="127">
        <v>7.5</v>
      </c>
      <c r="G489" s="127">
        <f t="shared" si="70"/>
        <v>-2.5</v>
      </c>
      <c r="BG489"/>
      <c r="BH489" s="38">
        <v>17</v>
      </c>
      <c r="BI489" s="38">
        <f t="shared" si="67"/>
        <v>5</v>
      </c>
      <c r="BJ489" s="38"/>
      <c r="BK489" s="38">
        <f t="shared" si="64"/>
        <v>5</v>
      </c>
      <c r="BL489"/>
      <c r="BM489"/>
      <c r="BN489" s="35">
        <f>0.005+BN488</f>
        <v>8.5000000000000006E-2</v>
      </c>
      <c r="BO489" s="320">
        <f t="shared" si="65"/>
        <v>-35.121678126585238</v>
      </c>
      <c r="BP489" s="320">
        <f t="shared" si="66"/>
        <v>-8.5613480583894415</v>
      </c>
      <c r="BQ489"/>
      <c r="BR489"/>
      <c r="BS489"/>
    </row>
    <row r="490" spans="4:71" x14ac:dyDescent="0.3">
      <c r="D490" s="127">
        <v>5</v>
      </c>
      <c r="E490" s="127">
        <v>5</v>
      </c>
      <c r="F490" s="127">
        <v>7.5</v>
      </c>
      <c r="G490" s="127">
        <f t="shared" si="70"/>
        <v>-2.5</v>
      </c>
      <c r="BG490"/>
      <c r="BH490" s="38">
        <v>18</v>
      </c>
      <c r="BI490" s="38">
        <f t="shared" si="67"/>
        <v>5</v>
      </c>
      <c r="BJ490" s="38"/>
      <c r="BK490" s="38">
        <f t="shared" si="64"/>
        <v>5</v>
      </c>
      <c r="BL490"/>
      <c r="BM490"/>
      <c r="BN490" s="35">
        <f t="shared" ref="BN490:BN492" si="71">0.005+BN489</f>
        <v>9.0000000000000011E-2</v>
      </c>
      <c r="BO490" s="320">
        <f t="shared" si="65"/>
        <v>-38.514182676343744</v>
      </c>
      <c r="BP490" s="320">
        <f t="shared" si="66"/>
        <v>-11.626486551738552</v>
      </c>
      <c r="BQ490"/>
      <c r="BR490"/>
      <c r="BS490"/>
    </row>
    <row r="491" spans="4:71" x14ac:dyDescent="0.3">
      <c r="D491" s="127">
        <v>6</v>
      </c>
      <c r="E491" s="127">
        <v>5</v>
      </c>
      <c r="F491" s="127">
        <v>7.5</v>
      </c>
      <c r="G491" s="127">
        <f t="shared" si="70"/>
        <v>-2.5</v>
      </c>
      <c r="BG491"/>
      <c r="BH491" s="38">
        <v>19</v>
      </c>
      <c r="BI491" s="38">
        <f t="shared" si="67"/>
        <v>5</v>
      </c>
      <c r="BJ491" s="38"/>
      <c r="BK491" s="38">
        <f t="shared" si="64"/>
        <v>5</v>
      </c>
      <c r="BL491"/>
      <c r="BM491"/>
      <c r="BN491" s="35">
        <f t="shared" si="71"/>
        <v>9.5000000000000015E-2</v>
      </c>
      <c r="BO491" s="320">
        <f t="shared" si="65"/>
        <v>-41.655719525789699</v>
      </c>
      <c r="BP491" s="320">
        <f t="shared" si="66"/>
        <v>-14.55759606864325</v>
      </c>
      <c r="BQ491"/>
      <c r="BR491"/>
      <c r="BS491"/>
    </row>
    <row r="492" spans="4:71" x14ac:dyDescent="0.3">
      <c r="D492" s="127">
        <v>7</v>
      </c>
      <c r="E492" s="127">
        <v>5</v>
      </c>
      <c r="F492" s="127">
        <v>7.5</v>
      </c>
      <c r="G492" s="127">
        <f t="shared" si="70"/>
        <v>-2.5</v>
      </c>
      <c r="BG492"/>
      <c r="BH492" s="38">
        <v>20</v>
      </c>
      <c r="BI492" s="38">
        <v>105</v>
      </c>
      <c r="BJ492" s="38"/>
      <c r="BK492" s="38">
        <f t="shared" si="64"/>
        <v>105</v>
      </c>
      <c r="BL492"/>
      <c r="BM492"/>
      <c r="BN492" s="35">
        <f t="shared" si="71"/>
        <v>0.10000000000000002</v>
      </c>
      <c r="BO492" s="320">
        <f t="shared" si="65"/>
        <v>-44.567818598792854</v>
      </c>
      <c r="BP492" s="320">
        <f t="shared" si="66"/>
        <v>-17.361417764261759</v>
      </c>
      <c r="BQ492"/>
      <c r="BR492"/>
      <c r="BS492"/>
    </row>
    <row r="493" spans="4:71" x14ac:dyDescent="0.3">
      <c r="D493" s="127">
        <v>8</v>
      </c>
      <c r="E493" s="127">
        <v>5</v>
      </c>
      <c r="F493" s="127">
        <v>7.5</v>
      </c>
      <c r="G493" s="127">
        <f t="shared" si="70"/>
        <v>-2.5</v>
      </c>
      <c r="BG493"/>
      <c r="BH493"/>
      <c r="BI493"/>
      <c r="BJ493"/>
      <c r="BK493"/>
      <c r="BL493"/>
      <c r="BM493"/>
      <c r="BN493"/>
      <c r="BO493"/>
      <c r="BP493"/>
      <c r="BQ493"/>
      <c r="BR493"/>
      <c r="BS493"/>
    </row>
    <row r="494" spans="4:71" x14ac:dyDescent="0.3">
      <c r="D494" s="127">
        <v>9</v>
      </c>
      <c r="E494" s="127">
        <v>5</v>
      </c>
      <c r="F494" s="127">
        <v>7.5</v>
      </c>
      <c r="G494" s="127">
        <f t="shared" si="70"/>
        <v>-2.5</v>
      </c>
      <c r="BG494"/>
      <c r="BH494" t="s">
        <v>819</v>
      </c>
      <c r="BI494" s="79">
        <f>+IRR(BI472:BI492)</f>
        <v>4.8416623456077668E-2</v>
      </c>
      <c r="BJ494" s="79">
        <f t="shared" ref="BJ494:BK494" si="72">+IRR(BJ472:BJ492)</f>
        <v>7.2124422450473791E-2</v>
      </c>
      <c r="BK494" s="79">
        <f t="shared" si="72"/>
        <v>1.9634241999492597E-2</v>
      </c>
      <c r="BL494"/>
      <c r="BM494"/>
      <c r="BN494"/>
      <c r="BO494"/>
      <c r="BP494"/>
      <c r="BQ494"/>
      <c r="BR494"/>
      <c r="BS494"/>
    </row>
    <row r="495" spans="4:71" x14ac:dyDescent="0.3">
      <c r="D495" s="127">
        <v>10</v>
      </c>
      <c r="E495" s="127">
        <v>5</v>
      </c>
      <c r="F495" s="127">
        <f>7.5+100</f>
        <v>107.5</v>
      </c>
      <c r="G495" s="127">
        <f t="shared" si="70"/>
        <v>-102.5</v>
      </c>
      <c r="BG495"/>
      <c r="BH495"/>
      <c r="BI495"/>
      <c r="BJ495"/>
      <c r="BK495"/>
      <c r="BL495"/>
      <c r="BM495"/>
      <c r="BN495"/>
      <c r="BO495"/>
      <c r="BP495"/>
      <c r="BQ495"/>
      <c r="BR495"/>
      <c r="BS495"/>
    </row>
    <row r="496" spans="4:71" x14ac:dyDescent="0.3">
      <c r="D496" s="127">
        <v>11</v>
      </c>
      <c r="E496" s="127">
        <v>5</v>
      </c>
      <c r="G496" s="127">
        <f t="shared" si="70"/>
        <v>5</v>
      </c>
      <c r="BG496"/>
      <c r="BH496"/>
      <c r="BI496"/>
      <c r="BJ496"/>
      <c r="BK496"/>
      <c r="BL496"/>
      <c r="BM496"/>
      <c r="BN496"/>
      <c r="BO496"/>
      <c r="BP496"/>
      <c r="BQ496"/>
      <c r="BR496"/>
      <c r="BS496"/>
    </row>
    <row r="497" spans="4:71" x14ac:dyDescent="0.3">
      <c r="D497" s="127">
        <v>12</v>
      </c>
      <c r="E497" s="127">
        <v>5</v>
      </c>
      <c r="G497" s="127">
        <f t="shared" si="70"/>
        <v>5</v>
      </c>
      <c r="BG497"/>
      <c r="BH497"/>
      <c r="BI497"/>
      <c r="BJ497"/>
      <c r="BK497"/>
      <c r="BL497"/>
      <c r="BM497"/>
      <c r="BN497"/>
      <c r="BO497"/>
      <c r="BP497"/>
      <c r="BQ497"/>
      <c r="BR497"/>
      <c r="BS497"/>
    </row>
    <row r="498" spans="4:71" x14ac:dyDescent="0.3">
      <c r="D498" s="127">
        <v>13</v>
      </c>
      <c r="E498" s="127">
        <v>5</v>
      </c>
      <c r="G498" s="127">
        <f t="shared" si="70"/>
        <v>5</v>
      </c>
      <c r="BG498"/>
      <c r="BH498"/>
      <c r="BI498"/>
      <c r="BJ498"/>
      <c r="BK498"/>
      <c r="BL498"/>
      <c r="BM498"/>
      <c r="BN498"/>
      <c r="BO498"/>
      <c r="BP498"/>
      <c r="BQ498"/>
      <c r="BR498"/>
      <c r="BS498"/>
    </row>
    <row r="499" spans="4:71" x14ac:dyDescent="0.3">
      <c r="D499" s="127">
        <v>14</v>
      </c>
      <c r="E499" s="127">
        <v>5</v>
      </c>
      <c r="G499" s="127">
        <f t="shared" si="70"/>
        <v>5</v>
      </c>
      <c r="BG499"/>
      <c r="BH499"/>
      <c r="BI499"/>
      <c r="BJ499"/>
      <c r="BK499"/>
      <c r="BL499"/>
      <c r="BM499"/>
      <c r="BN499"/>
      <c r="BO499"/>
      <c r="BP499"/>
      <c r="BQ499"/>
      <c r="BR499"/>
      <c r="BS499"/>
    </row>
    <row r="500" spans="4:71" x14ac:dyDescent="0.3">
      <c r="D500" s="127">
        <v>15</v>
      </c>
      <c r="E500" s="127">
        <v>5</v>
      </c>
      <c r="G500" s="127">
        <f t="shared" si="70"/>
        <v>5</v>
      </c>
      <c r="BG500"/>
      <c r="BH500"/>
      <c r="BI500"/>
      <c r="BJ500"/>
      <c r="BK500"/>
      <c r="BL500"/>
      <c r="BM500"/>
      <c r="BN500"/>
      <c r="BO500"/>
      <c r="BP500"/>
      <c r="BQ500"/>
      <c r="BR500"/>
      <c r="BS500"/>
    </row>
    <row r="501" spans="4:71" x14ac:dyDescent="0.3">
      <c r="D501" s="127">
        <v>16</v>
      </c>
      <c r="E501" s="127">
        <v>5</v>
      </c>
      <c r="G501" s="127">
        <f t="shared" si="70"/>
        <v>5</v>
      </c>
      <c r="BG501"/>
      <c r="BH501"/>
      <c r="BI501"/>
      <c r="BJ501"/>
      <c r="BK501"/>
      <c r="BL501"/>
      <c r="BM501"/>
      <c r="BN501"/>
      <c r="BO501"/>
      <c r="BP501"/>
      <c r="BQ501"/>
      <c r="BR501"/>
      <c r="BS501"/>
    </row>
    <row r="502" spans="4:71" x14ac:dyDescent="0.3">
      <c r="D502" s="127">
        <v>17</v>
      </c>
      <c r="E502" s="127">
        <v>5</v>
      </c>
      <c r="G502" s="127">
        <f t="shared" si="70"/>
        <v>5</v>
      </c>
      <c r="BG502"/>
      <c r="BH502"/>
      <c r="BI502"/>
      <c r="BJ502"/>
      <c r="BK502"/>
      <c r="BL502"/>
      <c r="BM502"/>
      <c r="BN502"/>
      <c r="BO502"/>
      <c r="BP502"/>
      <c r="BQ502"/>
      <c r="BR502"/>
      <c r="BS502"/>
    </row>
    <row r="503" spans="4:71" x14ac:dyDescent="0.3">
      <c r="D503" s="127">
        <v>18</v>
      </c>
      <c r="E503" s="127">
        <v>5</v>
      </c>
      <c r="G503" s="127">
        <f t="shared" si="70"/>
        <v>5</v>
      </c>
      <c r="BG503"/>
      <c r="BH503"/>
      <c r="BI503"/>
      <c r="BJ503"/>
      <c r="BK503"/>
      <c r="BL503"/>
      <c r="BM503"/>
      <c r="BN503"/>
      <c r="BO503"/>
      <c r="BP503"/>
      <c r="BQ503"/>
      <c r="BR503"/>
      <c r="BS503"/>
    </row>
    <row r="504" spans="4:71" x14ac:dyDescent="0.3">
      <c r="D504" s="127">
        <v>19</v>
      </c>
      <c r="E504" s="127">
        <v>5</v>
      </c>
      <c r="G504" s="127">
        <f t="shared" si="70"/>
        <v>5</v>
      </c>
      <c r="BG504"/>
      <c r="BH504"/>
      <c r="BI504"/>
      <c r="BJ504"/>
      <c r="BK504"/>
      <c r="BL504"/>
      <c r="BM504"/>
      <c r="BN504"/>
      <c r="BO504"/>
      <c r="BP504"/>
      <c r="BQ504"/>
      <c r="BR504"/>
      <c r="BS504"/>
    </row>
    <row r="505" spans="4:71" x14ac:dyDescent="0.3">
      <c r="D505" s="127">
        <v>20</v>
      </c>
      <c r="E505" s="127">
        <f>5+100</f>
        <v>105</v>
      </c>
      <c r="G505" s="127">
        <f t="shared" si="70"/>
        <v>105</v>
      </c>
      <c r="BG505"/>
      <c r="BH505"/>
      <c r="BI505"/>
      <c r="BJ505"/>
      <c r="BK505"/>
      <c r="BL505"/>
      <c r="BM505"/>
      <c r="BN505"/>
      <c r="BO505"/>
      <c r="BP505"/>
      <c r="BQ505"/>
      <c r="BR505"/>
      <c r="BS505"/>
    </row>
    <row r="506" spans="4:71" x14ac:dyDescent="0.3">
      <c r="D506" s="133" t="s">
        <v>819</v>
      </c>
      <c r="E506" s="257">
        <f>+IRR(E485:E505)</f>
        <v>4.8416623456077668E-2</v>
      </c>
      <c r="F506" s="257">
        <f>+IRR(F485:F505)</f>
        <v>7.2124422450473791E-2</v>
      </c>
      <c r="G506" s="259">
        <f>+IRR(G485:G505)</f>
        <v>1.9634241999492597E-2</v>
      </c>
      <c r="BG506"/>
      <c r="BH506"/>
      <c r="BI506"/>
      <c r="BJ506"/>
      <c r="BK506"/>
      <c r="BL506"/>
      <c r="BM506"/>
      <c r="BN506"/>
      <c r="BO506"/>
      <c r="BP506"/>
      <c r="BQ506"/>
      <c r="BR506"/>
      <c r="BS506"/>
    </row>
    <row r="507" spans="4:71" x14ac:dyDescent="0.3">
      <c r="G507" s="127" t="s">
        <v>944</v>
      </c>
      <c r="BG507"/>
      <c r="BH507"/>
      <c r="BI507"/>
      <c r="BJ507"/>
      <c r="BK507"/>
      <c r="BL507"/>
      <c r="BM507"/>
      <c r="BN507"/>
      <c r="BO507"/>
      <c r="BP507"/>
      <c r="BQ507"/>
      <c r="BR507"/>
      <c r="BS507"/>
    </row>
    <row r="508" spans="4:71" x14ac:dyDescent="0.3">
      <c r="D508" s="133" t="s">
        <v>828</v>
      </c>
      <c r="E508" s="127" t="s">
        <v>945</v>
      </c>
      <c r="F508" s="127" t="s">
        <v>838</v>
      </c>
      <c r="BG508"/>
      <c r="BH508"/>
      <c r="BI508"/>
      <c r="BJ508"/>
      <c r="BK508"/>
      <c r="BL508"/>
      <c r="BM508"/>
      <c r="BN508"/>
      <c r="BO508"/>
      <c r="BP508"/>
      <c r="BQ508"/>
      <c r="BR508"/>
      <c r="BS508"/>
    </row>
    <row r="509" spans="4:71" x14ac:dyDescent="0.3">
      <c r="D509" s="150">
        <v>0</v>
      </c>
      <c r="E509" s="127">
        <f>+NPV(D509, $E$486:$E$505)+$E$485</f>
        <v>98</v>
      </c>
      <c r="F509" s="127">
        <f>+NPV(D509, $F$486:$F$505)+$F$485</f>
        <v>73</v>
      </c>
      <c r="BG509"/>
      <c r="BH509"/>
      <c r="BI509"/>
      <c r="BJ509"/>
      <c r="BK509"/>
      <c r="BL509"/>
      <c r="BM509"/>
      <c r="BN509"/>
      <c r="BO509"/>
      <c r="BP509"/>
      <c r="BQ509"/>
      <c r="BR509"/>
      <c r="BS509"/>
    </row>
    <row r="510" spans="4:71" x14ac:dyDescent="0.3">
      <c r="D510" s="150">
        <f>+G506</f>
        <v>1.9634241999492597E-2</v>
      </c>
      <c r="E510" s="127">
        <f t="shared" ref="E510" si="73">+NPV(D510, $E$486:$E$505)+$E$485</f>
        <v>47.828069986949885</v>
      </c>
      <c r="F510" s="127">
        <f t="shared" ref="F510:F514" si="74">+NPV(D510, $F$486:$F$505)+$F$485</f>
        <v>47.828069986953494</v>
      </c>
      <c r="BG510"/>
      <c r="BH510"/>
      <c r="BI510"/>
      <c r="BJ510"/>
      <c r="BK510"/>
      <c r="BL510"/>
      <c r="BM510"/>
      <c r="BN510"/>
      <c r="BO510"/>
      <c r="BP510"/>
      <c r="BQ510"/>
      <c r="BR510"/>
      <c r="BS510"/>
    </row>
    <row r="511" spans="4:71" x14ac:dyDescent="0.3">
      <c r="D511" s="150">
        <f>+E506</f>
        <v>4.8416623456077668E-2</v>
      </c>
      <c r="E511" s="127">
        <f t="shared" ref="E511" si="75">+NPV(D511, $E$486:$E$505)+$E$485</f>
        <v>1.6328272067767102E-11</v>
      </c>
      <c r="F511" s="127">
        <f t="shared" si="74"/>
        <v>18.685737447324456</v>
      </c>
      <c r="BG511"/>
      <c r="BH511" t="s">
        <v>1430</v>
      </c>
      <c r="BI511"/>
      <c r="BJ511"/>
      <c r="BK511"/>
      <c r="BL511"/>
      <c r="BM511"/>
      <c r="BN511"/>
      <c r="BO511"/>
      <c r="BP511"/>
      <c r="BQ511"/>
      <c r="BR511"/>
      <c r="BS511"/>
    </row>
    <row r="512" spans="4:71" x14ac:dyDescent="0.3">
      <c r="D512" s="150">
        <f>+D510+0.05</f>
        <v>6.9634241999492599E-2</v>
      </c>
      <c r="E512" s="127">
        <f t="shared" ref="E512" si="76">+NPV(D512, $E$486:$E$505)+$E$485</f>
        <v>-22.85980629413163</v>
      </c>
      <c r="F512" s="127">
        <f t="shared" si="74"/>
        <v>1.7750639145182845</v>
      </c>
      <c r="BG512"/>
      <c r="BH512" t="s">
        <v>1431</v>
      </c>
      <c r="BI512"/>
      <c r="BJ512"/>
      <c r="BK512"/>
      <c r="BL512"/>
      <c r="BM512"/>
      <c r="BN512"/>
      <c r="BO512"/>
      <c r="BP512"/>
      <c r="BQ512"/>
      <c r="BR512"/>
      <c r="BS512"/>
    </row>
    <row r="513" spans="4:71" x14ac:dyDescent="0.3">
      <c r="D513" s="150">
        <f>+F506</f>
        <v>7.2124422450473791E-2</v>
      </c>
      <c r="E513" s="127">
        <f t="shared" ref="E513" si="77">+NPV(D513, $E$486:$E$505)+$E$485</f>
        <v>-25.056568118187798</v>
      </c>
      <c r="F513" s="127">
        <f t="shared" si="74"/>
        <v>-3.8667735680064652E-11</v>
      </c>
      <c r="BG513"/>
      <c r="BH513" t="s">
        <v>1432</v>
      </c>
      <c r="BI513"/>
      <c r="BJ513"/>
      <c r="BK513"/>
      <c r="BL513"/>
      <c r="BM513"/>
      <c r="BN513"/>
      <c r="BO513"/>
      <c r="BP513"/>
      <c r="BQ513"/>
      <c r="BR513"/>
      <c r="BS513"/>
    </row>
    <row r="514" spans="4:71" x14ac:dyDescent="0.3">
      <c r="D514" s="150">
        <f>+D512+0.05</f>
        <v>0.1196342419994926</v>
      </c>
      <c r="E514" s="127">
        <f t="shared" ref="E514" si="78">+NPV(D514, $E$486:$E$505)+$E$485</f>
        <v>-54.132377616492441</v>
      </c>
      <c r="F514" s="127">
        <f t="shared" si="74"/>
        <v>-27.257145700064029</v>
      </c>
      <c r="BG514"/>
      <c r="BH514" t="s">
        <v>1433</v>
      </c>
      <c r="BI514"/>
      <c r="BJ514"/>
      <c r="BK514"/>
      <c r="BL514"/>
      <c r="BM514"/>
      <c r="BN514"/>
      <c r="BO514"/>
      <c r="BP514"/>
      <c r="BQ514"/>
      <c r="BR514"/>
      <c r="BS514"/>
    </row>
    <row r="515" spans="4:71" x14ac:dyDescent="0.3">
      <c r="D515" s="160"/>
    </row>
    <row r="516" spans="4:71" x14ac:dyDescent="0.3">
      <c r="D516" s="160"/>
    </row>
    <row r="517" spans="4:71" x14ac:dyDescent="0.3">
      <c r="D517" s="149"/>
    </row>
    <row r="518" spans="4:71" x14ac:dyDescent="0.3">
      <c r="D518" s="149"/>
    </row>
    <row r="519" spans="4:71" x14ac:dyDescent="0.3">
      <c r="D519" s="149"/>
    </row>
    <row r="520" spans="4:71" x14ac:dyDescent="0.3">
      <c r="D520" s="149"/>
    </row>
    <row r="521" spans="4:71" x14ac:dyDescent="0.3">
      <c r="D521" s="149"/>
    </row>
    <row r="522" spans="4:71" x14ac:dyDescent="0.3">
      <c r="D522" s="149"/>
    </row>
    <row r="523" spans="4:71" x14ac:dyDescent="0.3">
      <c r="D523" s="149"/>
    </row>
    <row r="524" spans="4:71" x14ac:dyDescent="0.3">
      <c r="D524" s="149"/>
    </row>
    <row r="525" spans="4:71" x14ac:dyDescent="0.3">
      <c r="D525" s="149"/>
    </row>
    <row r="526" spans="4:71" x14ac:dyDescent="0.3">
      <c r="D526" s="149"/>
    </row>
    <row r="527" spans="4:71" x14ac:dyDescent="0.3">
      <c r="D527" s="149"/>
    </row>
    <row r="528" spans="4:71" x14ac:dyDescent="0.3">
      <c r="D528" s="149"/>
    </row>
    <row r="529" spans="1:64" x14ac:dyDescent="0.3">
      <c r="D529" s="149"/>
    </row>
    <row r="530" spans="1:64" x14ac:dyDescent="0.3">
      <c r="D530" s="149"/>
    </row>
    <row r="531" spans="1:64" x14ac:dyDescent="0.3">
      <c r="D531" s="149"/>
    </row>
    <row r="532" spans="1:64" x14ac:dyDescent="0.3">
      <c r="D532" s="149"/>
    </row>
    <row r="533" spans="1:64" s="220" customFormat="1" ht="15" thickBot="1" x14ac:dyDescent="0.35">
      <c r="A533" s="218"/>
      <c r="B533" s="260"/>
      <c r="C533" s="219"/>
      <c r="D533" s="258"/>
      <c r="U533" s="219"/>
      <c r="AI533" s="219"/>
      <c r="BE533" s="139"/>
    </row>
    <row r="534" spans="1:64" ht="14.4" customHeight="1" thickBot="1" x14ac:dyDescent="0.35">
      <c r="A534" s="26">
        <v>2</v>
      </c>
      <c r="B534" s="497" t="s">
        <v>946</v>
      </c>
      <c r="D534" s="261" t="s">
        <v>819</v>
      </c>
      <c r="E534" s="262">
        <v>0.16350000000000001</v>
      </c>
      <c r="F534" s="261" t="s">
        <v>947</v>
      </c>
      <c r="G534" s="263">
        <v>46413</v>
      </c>
      <c r="AJ534" s="127" t="s">
        <v>967</v>
      </c>
    </row>
    <row r="535" spans="1:64" ht="15" thickBot="1" x14ac:dyDescent="0.35">
      <c r="B535" s="497"/>
      <c r="D535" s="264" t="s">
        <v>948</v>
      </c>
      <c r="E535" s="265">
        <v>4.5199999999999996</v>
      </c>
      <c r="F535" s="264" t="s">
        <v>949</v>
      </c>
      <c r="G535" s="266">
        <v>1</v>
      </c>
    </row>
    <row r="536" spans="1:64" x14ac:dyDescent="0.3">
      <c r="B536" s="497"/>
      <c r="D536" s="149"/>
      <c r="AJ536" s="127" t="s">
        <v>149</v>
      </c>
      <c r="AK536" s="127">
        <v>100</v>
      </c>
      <c r="AM536" s="247">
        <v>43856</v>
      </c>
      <c r="AN536" s="127" t="s">
        <v>1394</v>
      </c>
      <c r="AO536" s="127">
        <f>+NPV(0.1635/2,AN537:AN550)</f>
        <v>61.336823522315328</v>
      </c>
      <c r="BG536" t="s">
        <v>932</v>
      </c>
      <c r="BH536">
        <v>100</v>
      </c>
      <c r="BI536"/>
      <c r="BJ536"/>
      <c r="BK536" t="s">
        <v>1177</v>
      </c>
      <c r="BL536" t="s">
        <v>1266</v>
      </c>
    </row>
    <row r="537" spans="1:64" x14ac:dyDescent="0.3">
      <c r="B537" s="497"/>
      <c r="D537" s="149" t="s">
        <v>654</v>
      </c>
      <c r="E537" s="127" t="s">
        <v>970</v>
      </c>
      <c r="AJ537" s="127" t="s">
        <v>161</v>
      </c>
      <c r="AK537" s="133">
        <v>6.8750000000000006E-2</v>
      </c>
      <c r="AM537" s="247">
        <v>44038</v>
      </c>
      <c r="AN537" s="127">
        <f>+$AK$539</f>
        <v>3.4375000000000004</v>
      </c>
      <c r="BG537" t="s">
        <v>1422</v>
      </c>
      <c r="BH537" s="435">
        <v>6.8750000000000006E-2</v>
      </c>
      <c r="BI537"/>
      <c r="BJ537"/>
      <c r="BK537" s="396">
        <v>43856</v>
      </c>
      <c r="BL537"/>
    </row>
    <row r="538" spans="1:64" x14ac:dyDescent="0.3">
      <c r="D538" s="149" t="s">
        <v>971</v>
      </c>
      <c r="E538" s="127" t="s">
        <v>972</v>
      </c>
      <c r="AJ538" s="127" t="s">
        <v>1000</v>
      </c>
      <c r="AK538" s="127">
        <v>2</v>
      </c>
      <c r="AM538" s="247">
        <v>44222</v>
      </c>
      <c r="AN538" s="127">
        <f t="shared" ref="AN538:AN549" si="79">+$AK$539</f>
        <v>3.4375000000000004</v>
      </c>
      <c r="BG538" t="s">
        <v>1270</v>
      </c>
      <c r="BH538">
        <v>2</v>
      </c>
      <c r="BI538"/>
      <c r="BJ538"/>
      <c r="BK538" s="396">
        <v>44038</v>
      </c>
      <c r="BL538">
        <f>100*0.06875/2</f>
        <v>3.4375000000000004</v>
      </c>
    </row>
    <row r="539" spans="1:64" x14ac:dyDescent="0.3">
      <c r="A539" s="267"/>
      <c r="B539"/>
      <c r="D539" s="149" t="s">
        <v>57</v>
      </c>
      <c r="E539" s="127" t="s">
        <v>973</v>
      </c>
      <c r="AJ539" s="127" t="s">
        <v>1395</v>
      </c>
      <c r="AK539" s="127">
        <f>+AK537/AK538*AK536</f>
        <v>3.4375000000000004</v>
      </c>
      <c r="AM539" s="247">
        <v>44403</v>
      </c>
      <c r="AN539" s="127">
        <f t="shared" si="79"/>
        <v>3.4375000000000004</v>
      </c>
      <c r="BG539" t="s">
        <v>1320</v>
      </c>
      <c r="BH539" s="79">
        <v>0.16350000000000001</v>
      </c>
      <c r="BI539"/>
      <c r="BJ539"/>
      <c r="BK539" s="396">
        <v>44222</v>
      </c>
      <c r="BL539">
        <f t="shared" ref="BL539:BL550" si="80">100*0.06875/2</f>
        <v>3.4375000000000004</v>
      </c>
    </row>
    <row r="540" spans="1:64" x14ac:dyDescent="0.3">
      <c r="A540" s="267" t="s">
        <v>950</v>
      </c>
      <c r="B540" s="267" t="s">
        <v>951</v>
      </c>
      <c r="D540" s="149"/>
      <c r="AM540" s="247">
        <v>44587</v>
      </c>
      <c r="AN540" s="127">
        <f t="shared" si="79"/>
        <v>3.4375000000000004</v>
      </c>
      <c r="BG540"/>
      <c r="BH540"/>
      <c r="BI540"/>
      <c r="BJ540"/>
      <c r="BK540" s="396">
        <v>44403</v>
      </c>
      <c r="BL540">
        <f t="shared" si="80"/>
        <v>3.4375000000000004</v>
      </c>
    </row>
    <row r="541" spans="1:64" x14ac:dyDescent="0.3">
      <c r="A541" s="267" t="s">
        <v>952</v>
      </c>
      <c r="B541" s="267" t="s">
        <v>953</v>
      </c>
      <c r="D541" s="149"/>
      <c r="AM541" s="247">
        <v>44768</v>
      </c>
      <c r="AN541" s="127">
        <f t="shared" si="79"/>
        <v>3.4375000000000004</v>
      </c>
      <c r="BG541"/>
      <c r="BH541"/>
      <c r="BI541"/>
      <c r="BJ541"/>
      <c r="BK541" s="396">
        <v>44587</v>
      </c>
      <c r="BL541">
        <f t="shared" si="80"/>
        <v>3.4375000000000004</v>
      </c>
    </row>
    <row r="542" spans="1:64" x14ac:dyDescent="0.3">
      <c r="A542" s="267" t="s">
        <v>954</v>
      </c>
      <c r="B542" s="267" t="s">
        <v>955</v>
      </c>
      <c r="D542" s="149" t="s">
        <v>149</v>
      </c>
      <c r="E542" s="127">
        <v>100</v>
      </c>
      <c r="AM542" s="247">
        <v>44952</v>
      </c>
      <c r="AN542" s="127">
        <f t="shared" si="79"/>
        <v>3.4375000000000004</v>
      </c>
      <c r="BG542"/>
      <c r="BH542"/>
      <c r="BI542"/>
      <c r="BJ542"/>
      <c r="BK542" s="396">
        <v>44768</v>
      </c>
      <c r="BL542">
        <f t="shared" si="80"/>
        <v>3.4375000000000004</v>
      </c>
    </row>
    <row r="543" spans="1:64" x14ac:dyDescent="0.3">
      <c r="A543" s="267" t="s">
        <v>956</v>
      </c>
      <c r="B543" s="267" t="s">
        <v>957</v>
      </c>
      <c r="D543" s="127" t="s">
        <v>193</v>
      </c>
      <c r="E543" s="127">
        <v>2</v>
      </c>
      <c r="F543" s="127" t="s">
        <v>974</v>
      </c>
      <c r="AM543" s="247">
        <v>45133</v>
      </c>
      <c r="AN543" s="127">
        <f t="shared" si="79"/>
        <v>3.4375000000000004</v>
      </c>
      <c r="BG543"/>
      <c r="BH543"/>
      <c r="BI543"/>
      <c r="BJ543"/>
      <c r="BK543" s="396">
        <v>44952</v>
      </c>
      <c r="BL543">
        <f t="shared" si="80"/>
        <v>3.4375000000000004</v>
      </c>
    </row>
    <row r="544" spans="1:64" x14ac:dyDescent="0.3">
      <c r="A544" s="267" t="s">
        <v>958</v>
      </c>
      <c r="B544" s="267" t="s">
        <v>959</v>
      </c>
      <c r="D544" s="127" t="s">
        <v>933</v>
      </c>
      <c r="E544" s="129">
        <v>6.8750000000000006E-2</v>
      </c>
      <c r="AM544" s="247">
        <v>45317</v>
      </c>
      <c r="AN544" s="127">
        <f t="shared" si="79"/>
        <v>3.4375000000000004</v>
      </c>
      <c r="BG544"/>
      <c r="BH544"/>
      <c r="BI544"/>
      <c r="BJ544"/>
      <c r="BK544" s="396">
        <v>45133</v>
      </c>
      <c r="BL544">
        <f t="shared" si="80"/>
        <v>3.4375000000000004</v>
      </c>
    </row>
    <row r="545" spans="1:64" x14ac:dyDescent="0.3">
      <c r="A545" s="267" t="s">
        <v>960</v>
      </c>
      <c r="B545" s="267" t="s">
        <v>961</v>
      </c>
      <c r="D545" s="127" t="s">
        <v>909</v>
      </c>
      <c r="E545" s="127">
        <f>+E544/E543*E542</f>
        <v>3.4375000000000004</v>
      </c>
      <c r="AM545" s="247">
        <v>45499</v>
      </c>
      <c r="AN545" s="127">
        <f t="shared" si="79"/>
        <v>3.4375000000000004</v>
      </c>
      <c r="BG545"/>
      <c r="BH545"/>
      <c r="BI545"/>
      <c r="BJ545"/>
      <c r="BK545" s="396">
        <v>45317</v>
      </c>
      <c r="BL545">
        <f t="shared" si="80"/>
        <v>3.4375000000000004</v>
      </c>
    </row>
    <row r="546" spans="1:64" x14ac:dyDescent="0.3">
      <c r="A546" s="267" t="s">
        <v>962</v>
      </c>
      <c r="B546" s="268">
        <v>42837</v>
      </c>
      <c r="D546" s="127" t="s">
        <v>978</v>
      </c>
      <c r="E546" s="127">
        <f>+E534</f>
        <v>0.16350000000000001</v>
      </c>
      <c r="AM546" s="247">
        <v>45683</v>
      </c>
      <c r="AN546" s="127">
        <f t="shared" si="79"/>
        <v>3.4375000000000004</v>
      </c>
      <c r="BG546"/>
      <c r="BH546"/>
      <c r="BI546"/>
      <c r="BJ546"/>
      <c r="BK546" s="396">
        <v>45499</v>
      </c>
      <c r="BL546">
        <f t="shared" si="80"/>
        <v>3.4375000000000004</v>
      </c>
    </row>
    <row r="547" spans="1:64" x14ac:dyDescent="0.3">
      <c r="A547" s="267" t="s">
        <v>963</v>
      </c>
      <c r="B547" s="268">
        <v>46413</v>
      </c>
      <c r="AM547" s="247">
        <v>45864</v>
      </c>
      <c r="AN547" s="127">
        <f t="shared" si="79"/>
        <v>3.4375000000000004</v>
      </c>
      <c r="BG547"/>
      <c r="BH547"/>
      <c r="BI547"/>
      <c r="BJ547"/>
      <c r="BK547" s="396">
        <v>45683</v>
      </c>
      <c r="BL547">
        <f t="shared" si="80"/>
        <v>3.4375000000000004</v>
      </c>
    </row>
    <row r="548" spans="1:64" x14ac:dyDescent="0.3">
      <c r="A548" s="267" t="s">
        <v>964</v>
      </c>
      <c r="B548" s="136">
        <v>3749835000</v>
      </c>
      <c r="AM548" s="247">
        <v>46048</v>
      </c>
      <c r="AN548" s="127">
        <f t="shared" si="79"/>
        <v>3.4375000000000004</v>
      </c>
      <c r="BG548"/>
      <c r="BH548"/>
      <c r="BI548"/>
      <c r="BJ548"/>
      <c r="BK548" s="396">
        <v>45864</v>
      </c>
      <c r="BL548">
        <f t="shared" si="80"/>
        <v>3.4375000000000004</v>
      </c>
    </row>
    <row r="549" spans="1:64" x14ac:dyDescent="0.3">
      <c r="A549" s="267" t="s">
        <v>965</v>
      </c>
      <c r="B549" s="136">
        <v>3749835000</v>
      </c>
      <c r="AM549" s="247">
        <v>46229</v>
      </c>
      <c r="AN549" s="127">
        <f t="shared" si="79"/>
        <v>3.4375000000000004</v>
      </c>
      <c r="BG549"/>
      <c r="BH549"/>
      <c r="BI549"/>
      <c r="BJ549"/>
      <c r="BK549" s="396">
        <v>46048</v>
      </c>
      <c r="BL549">
        <f t="shared" si="80"/>
        <v>3.4375000000000004</v>
      </c>
    </row>
    <row r="550" spans="1:64" x14ac:dyDescent="0.3">
      <c r="A550" s="267"/>
      <c r="B550"/>
      <c r="AM550" s="247">
        <v>46413</v>
      </c>
      <c r="AN550" s="127">
        <f>+$AK$539+$AK$536</f>
        <v>103.4375</v>
      </c>
      <c r="BG550"/>
      <c r="BH550"/>
      <c r="BI550"/>
      <c r="BJ550"/>
      <c r="BK550" s="396">
        <v>46229</v>
      </c>
      <c r="BL550">
        <f t="shared" si="80"/>
        <v>3.4375000000000004</v>
      </c>
    </row>
    <row r="551" spans="1:64" x14ac:dyDescent="0.3">
      <c r="A551" s="267" t="s">
        <v>966</v>
      </c>
      <c r="B551" s="267" t="s">
        <v>967</v>
      </c>
      <c r="D551" s="220" t="s">
        <v>904</v>
      </c>
      <c r="E551" s="220" t="s">
        <v>979</v>
      </c>
      <c r="F551" s="220" t="s">
        <v>980</v>
      </c>
      <c r="AM551" s="247"/>
      <c r="BG551"/>
      <c r="BH551"/>
      <c r="BI551"/>
      <c r="BJ551"/>
      <c r="BK551" s="396">
        <v>46413</v>
      </c>
      <c r="BL551">
        <f>100+BL550</f>
        <v>103.4375</v>
      </c>
    </row>
    <row r="552" spans="1:64" x14ac:dyDescent="0.3">
      <c r="A552" s="267" t="s">
        <v>968</v>
      </c>
      <c r="B552" s="267" t="s">
        <v>969</v>
      </c>
      <c r="D552" s="127">
        <v>0</v>
      </c>
      <c r="E552" s="127" t="s">
        <v>976</v>
      </c>
      <c r="G552" s="127" t="s">
        <v>981</v>
      </c>
      <c r="AM552" s="247"/>
      <c r="BG552"/>
      <c r="BH552"/>
      <c r="BI552"/>
      <c r="BJ552"/>
      <c r="BK552"/>
      <c r="BL552"/>
    </row>
    <row r="553" spans="1:64" x14ac:dyDescent="0.3">
      <c r="D553" s="127">
        <v>1</v>
      </c>
      <c r="E553" s="127" t="s">
        <v>983</v>
      </c>
      <c r="F553" s="127">
        <f>+$E$545</f>
        <v>3.4375000000000004</v>
      </c>
      <c r="G553" s="127" t="s">
        <v>982</v>
      </c>
      <c r="AM553" s="247"/>
      <c r="BG553"/>
      <c r="BH553"/>
      <c r="BI553"/>
      <c r="BJ553"/>
      <c r="BK553"/>
      <c r="BL553"/>
    </row>
    <row r="554" spans="1:64" x14ac:dyDescent="0.3">
      <c r="D554" s="127">
        <v>2</v>
      </c>
      <c r="E554" s="127" t="s">
        <v>984</v>
      </c>
      <c r="F554" s="127">
        <f t="shared" ref="F554:F565" si="81">+$E$545</f>
        <v>3.4375000000000004</v>
      </c>
      <c r="AM554" s="247"/>
      <c r="BG554"/>
      <c r="BH554"/>
      <c r="BI554"/>
      <c r="BJ554"/>
      <c r="BK554" s="78" t="s">
        <v>1423</v>
      </c>
      <c r="BL554" s="436">
        <f>+NPV(BH539/2,BL538:BL551)</f>
        <v>61.336823522315328</v>
      </c>
    </row>
    <row r="555" spans="1:64" x14ac:dyDescent="0.3">
      <c r="D555" s="127">
        <v>3</v>
      </c>
      <c r="E555" s="127" t="s">
        <v>985</v>
      </c>
      <c r="F555" s="127">
        <f t="shared" si="81"/>
        <v>3.4375000000000004</v>
      </c>
      <c r="AM555" s="247"/>
      <c r="BG555"/>
      <c r="BH555"/>
      <c r="BI555"/>
      <c r="BJ555"/>
      <c r="BK555"/>
      <c r="BL555"/>
    </row>
    <row r="556" spans="1:64" x14ac:dyDescent="0.3">
      <c r="D556" s="127">
        <v>4</v>
      </c>
      <c r="E556" s="127" t="s">
        <v>986</v>
      </c>
      <c r="F556" s="127">
        <f t="shared" si="81"/>
        <v>3.4375000000000004</v>
      </c>
      <c r="AM556" s="247"/>
      <c r="BG556"/>
      <c r="BH556"/>
      <c r="BI556"/>
      <c r="BJ556"/>
      <c r="BK556"/>
      <c r="BL556"/>
    </row>
    <row r="557" spans="1:64" x14ac:dyDescent="0.3">
      <c r="D557" s="127">
        <v>5</v>
      </c>
      <c r="E557" s="127" t="s">
        <v>987</v>
      </c>
      <c r="F557" s="127">
        <f t="shared" si="81"/>
        <v>3.4375000000000004</v>
      </c>
    </row>
    <row r="558" spans="1:64" x14ac:dyDescent="0.3">
      <c r="D558" s="127">
        <v>6</v>
      </c>
      <c r="E558" s="127" t="s">
        <v>988</v>
      </c>
      <c r="F558" s="127">
        <f t="shared" si="81"/>
        <v>3.4375000000000004</v>
      </c>
    </row>
    <row r="559" spans="1:64" x14ac:dyDescent="0.3">
      <c r="D559" s="127">
        <v>7</v>
      </c>
      <c r="E559" s="127" t="s">
        <v>989</v>
      </c>
      <c r="F559" s="127">
        <f t="shared" si="81"/>
        <v>3.4375000000000004</v>
      </c>
    </row>
    <row r="560" spans="1:64" x14ac:dyDescent="0.3">
      <c r="D560" s="127">
        <v>8</v>
      </c>
      <c r="E560" s="127" t="s">
        <v>990</v>
      </c>
      <c r="F560" s="127">
        <f t="shared" si="81"/>
        <v>3.4375000000000004</v>
      </c>
    </row>
    <row r="561" spans="1:63" x14ac:dyDescent="0.3">
      <c r="D561" s="127">
        <v>9</v>
      </c>
      <c r="E561" s="127" t="s">
        <v>991</v>
      </c>
      <c r="F561" s="127">
        <f t="shared" si="81"/>
        <v>3.4375000000000004</v>
      </c>
    </row>
    <row r="562" spans="1:63" x14ac:dyDescent="0.3">
      <c r="D562" s="127">
        <v>10</v>
      </c>
      <c r="E562" s="127" t="s">
        <v>992</v>
      </c>
      <c r="F562" s="127">
        <f t="shared" si="81"/>
        <v>3.4375000000000004</v>
      </c>
    </row>
    <row r="563" spans="1:63" x14ac:dyDescent="0.3">
      <c r="D563" s="127">
        <v>11</v>
      </c>
      <c r="E563" s="127" t="s">
        <v>993</v>
      </c>
      <c r="F563" s="127">
        <f t="shared" si="81"/>
        <v>3.4375000000000004</v>
      </c>
    </row>
    <row r="564" spans="1:63" x14ac:dyDescent="0.3">
      <c r="D564" s="127">
        <v>12</v>
      </c>
      <c r="E564" s="127" t="s">
        <v>994</v>
      </c>
      <c r="F564" s="127">
        <f t="shared" si="81"/>
        <v>3.4375000000000004</v>
      </c>
    </row>
    <row r="565" spans="1:63" x14ac:dyDescent="0.3">
      <c r="D565" s="127">
        <v>13</v>
      </c>
      <c r="E565" s="127" t="s">
        <v>995</v>
      </c>
      <c r="F565" s="127">
        <f t="shared" si="81"/>
        <v>3.4375000000000004</v>
      </c>
    </row>
    <row r="566" spans="1:63" x14ac:dyDescent="0.3">
      <c r="D566" s="127">
        <v>14</v>
      </c>
      <c r="E566" s="127" t="s">
        <v>977</v>
      </c>
      <c r="F566" s="127">
        <f>+$E$545+E542</f>
        <v>103.4375</v>
      </c>
    </row>
    <row r="567" spans="1:63" x14ac:dyDescent="0.3">
      <c r="F567" s="220">
        <f>+NPV(E546/2, F553:F566)</f>
        <v>61.336823522315328</v>
      </c>
      <c r="G567" s="127" t="s">
        <v>40</v>
      </c>
    </row>
    <row r="569" spans="1:63" s="220" customFormat="1" x14ac:dyDescent="0.3">
      <c r="A569" s="218"/>
      <c r="B569" s="260"/>
      <c r="C569" s="219"/>
      <c r="U569" s="219"/>
      <c r="AI569" s="219"/>
      <c r="BE569" s="139"/>
    </row>
    <row r="570" spans="1:63" ht="14.4" customHeight="1" x14ac:dyDescent="0.3">
      <c r="B570" s="498" t="s">
        <v>996</v>
      </c>
      <c r="AK570" s="127" t="s">
        <v>149</v>
      </c>
      <c r="AL570" s="127">
        <v>100</v>
      </c>
      <c r="AP570" s="127" t="s">
        <v>1366</v>
      </c>
      <c r="AQ570" s="133"/>
      <c r="AR570" s="133"/>
      <c r="AS570" s="133"/>
      <c r="AT570" s="133"/>
      <c r="AU570" s="133"/>
      <c r="BG570" t="s">
        <v>1152</v>
      </c>
      <c r="BH570" s="426" t="s">
        <v>1177</v>
      </c>
      <c r="BI570" s="426" t="s">
        <v>1399</v>
      </c>
      <c r="BJ570" s="426" t="s">
        <v>1266</v>
      </c>
      <c r="BK570" s="426" t="s">
        <v>1180</v>
      </c>
    </row>
    <row r="571" spans="1:63" x14ac:dyDescent="0.3">
      <c r="B571" s="498"/>
      <c r="AK571" s="127" t="s">
        <v>1235</v>
      </c>
      <c r="AL571" s="127">
        <v>0.03</v>
      </c>
      <c r="AM571" s="127">
        <v>0</v>
      </c>
      <c r="AN571" s="127" t="s">
        <v>635</v>
      </c>
      <c r="AO571" s="247">
        <v>43920</v>
      </c>
      <c r="BG571">
        <v>1</v>
      </c>
      <c r="BH571" s="425">
        <v>44104</v>
      </c>
      <c r="BI571" s="429">
        <v>0.02</v>
      </c>
      <c r="BJ571" s="86">
        <f>100*0.03/2</f>
        <v>1.5</v>
      </c>
      <c r="BK571" s="86">
        <f>+BJ571/(1+BI571)^BG571</f>
        <v>1.4705882352941175</v>
      </c>
    </row>
    <row r="572" spans="1:63" x14ac:dyDescent="0.3">
      <c r="B572" s="498"/>
      <c r="D572" s="127" t="s">
        <v>971</v>
      </c>
      <c r="AK572" s="127" t="s">
        <v>193</v>
      </c>
      <c r="AL572" s="127">
        <v>2</v>
      </c>
      <c r="AM572" s="127">
        <v>1</v>
      </c>
      <c r="AN572" s="127">
        <f>+$AL$573</f>
        <v>1.5</v>
      </c>
      <c r="AO572" s="247">
        <v>44104</v>
      </c>
      <c r="AP572" s="133">
        <v>0.02</v>
      </c>
      <c r="AQ572" s="127">
        <f>+AN572/(1+AP572)^AM572</f>
        <v>1.4705882352941175</v>
      </c>
      <c r="BG572">
        <v>2</v>
      </c>
      <c r="BH572" s="425">
        <v>44285</v>
      </c>
      <c r="BI572" s="404">
        <v>2.1999999999999999E-2</v>
      </c>
      <c r="BJ572" s="86">
        <f>100*0.03/2</f>
        <v>1.5</v>
      </c>
      <c r="BK572" s="86">
        <f>+BJ572/(1+BI572)^BG572</f>
        <v>1.4361158236985918</v>
      </c>
    </row>
    <row r="573" spans="1:63" x14ac:dyDescent="0.3">
      <c r="B573" s="498"/>
      <c r="D573" s="127" t="s">
        <v>149</v>
      </c>
      <c r="E573" s="127">
        <v>100</v>
      </c>
      <c r="AK573" s="127" t="s">
        <v>809</v>
      </c>
      <c r="AL573" s="127">
        <f>+AL571/AL572*AL570</f>
        <v>1.5</v>
      </c>
      <c r="AM573" s="127">
        <v>2</v>
      </c>
      <c r="AN573" s="127">
        <f t="shared" ref="AN573:AN575" si="82">+$AL$573</f>
        <v>1.5</v>
      </c>
      <c r="AO573" s="247">
        <v>44285</v>
      </c>
      <c r="AP573" s="133">
        <v>2.1999999999999999E-2</v>
      </c>
      <c r="AQ573" s="127">
        <f t="shared" ref="AQ573:AQ576" si="83">+AN573/(1+AP573)^AM573</f>
        <v>1.4361158236985918</v>
      </c>
      <c r="BG573">
        <v>3</v>
      </c>
      <c r="BH573" s="425">
        <v>44469</v>
      </c>
      <c r="BI573" s="404">
        <v>2.5000000000000001E-2</v>
      </c>
      <c r="BJ573" s="86">
        <f>100*0.03/2</f>
        <v>1.5</v>
      </c>
      <c r="BK573" s="86">
        <f>+BJ573/(1+BI573)^BG573</f>
        <v>1.3928991163796232</v>
      </c>
    </row>
    <row r="574" spans="1:63" x14ac:dyDescent="0.3">
      <c r="B574" s="498"/>
      <c r="D574" s="127" t="s">
        <v>933</v>
      </c>
      <c r="E574" s="127">
        <v>0.03</v>
      </c>
      <c r="AM574" s="127">
        <v>3</v>
      </c>
      <c r="AN574" s="127">
        <f t="shared" si="82"/>
        <v>1.5</v>
      </c>
      <c r="AO574" s="247">
        <v>44469</v>
      </c>
      <c r="AP574" s="133">
        <v>2.5000000000000001E-2</v>
      </c>
      <c r="AQ574" s="127">
        <f t="shared" si="83"/>
        <v>1.3928991163796232</v>
      </c>
      <c r="BG574">
        <v>4</v>
      </c>
      <c r="BH574" s="425">
        <v>44650</v>
      </c>
      <c r="BI574" s="404">
        <v>2.8000000000000001E-2</v>
      </c>
      <c r="BJ574" s="86">
        <f>100*0.03/2</f>
        <v>1.5</v>
      </c>
      <c r="BK574" s="86">
        <f>+BJ574/(1+BI574)^BG574</f>
        <v>1.3431323221486771</v>
      </c>
    </row>
    <row r="575" spans="1:63" ht="15" thickBot="1" x14ac:dyDescent="0.35">
      <c r="B575" s="498"/>
      <c r="D575" s="127" t="s">
        <v>1000</v>
      </c>
      <c r="E575" s="127">
        <v>2</v>
      </c>
      <c r="AM575" s="127">
        <v>4</v>
      </c>
      <c r="AN575" s="127">
        <f t="shared" si="82"/>
        <v>1.5</v>
      </c>
      <c r="AO575" s="247">
        <v>44650</v>
      </c>
      <c r="AP575" s="133">
        <v>2.8000000000000001E-2</v>
      </c>
      <c r="AQ575" s="127">
        <f t="shared" si="83"/>
        <v>1.3431323221486771</v>
      </c>
      <c r="BG575">
        <v>5</v>
      </c>
      <c r="BH575" s="425">
        <v>44834</v>
      </c>
      <c r="BI575" s="404">
        <v>3.2000000000000001E-2</v>
      </c>
      <c r="BJ575" s="428">
        <f>100+BJ574</f>
        <v>101.5</v>
      </c>
      <c r="BK575" s="86">
        <f>+BJ575/(1+BI575)^BG575</f>
        <v>86.709674473575092</v>
      </c>
    </row>
    <row r="576" spans="1:63" ht="15" thickBot="1" x14ac:dyDescent="0.35">
      <c r="B576" s="498"/>
      <c r="D576" s="127" t="s">
        <v>1001</v>
      </c>
      <c r="E576" s="127" t="s">
        <v>1002</v>
      </c>
      <c r="AM576" s="127">
        <v>5</v>
      </c>
      <c r="AN576" s="127">
        <f>+$AL$573+AL570</f>
        <v>101.5</v>
      </c>
      <c r="AO576" s="247">
        <v>44834</v>
      </c>
      <c r="AP576" s="133">
        <v>3.2000000000000001E-2</v>
      </c>
      <c r="AQ576" s="127">
        <f t="shared" si="83"/>
        <v>86.709674473575092</v>
      </c>
      <c r="BG576"/>
      <c r="BH576"/>
      <c r="BI576"/>
      <c r="BJ576" s="427" t="s">
        <v>1398</v>
      </c>
      <c r="BK576" s="332">
        <f>SUM(BK571:BK575)</f>
        <v>92.352409971096108</v>
      </c>
    </row>
    <row r="577" spans="2:63" x14ac:dyDescent="0.3">
      <c r="B577" s="498"/>
      <c r="D577" s="127" t="s">
        <v>975</v>
      </c>
      <c r="E577" s="127" t="s">
        <v>1005</v>
      </c>
      <c r="AK577" s="247"/>
      <c r="AL577" s="133"/>
      <c r="AP577" s="127" t="s">
        <v>1367</v>
      </c>
      <c r="AQ577" s="220">
        <f>+SUM(AQ572:AQ576)</f>
        <v>92.352409971096108</v>
      </c>
      <c r="BG577"/>
      <c r="BH577"/>
      <c r="BI577"/>
      <c r="BJ577"/>
      <c r="BK577"/>
    </row>
    <row r="578" spans="2:63" x14ac:dyDescent="0.3">
      <c r="B578" s="498"/>
      <c r="D578" s="127" t="s">
        <v>1003</v>
      </c>
      <c r="E578" s="127" t="s">
        <v>1004</v>
      </c>
      <c r="AK578" s="247"/>
      <c r="AL578" s="133"/>
      <c r="AP578" s="127" t="s">
        <v>1368</v>
      </c>
      <c r="AQ578" s="151">
        <f>+AL571*AL570/AQ577</f>
        <v>3.2484263279528081E-2</v>
      </c>
      <c r="AR578" s="127" t="s">
        <v>1369</v>
      </c>
      <c r="BG578"/>
      <c r="BH578"/>
      <c r="BI578"/>
      <c r="BJ578"/>
      <c r="BK578"/>
    </row>
    <row r="579" spans="2:63" x14ac:dyDescent="0.3">
      <c r="B579" s="498"/>
      <c r="D579" s="127" t="s">
        <v>1006</v>
      </c>
      <c r="E579" s="127">
        <f>+E574/E575*E573</f>
        <v>1.5</v>
      </c>
      <c r="AK579" s="247"/>
      <c r="BG579"/>
      <c r="BH579"/>
      <c r="BI579"/>
      <c r="BJ579"/>
      <c r="BK579"/>
    </row>
    <row r="580" spans="2:63" x14ac:dyDescent="0.3">
      <c r="B580" s="267" t="s">
        <v>997</v>
      </c>
      <c r="AK580" s="247"/>
      <c r="BG580" t="s">
        <v>1397</v>
      </c>
      <c r="BH580"/>
      <c r="BI580" s="426" t="s">
        <v>1177</v>
      </c>
      <c r="BJ580" s="426" t="str">
        <f>+BJ570</f>
        <v>Flujo</v>
      </c>
      <c r="BK580"/>
    </row>
    <row r="581" spans="2:63" x14ac:dyDescent="0.3">
      <c r="B581" s="498" t="s">
        <v>998</v>
      </c>
      <c r="AK581" s="247"/>
      <c r="BG581"/>
      <c r="BH581"/>
      <c r="BI581" s="425">
        <v>43920</v>
      </c>
      <c r="BJ581" s="86">
        <v>-92.35</v>
      </c>
      <c r="BK581"/>
    </row>
    <row r="582" spans="2:63" x14ac:dyDescent="0.3">
      <c r="B582" s="498"/>
      <c r="D582" s="127" t="s">
        <v>904</v>
      </c>
      <c r="E582" s="127" t="s">
        <v>979</v>
      </c>
      <c r="F582" s="127" t="s">
        <v>980</v>
      </c>
      <c r="G582" s="127" t="s">
        <v>74</v>
      </c>
      <c r="H582" s="127" t="s">
        <v>1011</v>
      </c>
      <c r="AK582" s="247"/>
      <c r="BG582"/>
      <c r="BH582"/>
      <c r="BI582" s="425">
        <f>+BH571</f>
        <v>44104</v>
      </c>
      <c r="BJ582" s="318">
        <f>+BJ571</f>
        <v>1.5</v>
      </c>
      <c r="BK582"/>
    </row>
    <row r="583" spans="2:63" x14ac:dyDescent="0.3">
      <c r="B583" s="498"/>
      <c r="D583" s="127">
        <v>0</v>
      </c>
      <c r="E583" s="127" t="s">
        <v>1005</v>
      </c>
      <c r="F583" s="127">
        <v>-92.35</v>
      </c>
      <c r="AK583" s="247"/>
      <c r="BG583"/>
      <c r="BH583"/>
      <c r="BI583" s="425">
        <f>+BH572</f>
        <v>44285</v>
      </c>
      <c r="BJ583" s="318">
        <f>+BJ572</f>
        <v>1.5</v>
      </c>
      <c r="BK583"/>
    </row>
    <row r="584" spans="2:63" x14ac:dyDescent="0.3">
      <c r="B584" s="498" t="s">
        <v>999</v>
      </c>
      <c r="D584" s="127">
        <v>1</v>
      </c>
      <c r="E584" s="127" t="s">
        <v>1007</v>
      </c>
      <c r="F584" s="127">
        <v>1.5</v>
      </c>
      <c r="G584" s="129">
        <v>0.02</v>
      </c>
      <c r="H584" s="127">
        <f>-PV(G584, D584, F584)</f>
        <v>1.4705882352941189</v>
      </c>
      <c r="BG584"/>
      <c r="BH584"/>
      <c r="BI584" s="425">
        <f>+BH573</f>
        <v>44469</v>
      </c>
      <c r="BJ584" s="318">
        <f>+BJ573</f>
        <v>1.5</v>
      </c>
      <c r="BK584"/>
    </row>
    <row r="585" spans="2:63" x14ac:dyDescent="0.3">
      <c r="B585" s="498"/>
      <c r="D585" s="127">
        <v>2</v>
      </c>
      <c r="E585" s="127" t="s">
        <v>1008</v>
      </c>
      <c r="F585" s="127">
        <v>1.5</v>
      </c>
      <c r="G585" s="129">
        <v>2.1999999999999999E-2</v>
      </c>
      <c r="H585" s="127">
        <f>+F585/(1+G585)^D585</f>
        <v>1.4361158236985918</v>
      </c>
      <c r="BG585"/>
      <c r="BH585"/>
      <c r="BI585" s="425">
        <f>+BH574</f>
        <v>44650</v>
      </c>
      <c r="BJ585" s="318">
        <f>+BJ574</f>
        <v>1.5</v>
      </c>
      <c r="BK585"/>
    </row>
    <row r="586" spans="2:63" ht="15" thickBot="1" x14ac:dyDescent="0.35">
      <c r="B586" s="498"/>
      <c r="D586" s="127">
        <v>3</v>
      </c>
      <c r="E586" s="127" t="s">
        <v>1009</v>
      </c>
      <c r="F586" s="127">
        <v>1.5</v>
      </c>
      <c r="G586" s="129">
        <v>2.5000000000000001E-2</v>
      </c>
      <c r="H586" s="127">
        <f t="shared" ref="H586:H588" si="84">+F586/(1+G586)^D586</f>
        <v>1.3928991163796232</v>
      </c>
      <c r="BG586"/>
      <c r="BH586"/>
      <c r="BI586" s="424">
        <f>+BH575</f>
        <v>44834</v>
      </c>
      <c r="BJ586" s="423">
        <f>+BJ575</f>
        <v>101.5</v>
      </c>
      <c r="BK586"/>
    </row>
    <row r="587" spans="2:63" ht="15" thickBot="1" x14ac:dyDescent="0.35">
      <c r="D587" s="127">
        <v>4</v>
      </c>
      <c r="E587" s="127" t="s">
        <v>1004</v>
      </c>
      <c r="F587" s="127">
        <v>1.5</v>
      </c>
      <c r="G587" s="129">
        <v>2.8000000000000001E-2</v>
      </c>
      <c r="H587" s="127">
        <f t="shared" si="84"/>
        <v>1.3431323221486771</v>
      </c>
      <c r="BG587"/>
      <c r="BH587"/>
      <c r="BI587" s="331" t="s">
        <v>1396</v>
      </c>
      <c r="BJ587" s="422">
        <f>+IRR(BJ581:BJ586)</f>
        <v>3.1789570684347845E-2</v>
      </c>
      <c r="BK587"/>
    </row>
    <row r="588" spans="2:63" ht="15" thickBot="1" x14ac:dyDescent="0.35">
      <c r="D588" s="127">
        <v>5</v>
      </c>
      <c r="E588" s="127" t="s">
        <v>1010</v>
      </c>
      <c r="F588" s="127">
        <f>1.5+E573</f>
        <v>101.5</v>
      </c>
      <c r="G588" s="129">
        <v>3.2000000000000001E-2</v>
      </c>
      <c r="H588" s="127">
        <f t="shared" si="84"/>
        <v>86.709674473575092</v>
      </c>
      <c r="BG588"/>
      <c r="BH588"/>
      <c r="BI588" s="331" t="s">
        <v>1320</v>
      </c>
      <c r="BJ588" s="390">
        <f>+BJ587*2</f>
        <v>6.3579141368695691E-2</v>
      </c>
      <c r="BK588"/>
    </row>
    <row r="589" spans="2:63" ht="15" thickBot="1" x14ac:dyDescent="0.35">
      <c r="H589" s="220">
        <f>+SUM(H584:H588)</f>
        <v>92.352409971096108</v>
      </c>
      <c r="BG589"/>
      <c r="BH589"/>
      <c r="BI589" s="331" t="s">
        <v>1353</v>
      </c>
      <c r="BJ589" s="390">
        <f>+((1+BJ587)^2)-1</f>
        <v>6.4589718172990862E-2</v>
      </c>
      <c r="BK589"/>
    </row>
    <row r="590" spans="2:63" ht="15" thickBot="1" x14ac:dyDescent="0.35">
      <c r="G590" s="127" t="s">
        <v>1013</v>
      </c>
      <c r="H590" s="133">
        <f>0.03*100/92.35</f>
        <v>3.2485110990795887E-2</v>
      </c>
      <c r="BG590"/>
      <c r="BH590"/>
      <c r="BI590"/>
      <c r="BJ590"/>
      <c r="BK590"/>
    </row>
    <row r="591" spans="2:63" ht="15" thickBot="1" x14ac:dyDescent="0.35">
      <c r="BG591"/>
      <c r="BH591"/>
      <c r="BI591" s="331" t="s">
        <v>1321</v>
      </c>
      <c r="BJ591" s="390">
        <f>100*0.03/92.35</f>
        <v>3.2485110990795887E-2</v>
      </c>
      <c r="BK591"/>
    </row>
    <row r="592" spans="2:63" x14ac:dyDescent="0.3">
      <c r="G592" s="127" t="s">
        <v>1012</v>
      </c>
      <c r="H592" s="127">
        <v>0</v>
      </c>
    </row>
    <row r="593" spans="1:69" x14ac:dyDescent="0.3">
      <c r="E593" s="127" t="s">
        <v>819</v>
      </c>
      <c r="F593" s="159">
        <f>+IRR(F583:F588)</f>
        <v>3.1789570684347845E-2</v>
      </c>
    </row>
    <row r="595" spans="1:69" s="220" customFormat="1" x14ac:dyDescent="0.3">
      <c r="A595" s="218"/>
      <c r="B595" s="260"/>
      <c r="C595" s="219"/>
      <c r="E595" s="220" t="s">
        <v>645</v>
      </c>
      <c r="F595" s="220" t="s">
        <v>644</v>
      </c>
      <c r="U595" s="219"/>
      <c r="AI595" s="219"/>
      <c r="AJ595" s="220">
        <v>1</v>
      </c>
      <c r="BE595" s="139"/>
    </row>
    <row r="596" spans="1:69" x14ac:dyDescent="0.3">
      <c r="B596" s="498" t="s">
        <v>1014</v>
      </c>
      <c r="D596" s="127" t="s">
        <v>149</v>
      </c>
      <c r="E596" s="127">
        <v>100</v>
      </c>
      <c r="F596" s="127">
        <v>100</v>
      </c>
      <c r="AJ596" s="307"/>
      <c r="AK596" s="307" t="s">
        <v>1233</v>
      </c>
      <c r="AL596" s="307"/>
      <c r="AM596" s="307"/>
      <c r="AN596" s="307"/>
      <c r="AO596" s="307" t="s">
        <v>1233</v>
      </c>
      <c r="AP596" s="307"/>
      <c r="AQ596" s="307" t="s">
        <v>57</v>
      </c>
      <c r="AR596" s="307"/>
      <c r="AS596" s="307"/>
      <c r="BE596" s="128"/>
    </row>
    <row r="597" spans="1:69" x14ac:dyDescent="0.3">
      <c r="B597" s="498"/>
      <c r="D597" s="127" t="s">
        <v>933</v>
      </c>
      <c r="E597" s="256">
        <v>0.123</v>
      </c>
      <c r="F597" s="256">
        <v>0.14499999999999999</v>
      </c>
      <c r="AN597" s="127" t="s">
        <v>1245</v>
      </c>
      <c r="AO597" s="247">
        <v>42643</v>
      </c>
      <c r="AP597" s="127">
        <v>-97</v>
      </c>
      <c r="AQ597" s="127">
        <f>+NPV(0.12/3, AP598:AP606)</f>
        <v>100.74353316105289</v>
      </c>
      <c r="BE597" s="128"/>
      <c r="BH597"/>
      <c r="BI597"/>
      <c r="BJ597"/>
      <c r="BK597"/>
      <c r="BL597"/>
      <c r="BM597"/>
      <c r="BN597"/>
      <c r="BO597"/>
      <c r="BP597"/>
      <c r="BQ597"/>
    </row>
    <row r="598" spans="1:69" x14ac:dyDescent="0.3">
      <c r="B598" s="498"/>
      <c r="D598" s="127" t="s">
        <v>1000</v>
      </c>
      <c r="E598" s="127">
        <v>3</v>
      </c>
      <c r="F598" s="127">
        <v>2</v>
      </c>
      <c r="V598" s="127" t="s">
        <v>1226</v>
      </c>
      <c r="AK598" s="127" t="s">
        <v>1234</v>
      </c>
      <c r="AL598" s="127">
        <v>100</v>
      </c>
      <c r="AO598" s="247">
        <v>42765</v>
      </c>
      <c r="AP598" s="127">
        <f t="shared" ref="AP598:AP605" si="85">+$AL$598*$AL$599/3</f>
        <v>4.1000000000000005</v>
      </c>
      <c r="AQ598" s="128">
        <f>+AQ597+AP597</f>
        <v>3.7435331610528948</v>
      </c>
      <c r="BE598" s="128"/>
      <c r="BH598"/>
      <c r="BI598"/>
      <c r="BJ598"/>
      <c r="BK598"/>
      <c r="BL598"/>
      <c r="BM598"/>
      <c r="BN598"/>
      <c r="BO598"/>
      <c r="BP598"/>
      <c r="BQ598"/>
    </row>
    <row r="599" spans="1:69" x14ac:dyDescent="0.3">
      <c r="B599" s="498" t="s">
        <v>1015</v>
      </c>
      <c r="D599" s="127" t="s">
        <v>1001</v>
      </c>
      <c r="E599" s="127" t="s">
        <v>1019</v>
      </c>
      <c r="F599" s="127" t="s">
        <v>1020</v>
      </c>
      <c r="V599" s="127">
        <v>0</v>
      </c>
      <c r="W599" s="247">
        <v>42643</v>
      </c>
      <c r="X599" s="127">
        <v>-97</v>
      </c>
      <c r="Z599" s="127" t="s">
        <v>1229</v>
      </c>
      <c r="AA599" s="127">
        <v>-97</v>
      </c>
      <c r="AK599" s="127" t="s">
        <v>1235</v>
      </c>
      <c r="AL599" s="127">
        <v>0.123</v>
      </c>
      <c r="AO599" s="247">
        <v>42885</v>
      </c>
      <c r="AP599" s="127">
        <f t="shared" si="85"/>
        <v>4.1000000000000005</v>
      </c>
      <c r="BE599" s="128"/>
      <c r="BH599"/>
      <c r="BI599"/>
      <c r="BJ599"/>
      <c r="BK599" t="s">
        <v>1400</v>
      </c>
      <c r="BL599"/>
      <c r="BM599"/>
      <c r="BN599"/>
      <c r="BO599"/>
      <c r="BP599" t="s">
        <v>1401</v>
      </c>
      <c r="BQ599"/>
    </row>
    <row r="600" spans="1:69" x14ac:dyDescent="0.3">
      <c r="B600" s="498"/>
      <c r="D600" s="127" t="s">
        <v>975</v>
      </c>
      <c r="E600" s="127" t="s">
        <v>1021</v>
      </c>
      <c r="F600" s="127" t="s">
        <v>1021</v>
      </c>
      <c r="V600" s="127">
        <v>1</v>
      </c>
      <c r="W600" s="247">
        <v>42765</v>
      </c>
      <c r="X600" s="127">
        <v>4.0999999999999996</v>
      </c>
      <c r="Y600" s="129">
        <f>+X600*(1+0.14/3)^(3.75-V600)</f>
        <v>4.6479017428010199</v>
      </c>
      <c r="Z600" s="127" t="s">
        <v>1230</v>
      </c>
      <c r="AK600" s="127" t="s">
        <v>809</v>
      </c>
      <c r="AL600" s="127" t="s">
        <v>1236</v>
      </c>
      <c r="AO600" s="247">
        <v>43008</v>
      </c>
      <c r="AP600" s="127">
        <f t="shared" si="85"/>
        <v>4.1000000000000005</v>
      </c>
      <c r="BE600" s="128"/>
      <c r="BH600"/>
      <c r="BI600"/>
      <c r="BJ600" t="s">
        <v>1177</v>
      </c>
      <c r="BK600" t="s">
        <v>1178</v>
      </c>
      <c r="BL600"/>
      <c r="BM600"/>
      <c r="BN600"/>
      <c r="BO600" t="s">
        <v>1177</v>
      </c>
      <c r="BP600" t="s">
        <v>1178</v>
      </c>
      <c r="BQ600"/>
    </row>
    <row r="601" spans="1:69" x14ac:dyDescent="0.3">
      <c r="B601" s="498"/>
      <c r="D601" s="127" t="s">
        <v>1003</v>
      </c>
      <c r="E601" s="127" t="s">
        <v>1022</v>
      </c>
      <c r="F601" s="127" t="s">
        <v>1023</v>
      </c>
      <c r="V601" s="127">
        <v>2</v>
      </c>
      <c r="W601" s="247">
        <v>42885</v>
      </c>
      <c r="X601" s="127">
        <v>4.0999999999999996</v>
      </c>
      <c r="AL601" s="127" t="s">
        <v>1237</v>
      </c>
      <c r="AO601" s="247">
        <v>43130</v>
      </c>
      <c r="AP601" s="127">
        <f t="shared" si="85"/>
        <v>4.1000000000000005</v>
      </c>
      <c r="BE601" s="128"/>
      <c r="BH601"/>
      <c r="BI601"/>
      <c r="BJ601" s="396">
        <v>42643</v>
      </c>
      <c r="BK601">
        <v>-97</v>
      </c>
      <c r="BL601"/>
      <c r="BM601"/>
      <c r="BN601"/>
      <c r="BO601" s="396">
        <v>42643</v>
      </c>
      <c r="BP601">
        <v>-104</v>
      </c>
      <c r="BQ601"/>
    </row>
    <row r="602" spans="1:69" x14ac:dyDescent="0.3">
      <c r="B602" s="498"/>
      <c r="C602" s="127"/>
      <c r="D602" s="127" t="s">
        <v>1006</v>
      </c>
      <c r="E602" s="127">
        <f>+E597/E598*E596</f>
        <v>4.1000000000000005</v>
      </c>
      <c r="F602" s="127">
        <f>+F597/F598*F596</f>
        <v>7.2499999999999991</v>
      </c>
      <c r="V602" s="127">
        <v>3</v>
      </c>
      <c r="W602" s="247">
        <v>43008</v>
      </c>
      <c r="X602" s="127">
        <v>4.0999999999999996</v>
      </c>
      <c r="AL602" s="127" t="s">
        <v>1244</v>
      </c>
      <c r="AO602" s="247">
        <v>43250</v>
      </c>
      <c r="AP602" s="127">
        <f t="shared" si="85"/>
        <v>4.1000000000000005</v>
      </c>
      <c r="BE602" s="128"/>
      <c r="BH602"/>
      <c r="BI602"/>
      <c r="BJ602" s="396">
        <v>42765</v>
      </c>
      <c r="BK602">
        <f t="shared" ref="BK602:BK609" si="86">0.123*100/3</f>
        <v>4.1000000000000005</v>
      </c>
      <c r="BL602"/>
      <c r="BM602"/>
      <c r="BN602"/>
      <c r="BO602" s="396">
        <v>42673</v>
      </c>
      <c r="BP602">
        <f>100*0.145/2</f>
        <v>7.2499999999999991</v>
      </c>
      <c r="BQ602"/>
    </row>
    <row r="603" spans="1:69" x14ac:dyDescent="0.3">
      <c r="B603" s="498"/>
      <c r="D603" s="127" t="s">
        <v>828</v>
      </c>
      <c r="E603" s="127">
        <v>0.12</v>
      </c>
      <c r="F603" s="127">
        <v>0.14000000000000001</v>
      </c>
      <c r="T603" s="127" t="s">
        <v>1228</v>
      </c>
      <c r="U603" s="127" t="s">
        <v>1227</v>
      </c>
      <c r="V603" s="127">
        <v>3.75</v>
      </c>
      <c r="W603" s="247">
        <v>43099</v>
      </c>
      <c r="AK603" s="127" t="s">
        <v>1003</v>
      </c>
      <c r="AL603" s="127" t="s">
        <v>1243</v>
      </c>
      <c r="AO603" s="247">
        <v>43373</v>
      </c>
      <c r="AP603" s="127">
        <f t="shared" si="85"/>
        <v>4.1000000000000005</v>
      </c>
      <c r="BE603" s="128"/>
      <c r="BH603"/>
      <c r="BI603"/>
      <c r="BJ603" s="396">
        <v>42885</v>
      </c>
      <c r="BK603">
        <f t="shared" si="86"/>
        <v>4.1000000000000005</v>
      </c>
      <c r="BL603"/>
      <c r="BM603"/>
      <c r="BN603"/>
      <c r="BO603" s="396">
        <v>42855</v>
      </c>
      <c r="BP603">
        <f t="shared" ref="BP603:BP604" si="87">100*0.145/2</f>
        <v>7.2499999999999991</v>
      </c>
      <c r="BQ603"/>
    </row>
    <row r="604" spans="1:69" x14ac:dyDescent="0.3">
      <c r="B604" s="498" t="s">
        <v>1016</v>
      </c>
      <c r="D604" s="127" t="s">
        <v>654</v>
      </c>
      <c r="E604" s="127">
        <v>97</v>
      </c>
      <c r="F604" s="127">
        <v>104</v>
      </c>
      <c r="V604" s="127">
        <v>4</v>
      </c>
      <c r="W604" s="247">
        <v>43130</v>
      </c>
      <c r="X604" s="127">
        <v>4.0999999999999996</v>
      </c>
      <c r="AK604" s="127" t="s">
        <v>1238</v>
      </c>
      <c r="AL604" s="127">
        <v>0.12</v>
      </c>
      <c r="AM604" s="127" t="s">
        <v>161</v>
      </c>
      <c r="AO604" s="247">
        <v>43495</v>
      </c>
      <c r="AP604" s="127">
        <f t="shared" si="85"/>
        <v>4.1000000000000005</v>
      </c>
      <c r="BE604" s="128"/>
      <c r="BH604"/>
      <c r="BI604"/>
      <c r="BJ604" s="396">
        <v>43008</v>
      </c>
      <c r="BK604">
        <f t="shared" si="86"/>
        <v>4.1000000000000005</v>
      </c>
      <c r="BL604"/>
      <c r="BM604"/>
      <c r="BN604"/>
      <c r="BO604" s="396">
        <v>43038</v>
      </c>
      <c r="BP604">
        <f t="shared" si="87"/>
        <v>7.2499999999999991</v>
      </c>
      <c r="BQ604"/>
    </row>
    <row r="605" spans="1:69" x14ac:dyDescent="0.3">
      <c r="B605" s="498"/>
      <c r="V605" s="127">
        <v>5</v>
      </c>
      <c r="W605" s="247">
        <v>43250</v>
      </c>
      <c r="X605" s="127">
        <v>4.0999999999999996</v>
      </c>
      <c r="AK605" s="127" t="s">
        <v>654</v>
      </c>
      <c r="AL605" s="127">
        <v>97</v>
      </c>
      <c r="AO605" s="247">
        <v>43615</v>
      </c>
      <c r="AP605" s="127">
        <f t="shared" si="85"/>
        <v>4.1000000000000005</v>
      </c>
      <c r="BE605" s="128"/>
      <c r="BH605"/>
      <c r="BI605"/>
      <c r="BJ605" s="396">
        <v>43130</v>
      </c>
      <c r="BK605">
        <f t="shared" si="86"/>
        <v>4.1000000000000005</v>
      </c>
      <c r="BL605"/>
      <c r="BM605"/>
      <c r="BN605"/>
      <c r="BO605" s="396">
        <v>43220</v>
      </c>
      <c r="BP605">
        <f>100*0.145/2+100</f>
        <v>107.25</v>
      </c>
      <c r="BQ605"/>
    </row>
    <row r="606" spans="1:69" x14ac:dyDescent="0.3">
      <c r="B606" s="498"/>
      <c r="D606" s="127" t="s">
        <v>904</v>
      </c>
      <c r="E606" s="127" t="s">
        <v>979</v>
      </c>
      <c r="F606" s="127" t="s">
        <v>645</v>
      </c>
      <c r="G606" s="127" t="s">
        <v>904</v>
      </c>
      <c r="H606" s="127" t="s">
        <v>979</v>
      </c>
      <c r="I606" s="127" t="s">
        <v>645</v>
      </c>
      <c r="V606" s="127">
        <v>6</v>
      </c>
      <c r="W606" s="247">
        <v>43373</v>
      </c>
      <c r="X606" s="127">
        <v>4.0999999999999996</v>
      </c>
      <c r="AO606" s="247">
        <v>43738</v>
      </c>
      <c r="AP606" s="127">
        <f>+$AL$598*$AL$599/3+AL598</f>
        <v>104.1</v>
      </c>
      <c r="BE606" s="128"/>
      <c r="BH606"/>
      <c r="BI606"/>
      <c r="BJ606" s="396">
        <v>43250</v>
      </c>
      <c r="BK606">
        <f t="shared" si="86"/>
        <v>4.1000000000000005</v>
      </c>
      <c r="BL606"/>
      <c r="BM606"/>
      <c r="BN606"/>
      <c r="BO606" s="396"/>
      <c r="BP606"/>
      <c r="BQ606"/>
    </row>
    <row r="607" spans="1:69" x14ac:dyDescent="0.3">
      <c r="B607" s="498"/>
      <c r="D607" s="127">
        <v>0</v>
      </c>
      <c r="E607" s="247">
        <v>42643</v>
      </c>
      <c r="G607" s="127">
        <v>0</v>
      </c>
      <c r="H607" s="247">
        <v>42643</v>
      </c>
      <c r="V607" s="127">
        <v>7</v>
      </c>
      <c r="W607" s="247">
        <v>43495</v>
      </c>
      <c r="X607" s="127">
        <v>4.0999999999999996</v>
      </c>
      <c r="AO607" s="247"/>
      <c r="BE607" s="128"/>
      <c r="BH607"/>
      <c r="BI607"/>
      <c r="BJ607" s="396">
        <v>43373</v>
      </c>
      <c r="BK607">
        <f t="shared" si="86"/>
        <v>4.1000000000000005</v>
      </c>
      <c r="BL607"/>
      <c r="BM607"/>
      <c r="BN607"/>
      <c r="BO607" s="396"/>
      <c r="BP607"/>
      <c r="BQ607"/>
    </row>
    <row r="608" spans="1:69" ht="18.75" customHeight="1" x14ac:dyDescent="0.3">
      <c r="B608" s="498"/>
      <c r="D608" s="127">
        <v>1</v>
      </c>
      <c r="E608" s="247">
        <v>42765</v>
      </c>
      <c r="F608" s="127">
        <f t="shared" ref="F608:F615" si="88">+$E$602</f>
        <v>4.1000000000000005</v>
      </c>
      <c r="G608" s="127">
        <v>1</v>
      </c>
      <c r="H608" s="247">
        <v>42673</v>
      </c>
      <c r="I608" s="127">
        <f>+$F$602</f>
        <v>7.2499999999999991</v>
      </c>
      <c r="V608" s="127">
        <v>8</v>
      </c>
      <c r="W608" s="247">
        <v>43615</v>
      </c>
      <c r="X608" s="127">
        <v>4.0999999999999996</v>
      </c>
      <c r="AJ608" s="307"/>
      <c r="AK608" s="307" t="s">
        <v>1239</v>
      </c>
      <c r="AL608" s="307"/>
      <c r="AM608" s="307"/>
      <c r="AN608" s="307"/>
      <c r="AO608" s="308" t="s">
        <v>1239</v>
      </c>
      <c r="AP608" s="307"/>
      <c r="AQ608" s="307" t="s">
        <v>57</v>
      </c>
      <c r="AR608" s="307"/>
      <c r="AS608" s="307"/>
      <c r="BE608" s="128"/>
      <c r="BH608"/>
      <c r="BI608"/>
      <c r="BJ608" s="396">
        <v>43495</v>
      </c>
      <c r="BK608">
        <f t="shared" si="86"/>
        <v>4.1000000000000005</v>
      </c>
      <c r="BL608"/>
      <c r="BM608"/>
      <c r="BN608"/>
      <c r="BO608"/>
      <c r="BP608"/>
      <c r="BQ608"/>
    </row>
    <row r="609" spans="2:69" x14ac:dyDescent="0.3">
      <c r="B609" s="498" t="s">
        <v>1017</v>
      </c>
      <c r="D609" s="127">
        <v>2</v>
      </c>
      <c r="E609" s="247">
        <v>42885</v>
      </c>
      <c r="F609" s="127">
        <f t="shared" si="88"/>
        <v>4.1000000000000005</v>
      </c>
      <c r="G609" s="127">
        <v>2</v>
      </c>
      <c r="H609" s="247">
        <v>42855</v>
      </c>
      <c r="I609" s="127">
        <f t="shared" ref="I609:I610" si="89">+$F$602</f>
        <v>7.2499999999999991</v>
      </c>
      <c r="V609" s="127">
        <v>9</v>
      </c>
      <c r="W609" s="247">
        <v>43738</v>
      </c>
      <c r="X609" s="127">
        <f>+X608+100</f>
        <v>104.1</v>
      </c>
      <c r="AK609" s="127" t="s">
        <v>1234</v>
      </c>
      <c r="AL609" s="127">
        <v>100</v>
      </c>
      <c r="AO609" s="247">
        <v>42643</v>
      </c>
      <c r="AP609" s="127">
        <f>-AL616</f>
        <v>-104</v>
      </c>
      <c r="AQ609" s="127">
        <f>+NPV(0.14/2, AP610:AP613)*(1+0.14/2)^(5/6)</f>
        <v>106.69611728570335</v>
      </c>
      <c r="BE609" s="128"/>
      <c r="BH609"/>
      <c r="BI609"/>
      <c r="BJ609" s="396">
        <v>43615</v>
      </c>
      <c r="BK609">
        <f t="shared" si="86"/>
        <v>4.1000000000000005</v>
      </c>
      <c r="BL609"/>
      <c r="BM609"/>
      <c r="BN609"/>
      <c r="BO609"/>
      <c r="BP609"/>
      <c r="BQ609"/>
    </row>
    <row r="610" spans="2:69" x14ac:dyDescent="0.3">
      <c r="B610" s="498"/>
      <c r="D610" s="127">
        <v>3</v>
      </c>
      <c r="E610" s="247">
        <v>43008</v>
      </c>
      <c r="F610" s="127">
        <f t="shared" si="88"/>
        <v>4.1000000000000005</v>
      </c>
      <c r="G610" s="127">
        <v>3</v>
      </c>
      <c r="H610" s="247">
        <v>43008</v>
      </c>
      <c r="I610" s="127">
        <f t="shared" si="89"/>
        <v>7.2499999999999991</v>
      </c>
      <c r="AK610" s="127" t="s">
        <v>1235</v>
      </c>
      <c r="AL610" s="127">
        <v>0.14499999999999999</v>
      </c>
      <c r="AO610" s="247">
        <v>42673</v>
      </c>
      <c r="AP610" s="127">
        <f>+$AL$609*$AL$610/2</f>
        <v>7.2499999999999991</v>
      </c>
      <c r="AQ610" s="128">
        <f>+AQ609+AP609</f>
        <v>2.6961172857033517</v>
      </c>
      <c r="BE610" s="128"/>
      <c r="BH610"/>
      <c r="BI610"/>
      <c r="BJ610" s="396">
        <v>43738</v>
      </c>
      <c r="BK610">
        <f>0.123*100/3+100</f>
        <v>104.1</v>
      </c>
      <c r="BL610"/>
      <c r="BM610"/>
      <c r="BN610"/>
      <c r="BO610"/>
      <c r="BP610"/>
      <c r="BQ610"/>
    </row>
    <row r="611" spans="2:69" x14ac:dyDescent="0.3">
      <c r="B611" s="498"/>
      <c r="D611" s="127">
        <v>4</v>
      </c>
      <c r="E611" s="247">
        <v>43130</v>
      </c>
      <c r="F611" s="127">
        <f t="shared" si="88"/>
        <v>4.1000000000000005</v>
      </c>
      <c r="G611" s="127">
        <v>4</v>
      </c>
      <c r="H611" s="247">
        <v>43130</v>
      </c>
      <c r="I611" s="127">
        <f>+$F$602+E596</f>
        <v>107.25</v>
      </c>
      <c r="AK611" s="127" t="s">
        <v>809</v>
      </c>
      <c r="AL611" s="127" t="s">
        <v>1242</v>
      </c>
      <c r="AO611" s="247">
        <v>42855</v>
      </c>
      <c r="AP611" s="127">
        <f t="shared" ref="AP611:AP612" si="90">+$AL$609*$AL$610/2</f>
        <v>7.2499999999999991</v>
      </c>
      <c r="BE611" s="128"/>
      <c r="BH611"/>
      <c r="BI611"/>
      <c r="BJ611"/>
      <c r="BK611"/>
      <c r="BL611"/>
      <c r="BM611"/>
      <c r="BN611" t="s">
        <v>1402</v>
      </c>
      <c r="BO611" s="396">
        <v>42490</v>
      </c>
      <c r="BP611" s="320">
        <f>+NPV(0.14/2,BP602:BP605)</f>
        <v>100.84680281411596</v>
      </c>
      <c r="BQ611"/>
    </row>
    <row r="612" spans="2:69" x14ac:dyDescent="0.3">
      <c r="B612" s="498"/>
      <c r="D612" s="127">
        <v>5</v>
      </c>
      <c r="E612" s="247">
        <v>43250</v>
      </c>
      <c r="F612" s="127">
        <f t="shared" si="88"/>
        <v>4.1000000000000005</v>
      </c>
      <c r="H612" s="247" t="s">
        <v>1026</v>
      </c>
      <c r="I612" s="220">
        <f>+NPV(F603/2, I608:I611)</f>
        <v>100.84680281411596</v>
      </c>
      <c r="AL612" s="127" t="s">
        <v>1241</v>
      </c>
      <c r="AO612" s="247">
        <v>43038</v>
      </c>
      <c r="AP612" s="127">
        <f t="shared" si="90"/>
        <v>7.2499999999999991</v>
      </c>
      <c r="BE612" s="128"/>
      <c r="BH612"/>
      <c r="BI612" t="s">
        <v>1403</v>
      </c>
      <c r="BJ612" s="396">
        <v>42643</v>
      </c>
      <c r="BK612" s="320">
        <f>+NPV(0.12/3,BK602:BK610)</f>
        <v>100.74353316105289</v>
      </c>
      <c r="BL612"/>
      <c r="BM612"/>
      <c r="BN612" t="s">
        <v>1402</v>
      </c>
      <c r="BO612" s="396">
        <v>42643</v>
      </c>
      <c r="BP612" s="47">
        <f>+BP611*(1+0.14/2)^(2*5/12)</f>
        <v>106.69611728570335</v>
      </c>
      <c r="BQ612"/>
    </row>
    <row r="613" spans="2:69" x14ac:dyDescent="0.3">
      <c r="B613" s="498"/>
      <c r="D613" s="127">
        <v>6</v>
      </c>
      <c r="E613" s="247">
        <v>43373</v>
      </c>
      <c r="F613" s="127">
        <f t="shared" si="88"/>
        <v>4.1000000000000005</v>
      </c>
      <c r="H613" s="247" t="s">
        <v>1024</v>
      </c>
      <c r="I613" s="220">
        <f>+I612*(1+F603/2)^(2*5/12)</f>
        <v>106.69611728570335</v>
      </c>
      <c r="AO613" s="247">
        <v>43220</v>
      </c>
      <c r="AP613" s="127">
        <f>+$AL$609*$AL$610/2+AL609</f>
        <v>107.25</v>
      </c>
      <c r="BE613" s="128"/>
      <c r="BH613"/>
      <c r="BI613" t="s">
        <v>1404</v>
      </c>
      <c r="BJ613" s="396">
        <v>42643</v>
      </c>
      <c r="BK613" s="320">
        <f>+BK612+BK601</f>
        <v>3.7435331610528948</v>
      </c>
      <c r="BL613"/>
      <c r="BM613"/>
      <c r="BN613" t="s">
        <v>1404</v>
      </c>
      <c r="BO613" s="396">
        <v>42643</v>
      </c>
      <c r="BP613" s="333">
        <f>+BP612+BP601</f>
        <v>2.6961172857033517</v>
      </c>
      <c r="BQ613"/>
    </row>
    <row r="614" spans="2:69" ht="14.4" customHeight="1" x14ac:dyDescent="0.3">
      <c r="B614" s="498" t="s">
        <v>1018</v>
      </c>
      <c r="D614" s="127">
        <v>7</v>
      </c>
      <c r="E614" s="247">
        <v>43495</v>
      </c>
      <c r="F614" s="127">
        <f t="shared" si="88"/>
        <v>4.1000000000000005</v>
      </c>
      <c r="H614" s="247"/>
      <c r="I614" s="127">
        <f>+I613-F604</f>
        <v>2.6961172857033517</v>
      </c>
      <c r="AK614" s="127" t="s">
        <v>1003</v>
      </c>
      <c r="AL614" s="127" t="s">
        <v>1240</v>
      </c>
      <c r="AO614" s="247"/>
      <c r="BE614" s="128"/>
      <c r="BH614"/>
      <c r="BI614"/>
      <c r="BJ614"/>
      <c r="BK614"/>
      <c r="BL614"/>
      <c r="BM614"/>
      <c r="BN614"/>
      <c r="BO614"/>
      <c r="BP614"/>
      <c r="BQ614"/>
    </row>
    <row r="615" spans="2:69" x14ac:dyDescent="0.3">
      <c r="B615" s="498"/>
      <c r="D615" s="127">
        <v>8</v>
      </c>
      <c r="E615" s="247">
        <v>43615</v>
      </c>
      <c r="F615" s="127">
        <f t="shared" si="88"/>
        <v>4.1000000000000005</v>
      </c>
      <c r="H615" s="247"/>
      <c r="AK615" s="127" t="s">
        <v>1238</v>
      </c>
      <c r="AL615" s="127">
        <v>0.14000000000000001</v>
      </c>
      <c r="AM615" s="127" t="s">
        <v>161</v>
      </c>
      <c r="AO615" s="247"/>
      <c r="BE615" s="128"/>
      <c r="BH615" t="s">
        <v>1405</v>
      </c>
      <c r="BI615" t="s">
        <v>1406</v>
      </c>
      <c r="BJ615"/>
      <c r="BK615"/>
      <c r="BL615"/>
      <c r="BM615"/>
      <c r="BN615"/>
      <c r="BO615"/>
      <c r="BP615"/>
      <c r="BQ615"/>
    </row>
    <row r="616" spans="2:69" x14ac:dyDescent="0.3">
      <c r="B616" s="498"/>
      <c r="D616" s="127">
        <v>9</v>
      </c>
      <c r="E616" s="247">
        <v>43738</v>
      </c>
      <c r="F616" s="127">
        <f>+$E$602+E596</f>
        <v>104.1</v>
      </c>
      <c r="H616" s="247"/>
      <c r="AK616" s="127" t="s">
        <v>654</v>
      </c>
      <c r="AL616" s="127">
        <v>104</v>
      </c>
      <c r="AO616" s="247"/>
      <c r="BE616" s="128"/>
      <c r="BH616"/>
      <c r="BI616"/>
      <c r="BJ616"/>
      <c r="BK616"/>
      <c r="BL616"/>
      <c r="BM616"/>
      <c r="BN616"/>
      <c r="BO616"/>
      <c r="BP616"/>
      <c r="BQ616"/>
    </row>
    <row r="617" spans="2:69" x14ac:dyDescent="0.3">
      <c r="B617" s="498"/>
      <c r="E617" s="249" t="s">
        <v>1025</v>
      </c>
      <c r="F617" s="220">
        <f>+NPV(E603/3, F608:F616)</f>
        <v>100.74353316105289</v>
      </c>
      <c r="G617" s="220"/>
      <c r="AO617" s="247"/>
      <c r="BE617" s="128"/>
      <c r="BH617"/>
      <c r="BI617" t="s">
        <v>1407</v>
      </c>
      <c r="BJ617">
        <v>1030</v>
      </c>
      <c r="BK617"/>
      <c r="BL617"/>
      <c r="BM617"/>
      <c r="BN617"/>
      <c r="BO617"/>
      <c r="BP617"/>
      <c r="BQ617"/>
    </row>
    <row r="618" spans="2:69" x14ac:dyDescent="0.3">
      <c r="B618" s="498"/>
      <c r="E618" s="249" t="s">
        <v>57</v>
      </c>
      <c r="F618" s="220">
        <f>+F617-E604</f>
        <v>3.7435331610528948</v>
      </c>
      <c r="G618" s="220"/>
      <c r="AJ618" s="307"/>
      <c r="AK618" s="307" t="s">
        <v>1246</v>
      </c>
      <c r="AL618" s="307" t="s">
        <v>890</v>
      </c>
      <c r="AM618" s="307">
        <v>100000</v>
      </c>
      <c r="AN618" s="307"/>
      <c r="AO618" s="308"/>
      <c r="AP618" s="307"/>
      <c r="AQ618" s="307"/>
      <c r="AR618" s="307"/>
      <c r="AS618" s="307"/>
      <c r="BE618" s="128"/>
      <c r="BH618"/>
      <c r="BI618" t="s">
        <v>1408</v>
      </c>
      <c r="BJ618">
        <v>961</v>
      </c>
      <c r="BK618"/>
      <c r="BL618"/>
      <c r="BM618"/>
      <c r="BN618"/>
      <c r="BO618"/>
      <c r="BP618"/>
      <c r="BQ618"/>
    </row>
    <row r="619" spans="2:69" ht="28.8" x14ac:dyDescent="0.3">
      <c r="B619" s="498"/>
      <c r="E619" s="247"/>
      <c r="AL619" s="130" t="s">
        <v>1247</v>
      </c>
      <c r="AM619" s="127" t="s">
        <v>1248</v>
      </c>
      <c r="BE619" s="128"/>
      <c r="BH619"/>
      <c r="BI619"/>
      <c r="BJ619"/>
      <c r="BK619"/>
      <c r="BL619"/>
      <c r="BM619"/>
      <c r="BN619"/>
      <c r="BO619"/>
      <c r="BP619"/>
      <c r="BQ619"/>
    </row>
    <row r="620" spans="2:69" x14ac:dyDescent="0.3">
      <c r="B620" s="498"/>
      <c r="E620" s="127" t="s">
        <v>1028</v>
      </c>
      <c r="F620" s="127">
        <v>100000</v>
      </c>
      <c r="H620" s="127" t="s">
        <v>1028</v>
      </c>
      <c r="I620" s="127">
        <v>100000</v>
      </c>
      <c r="AJ620" s="127" t="s">
        <v>645</v>
      </c>
      <c r="AK620" s="127">
        <f>AM618/AL605</f>
        <v>1030.9278350515465</v>
      </c>
      <c r="AL620" s="128">
        <v>1030</v>
      </c>
      <c r="AM620" s="127">
        <f>+AL620*AQ598</f>
        <v>3855.8391558844814</v>
      </c>
      <c r="AN620" s="476" t="s">
        <v>1249</v>
      </c>
      <c r="AO620" s="476"/>
      <c r="AP620" s="476"/>
      <c r="BE620" s="128"/>
      <c r="BH620"/>
      <c r="BI620" t="s">
        <v>1409</v>
      </c>
      <c r="BJ620"/>
      <c r="BK620"/>
      <c r="BL620"/>
      <c r="BM620"/>
      <c r="BN620"/>
      <c r="BO620"/>
      <c r="BP620"/>
      <c r="BQ620"/>
    </row>
    <row r="621" spans="2:69" x14ac:dyDescent="0.3">
      <c r="B621" s="498"/>
      <c r="E621" s="247" t="s">
        <v>654</v>
      </c>
      <c r="F621" s="127">
        <v>97</v>
      </c>
      <c r="H621" s="247" t="s">
        <v>654</v>
      </c>
      <c r="I621" s="127">
        <v>104</v>
      </c>
      <c r="AJ621" s="127" t="s">
        <v>644</v>
      </c>
      <c r="AK621" s="127">
        <f>+AM618/AL616</f>
        <v>961.53846153846155</v>
      </c>
      <c r="AL621" s="128">
        <v>961</v>
      </c>
      <c r="AM621" s="127">
        <f>+AL621*AQ610</f>
        <v>2590.9687115609208</v>
      </c>
      <c r="BE621" s="128"/>
      <c r="BH621"/>
      <c r="BI621"/>
      <c r="BJ621"/>
      <c r="BK621"/>
      <c r="BL621"/>
      <c r="BM621"/>
      <c r="BN621"/>
      <c r="BO621"/>
      <c r="BP621"/>
      <c r="BQ621"/>
    </row>
    <row r="622" spans="2:69" x14ac:dyDescent="0.3">
      <c r="B622" s="498"/>
      <c r="E622" s="247" t="s">
        <v>1029</v>
      </c>
      <c r="F622" s="127">
        <f>+F620/F621</f>
        <v>1030.9278350515465</v>
      </c>
      <c r="H622" s="247" t="s">
        <v>1029</v>
      </c>
      <c r="I622" s="127">
        <f>+I620/I621</f>
        <v>961.53846153846155</v>
      </c>
      <c r="BE622" s="128"/>
      <c r="BH622"/>
      <c r="BI622" t="s">
        <v>1410</v>
      </c>
      <c r="BJ622" s="320">
        <f>+BJ617*BK613</f>
        <v>3855.8391558844814</v>
      </c>
      <c r="BK622"/>
      <c r="BL622"/>
      <c r="BM622"/>
      <c r="BN622"/>
      <c r="BO622"/>
      <c r="BP622"/>
      <c r="BQ622"/>
    </row>
    <row r="623" spans="2:69" x14ac:dyDescent="0.3">
      <c r="E623" s="247"/>
      <c r="F623" s="127">
        <v>1030</v>
      </c>
      <c r="H623" s="247"/>
      <c r="I623" s="127">
        <v>961</v>
      </c>
      <c r="AJ623" s="220">
        <v>2</v>
      </c>
      <c r="AK623" s="220"/>
      <c r="AL623" s="220"/>
      <c r="AM623" s="220"/>
      <c r="AN623" s="220"/>
      <c r="AO623" s="220"/>
      <c r="AP623" s="220"/>
      <c r="AQ623" s="220"/>
      <c r="AR623" s="220"/>
      <c r="AS623" s="220"/>
      <c r="AT623" s="220"/>
      <c r="AU623" s="220"/>
      <c r="BE623" s="128"/>
      <c r="BH623"/>
      <c r="BI623" t="s">
        <v>1411</v>
      </c>
      <c r="BJ623" s="333">
        <f>+BJ618*BP613</f>
        <v>2590.9687115609208</v>
      </c>
      <c r="BK623"/>
      <c r="BL623"/>
      <c r="BM623"/>
      <c r="BN623"/>
      <c r="BO623"/>
      <c r="BP623"/>
      <c r="BQ623"/>
    </row>
    <row r="624" spans="2:69" x14ac:dyDescent="0.3">
      <c r="E624" s="247" t="s">
        <v>1027</v>
      </c>
      <c r="H624" s="247" t="s">
        <v>1027</v>
      </c>
      <c r="AK624" s="127" t="s">
        <v>1251</v>
      </c>
      <c r="AL624" s="127">
        <v>0.12</v>
      </c>
      <c r="AM624" s="127" t="s">
        <v>1259</v>
      </c>
      <c r="AP624" s="127" t="s">
        <v>1253</v>
      </c>
      <c r="AQ624" s="127">
        <v>97</v>
      </c>
      <c r="BE624" s="128"/>
      <c r="BH624"/>
      <c r="BI624"/>
      <c r="BJ624"/>
      <c r="BK624"/>
      <c r="BL624"/>
      <c r="BM624"/>
      <c r="BN624"/>
      <c r="BO624"/>
      <c r="BP624"/>
      <c r="BQ624"/>
    </row>
    <row r="625" spans="4:69" x14ac:dyDescent="0.3">
      <c r="E625" s="247"/>
      <c r="F625" s="127">
        <f>+F618*F623</f>
        <v>3855.8391558844814</v>
      </c>
      <c r="H625" s="247"/>
      <c r="I625" s="127">
        <f>+I614*I623</f>
        <v>2590.9687115609208</v>
      </c>
      <c r="AK625" s="127" t="s">
        <v>339</v>
      </c>
      <c r="AL625" s="127">
        <v>8.1600000000000006E-2</v>
      </c>
      <c r="AM625" s="127" t="s">
        <v>1250</v>
      </c>
      <c r="AP625" s="127" t="s">
        <v>1254</v>
      </c>
      <c r="AQ625" s="127">
        <f>+AL648</f>
        <v>116.40393418578265</v>
      </c>
      <c r="BE625" s="128"/>
      <c r="BH625"/>
      <c r="BI625" t="s">
        <v>1412</v>
      </c>
      <c r="BJ625"/>
      <c r="BK625"/>
      <c r="BL625"/>
      <c r="BM625"/>
      <c r="BN625"/>
      <c r="BO625"/>
      <c r="BP625"/>
      <c r="BQ625"/>
    </row>
    <row r="626" spans="4:69" x14ac:dyDescent="0.3">
      <c r="E626" s="127" t="s">
        <v>1030</v>
      </c>
      <c r="AK626" s="127" t="s">
        <v>1044</v>
      </c>
      <c r="AL626" s="133">
        <f>+(1+0.0816)^(0.333333333333333)-1</f>
        <v>2.6491977549256918E-2</v>
      </c>
      <c r="AM626" s="127" t="s">
        <v>1250</v>
      </c>
      <c r="AP626" s="127" t="s">
        <v>1255</v>
      </c>
      <c r="AQ626" s="127">
        <v>3.75</v>
      </c>
      <c r="AR626" s="127" t="s">
        <v>1257</v>
      </c>
      <c r="BE626" s="128"/>
      <c r="BH626"/>
      <c r="BI626"/>
      <c r="BJ626"/>
      <c r="BK626"/>
      <c r="BL626"/>
      <c r="BM626"/>
      <c r="BN626"/>
      <c r="BO626"/>
      <c r="BP626"/>
      <c r="BQ626"/>
    </row>
    <row r="627" spans="4:69" x14ac:dyDescent="0.3">
      <c r="AQ627" s="127">
        <f>3.75/3</f>
        <v>1.25</v>
      </c>
      <c r="AR627" s="127" t="s">
        <v>150</v>
      </c>
      <c r="BE627" s="128"/>
      <c r="BH627" t="s">
        <v>1413</v>
      </c>
      <c r="BI627"/>
      <c r="BJ627"/>
      <c r="BK627"/>
      <c r="BL627"/>
      <c r="BM627"/>
      <c r="BN627"/>
      <c r="BO627"/>
      <c r="BP627"/>
      <c r="BQ627"/>
    </row>
    <row r="628" spans="4:69" x14ac:dyDescent="0.3">
      <c r="AK628" s="307" t="s">
        <v>1233</v>
      </c>
      <c r="AL628" s="307"/>
      <c r="BE628" s="128"/>
      <c r="BH628"/>
      <c r="BI628"/>
      <c r="BJ628"/>
      <c r="BK628"/>
      <c r="BL628"/>
      <c r="BM628"/>
      <c r="BN628"/>
      <c r="BO628"/>
      <c r="BP628"/>
      <c r="BQ628"/>
    </row>
    <row r="629" spans="4:69" x14ac:dyDescent="0.3">
      <c r="E629" s="127" t="s">
        <v>1031</v>
      </c>
      <c r="F629" s="127" t="s">
        <v>1034</v>
      </c>
      <c r="AK629" s="247">
        <v>42643</v>
      </c>
      <c r="AL629" s="127">
        <v>-97</v>
      </c>
      <c r="AP629" s="220" t="s">
        <v>1263</v>
      </c>
      <c r="AQ629" s="310">
        <f>+(AQ625/AQ624)^(1/AQ627)-1</f>
        <v>0.15706228974847392</v>
      </c>
      <c r="BE629" s="128"/>
      <c r="BH629"/>
      <c r="BI629"/>
      <c r="BJ629"/>
      <c r="BK629"/>
      <c r="BL629"/>
      <c r="BM629"/>
      <c r="BN629"/>
      <c r="BO629"/>
      <c r="BP629"/>
      <c r="BQ629"/>
    </row>
    <row r="630" spans="4:69" x14ac:dyDescent="0.3">
      <c r="E630" s="127" t="s">
        <v>1032</v>
      </c>
      <c r="F630" s="133">
        <f>+F618/F621</f>
        <v>3.8593125371679325E-2</v>
      </c>
      <c r="AK630" s="247">
        <v>42765</v>
      </c>
      <c r="AL630" s="127">
        <f t="shared" ref="AL630:AL638" si="91">+$AL$598*$AL$599/3</f>
        <v>4.1000000000000005</v>
      </c>
      <c r="BE630" s="128"/>
      <c r="BH630"/>
      <c r="BI630" s="174" t="s">
        <v>1414</v>
      </c>
      <c r="BJ630" s="174"/>
      <c r="BK630" s="174"/>
      <c r="BL630" s="174"/>
      <c r="BM630" s="431">
        <v>97</v>
      </c>
      <c r="BN630"/>
      <c r="BO630"/>
      <c r="BP630"/>
      <c r="BQ630"/>
    </row>
    <row r="631" spans="4:69" x14ac:dyDescent="0.3">
      <c r="E631" s="127" t="s">
        <v>1033</v>
      </c>
      <c r="F631" s="133">
        <f>+I614/I621</f>
        <v>2.5924204670224535E-2</v>
      </c>
      <c r="AK631" s="247">
        <v>42885</v>
      </c>
      <c r="AL631" s="127">
        <f t="shared" si="91"/>
        <v>4.1000000000000005</v>
      </c>
      <c r="BE631" s="128"/>
      <c r="BH631"/>
      <c r="BI631" s="174" t="s">
        <v>1415</v>
      </c>
      <c r="BJ631" s="174"/>
      <c r="BK631" s="174"/>
      <c r="BL631" s="174"/>
      <c r="BM631" s="174"/>
      <c r="BN631"/>
      <c r="BO631"/>
      <c r="BP631"/>
      <c r="BQ631"/>
    </row>
    <row r="632" spans="4:69" x14ac:dyDescent="0.3">
      <c r="AK632" s="247">
        <v>43008</v>
      </c>
      <c r="AL632" s="127">
        <f t="shared" si="91"/>
        <v>4.1000000000000005</v>
      </c>
      <c r="BE632" s="128"/>
      <c r="BH632"/>
      <c r="BI632"/>
      <c r="BJ632"/>
      <c r="BK632"/>
      <c r="BL632"/>
      <c r="BM632"/>
      <c r="BN632"/>
      <c r="BO632"/>
      <c r="BP632"/>
      <c r="BQ632"/>
    </row>
    <row r="633" spans="4:69" x14ac:dyDescent="0.3">
      <c r="AK633" s="247">
        <v>43099</v>
      </c>
      <c r="AL633" s="127" t="s">
        <v>260</v>
      </c>
      <c r="BE633" s="128"/>
      <c r="BH633"/>
      <c r="BI633" s="174" t="s">
        <v>1416</v>
      </c>
      <c r="BJ633" s="174"/>
      <c r="BK633" s="174"/>
      <c r="BL633" s="174"/>
      <c r="BM633" s="432">
        <f>+BM638+BM640</f>
        <v>116.40393418578263</v>
      </c>
      <c r="BN633"/>
      <c r="BO633"/>
      <c r="BP633"/>
      <c r="BQ633"/>
    </row>
    <row r="634" spans="4:69" x14ac:dyDescent="0.3">
      <c r="D634" s="220"/>
      <c r="E634" s="220"/>
      <c r="F634" s="220"/>
      <c r="G634" s="220"/>
      <c r="H634" s="220"/>
      <c r="AK634" s="247">
        <v>43130</v>
      </c>
      <c r="AL634" s="127">
        <f t="shared" si="91"/>
        <v>4.1000000000000005</v>
      </c>
      <c r="BE634" s="128"/>
      <c r="BH634"/>
      <c r="BI634"/>
      <c r="BJ634"/>
      <c r="BK634"/>
      <c r="BL634"/>
      <c r="BM634"/>
      <c r="BN634"/>
      <c r="BO634"/>
      <c r="BP634"/>
      <c r="BQ634"/>
    </row>
    <row r="635" spans="4:69" x14ac:dyDescent="0.3">
      <c r="D635" s="127" t="s">
        <v>1035</v>
      </c>
      <c r="AK635" s="247">
        <v>43250</v>
      </c>
      <c r="AL635" s="127">
        <f t="shared" si="91"/>
        <v>4.1000000000000005</v>
      </c>
      <c r="BE635" s="128"/>
      <c r="BH635"/>
      <c r="BI635" t="s">
        <v>1417</v>
      </c>
      <c r="BJ635"/>
      <c r="BK635"/>
      <c r="BL635"/>
      <c r="BM635" s="320">
        <f>FV(BJ636,3,-4.1)</f>
        <v>12.628728805841179</v>
      </c>
      <c r="BN635"/>
      <c r="BO635"/>
      <c r="BP635"/>
      <c r="BQ635"/>
    </row>
    <row r="636" spans="4:69" x14ac:dyDescent="0.3">
      <c r="D636" s="127" t="s">
        <v>1036</v>
      </c>
      <c r="AK636" s="247">
        <v>43373</v>
      </c>
      <c r="AL636" s="127">
        <f t="shared" si="91"/>
        <v>4.1000000000000005</v>
      </c>
      <c r="BE636" s="128"/>
      <c r="BH636"/>
      <c r="BI636" t="s">
        <v>1418</v>
      </c>
      <c r="BJ636">
        <f>+((1+0.0816)^(1/3))-1</f>
        <v>2.6491977549256918E-2</v>
      </c>
      <c r="BK636"/>
      <c r="BL636"/>
      <c r="BM636"/>
      <c r="BN636"/>
      <c r="BO636"/>
      <c r="BP636"/>
      <c r="BQ636"/>
    </row>
    <row r="637" spans="4:69" x14ac:dyDescent="0.3">
      <c r="D637" s="127" t="s">
        <v>1037</v>
      </c>
      <c r="E637" s="127" t="s">
        <v>1038</v>
      </c>
      <c r="AK637" s="247">
        <v>43495</v>
      </c>
      <c r="AL637" s="127">
        <f t="shared" si="91"/>
        <v>4.1000000000000005</v>
      </c>
      <c r="BE637" s="128"/>
      <c r="BH637"/>
      <c r="BI637"/>
      <c r="BJ637"/>
      <c r="BK637"/>
      <c r="BL637"/>
      <c r="BM637"/>
      <c r="BN637"/>
      <c r="BO637"/>
      <c r="BP637"/>
      <c r="BQ637"/>
    </row>
    <row r="638" spans="4:69" x14ac:dyDescent="0.3">
      <c r="AK638" s="247">
        <v>43615</v>
      </c>
      <c r="AL638" s="127">
        <f t="shared" si="91"/>
        <v>4.1000000000000005</v>
      </c>
      <c r="BH638"/>
      <c r="BI638" t="s">
        <v>1419</v>
      </c>
      <c r="BJ638"/>
      <c r="BK638"/>
      <c r="BL638"/>
      <c r="BM638" s="47">
        <f>+BM635*(1+0.0816)^(3/12)</f>
        <v>12.878826922571097</v>
      </c>
      <c r="BN638"/>
      <c r="BO638"/>
      <c r="BP638"/>
      <c r="BQ638"/>
    </row>
    <row r="639" spans="4:69" x14ac:dyDescent="0.3">
      <c r="AK639" s="247">
        <v>43738</v>
      </c>
      <c r="AL639" s="127">
        <f>+$AL$598*$AL$599/3+AL598</f>
        <v>104.1</v>
      </c>
      <c r="BH639"/>
      <c r="BI639"/>
      <c r="BJ639"/>
      <c r="BK639"/>
      <c r="BL639"/>
      <c r="BM639"/>
      <c r="BN639"/>
      <c r="BO639"/>
      <c r="BP639"/>
      <c r="BQ639"/>
    </row>
    <row r="640" spans="4:69" x14ac:dyDescent="0.3">
      <c r="D640" s="127" t="s">
        <v>1039</v>
      </c>
      <c r="BH640"/>
      <c r="BI640" t="s">
        <v>1420</v>
      </c>
      <c r="BJ640"/>
      <c r="BK640"/>
      <c r="BL640"/>
      <c r="BM640" s="320">
        <f>+NPV(0.12/3,BK605:BK610)*(1+0.12/3)^(3*3/12)</f>
        <v>103.52510726321154</v>
      </c>
      <c r="BN640"/>
      <c r="BO640"/>
      <c r="BP640"/>
      <c r="BQ640"/>
    </row>
    <row r="641" spans="4:69" ht="15" thickBot="1" x14ac:dyDescent="0.35">
      <c r="D641" s="127" t="s">
        <v>1040</v>
      </c>
      <c r="E641" s="127">
        <v>97</v>
      </c>
      <c r="AK641" s="127" t="s">
        <v>1258</v>
      </c>
      <c r="BH641"/>
      <c r="BI641"/>
      <c r="BJ641"/>
      <c r="BK641"/>
      <c r="BL641"/>
      <c r="BM641"/>
      <c r="BN641"/>
      <c r="BO641"/>
      <c r="BP641"/>
      <c r="BQ641"/>
    </row>
    <row r="642" spans="4:69" ht="15" thickBot="1" x14ac:dyDescent="0.35">
      <c r="AL642" s="133">
        <f>+AL630*(1+$AL$626)^2.75</f>
        <v>4.4056667696875333</v>
      </c>
      <c r="BH642"/>
      <c r="BI642" s="331" t="s">
        <v>1421</v>
      </c>
      <c r="BJ642" s="433" t="s">
        <v>336</v>
      </c>
      <c r="BK642" s="434">
        <f>+RATE(15/12,,-BM630,BM633)</f>
        <v>0.15706228974847378</v>
      </c>
      <c r="BL642"/>
      <c r="BM642"/>
      <c r="BN642"/>
      <c r="BO642"/>
      <c r="BP642"/>
      <c r="BQ642"/>
    </row>
    <row r="643" spans="4:69" x14ac:dyDescent="0.3">
      <c r="D643" s="127" t="s">
        <v>1037</v>
      </c>
      <c r="E643" s="127" t="s">
        <v>1041</v>
      </c>
      <c r="F643" s="127" t="s">
        <v>1042</v>
      </c>
      <c r="AL643" s="133">
        <f>+AL631*(1+AL626)^1.75</f>
        <v>4.2919641517374885</v>
      </c>
      <c r="BH643"/>
      <c r="BI643"/>
      <c r="BJ643"/>
      <c r="BK643"/>
      <c r="BL643"/>
      <c r="BM643"/>
      <c r="BN643"/>
      <c r="BO643"/>
      <c r="BP643"/>
      <c r="BQ643"/>
    </row>
    <row r="644" spans="4:69" x14ac:dyDescent="0.3">
      <c r="AL644" s="133">
        <f>+AL632*(1+AL626)^0.75</f>
        <v>4.1811960011460831</v>
      </c>
      <c r="BH644"/>
      <c r="BI644"/>
      <c r="BJ644"/>
      <c r="BK644"/>
      <c r="BL644"/>
      <c r="BM644"/>
      <c r="BN644"/>
      <c r="BO644"/>
      <c r="BP644"/>
      <c r="BQ644"/>
    </row>
    <row r="645" spans="4:69" x14ac:dyDescent="0.3">
      <c r="D645" s="127" t="s">
        <v>904</v>
      </c>
      <c r="E645" s="127" t="s">
        <v>979</v>
      </c>
      <c r="F645" s="127" t="s">
        <v>645</v>
      </c>
      <c r="AK645" s="127" t="s">
        <v>1260</v>
      </c>
      <c r="AL645" s="309">
        <f>+SUM(AL642:AL644)</f>
        <v>12.878826922571104</v>
      </c>
      <c r="BH645"/>
      <c r="BI645"/>
      <c r="BJ645"/>
      <c r="BK645"/>
      <c r="BL645"/>
      <c r="BM645"/>
      <c r="BN645"/>
      <c r="BO645"/>
      <c r="BP645"/>
      <c r="BQ645"/>
    </row>
    <row r="646" spans="4:69" x14ac:dyDescent="0.3">
      <c r="D646" s="127">
        <v>0</v>
      </c>
      <c r="E646" s="247">
        <v>42643</v>
      </c>
      <c r="F646" s="127">
        <v>-97</v>
      </c>
      <c r="AK646" s="127" t="s">
        <v>1261</v>
      </c>
      <c r="AL646" s="133">
        <f>+NPV(0.12/3, AL634:AL639)</f>
        <v>100.5242136856746</v>
      </c>
      <c r="BH646"/>
      <c r="BI646"/>
      <c r="BJ646"/>
      <c r="BK646"/>
      <c r="BL646"/>
      <c r="BM646"/>
      <c r="BN646"/>
      <c r="BO646"/>
      <c r="BP646"/>
      <c r="BQ646"/>
    </row>
    <row r="647" spans="4:69" x14ac:dyDescent="0.3">
      <c r="D647" s="127">
        <v>1</v>
      </c>
      <c r="E647" s="247">
        <v>42765</v>
      </c>
      <c r="F647" s="127">
        <v>4.1000000000000005</v>
      </c>
      <c r="AL647" s="127">
        <f>+AL646*(1+AL624/3)^0.75</f>
        <v>103.52510726321154</v>
      </c>
      <c r="BH647"/>
      <c r="BI647"/>
      <c r="BJ647"/>
      <c r="BK647"/>
      <c r="BL647"/>
      <c r="BM647"/>
      <c r="BN647"/>
      <c r="BO647"/>
      <c r="BP647"/>
      <c r="BQ647"/>
    </row>
    <row r="648" spans="4:69" x14ac:dyDescent="0.3">
      <c r="D648" s="127">
        <v>2</v>
      </c>
      <c r="E648" s="247">
        <v>42885</v>
      </c>
      <c r="F648" s="127">
        <v>4.1000000000000005</v>
      </c>
      <c r="AK648" s="127" t="s">
        <v>1262</v>
      </c>
      <c r="AL648" s="127">
        <f>+AL647+AL645</f>
        <v>116.40393418578265</v>
      </c>
    </row>
    <row r="649" spans="4:69" x14ac:dyDescent="0.3">
      <c r="D649" s="127">
        <v>3</v>
      </c>
      <c r="E649" s="247">
        <v>43008</v>
      </c>
      <c r="F649" s="127">
        <v>4.1000000000000005</v>
      </c>
    </row>
    <row r="650" spans="4:69" x14ac:dyDescent="0.3">
      <c r="E650" s="247">
        <v>43099</v>
      </c>
      <c r="F650" s="127" t="s">
        <v>260</v>
      </c>
    </row>
    <row r="651" spans="4:69" x14ac:dyDescent="0.3">
      <c r="D651" s="127">
        <v>4</v>
      </c>
      <c r="E651" s="247">
        <v>43130</v>
      </c>
      <c r="F651" s="127">
        <v>4.1000000000000005</v>
      </c>
    </row>
    <row r="652" spans="4:69" x14ac:dyDescent="0.3">
      <c r="D652" s="127">
        <v>5</v>
      </c>
      <c r="E652" s="247">
        <v>43250</v>
      </c>
      <c r="F652" s="127">
        <v>4.1000000000000005</v>
      </c>
    </row>
    <row r="653" spans="4:69" x14ac:dyDescent="0.3">
      <c r="D653" s="127">
        <v>6</v>
      </c>
      <c r="E653" s="247">
        <v>43373</v>
      </c>
      <c r="F653" s="127">
        <v>4.1000000000000005</v>
      </c>
    </row>
    <row r="654" spans="4:69" x14ac:dyDescent="0.3">
      <c r="D654" s="127">
        <v>7</v>
      </c>
      <c r="E654" s="247">
        <v>43495</v>
      </c>
      <c r="F654" s="127">
        <v>4.1000000000000005</v>
      </c>
    </row>
    <row r="655" spans="4:69" x14ac:dyDescent="0.3">
      <c r="D655" s="127">
        <v>8</v>
      </c>
      <c r="E655" s="247">
        <v>43615</v>
      </c>
      <c r="F655" s="127">
        <v>4.1000000000000005</v>
      </c>
    </row>
    <row r="656" spans="4:69" x14ac:dyDescent="0.3">
      <c r="D656" s="127">
        <v>9</v>
      </c>
      <c r="E656" s="247">
        <v>43738</v>
      </c>
      <c r="F656" s="127">
        <v>104.1</v>
      </c>
    </row>
    <row r="658" spans="1:57" x14ac:dyDescent="0.3">
      <c r="D658" s="127" t="s">
        <v>1043</v>
      </c>
    </row>
    <row r="659" spans="1:57" x14ac:dyDescent="0.3">
      <c r="D659" s="127" t="s">
        <v>1046</v>
      </c>
      <c r="F659" s="129">
        <f>+FV(F661, 3, -F651)</f>
        <v>12.628728805841181</v>
      </c>
    </row>
    <row r="660" spans="1:57" x14ac:dyDescent="0.3">
      <c r="D660" s="127" t="s">
        <v>163</v>
      </c>
      <c r="F660" s="129">
        <v>8.1600000000000006E-2</v>
      </c>
    </row>
    <row r="661" spans="1:57" x14ac:dyDescent="0.3">
      <c r="D661" s="127" t="s">
        <v>1044</v>
      </c>
      <c r="F661" s="129">
        <f>+(1+F660)^(0.333333333333333)-1</f>
        <v>2.6491977549256918E-2</v>
      </c>
      <c r="G661" s="127" t="s">
        <v>1045</v>
      </c>
    </row>
    <row r="662" spans="1:57" x14ac:dyDescent="0.3">
      <c r="D662" s="127" t="s">
        <v>1047</v>
      </c>
      <c r="F662" s="129">
        <f>+F659/(1+F661)^(2*3/12)-1</f>
        <v>11.464700774847289</v>
      </c>
    </row>
    <row r="667" spans="1:57" s="128" customFormat="1" x14ac:dyDescent="0.3">
      <c r="A667" s="125" t="s">
        <v>1434</v>
      </c>
      <c r="B667" s="255"/>
      <c r="C667" s="139"/>
      <c r="U667" s="139"/>
      <c r="AI667" s="139"/>
      <c r="BE667" s="139"/>
    </row>
    <row r="668" spans="1:57" x14ac:dyDescent="0.3">
      <c r="D668" s="127" t="s">
        <v>1435</v>
      </c>
    </row>
    <row r="671" spans="1:57" x14ac:dyDescent="0.3">
      <c r="D671" s="127" t="s">
        <v>904</v>
      </c>
      <c r="E671" s="127" t="s">
        <v>979</v>
      </c>
      <c r="F671" s="127" t="s">
        <v>654</v>
      </c>
      <c r="G671" s="127" t="s">
        <v>1436</v>
      </c>
    </row>
    <row r="672" spans="1:57" x14ac:dyDescent="0.3">
      <c r="D672" s="127">
        <v>0</v>
      </c>
      <c r="E672" s="247">
        <v>44348</v>
      </c>
    </row>
    <row r="673" spans="4:7" x14ac:dyDescent="0.3">
      <c r="D673" s="127">
        <v>1</v>
      </c>
      <c r="E673" s="247">
        <v>44531</v>
      </c>
      <c r="F673" s="127">
        <v>98.04</v>
      </c>
      <c r="G673" s="150">
        <f>+RATE(D673, , F673, -100)</f>
        <v>1.9991840065279425E-2</v>
      </c>
    </row>
    <row r="674" spans="4:7" x14ac:dyDescent="0.3">
      <c r="D674" s="127">
        <v>2</v>
      </c>
      <c r="E674" s="247">
        <v>44713</v>
      </c>
      <c r="F674" s="127">
        <v>95.74</v>
      </c>
      <c r="G674" s="150">
        <f>+RATE(D674, , F674, -100)</f>
        <v>2.2005630448929007E-2</v>
      </c>
    </row>
    <row r="675" spans="4:7" x14ac:dyDescent="0.3">
      <c r="D675" s="127">
        <v>3</v>
      </c>
      <c r="E675" s="247">
        <v>44896</v>
      </c>
      <c r="F675" s="127">
        <v>93.13</v>
      </c>
      <c r="G675" s="150">
        <f t="shared" ref="G674:G677" si="92">+RATE(D675, , F675, -100)</f>
        <v>2.4008273817772974E-2</v>
      </c>
    </row>
    <row r="676" spans="4:7" x14ac:dyDescent="0.3">
      <c r="D676" s="127">
        <v>4</v>
      </c>
      <c r="E676" s="247">
        <v>45078</v>
      </c>
      <c r="F676" s="127">
        <v>90.6</v>
      </c>
      <c r="G676" s="150">
        <f t="shared" si="92"/>
        <v>2.4986040255683826E-2</v>
      </c>
    </row>
    <row r="677" spans="4:7" x14ac:dyDescent="0.3">
      <c r="D677" s="127">
        <v>5</v>
      </c>
      <c r="E677" s="247">
        <v>45261</v>
      </c>
      <c r="F677" s="127">
        <v>87.53</v>
      </c>
      <c r="G677" s="150">
        <f t="shared" si="92"/>
        <v>2.6995674186568428E-2</v>
      </c>
    </row>
    <row r="678" spans="4:7" x14ac:dyDescent="0.3">
      <c r="D678" s="247"/>
    </row>
    <row r="679" spans="4:7" x14ac:dyDescent="0.3">
      <c r="D679" s="247"/>
    </row>
    <row r="680" spans="4:7" x14ac:dyDescent="0.3">
      <c r="D680" s="247" t="s">
        <v>1437</v>
      </c>
      <c r="G680" s="127" t="s">
        <v>1441</v>
      </c>
    </row>
    <row r="681" spans="4:7" x14ac:dyDescent="0.3">
      <c r="D681" s="247">
        <v>44531</v>
      </c>
      <c r="F681" s="247">
        <v>44713</v>
      </c>
      <c r="G681" s="150">
        <f>+(1+G674)^(D674)/(1+G673)^D673-1</f>
        <v>2.4023396699394572E-2</v>
      </c>
    </row>
    <row r="682" spans="4:7" x14ac:dyDescent="0.3">
      <c r="D682" s="247">
        <v>44713</v>
      </c>
      <c r="F682" s="247">
        <v>44896</v>
      </c>
      <c r="G682" s="150">
        <f t="shared" ref="G682:G684" si="93">+(1+G675)^(D675)/(1+G674)^D674-1</f>
        <v>2.8025340921295827E-2</v>
      </c>
    </row>
    <row r="683" spans="4:7" x14ac:dyDescent="0.3">
      <c r="D683" s="247">
        <v>44896</v>
      </c>
      <c r="F683" s="247">
        <v>45078</v>
      </c>
      <c r="G683" s="150">
        <f t="shared" si="93"/>
        <v>2.792494481273522E-2</v>
      </c>
    </row>
    <row r="684" spans="4:7" x14ac:dyDescent="0.3">
      <c r="D684" s="247">
        <v>45078</v>
      </c>
      <c r="F684" s="247">
        <v>45261</v>
      </c>
      <c r="G684" s="150">
        <f t="shared" si="93"/>
        <v>3.5073689029434307E-2</v>
      </c>
    </row>
    <row r="685" spans="4:7" x14ac:dyDescent="0.3">
      <c r="D685" s="247">
        <v>44896</v>
      </c>
      <c r="F685" s="247">
        <v>45261</v>
      </c>
      <c r="G685" s="150">
        <f>+((1+G677)^(D677)/(1+G675)^D675)^(1/2)-1</f>
        <v>3.1493123909556608E-2</v>
      </c>
    </row>
    <row r="688" spans="4:7" x14ac:dyDescent="0.3">
      <c r="D688" s="127" t="s">
        <v>1438</v>
      </c>
      <c r="E688" s="127" t="s">
        <v>1439</v>
      </c>
    </row>
    <row r="689" spans="3:7" x14ac:dyDescent="0.3">
      <c r="D689" s="127" t="s">
        <v>149</v>
      </c>
      <c r="E689" s="127">
        <v>100</v>
      </c>
    </row>
    <row r="690" spans="3:7" x14ac:dyDescent="0.3">
      <c r="D690" s="127" t="s">
        <v>1000</v>
      </c>
      <c r="E690" s="127">
        <v>2</v>
      </c>
    </row>
    <row r="691" spans="3:7" x14ac:dyDescent="0.3">
      <c r="D691" s="127" t="s">
        <v>933</v>
      </c>
      <c r="E691" s="127">
        <v>0.05</v>
      </c>
    </row>
    <row r="692" spans="3:7" x14ac:dyDescent="0.3">
      <c r="D692" s="127" t="s">
        <v>938</v>
      </c>
      <c r="E692" s="127">
        <f>+E691/E690*E689</f>
        <v>2.5</v>
      </c>
    </row>
    <row r="693" spans="3:7" x14ac:dyDescent="0.3">
      <c r="D693" s="247"/>
    </row>
    <row r="694" spans="3:7" x14ac:dyDescent="0.3">
      <c r="D694" s="247"/>
      <c r="G694" s="127" t="s">
        <v>1440</v>
      </c>
    </row>
    <row r="695" spans="3:7" x14ac:dyDescent="0.3">
      <c r="D695" s="247"/>
    </row>
    <row r="696" spans="3:7" x14ac:dyDescent="0.3">
      <c r="D696" s="127">
        <v>0</v>
      </c>
      <c r="E696" s="247">
        <v>44896</v>
      </c>
      <c r="F696" s="127">
        <f>+$E$692</f>
        <v>2.5</v>
      </c>
    </row>
    <row r="697" spans="3:7" x14ac:dyDescent="0.3">
      <c r="D697" s="127">
        <v>1</v>
      </c>
      <c r="E697" s="247">
        <v>45078</v>
      </c>
      <c r="F697" s="127">
        <f>+$E$692</f>
        <v>2.5</v>
      </c>
      <c r="G697" s="127">
        <f>+F697/(1+G683)^D697</f>
        <v>2.4320841833986662</v>
      </c>
    </row>
    <row r="698" spans="3:7" x14ac:dyDescent="0.3">
      <c r="D698" s="127">
        <v>2</v>
      </c>
      <c r="E698" s="247">
        <v>45261</v>
      </c>
      <c r="F698" s="127">
        <f>+$E$692+$E$689</f>
        <v>102.5</v>
      </c>
      <c r="G698" s="127">
        <f>+F698/(1+G685)^D698</f>
        <v>96.336572532189706</v>
      </c>
    </row>
    <row r="699" spans="3:7" x14ac:dyDescent="0.3">
      <c r="E699" s="128" t="s">
        <v>1442</v>
      </c>
      <c r="F699" s="128"/>
      <c r="G699" s="128">
        <f>+SUM(G697:G698)</f>
        <v>98.768656715588378</v>
      </c>
    </row>
    <row r="702" spans="3:7" x14ac:dyDescent="0.3">
      <c r="C702" s="140" t="s">
        <v>712</v>
      </c>
    </row>
    <row r="707" spans="4:6" x14ac:dyDescent="0.3">
      <c r="E707" s="247"/>
    </row>
    <row r="709" spans="4:6" x14ac:dyDescent="0.3">
      <c r="D709" s="127">
        <v>0</v>
      </c>
      <c r="E709" s="247">
        <v>44348</v>
      </c>
      <c r="F709" s="127">
        <v>-100.5</v>
      </c>
    </row>
    <row r="710" spans="4:6" x14ac:dyDescent="0.3">
      <c r="D710" s="127">
        <v>1</v>
      </c>
      <c r="E710" s="247">
        <v>44531</v>
      </c>
      <c r="F710" s="127">
        <f>+$E$692</f>
        <v>2.5</v>
      </c>
    </row>
    <row r="711" spans="4:6" x14ac:dyDescent="0.3">
      <c r="D711" s="127">
        <v>2</v>
      </c>
      <c r="E711" s="247">
        <v>44713</v>
      </c>
      <c r="F711" s="127">
        <f>+$E$692</f>
        <v>2.5</v>
      </c>
    </row>
    <row r="712" spans="4:6" x14ac:dyDescent="0.3">
      <c r="D712" s="127">
        <v>3</v>
      </c>
      <c r="E712" s="247">
        <v>44896</v>
      </c>
      <c r="F712" s="127">
        <f>+$E$692</f>
        <v>2.5</v>
      </c>
    </row>
    <row r="713" spans="4:6" x14ac:dyDescent="0.3">
      <c r="D713" s="127">
        <v>4</v>
      </c>
      <c r="E713" s="247">
        <v>45078</v>
      </c>
      <c r="F713" s="127">
        <f>+$E$692</f>
        <v>2.5</v>
      </c>
    </row>
    <row r="714" spans="4:6" x14ac:dyDescent="0.3">
      <c r="D714" s="127">
        <v>5</v>
      </c>
      <c r="E714" s="247">
        <v>45261</v>
      </c>
      <c r="F714" s="127">
        <f>+$E$692+100</f>
        <v>102.5</v>
      </c>
    </row>
    <row r="715" spans="4:6" x14ac:dyDescent="0.3">
      <c r="E715" s="127" t="s">
        <v>1376</v>
      </c>
      <c r="F715" s="150">
        <f>+IRR(F709:F714)</f>
        <v>2.3927087484296727E-2</v>
      </c>
    </row>
    <row r="716" spans="4:6" x14ac:dyDescent="0.3">
      <c r="E716" s="127" t="s">
        <v>1377</v>
      </c>
      <c r="F716" s="150">
        <f>+(1+F715)^2-1</f>
        <v>4.8426680484074724E-2</v>
      </c>
    </row>
    <row r="717" spans="4:6" x14ac:dyDescent="0.3">
      <c r="E717" s="128" t="s">
        <v>978</v>
      </c>
      <c r="F717" s="447">
        <f>+F715*2</f>
        <v>4.7854174968593455E-2</v>
      </c>
    </row>
    <row r="719" spans="4:6" x14ac:dyDescent="0.3">
      <c r="E719" s="128" t="s">
        <v>1013</v>
      </c>
      <c r="F719" s="447">
        <f>+E691*E689/100.5</f>
        <v>4.975124378109453E-2</v>
      </c>
    </row>
    <row r="720" spans="4:6" x14ac:dyDescent="0.3">
      <c r="E720" s="127" t="s">
        <v>1443</v>
      </c>
    </row>
    <row r="724" spans="4:8" x14ac:dyDescent="0.3">
      <c r="D724" s="127">
        <v>0</v>
      </c>
      <c r="E724" s="247">
        <v>44348</v>
      </c>
      <c r="G724" s="127">
        <v>-100.5</v>
      </c>
    </row>
    <row r="725" spans="4:8" x14ac:dyDescent="0.3">
      <c r="D725" s="127">
        <v>1</v>
      </c>
      <c r="E725" s="247">
        <v>44531</v>
      </c>
      <c r="F725" s="127">
        <f>+$E$692</f>
        <v>2.5</v>
      </c>
      <c r="G725" s="127">
        <f>+F725*(1+0.035)^D725</f>
        <v>2.5874999999999999</v>
      </c>
    </row>
    <row r="726" spans="4:8" x14ac:dyDescent="0.3">
      <c r="D726" s="127">
        <v>2</v>
      </c>
      <c r="E726" s="247">
        <v>44713</v>
      </c>
      <c r="F726" s="127">
        <f>+$E$692</f>
        <v>2.5</v>
      </c>
      <c r="G726" s="127">
        <f>+F726*(1+0.035)^D726</f>
        <v>2.6780624999999998</v>
      </c>
    </row>
    <row r="727" spans="4:8" x14ac:dyDescent="0.3">
      <c r="D727" s="127">
        <v>3</v>
      </c>
      <c r="E727" s="247">
        <v>44896</v>
      </c>
      <c r="G727" s="127">
        <f>+$E$692</f>
        <v>2.5</v>
      </c>
      <c r="H727" s="127">
        <f>+G727+G726+G725</f>
        <v>7.7655624999999997</v>
      </c>
    </row>
    <row r="728" spans="4:8" x14ac:dyDescent="0.3">
      <c r="E728" s="247"/>
    </row>
    <row r="731" spans="4:8" x14ac:dyDescent="0.3">
      <c r="D731" s="127" t="s">
        <v>1446</v>
      </c>
    </row>
    <row r="732" spans="4:8" x14ac:dyDescent="0.3">
      <c r="D732" s="127" t="s">
        <v>1444</v>
      </c>
      <c r="E732" s="127">
        <v>100.5</v>
      </c>
    </row>
    <row r="733" spans="4:8" x14ac:dyDescent="0.3">
      <c r="D733" s="127" t="s">
        <v>1445</v>
      </c>
      <c r="E733" s="127">
        <f>+H727+G699</f>
        <v>106.53421921558838</v>
      </c>
    </row>
    <row r="734" spans="4:8" x14ac:dyDescent="0.3">
      <c r="D734" s="127" t="s">
        <v>1447</v>
      </c>
      <c r="E734" s="448">
        <v>1.5</v>
      </c>
      <c r="F734" s="127" t="s">
        <v>1038</v>
      </c>
    </row>
    <row r="735" spans="4:8" x14ac:dyDescent="0.3">
      <c r="E735" s="127">
        <v>3</v>
      </c>
    </row>
    <row r="737" spans="4:10" x14ac:dyDescent="0.3">
      <c r="E737" s="151">
        <f>+(E733/E732)^(1/E734)-1</f>
        <v>3.963775726175478E-2</v>
      </c>
    </row>
    <row r="738" spans="4:10" x14ac:dyDescent="0.3">
      <c r="E738" s="151">
        <f>+(E733/E732)^(1/E735)-1</f>
        <v>1.9626283136010114E-2</v>
      </c>
      <c r="F738" s="446">
        <f>+E738*12</f>
        <v>0.23551539763212137</v>
      </c>
    </row>
    <row r="739" spans="4:10" x14ac:dyDescent="0.3">
      <c r="E739" s="151">
        <f>+(1+E738)^2-1</f>
        <v>3.9637757261755002E-2</v>
      </c>
    </row>
    <row r="741" spans="4:10" ht="57.6" x14ac:dyDescent="0.3">
      <c r="G741" s="130" t="s">
        <v>1448</v>
      </c>
      <c r="H741" s="130" t="s">
        <v>1449</v>
      </c>
      <c r="I741" s="130" t="s">
        <v>1450</v>
      </c>
    </row>
    <row r="742" spans="4:10" x14ac:dyDescent="0.3">
      <c r="D742" s="127">
        <v>0</v>
      </c>
      <c r="E742" s="247">
        <v>44348</v>
      </c>
      <c r="F742" s="127">
        <v>-100.5</v>
      </c>
    </row>
    <row r="743" spans="4:10" x14ac:dyDescent="0.3">
      <c r="D743" s="127">
        <v>1</v>
      </c>
      <c r="E743" s="247">
        <v>44531</v>
      </c>
      <c r="F743" s="127">
        <f>+$E$692</f>
        <v>2.5</v>
      </c>
      <c r="G743" s="127">
        <f>+F743/(1+$F$748)^D743</f>
        <v>2.4415800993626324</v>
      </c>
      <c r="H743" s="256">
        <f>+G743/100.5</f>
        <v>2.4294329346891866E-2</v>
      </c>
      <c r="I743" s="127">
        <f>+H743*D743</f>
        <v>2.4294329346891866E-2</v>
      </c>
    </row>
    <row r="744" spans="4:10" x14ac:dyDescent="0.3">
      <c r="D744" s="127">
        <v>2</v>
      </c>
      <c r="E744" s="247">
        <v>44713</v>
      </c>
      <c r="F744" s="127">
        <f>+$E$692</f>
        <v>2.5</v>
      </c>
      <c r="G744" s="127">
        <f t="shared" ref="G744:G747" si="94">+F744/(1+$F$748)^D744</f>
        <v>2.3845253526414565</v>
      </c>
      <c r="H744" s="256">
        <f t="shared" ref="H744:H747" si="95">+G744/100.5</f>
        <v>2.3726620424293101E-2</v>
      </c>
      <c r="I744" s="127">
        <f t="shared" ref="I744:I747" si="96">+H744*D744</f>
        <v>4.7453240848586202E-2</v>
      </c>
    </row>
    <row r="745" spans="4:10" x14ac:dyDescent="0.3">
      <c r="D745" s="127">
        <v>3</v>
      </c>
      <c r="E745" s="247">
        <v>44896</v>
      </c>
      <c r="F745" s="127">
        <f>+$E$692</f>
        <v>2.5</v>
      </c>
      <c r="G745" s="127">
        <f t="shared" si="94"/>
        <v>2.3288038589740174</v>
      </c>
      <c r="H745" s="256">
        <f t="shared" si="95"/>
        <v>2.3172177701234004E-2</v>
      </c>
      <c r="I745" s="127">
        <f t="shared" si="96"/>
        <v>6.9516533103702011E-2</v>
      </c>
    </row>
    <row r="746" spans="4:10" x14ac:dyDescent="0.3">
      <c r="D746" s="127">
        <v>4</v>
      </c>
      <c r="E746" s="247">
        <v>45078</v>
      </c>
      <c r="F746" s="127">
        <f>+$E$692</f>
        <v>2.5</v>
      </c>
      <c r="G746" s="127">
        <f t="shared" si="94"/>
        <v>2.2743844629559451</v>
      </c>
      <c r="H746" s="256">
        <f t="shared" si="95"/>
        <v>2.2630691173690997E-2</v>
      </c>
      <c r="I746" s="127">
        <f t="shared" si="96"/>
        <v>9.0522764694763988E-2</v>
      </c>
    </row>
    <row r="747" spans="4:10" x14ac:dyDescent="0.3">
      <c r="D747" s="127">
        <v>5</v>
      </c>
      <c r="E747" s="247">
        <v>45261</v>
      </c>
      <c r="F747" s="127">
        <f>+F746+100</f>
        <v>102.5</v>
      </c>
      <c r="G747" s="127">
        <f t="shared" si="94"/>
        <v>91.07070622606598</v>
      </c>
      <c r="H747" s="256">
        <f t="shared" si="95"/>
        <v>0.90617618135389033</v>
      </c>
      <c r="I747" s="127">
        <f t="shared" si="96"/>
        <v>4.5308809067694513</v>
      </c>
    </row>
    <row r="748" spans="4:10" x14ac:dyDescent="0.3">
      <c r="F748" s="150">
        <f>+IRR(F742:F747)</f>
        <v>2.3927087484296727E-2</v>
      </c>
      <c r="G748" s="128">
        <f>+SUM(G743:G747)</f>
        <v>100.50000000000003</v>
      </c>
      <c r="I748" s="128">
        <f>+SUM(I743:I747)</f>
        <v>4.7626677747633952</v>
      </c>
      <c r="J748" s="128" t="s">
        <v>1451</v>
      </c>
    </row>
    <row r="749" spans="4:10" x14ac:dyDescent="0.3">
      <c r="G749" s="128"/>
    </row>
    <row r="754" spans="1:57" x14ac:dyDescent="0.3">
      <c r="C754" s="449" t="s">
        <v>1452</v>
      </c>
      <c r="D754" s="224" t="s">
        <v>1453</v>
      </c>
    </row>
    <row r="755" spans="1:57" x14ac:dyDescent="0.3">
      <c r="C755" s="449" t="s">
        <v>1454</v>
      </c>
      <c r="D755" s="224" t="s">
        <v>1455</v>
      </c>
    </row>
    <row r="756" spans="1:57" x14ac:dyDescent="0.3">
      <c r="C756" s="449"/>
      <c r="D756" s="224" t="s">
        <v>1456</v>
      </c>
    </row>
    <row r="757" spans="1:57" x14ac:dyDescent="0.3">
      <c r="C757" s="449" t="s">
        <v>1457</v>
      </c>
      <c r="D757" s="224" t="s">
        <v>1458</v>
      </c>
    </row>
    <row r="758" spans="1:57" x14ac:dyDescent="0.3">
      <c r="C758" s="449" t="s">
        <v>1459</v>
      </c>
      <c r="D758" s="224" t="s">
        <v>1460</v>
      </c>
    </row>
    <row r="759" spans="1:57" x14ac:dyDescent="0.3">
      <c r="C759" s="449"/>
      <c r="D759" s="224"/>
    </row>
    <row r="760" spans="1:57" x14ac:dyDescent="0.3">
      <c r="C760" s="449"/>
      <c r="D760" s="224"/>
    </row>
    <row r="761" spans="1:57" x14ac:dyDescent="0.3">
      <c r="C761" s="449"/>
      <c r="D761" s="224"/>
    </row>
    <row r="762" spans="1:57" x14ac:dyDescent="0.3">
      <c r="C762" s="449"/>
      <c r="D762" s="224"/>
    </row>
    <row r="763" spans="1:57" x14ac:dyDescent="0.3">
      <c r="C763" s="449"/>
      <c r="D763" s="224"/>
    </row>
    <row r="764" spans="1:57" s="128" customFormat="1" x14ac:dyDescent="0.3">
      <c r="A764" s="125" t="s">
        <v>1461</v>
      </c>
      <c r="B764" s="255"/>
      <c r="C764" s="450"/>
      <c r="D764" s="451"/>
      <c r="E764" s="128">
        <v>0</v>
      </c>
      <c r="F764" s="128">
        <v>1</v>
      </c>
      <c r="G764" s="128">
        <v>2</v>
      </c>
      <c r="H764" s="128">
        <v>3</v>
      </c>
      <c r="U764" s="139"/>
      <c r="AI764" s="139"/>
      <c r="BE764" s="139"/>
    </row>
    <row r="765" spans="1:57" x14ac:dyDescent="0.3">
      <c r="D765" s="127" t="s">
        <v>1462</v>
      </c>
    </row>
    <row r="766" spans="1:57" x14ac:dyDescent="0.3">
      <c r="D766" s="127" t="s">
        <v>1463</v>
      </c>
    </row>
    <row r="767" spans="1:57" x14ac:dyDescent="0.3">
      <c r="D767" s="127" t="s">
        <v>1464</v>
      </c>
    </row>
    <row r="768" spans="1:57" x14ac:dyDescent="0.3">
      <c r="D768" s="127" t="s">
        <v>1465</v>
      </c>
      <c r="F768" s="127">
        <f>27700000/3</f>
        <v>9233333.333333334</v>
      </c>
      <c r="G768" s="127">
        <f>27700000/3</f>
        <v>9233333.333333334</v>
      </c>
      <c r="H768" s="127">
        <f>27700000/3</f>
        <v>9233333.333333334</v>
      </c>
    </row>
    <row r="769" spans="2:8" x14ac:dyDescent="0.3">
      <c r="D769" s="127" t="s">
        <v>1466</v>
      </c>
    </row>
    <row r="770" spans="2:8" x14ac:dyDescent="0.3">
      <c r="D770" s="127" t="s">
        <v>1467</v>
      </c>
      <c r="F770" s="127">
        <v>3000000</v>
      </c>
      <c r="G770" s="127">
        <v>4000000</v>
      </c>
      <c r="H770" s="127">
        <v>5000000</v>
      </c>
    </row>
    <row r="771" spans="2:8" x14ac:dyDescent="0.3">
      <c r="D771" s="127" t="s">
        <v>1468</v>
      </c>
      <c r="F771" s="127">
        <f>+F770*0.35</f>
        <v>1050000</v>
      </c>
      <c r="G771" s="127">
        <f>+G770*0.35</f>
        <v>1400000</v>
      </c>
      <c r="H771" s="127">
        <f>+H770*0.35</f>
        <v>1750000</v>
      </c>
    </row>
    <row r="773" spans="2:8" x14ac:dyDescent="0.3">
      <c r="D773" s="127" t="s">
        <v>1469</v>
      </c>
    </row>
    <row r="774" spans="2:8" x14ac:dyDescent="0.3">
      <c r="D774" s="127" t="s">
        <v>1470</v>
      </c>
    </row>
    <row r="775" spans="2:8" x14ac:dyDescent="0.3">
      <c r="D775" s="127" t="s">
        <v>1471</v>
      </c>
      <c r="F775" s="127">
        <v>2500000</v>
      </c>
      <c r="G775" s="127">
        <v>2700000</v>
      </c>
      <c r="H775" s="127">
        <v>0</v>
      </c>
    </row>
    <row r="776" spans="2:8" x14ac:dyDescent="0.3">
      <c r="D776" s="127" t="s">
        <v>1472</v>
      </c>
      <c r="F776" s="127">
        <f>+F775-E775</f>
        <v>2500000</v>
      </c>
      <c r="G776" s="127">
        <f t="shared" ref="G776:H776" si="97">+G775-F775</f>
        <v>200000</v>
      </c>
      <c r="H776" s="127">
        <f t="shared" si="97"/>
        <v>-2700000</v>
      </c>
    </row>
    <row r="777" spans="2:8" x14ac:dyDescent="0.3">
      <c r="D777" s="195" t="s">
        <v>1473</v>
      </c>
      <c r="E777" s="195"/>
      <c r="F777" s="195">
        <f>+F770+F768-F771-F776</f>
        <v>8683333.333333334</v>
      </c>
      <c r="G777" s="195">
        <f t="shared" ref="G777:H777" si="98">+G770+G768-G771-G776</f>
        <v>11633333.333333334</v>
      </c>
      <c r="H777" s="195">
        <f t="shared" si="98"/>
        <v>15183333.333333334</v>
      </c>
    </row>
    <row r="779" spans="2:8" x14ac:dyDescent="0.3">
      <c r="D779" s="127" t="s">
        <v>1474</v>
      </c>
      <c r="E779" s="127">
        <v>27700000</v>
      </c>
      <c r="F779" s="127">
        <f>+E779-F768</f>
        <v>18466666.666666664</v>
      </c>
      <c r="G779" s="127">
        <f>+F779-G768</f>
        <v>9233333.3333333302</v>
      </c>
      <c r="H779" s="127">
        <f>+G779-H768</f>
        <v>0</v>
      </c>
    </row>
    <row r="780" spans="2:8" x14ac:dyDescent="0.3">
      <c r="D780" s="127" t="s">
        <v>1481</v>
      </c>
      <c r="E780" s="127">
        <v>27700000</v>
      </c>
      <c r="F780" s="127">
        <v>0</v>
      </c>
      <c r="G780" s="127">
        <v>0</v>
      </c>
      <c r="H780" s="127">
        <v>0</v>
      </c>
    </row>
    <row r="781" spans="2:8" x14ac:dyDescent="0.3">
      <c r="B781" s="471" t="s">
        <v>1476</v>
      </c>
      <c r="D781" s="195" t="s">
        <v>1475</v>
      </c>
      <c r="E781" s="195">
        <f>+E777-E780</f>
        <v>-27700000</v>
      </c>
      <c r="F781" s="195">
        <f>+F777-F780</f>
        <v>8683333.333333334</v>
      </c>
      <c r="G781" s="195">
        <f>+G777-G780</f>
        <v>11633333.333333334</v>
      </c>
      <c r="H781" s="195">
        <f>+H777-H780</f>
        <v>15183333.333333334</v>
      </c>
    </row>
    <row r="782" spans="2:8" x14ac:dyDescent="0.3">
      <c r="B782" s="471"/>
    </row>
    <row r="783" spans="2:8" x14ac:dyDescent="0.3">
      <c r="B783" s="471"/>
      <c r="D783" s="127" t="s">
        <v>1482</v>
      </c>
      <c r="E783" s="151">
        <f>+IRR(E781:H781)</f>
        <v>0.12256951062294208</v>
      </c>
    </row>
    <row r="784" spans="2:8" x14ac:dyDescent="0.3">
      <c r="B784" s="471"/>
      <c r="D784" s="127" t="s">
        <v>1201</v>
      </c>
      <c r="E784" s="159">
        <f>+NPV(0.12, E781:H781)</f>
        <v>119817.01960120449</v>
      </c>
    </row>
    <row r="785" spans="2:10" x14ac:dyDescent="0.3">
      <c r="B785" s="471"/>
      <c r="D785" s="127" t="s">
        <v>1483</v>
      </c>
      <c r="E785" s="127">
        <v>0</v>
      </c>
      <c r="F785" s="127">
        <v>1</v>
      </c>
      <c r="G785" s="127">
        <v>2</v>
      </c>
      <c r="H785" s="127">
        <v>3</v>
      </c>
    </row>
    <row r="786" spans="2:10" x14ac:dyDescent="0.3">
      <c r="B786" s="471" t="s">
        <v>1477</v>
      </c>
      <c r="D786" s="127" t="s">
        <v>1484</v>
      </c>
      <c r="E786" s="127">
        <f>+E781</f>
        <v>-27700000</v>
      </c>
      <c r="F786" s="127">
        <f>+F781/(1+0.12)^F785</f>
        <v>7752976.1904761903</v>
      </c>
      <c r="G786" s="127">
        <f>+G781/(1+0.12)^G785</f>
        <v>9274022.108843537</v>
      </c>
      <c r="H786" s="127">
        <f>+H781/(1+0.12)^H785</f>
        <v>10807196.762633622</v>
      </c>
    </row>
    <row r="787" spans="2:10" x14ac:dyDescent="0.3">
      <c r="B787" s="471"/>
      <c r="D787" s="127" t="s">
        <v>1485</v>
      </c>
      <c r="E787" s="127">
        <f>+E786</f>
        <v>-27700000</v>
      </c>
      <c r="F787" s="127">
        <f>+E786+F786</f>
        <v>-19947023.80952381</v>
      </c>
      <c r="G787" s="127">
        <f>+E786+F786+G786</f>
        <v>-10673001.700680273</v>
      </c>
      <c r="H787" s="145">
        <f>+G787+H786</f>
        <v>134195.06195334904</v>
      </c>
    </row>
    <row r="788" spans="2:10" x14ac:dyDescent="0.3">
      <c r="H788" s="127" t="s">
        <v>1486</v>
      </c>
    </row>
    <row r="789" spans="2:10" x14ac:dyDescent="0.3">
      <c r="B789" s="471" t="s">
        <v>1478</v>
      </c>
    </row>
    <row r="790" spans="2:10" x14ac:dyDescent="0.3">
      <c r="B790" s="471"/>
    </row>
    <row r="791" spans="2:10" x14ac:dyDescent="0.3">
      <c r="B791" s="471"/>
    </row>
    <row r="792" spans="2:10" x14ac:dyDescent="0.3">
      <c r="B792" s="226" t="s">
        <v>1479</v>
      </c>
    </row>
    <row r="794" spans="2:10" x14ac:dyDescent="0.3">
      <c r="B794" s="471" t="s">
        <v>1480</v>
      </c>
    </row>
    <row r="795" spans="2:10" x14ac:dyDescent="0.3">
      <c r="B795" s="471"/>
    </row>
    <row r="797" spans="2:10" x14ac:dyDescent="0.3">
      <c r="D797" s="451"/>
      <c r="E797" s="128">
        <v>0</v>
      </c>
      <c r="F797" s="128">
        <v>1</v>
      </c>
      <c r="G797" s="128">
        <v>2</v>
      </c>
      <c r="H797" s="128">
        <v>3</v>
      </c>
      <c r="I797" s="128">
        <v>4</v>
      </c>
      <c r="J797" s="128">
        <v>5</v>
      </c>
    </row>
    <row r="798" spans="2:10" x14ac:dyDescent="0.3">
      <c r="D798" s="127" t="s">
        <v>1462</v>
      </c>
      <c r="F798" s="127">
        <f>5400000-4000000</f>
        <v>1400000</v>
      </c>
      <c r="G798" s="127">
        <f>6300000-4500000</f>
        <v>1800000</v>
      </c>
      <c r="H798" s="127">
        <f>7400000-5500000</f>
        <v>1900000</v>
      </c>
      <c r="I798" s="127">
        <f>7700000-6000000</f>
        <v>1700000</v>
      </c>
      <c r="J798" s="127">
        <f>7700000-6000000</f>
        <v>1700000</v>
      </c>
    </row>
    <row r="799" spans="2:10" x14ac:dyDescent="0.3">
      <c r="D799" s="127" t="s">
        <v>1463</v>
      </c>
      <c r="F799" s="127">
        <f>+F798*0.5</f>
        <v>700000</v>
      </c>
      <c r="G799" s="127">
        <f>+G798*0.5</f>
        <v>900000</v>
      </c>
      <c r="H799" s="127">
        <f>+H798*0.5</f>
        <v>950000</v>
      </c>
      <c r="I799" s="127">
        <f>+I798*0.5</f>
        <v>850000</v>
      </c>
      <c r="J799" s="127">
        <f>+J798*0.5</f>
        <v>850000</v>
      </c>
    </row>
    <row r="800" spans="2:10" x14ac:dyDescent="0.3">
      <c r="D800" s="127" t="s">
        <v>1464</v>
      </c>
      <c r="F800" s="127">
        <v>-280000</v>
      </c>
      <c r="G800" s="127">
        <v>-280000</v>
      </c>
      <c r="H800" s="127">
        <v>-280000</v>
      </c>
      <c r="I800" s="127">
        <v>-280000</v>
      </c>
      <c r="J800" s="127">
        <v>-280000</v>
      </c>
    </row>
    <row r="801" spans="4:11" x14ac:dyDescent="0.3">
      <c r="D801" s="127" t="s">
        <v>1465</v>
      </c>
      <c r="F801" s="127">
        <f>+E817-E821</f>
        <v>300000</v>
      </c>
      <c r="G801" s="127">
        <v>300000</v>
      </c>
      <c r="H801" s="127">
        <v>300000</v>
      </c>
      <c r="I801" s="127">
        <v>300000</v>
      </c>
      <c r="J801" s="127">
        <v>300000</v>
      </c>
    </row>
    <row r="802" spans="4:11" x14ac:dyDescent="0.3">
      <c r="D802" s="127" t="s">
        <v>1503</v>
      </c>
      <c r="E802" s="127">
        <f>1300000-1000000</f>
        <v>300000</v>
      </c>
      <c r="J802" s="127">
        <v>-500000</v>
      </c>
    </row>
    <row r="803" spans="4:11" x14ac:dyDescent="0.3">
      <c r="D803" s="127" t="s">
        <v>1467</v>
      </c>
      <c r="E803" s="127">
        <f>+E798-E799-E800-E801+E802</f>
        <v>300000</v>
      </c>
      <c r="F803" s="127">
        <f t="shared" ref="F803:H803" si="99">+F798-F799-F800-F801+F802</f>
        <v>680000</v>
      </c>
      <c r="G803" s="127">
        <f t="shared" si="99"/>
        <v>880000</v>
      </c>
      <c r="H803" s="127">
        <f t="shared" si="99"/>
        <v>930000</v>
      </c>
      <c r="I803" s="127">
        <f>+I798-I799-I800-I801+I802</f>
        <v>830000</v>
      </c>
      <c r="J803" s="127">
        <f t="shared" ref="J803" si="100">+J798-J799-J800-J801+J802</f>
        <v>330000</v>
      </c>
    </row>
    <row r="804" spans="4:11" x14ac:dyDescent="0.3">
      <c r="D804" s="127" t="s">
        <v>1468</v>
      </c>
      <c r="E804" s="127">
        <f>+E803*0.35</f>
        <v>105000</v>
      </c>
      <c r="F804" s="127">
        <f t="shared" ref="F804:J804" si="101">+F803*0.35</f>
        <v>237999.99999999997</v>
      </c>
      <c r="G804" s="127">
        <f t="shared" si="101"/>
        <v>308000</v>
      </c>
      <c r="H804" s="127">
        <f t="shared" si="101"/>
        <v>325500</v>
      </c>
      <c r="I804" s="127">
        <f t="shared" si="101"/>
        <v>290500</v>
      </c>
      <c r="J804" s="127">
        <f t="shared" si="101"/>
        <v>115499.99999999999</v>
      </c>
    </row>
    <row r="806" spans="4:11" x14ac:dyDescent="0.3">
      <c r="D806" s="127" t="s">
        <v>1469</v>
      </c>
      <c r="F806" s="127">
        <f>+F798*0.164383561643836</f>
        <v>230136.9863013704</v>
      </c>
      <c r="G806" s="127">
        <f t="shared" ref="G806:J806" si="102">+G798*0.164383561643836</f>
        <v>295890.41095890477</v>
      </c>
      <c r="H806" s="127">
        <f t="shared" si="102"/>
        <v>312328.76712328842</v>
      </c>
      <c r="I806" s="127">
        <f t="shared" si="102"/>
        <v>279452.05479452119</v>
      </c>
      <c r="J806" s="127">
        <f t="shared" si="102"/>
        <v>279452.05479452119</v>
      </c>
      <c r="K806" s="127" t="s">
        <v>1504</v>
      </c>
    </row>
    <row r="807" spans="4:11" x14ac:dyDescent="0.3">
      <c r="D807" s="127" t="s">
        <v>1470</v>
      </c>
      <c r="F807" s="127">
        <f>+F799*30/365</f>
        <v>57534.246575342462</v>
      </c>
      <c r="G807" s="127">
        <f t="shared" ref="G807:J807" si="103">+G799*30/365</f>
        <v>73972.602739726033</v>
      </c>
      <c r="H807" s="127">
        <f t="shared" si="103"/>
        <v>78082.191780821915</v>
      </c>
      <c r="I807" s="127">
        <f t="shared" si="103"/>
        <v>69863.013698630137</v>
      </c>
      <c r="J807" s="127">
        <f t="shared" si="103"/>
        <v>69863.013698630137</v>
      </c>
      <c r="K807" s="127" t="s">
        <v>1505</v>
      </c>
    </row>
    <row r="808" spans="4:11" x14ac:dyDescent="0.3">
      <c r="D808" s="127" t="s">
        <v>1471</v>
      </c>
      <c r="F808" s="127">
        <f>+F806-F807</f>
        <v>172602.73972602794</v>
      </c>
      <c r="G808" s="127">
        <f>+G806-G807</f>
        <v>221917.80821917875</v>
      </c>
      <c r="H808" s="127">
        <f>+H806-H807</f>
        <v>234246.5753424665</v>
      </c>
      <c r="I808" s="127">
        <f>+I806-I807</f>
        <v>209589.04109589104</v>
      </c>
      <c r="J808" s="127">
        <v>0</v>
      </c>
      <c r="K808" s="127" t="s">
        <v>1506</v>
      </c>
    </row>
    <row r="809" spans="4:11" x14ac:dyDescent="0.3">
      <c r="D809" s="127" t="s">
        <v>1472</v>
      </c>
      <c r="F809" s="127">
        <f>+F808-E808</f>
        <v>172602.73972602794</v>
      </c>
      <c r="G809" s="127">
        <f>+G808-F808</f>
        <v>49315.068493150815</v>
      </c>
      <c r="H809" s="127">
        <f>+H808-G808</f>
        <v>12328.767123287747</v>
      </c>
      <c r="I809" s="127">
        <f>+I808-H808</f>
        <v>-24657.534246575466</v>
      </c>
      <c r="J809" s="127">
        <f>+J808-I808</f>
        <v>-209589.04109589104</v>
      </c>
    </row>
    <row r="810" spans="4:11" x14ac:dyDescent="0.3">
      <c r="D810" s="195" t="s">
        <v>1473</v>
      </c>
      <c r="E810" s="195">
        <f t="shared" ref="E810:J810" si="104">+E803+E801-E804-E809</f>
        <v>195000</v>
      </c>
      <c r="F810" s="195">
        <f t="shared" si="104"/>
        <v>569397.26027397206</v>
      </c>
      <c r="G810" s="195">
        <f t="shared" si="104"/>
        <v>822684.93150684913</v>
      </c>
      <c r="H810" s="195">
        <f t="shared" si="104"/>
        <v>892171.23287671222</v>
      </c>
      <c r="I810" s="195">
        <f t="shared" si="104"/>
        <v>864157.53424657544</v>
      </c>
      <c r="J810" s="195">
        <f t="shared" si="104"/>
        <v>724089.04109589104</v>
      </c>
    </row>
    <row r="812" spans="4:11" x14ac:dyDescent="0.3">
      <c r="D812" s="127" t="s">
        <v>1507</v>
      </c>
      <c r="E812" s="127">
        <f>5000000-1000000</f>
        <v>4000000</v>
      </c>
      <c r="F812" s="127">
        <f>+E812-F801</f>
        <v>3700000</v>
      </c>
      <c r="G812" s="127">
        <f>+F812-G801</f>
        <v>3400000</v>
      </c>
      <c r="H812" s="127">
        <f>+G812-H801</f>
        <v>3100000</v>
      </c>
      <c r="I812" s="127">
        <f>+H812-I801</f>
        <v>2800000</v>
      </c>
      <c r="J812" s="127">
        <v>0</v>
      </c>
      <c r="K812" s="127" t="s">
        <v>1508</v>
      </c>
    </row>
    <row r="813" spans="4:11" x14ac:dyDescent="0.3">
      <c r="D813" s="127" t="s">
        <v>1481</v>
      </c>
      <c r="E813" s="127">
        <f>+E812+E801</f>
        <v>4000000</v>
      </c>
      <c r="F813" s="127">
        <f>+F812-E812+F801</f>
        <v>0</v>
      </c>
      <c r="G813" s="127">
        <f>+G812-F812+G801</f>
        <v>0</v>
      </c>
      <c r="H813" s="127">
        <f>+H812-G812+H801</f>
        <v>0</v>
      </c>
      <c r="I813" s="127">
        <f>+I812-H812+I801</f>
        <v>0</v>
      </c>
      <c r="J813" s="127">
        <f>+J812-I812+J801</f>
        <v>-2500000</v>
      </c>
    </row>
    <row r="814" spans="4:11" x14ac:dyDescent="0.3">
      <c r="D814" s="195" t="s">
        <v>1475</v>
      </c>
      <c r="E814" s="195">
        <f t="shared" ref="E814:J814" si="105">+E810-E813</f>
        <v>-3805000</v>
      </c>
      <c r="F814" s="195">
        <f t="shared" si="105"/>
        <v>569397.26027397206</v>
      </c>
      <c r="G814" s="195">
        <f t="shared" si="105"/>
        <v>822684.93150684913</v>
      </c>
      <c r="H814" s="195">
        <f t="shared" si="105"/>
        <v>892171.23287671222</v>
      </c>
      <c r="I814" s="195">
        <f t="shared" si="105"/>
        <v>864157.53424657544</v>
      </c>
      <c r="J814" s="195">
        <f t="shared" si="105"/>
        <v>3224089.041095891</v>
      </c>
    </row>
    <row r="816" spans="4:11" x14ac:dyDescent="0.3">
      <c r="D816" s="127" t="s">
        <v>1489</v>
      </c>
    </row>
    <row r="817" spans="2:6" x14ac:dyDescent="0.3">
      <c r="D817" s="127" t="s">
        <v>1490</v>
      </c>
      <c r="E817" s="127">
        <v>500000</v>
      </c>
      <c r="F817" s="127" t="s">
        <v>1496</v>
      </c>
    </row>
    <row r="818" spans="2:6" x14ac:dyDescent="0.3">
      <c r="D818" s="127" t="s">
        <v>1491</v>
      </c>
      <c r="E818" s="127">
        <v>5000000</v>
      </c>
    </row>
    <row r="819" spans="2:6" x14ac:dyDescent="0.3">
      <c r="D819" s="127" t="s">
        <v>1492</v>
      </c>
      <c r="E819" s="127">
        <v>10</v>
      </c>
    </row>
    <row r="821" spans="2:6" x14ac:dyDescent="0.3">
      <c r="B821" s="226" t="s">
        <v>1487</v>
      </c>
      <c r="D821" s="127" t="s">
        <v>1493</v>
      </c>
      <c r="E821" s="127">
        <v>200000</v>
      </c>
    </row>
    <row r="822" spans="2:6" x14ac:dyDescent="0.3">
      <c r="B822" s="472" t="s">
        <v>1488</v>
      </c>
      <c r="D822" s="127" t="s">
        <v>1494</v>
      </c>
      <c r="E822" s="127">
        <v>1000000</v>
      </c>
    </row>
    <row r="823" spans="2:6" x14ac:dyDescent="0.3">
      <c r="B823" s="472"/>
      <c r="D823" s="127" t="s">
        <v>1495</v>
      </c>
      <c r="E823" s="127">
        <v>5</v>
      </c>
    </row>
    <row r="826" spans="2:6" x14ac:dyDescent="0.3">
      <c r="D826" s="127" t="s">
        <v>1497</v>
      </c>
      <c r="E826" s="127" t="s">
        <v>1498</v>
      </c>
    </row>
    <row r="827" spans="2:6" x14ac:dyDescent="0.3">
      <c r="D827" s="127" t="s">
        <v>1499</v>
      </c>
    </row>
    <row r="828" spans="2:6" x14ac:dyDescent="0.3">
      <c r="D828" s="127" t="s">
        <v>1500</v>
      </c>
      <c r="E828" s="127">
        <v>2000000</v>
      </c>
    </row>
    <row r="829" spans="2:6" x14ac:dyDescent="0.3">
      <c r="D829" s="127" t="s">
        <v>1501</v>
      </c>
      <c r="E829" s="127">
        <v>2500000</v>
      </c>
      <c r="F829" s="127" t="s">
        <v>1502</v>
      </c>
    </row>
    <row r="833" spans="3:5" x14ac:dyDescent="0.3">
      <c r="C833" s="140" t="s">
        <v>644</v>
      </c>
    </row>
    <row r="834" spans="3:5" x14ac:dyDescent="0.3">
      <c r="D834" s="127">
        <v>-3805000</v>
      </c>
    </row>
    <row r="835" spans="3:5" x14ac:dyDescent="0.3">
      <c r="D835" s="127">
        <v>569397.26027397264</v>
      </c>
    </row>
    <row r="836" spans="3:5" x14ac:dyDescent="0.3">
      <c r="D836" s="127">
        <v>822684.93150684936</v>
      </c>
    </row>
    <row r="837" spans="3:5" x14ac:dyDescent="0.3">
      <c r="D837" s="127">
        <v>892171.23287671234</v>
      </c>
    </row>
    <row r="838" spans="3:5" x14ac:dyDescent="0.3">
      <c r="D838" s="127">
        <v>864157.53424657532</v>
      </c>
    </row>
    <row r="839" spans="3:5" x14ac:dyDescent="0.3">
      <c r="D839" s="127">
        <v>3224089.0410958901</v>
      </c>
    </row>
    <row r="840" spans="3:5" x14ac:dyDescent="0.3">
      <c r="D840" s="133">
        <f>+IRR(D834:D839)</f>
        <v>0.1496456587581052</v>
      </c>
    </row>
    <row r="842" spans="3:5" x14ac:dyDescent="0.3">
      <c r="E842" s="127" t="s">
        <v>57</v>
      </c>
    </row>
    <row r="843" spans="3:5" x14ac:dyDescent="0.3">
      <c r="D843" s="127">
        <v>0.01</v>
      </c>
      <c r="E843" s="127">
        <f>+NPV(D843, $D$835:$D$839)+$D$834</f>
        <v>2329215.5621343413</v>
      </c>
    </row>
    <row r="844" spans="3:5" x14ac:dyDescent="0.3">
      <c r="D844" s="127">
        <v>0.02</v>
      </c>
      <c r="E844" s="127">
        <f t="shared" ref="E844:E862" si="106">+NPV(D844, $D$835:$D$839)+$D$834</f>
        <v>2103189.3235867163</v>
      </c>
    </row>
    <row r="845" spans="3:5" x14ac:dyDescent="0.3">
      <c r="D845" s="127">
        <v>0.03</v>
      </c>
      <c r="E845" s="127">
        <f t="shared" si="106"/>
        <v>1888655.6925015589</v>
      </c>
    </row>
    <row r="846" spans="3:5" x14ac:dyDescent="0.3">
      <c r="D846" s="127">
        <v>0.04</v>
      </c>
      <c r="E846" s="127">
        <f t="shared" si="106"/>
        <v>1684904.4672334921</v>
      </c>
    </row>
    <row r="847" spans="3:5" x14ac:dyDescent="0.3">
      <c r="D847" s="127">
        <v>0.05</v>
      </c>
      <c r="E847" s="127">
        <f t="shared" si="106"/>
        <v>1491276.313427411</v>
      </c>
    </row>
    <row r="848" spans="3:5" x14ac:dyDescent="0.3">
      <c r="D848" s="127">
        <v>0.06</v>
      </c>
      <c r="E848" s="127">
        <f t="shared" si="106"/>
        <v>1307158.6507809013</v>
      </c>
    </row>
    <row r="849" spans="1:57" x14ac:dyDescent="0.3">
      <c r="D849" s="127">
        <v>7.0000000000000007E-2</v>
      </c>
      <c r="E849" s="127">
        <f t="shared" si="106"/>
        <v>1131981.9088415261</v>
      </c>
    </row>
    <row r="850" spans="1:57" x14ac:dyDescent="0.3">
      <c r="D850" s="127">
        <v>0.08</v>
      </c>
      <c r="E850" s="127">
        <f t="shared" si="106"/>
        <v>965216.11556598172</v>
      </c>
    </row>
    <row r="851" spans="1:57" x14ac:dyDescent="0.3">
      <c r="D851" s="127">
        <v>0.09</v>
      </c>
      <c r="E851" s="127">
        <f t="shared" si="106"/>
        <v>806367.78623605985</v>
      </c>
    </row>
    <row r="852" spans="1:57" x14ac:dyDescent="0.3">
      <c r="D852" s="127">
        <v>0.1</v>
      </c>
      <c r="E852" s="127">
        <f t="shared" si="106"/>
        <v>654977.08375029266</v>
      </c>
    </row>
    <row r="853" spans="1:57" x14ac:dyDescent="0.3">
      <c r="D853" s="127">
        <v>0.11</v>
      </c>
      <c r="E853" s="127">
        <f t="shared" si="106"/>
        <v>510615.22434461769</v>
      </c>
    </row>
    <row r="854" spans="1:57" x14ac:dyDescent="0.3">
      <c r="D854" s="127">
        <v>0.12</v>
      </c>
      <c r="E854" s="127">
        <f t="shared" si="106"/>
        <v>372882.10548790218</v>
      </c>
    </row>
    <row r="855" spans="1:57" x14ac:dyDescent="0.3">
      <c r="D855" s="127">
        <v>0.13</v>
      </c>
      <c r="E855" s="127">
        <f t="shared" si="106"/>
        <v>241404.13508969778</v>
      </c>
    </row>
    <row r="856" spans="1:57" x14ac:dyDescent="0.3">
      <c r="D856" s="127">
        <v>0.14000000000000001</v>
      </c>
      <c r="E856" s="127">
        <f t="shared" si="106"/>
        <v>115832.24328437122</v>
      </c>
    </row>
    <row r="857" spans="1:57" x14ac:dyDescent="0.3">
      <c r="D857" s="127">
        <f>+D840</f>
        <v>0.1496456587581052</v>
      </c>
      <c r="E857" s="127">
        <f t="shared" si="106"/>
        <v>5.5879354476928711E-9</v>
      </c>
    </row>
    <row r="858" spans="1:57" x14ac:dyDescent="0.3">
      <c r="D858" s="127">
        <v>0.16</v>
      </c>
      <c r="E858" s="127">
        <f t="shared" si="106"/>
        <v>-118877.75720020197</v>
      </c>
    </row>
    <row r="859" spans="1:57" x14ac:dyDescent="0.3">
      <c r="D859" s="127">
        <v>0.17</v>
      </c>
      <c r="E859" s="127">
        <f t="shared" si="106"/>
        <v>-228607.05758403055</v>
      </c>
    </row>
    <row r="860" spans="1:57" x14ac:dyDescent="0.3">
      <c r="D860" s="127">
        <v>0.18</v>
      </c>
      <c r="E860" s="127">
        <f t="shared" si="106"/>
        <v>-333615.6081138216</v>
      </c>
    </row>
    <row r="861" spans="1:57" x14ac:dyDescent="0.3">
      <c r="D861" s="127">
        <v>0.19</v>
      </c>
      <c r="E861" s="127">
        <f t="shared" si="106"/>
        <v>-434154.39002857776</v>
      </c>
    </row>
    <row r="862" spans="1:57" x14ac:dyDescent="0.3">
      <c r="D862" s="127">
        <v>0.2</v>
      </c>
      <c r="E862" s="127">
        <f t="shared" si="106"/>
        <v>-530458.7922444893</v>
      </c>
    </row>
    <row r="863" spans="1:57" s="128" customFormat="1" x14ac:dyDescent="0.3">
      <c r="A863" s="125" t="s">
        <v>1461</v>
      </c>
      <c r="B863" s="255"/>
      <c r="C863" s="139"/>
      <c r="U863" s="139"/>
      <c r="AI863" s="139"/>
      <c r="BE863" s="139"/>
    </row>
    <row r="864" spans="1:57" x14ac:dyDescent="0.3">
      <c r="D864" s="127" t="s">
        <v>1366</v>
      </c>
      <c r="E864" s="127" t="s">
        <v>1536</v>
      </c>
    </row>
    <row r="865" spans="4:13" x14ac:dyDescent="0.3">
      <c r="D865" s="127" t="s">
        <v>1537</v>
      </c>
      <c r="E865" s="127" t="s">
        <v>1538</v>
      </c>
    </row>
    <row r="867" spans="4:13" x14ac:dyDescent="0.3">
      <c r="D867" s="140" t="s">
        <v>1539</v>
      </c>
      <c r="E867" s="140">
        <v>0</v>
      </c>
      <c r="F867" s="140">
        <v>1</v>
      </c>
      <c r="G867" s="140">
        <v>2</v>
      </c>
      <c r="H867" s="140">
        <v>3</v>
      </c>
      <c r="I867" s="140">
        <v>4</v>
      </c>
      <c r="J867" s="140">
        <v>5</v>
      </c>
      <c r="K867" s="140">
        <v>6</v>
      </c>
      <c r="L867" s="140">
        <v>7</v>
      </c>
      <c r="M867" s="140">
        <v>8</v>
      </c>
    </row>
    <row r="868" spans="4:13" x14ac:dyDescent="0.3">
      <c r="D868" s="140" t="s">
        <v>1462</v>
      </c>
      <c r="E868" s="140"/>
      <c r="F868" s="140"/>
      <c r="G868" s="140">
        <f>2*2</f>
        <v>4</v>
      </c>
      <c r="H868" s="140">
        <f t="shared" ref="H868:L869" si="107">+G868*1.08</f>
        <v>4.32</v>
      </c>
      <c r="I868" s="140">
        <f t="shared" si="107"/>
        <v>4.6656000000000004</v>
      </c>
      <c r="J868" s="140">
        <f t="shared" si="107"/>
        <v>5.0388480000000007</v>
      </c>
      <c r="K868" s="140">
        <f t="shared" si="107"/>
        <v>5.4419558400000012</v>
      </c>
      <c r="L868" s="140">
        <f t="shared" si="107"/>
        <v>5.8773123072000013</v>
      </c>
      <c r="M868" s="127">
        <f>+L868*(1+0.09)</f>
        <v>6.4062704148480023</v>
      </c>
    </row>
    <row r="869" spans="4:13" x14ac:dyDescent="0.3">
      <c r="D869" s="140" t="s">
        <v>1463</v>
      </c>
      <c r="E869" s="140"/>
      <c r="F869" s="140"/>
      <c r="G869" s="140">
        <f>+G868*0.7</f>
        <v>2.8</v>
      </c>
      <c r="H869" s="140">
        <f t="shared" si="107"/>
        <v>3.024</v>
      </c>
      <c r="I869" s="140">
        <f t="shared" si="107"/>
        <v>3.2659200000000004</v>
      </c>
      <c r="J869" s="140">
        <f t="shared" si="107"/>
        <v>3.5271936000000008</v>
      </c>
      <c r="K869" s="140">
        <f t="shared" si="107"/>
        <v>3.8093690880000013</v>
      </c>
      <c r="L869" s="140">
        <f t="shared" si="107"/>
        <v>4.1141186150400015</v>
      </c>
    </row>
    <row r="870" spans="4:13" x14ac:dyDescent="0.3">
      <c r="D870" s="140" t="s">
        <v>1464</v>
      </c>
      <c r="E870" s="140"/>
      <c r="F870" s="140"/>
      <c r="G870" s="140">
        <f>0.3*2</f>
        <v>0.6</v>
      </c>
      <c r="H870" s="140">
        <f>0.3*2</f>
        <v>0.6</v>
      </c>
      <c r="I870" s="140">
        <f>0.3*2</f>
        <v>0.6</v>
      </c>
      <c r="J870" s="140">
        <f>0.3*2</f>
        <v>0.6</v>
      </c>
      <c r="K870" s="140">
        <f>+J870+0.2</f>
        <v>0.8</v>
      </c>
      <c r="L870" s="140">
        <f>+K870+0.2</f>
        <v>1</v>
      </c>
    </row>
    <row r="871" spans="4:13" x14ac:dyDescent="0.3">
      <c r="D871" s="140" t="s">
        <v>1465</v>
      </c>
      <c r="E871" s="140"/>
      <c r="F871" s="140"/>
      <c r="G871" s="140">
        <f>+E901</f>
        <v>0.84000000000000008</v>
      </c>
      <c r="H871" s="140">
        <f>+G871</f>
        <v>0.84000000000000008</v>
      </c>
      <c r="I871" s="140">
        <f t="shared" ref="I871:K871" si="108">+H871</f>
        <v>0.84000000000000008</v>
      </c>
      <c r="J871" s="140">
        <f t="shared" si="108"/>
        <v>0.84000000000000008</v>
      </c>
      <c r="K871" s="140">
        <f t="shared" si="108"/>
        <v>0.84000000000000008</v>
      </c>
      <c r="L871" s="140">
        <f>+K871</f>
        <v>0.84000000000000008</v>
      </c>
    </row>
    <row r="872" spans="4:13" x14ac:dyDescent="0.3">
      <c r="D872" s="140" t="s">
        <v>1503</v>
      </c>
      <c r="E872" s="140"/>
      <c r="F872" s="140"/>
      <c r="G872" s="140"/>
      <c r="H872" s="140"/>
      <c r="I872" s="140"/>
      <c r="J872" s="140"/>
      <c r="K872" s="140"/>
      <c r="L872" s="140"/>
    </row>
    <row r="873" spans="4:13" x14ac:dyDescent="0.3">
      <c r="D873" s="140" t="s">
        <v>1467</v>
      </c>
      <c r="E873" s="140">
        <f t="shared" ref="E873:L873" si="109">+E868-E869-E870-E871+E872</f>
        <v>0</v>
      </c>
      <c r="F873" s="140">
        <f t="shared" si="109"/>
        <v>0</v>
      </c>
      <c r="G873" s="140">
        <f t="shared" si="109"/>
        <v>-0.23999999999999988</v>
      </c>
      <c r="H873" s="140">
        <f t="shared" si="109"/>
        <v>-0.14399999999999979</v>
      </c>
      <c r="I873" s="140">
        <f t="shared" si="109"/>
        <v>-4.0320000000000022E-2</v>
      </c>
      <c r="J873" s="140">
        <f t="shared" si="109"/>
        <v>7.1654399999999785E-2</v>
      </c>
      <c r="K873" s="140">
        <f t="shared" si="109"/>
        <v>-7.4132480000002055E-3</v>
      </c>
      <c r="L873" s="140">
        <f t="shared" si="109"/>
        <v>-7.680630784000031E-2</v>
      </c>
    </row>
    <row r="874" spans="4:13" x14ac:dyDescent="0.3">
      <c r="D874" s="140" t="s">
        <v>1468</v>
      </c>
      <c r="E874" s="140"/>
      <c r="F874" s="140"/>
      <c r="G874" s="140">
        <f t="shared" ref="G874:L874" si="110">+G873*0.3</f>
        <v>-7.1999999999999967E-2</v>
      </c>
      <c r="H874" s="140">
        <f t="shared" si="110"/>
        <v>-4.319999999999994E-2</v>
      </c>
      <c r="I874" s="140">
        <f t="shared" si="110"/>
        <v>-1.2096000000000006E-2</v>
      </c>
      <c r="J874" s="140">
        <f t="shared" si="110"/>
        <v>2.1496319999999933E-2</v>
      </c>
      <c r="K874" s="140">
        <f t="shared" si="110"/>
        <v>-2.2239744000000614E-3</v>
      </c>
      <c r="L874" s="140">
        <f t="shared" si="110"/>
        <v>-2.3041892352000094E-2</v>
      </c>
    </row>
    <row r="875" spans="4:13" x14ac:dyDescent="0.3">
      <c r="D875" s="140"/>
      <c r="E875" s="140"/>
      <c r="F875" s="140"/>
      <c r="G875" s="140"/>
      <c r="H875" s="140"/>
      <c r="I875" s="140"/>
      <c r="J875" s="140"/>
      <c r="K875" s="140"/>
      <c r="L875" s="140"/>
    </row>
    <row r="876" spans="4:13" x14ac:dyDescent="0.3">
      <c r="D876" s="140" t="s">
        <v>1469</v>
      </c>
      <c r="E876" s="140"/>
      <c r="F876" s="140">
        <f t="shared" ref="F876:L876" si="111">0.03*G868+0.2+0.2</f>
        <v>0.52</v>
      </c>
      <c r="G876" s="140">
        <f t="shared" si="111"/>
        <v>0.52960000000000007</v>
      </c>
      <c r="H876" s="140">
        <f t="shared" si="111"/>
        <v>0.539968</v>
      </c>
      <c r="I876" s="140">
        <f t="shared" si="111"/>
        <v>0.55116544000000012</v>
      </c>
      <c r="J876" s="140">
        <f t="shared" si="111"/>
        <v>0.56325867520000006</v>
      </c>
      <c r="K876" s="140">
        <f t="shared" si="111"/>
        <v>0.57631936921600002</v>
      </c>
      <c r="L876" s="140">
        <f t="shared" si="111"/>
        <v>0.59218811244544001</v>
      </c>
    </row>
    <row r="877" spans="4:13" x14ac:dyDescent="0.3">
      <c r="D877" s="140" t="s">
        <v>1470</v>
      </c>
      <c r="E877" s="140"/>
      <c r="F877" s="140">
        <f>+F869*0.273972602739726</f>
        <v>0</v>
      </c>
      <c r="G877" s="140">
        <f>+G869*0.273972602739726</f>
        <v>0.76712328767123283</v>
      </c>
      <c r="H877" s="140">
        <f t="shared" ref="H877:L877" si="112">+H869*0.273972602739726</f>
        <v>0.82849315068493146</v>
      </c>
      <c r="I877" s="140">
        <f t="shared" si="112"/>
        <v>0.89477260273972603</v>
      </c>
      <c r="J877" s="140">
        <f t="shared" si="112"/>
        <v>0.96635441095890429</v>
      </c>
      <c r="K877" s="140">
        <f t="shared" si="112"/>
        <v>1.0436627638356166</v>
      </c>
      <c r="L877" s="140">
        <f t="shared" si="112"/>
        <v>1.127155784942466</v>
      </c>
      <c r="M877" s="127" t="s">
        <v>1554</v>
      </c>
    </row>
    <row r="878" spans="4:13" x14ac:dyDescent="0.3">
      <c r="D878" s="140" t="s">
        <v>1471</v>
      </c>
      <c r="E878" s="140"/>
      <c r="F878" s="127">
        <f>+F876-F877</f>
        <v>0.52</v>
      </c>
      <c r="G878" s="127">
        <f>+G876-G877</f>
        <v>-0.23752328767123276</v>
      </c>
      <c r="H878" s="127">
        <f>+H876-H877</f>
        <v>-0.28852515068493145</v>
      </c>
      <c r="I878" s="127">
        <f>+I876-I877</f>
        <v>-0.34360716273972591</v>
      </c>
      <c r="J878" s="127">
        <f>+J876-J877</f>
        <v>-0.40309573575890423</v>
      </c>
      <c r="K878" s="127">
        <v>0</v>
      </c>
      <c r="L878" s="127">
        <v>1</v>
      </c>
    </row>
    <row r="879" spans="4:13" x14ac:dyDescent="0.3">
      <c r="D879" s="140" t="s">
        <v>1472</v>
      </c>
      <c r="E879" s="140"/>
      <c r="F879" s="127">
        <f t="shared" ref="F879:L879" si="113">+F878-E878</f>
        <v>0.52</v>
      </c>
      <c r="G879" s="127">
        <f t="shared" si="113"/>
        <v>-0.75752328767123278</v>
      </c>
      <c r="H879" s="127">
        <f t="shared" si="113"/>
        <v>-5.1001863013698689E-2</v>
      </c>
      <c r="I879" s="127">
        <f t="shared" si="113"/>
        <v>-5.508201205479446E-2</v>
      </c>
      <c r="J879" s="127">
        <f t="shared" si="113"/>
        <v>-5.9488573019178315E-2</v>
      </c>
      <c r="K879" s="127">
        <f t="shared" si="113"/>
        <v>0.40309573575890423</v>
      </c>
      <c r="L879" s="127">
        <f t="shared" si="113"/>
        <v>1</v>
      </c>
    </row>
    <row r="880" spans="4:13" x14ac:dyDescent="0.3">
      <c r="D880" s="194" t="s">
        <v>1473</v>
      </c>
      <c r="E880" s="140"/>
      <c r="F880" s="195">
        <f t="shared" ref="F880" si="114">+F873+F871-F874-F879</f>
        <v>-0.52</v>
      </c>
      <c r="G880" s="195">
        <f t="shared" ref="G880:K880" si="115">+G873+G871-G874-G879</f>
        <v>1.4295232876712329</v>
      </c>
      <c r="H880" s="195">
        <f t="shared" si="115"/>
        <v>0.79020186301369888</v>
      </c>
      <c r="I880" s="195">
        <f t="shared" si="115"/>
        <v>0.86685801205479451</v>
      </c>
      <c r="J880" s="195">
        <f t="shared" si="115"/>
        <v>0.94964665301917828</v>
      </c>
      <c r="K880" s="195">
        <f t="shared" si="115"/>
        <v>0.43171499064109575</v>
      </c>
      <c r="L880" s="195">
        <f t="shared" ref="L880" si="116">+L873+L871-L874-L879</f>
        <v>-0.21376441548800018</v>
      </c>
    </row>
    <row r="881" spans="4:12" x14ac:dyDescent="0.3">
      <c r="D881" s="140"/>
      <c r="E881" s="140"/>
      <c r="F881" s="140"/>
      <c r="G881" s="140"/>
      <c r="H881" s="140"/>
      <c r="I881" s="140"/>
      <c r="J881" s="140"/>
      <c r="K881" s="140"/>
      <c r="L881" s="140"/>
    </row>
    <row r="882" spans="4:12" x14ac:dyDescent="0.3">
      <c r="D882" s="140" t="s">
        <v>1507</v>
      </c>
      <c r="E882" s="140">
        <v>2</v>
      </c>
      <c r="F882" s="140">
        <f>+(1.6)*2+2.2*2+E882</f>
        <v>9.6000000000000014</v>
      </c>
      <c r="G882" s="140">
        <f>+F882-G871</f>
        <v>8.7600000000000016</v>
      </c>
      <c r="H882" s="140">
        <f t="shared" ref="H882:L882" si="117">+G882-H871</f>
        <v>7.9200000000000017</v>
      </c>
      <c r="I882" s="140">
        <f t="shared" si="117"/>
        <v>7.0800000000000018</v>
      </c>
      <c r="J882" s="140">
        <f t="shared" si="117"/>
        <v>6.240000000000002</v>
      </c>
      <c r="K882" s="140">
        <f t="shared" si="117"/>
        <v>5.4000000000000021</v>
      </c>
      <c r="L882" s="140">
        <f t="shared" si="117"/>
        <v>4.5600000000000023</v>
      </c>
    </row>
    <row r="883" spans="4:12" x14ac:dyDescent="0.3">
      <c r="D883" s="140" t="s">
        <v>1481</v>
      </c>
      <c r="E883" s="140">
        <v>2</v>
      </c>
      <c r="F883" s="140">
        <f>+F882-E882+F871</f>
        <v>7.6000000000000014</v>
      </c>
      <c r="G883" s="140">
        <f>+G882-F882+G871</f>
        <v>0</v>
      </c>
      <c r="H883" s="140">
        <f t="shared" ref="H883:L883" si="118">+H882-G882+H871</f>
        <v>0</v>
      </c>
      <c r="I883" s="140">
        <f t="shared" si="118"/>
        <v>0</v>
      </c>
      <c r="J883" s="140">
        <f t="shared" si="118"/>
        <v>0</v>
      </c>
      <c r="K883" s="140">
        <f t="shared" si="118"/>
        <v>0</v>
      </c>
      <c r="L883" s="140">
        <f t="shared" si="118"/>
        <v>0</v>
      </c>
    </row>
    <row r="884" spans="4:12" x14ac:dyDescent="0.3">
      <c r="D884" s="194" t="s">
        <v>1475</v>
      </c>
      <c r="E884" s="195">
        <f t="shared" ref="E884:L884" si="119">+E880-E883</f>
        <v>-2</v>
      </c>
      <c r="F884" s="195">
        <f t="shared" si="119"/>
        <v>-8.120000000000001</v>
      </c>
      <c r="G884" s="195">
        <f t="shared" si="119"/>
        <v>1.4295232876712329</v>
      </c>
      <c r="H884" s="195">
        <f t="shared" si="119"/>
        <v>0.79020186301369888</v>
      </c>
      <c r="I884" s="195">
        <f t="shared" si="119"/>
        <v>0.86685801205479451</v>
      </c>
      <c r="J884" s="195">
        <f t="shared" si="119"/>
        <v>0.94964665301917828</v>
      </c>
      <c r="K884" s="195">
        <f t="shared" si="119"/>
        <v>0.43171499064109575</v>
      </c>
      <c r="L884" s="195">
        <f t="shared" si="119"/>
        <v>-0.21376441548800018</v>
      </c>
    </row>
    <row r="885" spans="4:12" x14ac:dyDescent="0.3">
      <c r="I885" s="127" t="s">
        <v>1555</v>
      </c>
      <c r="J885" s="127">
        <f>+G868/(0.09-0.03)</f>
        <v>66.666666666666671</v>
      </c>
    </row>
    <row r="886" spans="4:12" x14ac:dyDescent="0.3">
      <c r="D886" s="128" t="s">
        <v>1551</v>
      </c>
    </row>
    <row r="887" spans="4:12" x14ac:dyDescent="0.3">
      <c r="D887" s="127" t="s">
        <v>1540</v>
      </c>
      <c r="E887" s="127" t="s">
        <v>1541</v>
      </c>
    </row>
    <row r="888" spans="4:12" x14ac:dyDescent="0.3">
      <c r="D888" s="127" t="s">
        <v>1542</v>
      </c>
      <c r="E888" s="127" t="s">
        <v>1543</v>
      </c>
    </row>
    <row r="889" spans="4:12" x14ac:dyDescent="0.3">
      <c r="E889" s="127" t="s">
        <v>1544</v>
      </c>
    </row>
    <row r="890" spans="4:12" x14ac:dyDescent="0.3">
      <c r="D890" s="128" t="s">
        <v>1547</v>
      </c>
      <c r="E890" s="128">
        <f>1.6+2.2</f>
        <v>3.8000000000000003</v>
      </c>
      <c r="F890" s="128">
        <f>+E890*2</f>
        <v>7.6000000000000005</v>
      </c>
    </row>
    <row r="893" spans="4:12" x14ac:dyDescent="0.3">
      <c r="D893" s="128" t="s">
        <v>1545</v>
      </c>
      <c r="E893" s="196">
        <f>+E894/E895</f>
        <v>0.10666666666666667</v>
      </c>
    </row>
    <row r="894" spans="4:12" x14ac:dyDescent="0.3">
      <c r="D894" s="127" t="s">
        <v>1546</v>
      </c>
      <c r="E894" s="127">
        <v>3.2</v>
      </c>
    </row>
    <row r="895" spans="4:12" x14ac:dyDescent="0.3">
      <c r="D895" s="127" t="s">
        <v>1548</v>
      </c>
      <c r="E895" s="127">
        <v>30</v>
      </c>
    </row>
    <row r="897" spans="4:5" x14ac:dyDescent="0.3">
      <c r="E897" s="127">
        <f>+E898/E899</f>
        <v>0.73333333333333339</v>
      </c>
    </row>
    <row r="898" spans="4:5" x14ac:dyDescent="0.3">
      <c r="D898" s="127" t="s">
        <v>1549</v>
      </c>
      <c r="E898" s="127">
        <v>4.4000000000000004</v>
      </c>
    </row>
    <row r="899" spans="4:5" x14ac:dyDescent="0.3">
      <c r="D899" s="127" t="s">
        <v>1548</v>
      </c>
      <c r="E899" s="127">
        <v>6</v>
      </c>
    </row>
    <row r="901" spans="4:5" x14ac:dyDescent="0.3">
      <c r="D901" s="128" t="s">
        <v>1550</v>
      </c>
      <c r="E901" s="128">
        <f>+E897+E893</f>
        <v>0.84000000000000008</v>
      </c>
    </row>
    <row r="903" spans="4:5" x14ac:dyDescent="0.3">
      <c r="D903" s="127" t="s">
        <v>1552</v>
      </c>
      <c r="E903" s="127" t="s">
        <v>1553</v>
      </c>
    </row>
    <row r="915" spans="1:57" s="128" customFormat="1" x14ac:dyDescent="0.3">
      <c r="A915" s="125" t="s">
        <v>1556</v>
      </c>
      <c r="B915" s="255"/>
      <c r="C915" s="139"/>
      <c r="U915" s="139"/>
      <c r="AI915" s="139"/>
      <c r="BE915" s="139"/>
    </row>
    <row r="958" spans="1:57" s="128" customFormat="1" x14ac:dyDescent="0.3">
      <c r="A958" s="125"/>
      <c r="B958" s="255"/>
      <c r="C958" s="139"/>
      <c r="U958" s="139"/>
      <c r="AI958" s="139"/>
      <c r="BE958" s="139"/>
    </row>
    <row r="959" spans="1:57" x14ac:dyDescent="0.3">
      <c r="D959" s="140" t="s">
        <v>1539</v>
      </c>
    </row>
    <row r="960" spans="1:57" x14ac:dyDescent="0.3">
      <c r="D960" s="140" t="s">
        <v>1462</v>
      </c>
    </row>
    <row r="961" spans="4:5" x14ac:dyDescent="0.3">
      <c r="D961" s="140" t="s">
        <v>1463</v>
      </c>
    </row>
    <row r="962" spans="4:5" x14ac:dyDescent="0.3">
      <c r="D962" s="140" t="s">
        <v>1464</v>
      </c>
    </row>
    <row r="963" spans="4:5" x14ac:dyDescent="0.3">
      <c r="D963" s="140" t="s">
        <v>1465</v>
      </c>
    </row>
    <row r="964" spans="4:5" x14ac:dyDescent="0.3">
      <c r="D964" s="140" t="s">
        <v>1503</v>
      </c>
    </row>
    <row r="965" spans="4:5" x14ac:dyDescent="0.3">
      <c r="D965" s="140" t="s">
        <v>1467</v>
      </c>
    </row>
    <row r="966" spans="4:5" x14ac:dyDescent="0.3">
      <c r="D966" s="140" t="s">
        <v>1468</v>
      </c>
    </row>
    <row r="967" spans="4:5" x14ac:dyDescent="0.3">
      <c r="D967" s="140"/>
    </row>
    <row r="968" spans="4:5" x14ac:dyDescent="0.3">
      <c r="D968" s="140" t="s">
        <v>1469</v>
      </c>
    </row>
    <row r="969" spans="4:5" x14ac:dyDescent="0.3">
      <c r="D969" s="140" t="s">
        <v>1470</v>
      </c>
    </row>
    <row r="970" spans="4:5" x14ac:dyDescent="0.3">
      <c r="D970" s="140" t="s">
        <v>1471</v>
      </c>
    </row>
    <row r="971" spans="4:5" x14ac:dyDescent="0.3">
      <c r="D971" s="140" t="s">
        <v>1472</v>
      </c>
    </row>
    <row r="972" spans="4:5" x14ac:dyDescent="0.3">
      <c r="D972" s="194" t="s">
        <v>1473</v>
      </c>
    </row>
    <row r="973" spans="4:5" x14ac:dyDescent="0.3">
      <c r="D973" s="140"/>
    </row>
    <row r="974" spans="4:5" x14ac:dyDescent="0.3">
      <c r="D974" s="140" t="s">
        <v>1507</v>
      </c>
      <c r="E974" s="127">
        <v>7000000</v>
      </c>
    </row>
    <row r="975" spans="4:5" x14ac:dyDescent="0.3">
      <c r="D975" s="140" t="s">
        <v>1481</v>
      </c>
    </row>
    <row r="976" spans="4:5" x14ac:dyDescent="0.3">
      <c r="D976" s="194" t="s">
        <v>1475</v>
      </c>
    </row>
  </sheetData>
  <mergeCells count="84">
    <mergeCell ref="AN620:AP620"/>
    <mergeCell ref="B614:B622"/>
    <mergeCell ref="B584:B586"/>
    <mergeCell ref="B596:B598"/>
    <mergeCell ref="B599:B603"/>
    <mergeCell ref="B604:B608"/>
    <mergeCell ref="B609:B613"/>
    <mergeCell ref="B534:B537"/>
    <mergeCell ref="B570:B579"/>
    <mergeCell ref="B581:B583"/>
    <mergeCell ref="B467:B468"/>
    <mergeCell ref="B469:B470"/>
    <mergeCell ref="B471:B472"/>
    <mergeCell ref="B473:B475"/>
    <mergeCell ref="B476:B479"/>
    <mergeCell ref="X235:Y235"/>
    <mergeCell ref="X236:Y236"/>
    <mergeCell ref="B250:B251"/>
    <mergeCell ref="X239:Z239"/>
    <mergeCell ref="B464:B465"/>
    <mergeCell ref="B445:B447"/>
    <mergeCell ref="B299:B300"/>
    <mergeCell ref="B310:B312"/>
    <mergeCell ref="B313:B314"/>
    <mergeCell ref="B319:B322"/>
    <mergeCell ref="B274:B276"/>
    <mergeCell ref="B284:B286"/>
    <mergeCell ref="B297:B298"/>
    <mergeCell ref="B244:B249"/>
    <mergeCell ref="A445:A447"/>
    <mergeCell ref="B449:B455"/>
    <mergeCell ref="B459:B460"/>
    <mergeCell ref="B462:B463"/>
    <mergeCell ref="A324:A327"/>
    <mergeCell ref="B362:B364"/>
    <mergeCell ref="B402:B404"/>
    <mergeCell ref="A402:A404"/>
    <mergeCell ref="B324:B327"/>
    <mergeCell ref="B169:B173"/>
    <mergeCell ref="B23:B30"/>
    <mergeCell ref="B32:B35"/>
    <mergeCell ref="A32:A35"/>
    <mergeCell ref="B40:B45"/>
    <mergeCell ref="A40:A45"/>
    <mergeCell ref="A23:A30"/>
    <mergeCell ref="B36:B38"/>
    <mergeCell ref="B47:B51"/>
    <mergeCell ref="A47:A51"/>
    <mergeCell ref="B58:B62"/>
    <mergeCell ref="B67:B69"/>
    <mergeCell ref="B78:B81"/>
    <mergeCell ref="B55:B56"/>
    <mergeCell ref="A55:A56"/>
    <mergeCell ref="B89:B91"/>
    <mergeCell ref="B151:B154"/>
    <mergeCell ref="B163:B167"/>
    <mergeCell ref="A163:A167"/>
    <mergeCell ref="B156:B157"/>
    <mergeCell ref="B158:B159"/>
    <mergeCell ref="A156:A160"/>
    <mergeCell ref="B160:B161"/>
    <mergeCell ref="A89:A91"/>
    <mergeCell ref="B92:B94"/>
    <mergeCell ref="A118:A123"/>
    <mergeCell ref="B130:B133"/>
    <mergeCell ref="B144:B149"/>
    <mergeCell ref="B135:B138"/>
    <mergeCell ref="A92:A94"/>
    <mergeCell ref="B97:B105"/>
    <mergeCell ref="B107:B112"/>
    <mergeCell ref="A97:A105"/>
    <mergeCell ref="A107:A112"/>
    <mergeCell ref="B118:B123"/>
    <mergeCell ref="B180:B181"/>
    <mergeCell ref="B223:B224"/>
    <mergeCell ref="B177:B179"/>
    <mergeCell ref="B182:B190"/>
    <mergeCell ref="A182:A190"/>
    <mergeCell ref="B218:B219"/>
    <mergeCell ref="B781:B785"/>
    <mergeCell ref="B786:B787"/>
    <mergeCell ref="B789:B791"/>
    <mergeCell ref="B794:B795"/>
    <mergeCell ref="B822:B823"/>
  </mergeCells>
  <phoneticPr fontId="9" type="noConversion"/>
  <pageMargins left="0.25" right="0.25" top="0.75" bottom="0.75" header="0.3" footer="0.3"/>
  <pageSetup orientation="portrait" r:id="rId1"/>
  <rowBreaks count="3" manualBreakCount="3">
    <brk id="17" max="16383" man="1"/>
    <brk id="45" max="16383" man="1"/>
    <brk id="128" max="16383" man="1"/>
  </rowBreaks>
  <ignoredErrors>
    <ignoredError sqref="X3" 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E5B1-CA2A-49AD-BA19-8B89BCCED41D}">
  <dimension ref="A1:AP49"/>
  <sheetViews>
    <sheetView showWhiteSpace="0" topLeftCell="A24" zoomScaleNormal="100" zoomScalePageLayoutView="85" workbookViewId="0">
      <pane xSplit="2" topLeftCell="D1" activePane="topRight" state="frozen"/>
      <selection pane="topRight" activeCell="C30" sqref="C30"/>
    </sheetView>
  </sheetViews>
  <sheetFormatPr defaultColWidth="8.88671875" defaultRowHeight="10.199999999999999" x14ac:dyDescent="0.3"/>
  <cols>
    <col min="1" max="1" width="6.33203125" style="131" customWidth="1"/>
    <col min="2" max="2" width="71.33203125" style="131" customWidth="1"/>
    <col min="3" max="3" width="6.5546875" style="131" bestFit="1" customWidth="1"/>
    <col min="4" max="4" width="16.88671875" style="131" bestFit="1" customWidth="1"/>
    <col min="5" max="5" width="10.88671875" style="131" customWidth="1"/>
    <col min="6" max="6" width="9.88671875" style="131" bestFit="1" customWidth="1"/>
    <col min="7" max="7" width="9.88671875" style="131" customWidth="1"/>
    <col min="8" max="8" width="9.6640625" style="131" customWidth="1"/>
    <col min="9" max="9" width="23.44140625" style="131" customWidth="1"/>
    <col min="10" max="10" width="18.33203125" style="131" customWidth="1"/>
    <col min="11" max="11" width="20.5546875" style="131" bestFit="1" customWidth="1"/>
    <col min="12" max="12" width="11.5546875" style="131" bestFit="1" customWidth="1"/>
    <col min="13" max="13" width="16.44140625" style="131" bestFit="1" customWidth="1"/>
    <col min="14" max="14" width="8.6640625" style="131" customWidth="1"/>
    <col min="15" max="15" width="16.5546875" style="131" customWidth="1"/>
    <col min="16" max="16" width="13.5546875" style="131" customWidth="1"/>
    <col min="17" max="17" width="12.109375" style="131" customWidth="1"/>
    <col min="18" max="22" width="8.88671875" style="131"/>
    <col min="23" max="23" width="10.88671875" style="131" bestFit="1" customWidth="1"/>
    <col min="24" max="24" width="19.6640625" style="131" bestFit="1" customWidth="1"/>
    <col min="25" max="25" width="20.6640625" style="131" bestFit="1" customWidth="1"/>
    <col min="26" max="26" width="30.44140625" style="131" bestFit="1" customWidth="1"/>
    <col min="27" max="27" width="13.109375" style="131" customWidth="1"/>
    <col min="28" max="28" width="12.88671875" style="131" customWidth="1"/>
    <col min="29" max="29" width="22.6640625" style="131" customWidth="1"/>
    <col min="30" max="30" width="10.33203125" style="131" bestFit="1" customWidth="1"/>
    <col min="31" max="31" width="11.33203125" style="131" bestFit="1" customWidth="1"/>
    <col min="32" max="32" width="11" style="131" customWidth="1"/>
    <col min="33" max="33" width="8.88671875" style="131"/>
    <col min="34" max="36" width="11.88671875" style="131" bestFit="1" customWidth="1"/>
    <col min="37" max="37" width="10.33203125" style="131" bestFit="1" customWidth="1"/>
    <col min="38" max="38" width="9.6640625" style="131" bestFit="1" customWidth="1"/>
    <col min="39" max="39" width="10.33203125" style="131" bestFit="1" customWidth="1"/>
    <col min="40" max="49" width="8.88671875" style="131"/>
    <col min="50" max="50" width="12.6640625" style="131" bestFit="1" customWidth="1"/>
    <col min="51" max="51" width="10" style="131" bestFit="1" customWidth="1"/>
    <col min="52" max="52" width="8.88671875" style="131"/>
    <col min="53" max="53" width="17.109375" style="131" bestFit="1" customWidth="1"/>
    <col min="54" max="56" width="8.88671875" style="131"/>
    <col min="57" max="57" width="13.6640625" style="131" bestFit="1" customWidth="1"/>
    <col min="58" max="58" width="8.88671875" style="131"/>
    <col min="59" max="59" width="10.44140625" style="131" bestFit="1" customWidth="1"/>
    <col min="60" max="61" width="8.88671875" style="131"/>
    <col min="62" max="62" width="10.109375" style="131" bestFit="1" customWidth="1"/>
    <col min="63" max="63" width="10" style="131" customWidth="1"/>
    <col min="64" max="64" width="8.88671875" style="131"/>
    <col min="65" max="65" width="10.6640625" style="131" customWidth="1"/>
    <col min="66" max="66" width="11.6640625" style="131" customWidth="1"/>
    <col min="67" max="69" width="8.88671875" style="131"/>
    <col min="70" max="70" width="14" style="131" customWidth="1"/>
    <col min="71" max="16384" width="8.88671875" style="131"/>
  </cols>
  <sheetData>
    <row r="1" spans="2:8" s="202" customFormat="1" x14ac:dyDescent="0.3"/>
    <row r="2" spans="2:8" ht="15.75" customHeight="1" x14ac:dyDescent="0.3">
      <c r="B2" s="203" t="s">
        <v>774</v>
      </c>
      <c r="C2" s="202">
        <v>1</v>
      </c>
    </row>
    <row r="3" spans="2:8" ht="15.75" customHeight="1" x14ac:dyDescent="0.3">
      <c r="B3" s="500" t="s">
        <v>782</v>
      </c>
      <c r="C3" s="131" t="s">
        <v>790</v>
      </c>
      <c r="D3" s="131" t="s">
        <v>791</v>
      </c>
      <c r="E3" s="131">
        <f>(1/0.8)</f>
        <v>1.25</v>
      </c>
    </row>
    <row r="4" spans="2:8" x14ac:dyDescent="0.3">
      <c r="B4" s="500"/>
      <c r="C4" s="131" t="s">
        <v>792</v>
      </c>
      <c r="D4" s="131" t="s">
        <v>793</v>
      </c>
    </row>
    <row r="5" spans="2:8" x14ac:dyDescent="0.3">
      <c r="B5" s="500"/>
      <c r="C5" s="131" t="s">
        <v>794</v>
      </c>
      <c r="D5" s="131">
        <v>0.4</v>
      </c>
    </row>
    <row r="6" spans="2:8" x14ac:dyDescent="0.3">
      <c r="B6" s="500"/>
      <c r="C6" s="131" t="s">
        <v>795</v>
      </c>
      <c r="D6" s="131">
        <f>+(1+D5)^(0.328767123287671)-1</f>
        <v>0.11697150481445817</v>
      </c>
    </row>
    <row r="7" spans="2:8" x14ac:dyDescent="0.3">
      <c r="B7" s="500"/>
      <c r="C7" s="131" t="s">
        <v>796</v>
      </c>
      <c r="D7" s="131">
        <v>1000000</v>
      </c>
    </row>
    <row r="8" spans="2:8" x14ac:dyDescent="0.3">
      <c r="B8" s="500"/>
      <c r="C8" s="202">
        <v>2.1</v>
      </c>
      <c r="D8" s="131" t="s">
        <v>798</v>
      </c>
      <c r="E8" s="131">
        <v>0.3</v>
      </c>
    </row>
    <row r="9" spans="2:8" x14ac:dyDescent="0.3">
      <c r="B9" s="500"/>
      <c r="D9" s="131" t="s">
        <v>797</v>
      </c>
      <c r="E9" s="131">
        <f>+(1+E8)^(0.328767123287671)-1</f>
        <v>9.008616598872754E-2</v>
      </c>
    </row>
    <row r="10" spans="2:8" ht="13.8" x14ac:dyDescent="0.3">
      <c r="B10" s="205" t="s">
        <v>775</v>
      </c>
      <c r="D10" s="131">
        <f>+D7*(1+E9)</f>
        <v>1090086.1659887275</v>
      </c>
      <c r="F10" s="131">
        <f>+D10-D7</f>
        <v>90086.165988727473</v>
      </c>
    </row>
    <row r="11" spans="2:8" ht="13.8" x14ac:dyDescent="0.3">
      <c r="B11" s="205"/>
    </row>
    <row r="12" spans="2:8" ht="13.8" x14ac:dyDescent="0.3">
      <c r="B12" s="205" t="s">
        <v>776</v>
      </c>
      <c r="C12" s="202">
        <v>2.2000000000000002</v>
      </c>
      <c r="D12" s="131" t="s">
        <v>799</v>
      </c>
      <c r="E12" s="131">
        <v>0.3</v>
      </c>
      <c r="F12" s="131" t="s">
        <v>801</v>
      </c>
      <c r="G12" s="131">
        <f>+(0.3+1)*(D5+1)-1</f>
        <v>0.81999999999999984</v>
      </c>
    </row>
    <row r="13" spans="2:8" ht="13.8" x14ac:dyDescent="0.3">
      <c r="B13" s="205"/>
      <c r="D13" s="131" t="s">
        <v>800</v>
      </c>
      <c r="E13" s="131">
        <f>+(1+E12)^(0.328767123287671)-1</f>
        <v>9.0086165988727318E-2</v>
      </c>
      <c r="F13" s="131" t="s">
        <v>802</v>
      </c>
      <c r="G13" s="131">
        <f>+(E13+1)*(D6+1)-1</f>
        <v>0.21759518520185206</v>
      </c>
      <c r="H13" s="131">
        <f>+D7*(1+G13)</f>
        <v>1217595.1852018521</v>
      </c>
    </row>
    <row r="14" spans="2:8" ht="13.8" x14ac:dyDescent="0.3">
      <c r="B14" s="205"/>
    </row>
    <row r="15" spans="2:8" ht="13.8" x14ac:dyDescent="0.3">
      <c r="B15" s="205" t="s">
        <v>777</v>
      </c>
      <c r="C15" s="202">
        <v>2.2999999999999998</v>
      </c>
      <c r="D15" s="131" t="s">
        <v>803</v>
      </c>
      <c r="E15" s="131">
        <v>0.3</v>
      </c>
      <c r="F15" s="131" t="s">
        <v>801</v>
      </c>
      <c r="G15" s="131">
        <f>+EXP(E15)-1</f>
        <v>0.34985880757600318</v>
      </c>
    </row>
    <row r="16" spans="2:8" x14ac:dyDescent="0.3">
      <c r="F16" s="131">
        <f>+(1+G15)^(120/365)-1</f>
        <v>0.10365802177808359</v>
      </c>
      <c r="G16" s="131">
        <f>+D7*(1+F16)</f>
        <v>1103658.0217780836</v>
      </c>
    </row>
    <row r="17" spans="1:7" ht="13.8" x14ac:dyDescent="0.3">
      <c r="B17" s="205"/>
    </row>
    <row r="18" spans="1:7" x14ac:dyDescent="0.3">
      <c r="B18" s="500" t="s">
        <v>778</v>
      </c>
      <c r="C18" s="202">
        <v>2.4</v>
      </c>
      <c r="D18" s="131" t="s">
        <v>804</v>
      </c>
      <c r="E18" s="207">
        <v>0.3</v>
      </c>
    </row>
    <row r="19" spans="1:7" x14ac:dyDescent="0.3">
      <c r="B19" s="500"/>
      <c r="D19" s="131" t="s">
        <v>801</v>
      </c>
      <c r="E19" s="207">
        <f>+((1+(E18/(365/30)))^(365/30))-1</f>
        <v>0.34495568778075292</v>
      </c>
      <c r="F19" s="131" t="s">
        <v>802</v>
      </c>
      <c r="G19" s="208">
        <f>+(1+E19)^(120/365)-1</f>
        <v>0.10233843714475133</v>
      </c>
    </row>
    <row r="20" spans="1:7" x14ac:dyDescent="0.3">
      <c r="B20" s="500"/>
      <c r="D20" s="131">
        <f>+D7*(1+G19)</f>
        <v>1102338.4371447514</v>
      </c>
    </row>
    <row r="21" spans="1:7" ht="13.8" x14ac:dyDescent="0.3">
      <c r="B21" s="206"/>
    </row>
    <row r="22" spans="1:7" ht="13.8" x14ac:dyDescent="0.3">
      <c r="B22" s="206"/>
    </row>
    <row r="23" spans="1:7" ht="13.8" x14ac:dyDescent="0.3">
      <c r="B23" s="205"/>
    </row>
    <row r="24" spans="1:7" ht="13.8" x14ac:dyDescent="0.3">
      <c r="B24" s="205" t="s">
        <v>779</v>
      </c>
      <c r="C24" s="202">
        <v>2.5</v>
      </c>
      <c r="D24" s="131" t="s">
        <v>805</v>
      </c>
      <c r="E24" s="131">
        <v>0.18</v>
      </c>
    </row>
    <row r="25" spans="1:7" ht="13.8" x14ac:dyDescent="0.3">
      <c r="B25" s="205"/>
      <c r="D25" s="131" t="s">
        <v>806</v>
      </c>
      <c r="E25" s="131">
        <f>+(1+E24)^(0.328767123287671)-1</f>
        <v>5.5923464439378234E-2</v>
      </c>
    </row>
    <row r="26" spans="1:7" ht="13.8" x14ac:dyDescent="0.3">
      <c r="B26" s="205"/>
      <c r="C26" s="131" t="s">
        <v>807</v>
      </c>
      <c r="D26" s="131">
        <f>+D7/1.25</f>
        <v>800000</v>
      </c>
    </row>
    <row r="27" spans="1:7" ht="13.8" x14ac:dyDescent="0.3">
      <c r="B27" s="205"/>
    </row>
    <row r="28" spans="1:7" ht="13.8" x14ac:dyDescent="0.3">
      <c r="B28" s="205"/>
    </row>
    <row r="29" spans="1:7" x14ac:dyDescent="0.3">
      <c r="A29" s="202"/>
      <c r="B29" s="500" t="s">
        <v>783</v>
      </c>
    </row>
    <row r="30" spans="1:7" x14ac:dyDescent="0.3">
      <c r="A30" s="202"/>
      <c r="B30" s="500"/>
    </row>
    <row r="31" spans="1:7" x14ac:dyDescent="0.3">
      <c r="A31" s="202"/>
      <c r="B31" s="500"/>
    </row>
    <row r="32" spans="1:7" x14ac:dyDescent="0.3">
      <c r="A32" s="202"/>
      <c r="B32" s="500"/>
    </row>
    <row r="33" spans="1:2" x14ac:dyDescent="0.3">
      <c r="A33" s="202"/>
      <c r="B33" s="500"/>
    </row>
    <row r="34" spans="1:2" ht="13.8" x14ac:dyDescent="0.3">
      <c r="B34" s="204" t="s">
        <v>780</v>
      </c>
    </row>
    <row r="35" spans="1:2" ht="13.8" x14ac:dyDescent="0.3">
      <c r="B35" s="204" t="s">
        <v>781</v>
      </c>
    </row>
    <row r="36" spans="1:2" ht="13.8" x14ac:dyDescent="0.3">
      <c r="B36" s="205"/>
    </row>
    <row r="37" spans="1:2" x14ac:dyDescent="0.3">
      <c r="A37" s="202"/>
      <c r="B37" s="500" t="s">
        <v>784</v>
      </c>
    </row>
    <row r="38" spans="1:2" ht="19.95" customHeight="1" x14ac:dyDescent="0.3">
      <c r="A38" s="202"/>
      <c r="B38" s="500"/>
    </row>
    <row r="39" spans="1:2" ht="13.8" x14ac:dyDescent="0.3">
      <c r="B39" s="205" t="s">
        <v>785</v>
      </c>
    </row>
    <row r="40" spans="1:2" ht="13.8" x14ac:dyDescent="0.3">
      <c r="B40" s="205" t="s">
        <v>786</v>
      </c>
    </row>
    <row r="41" spans="1:2" ht="13.8" x14ac:dyDescent="0.3">
      <c r="B41" s="205"/>
    </row>
    <row r="42" spans="1:2" x14ac:dyDescent="0.3">
      <c r="A42" s="202"/>
      <c r="B42" s="500" t="s">
        <v>787</v>
      </c>
    </row>
    <row r="43" spans="1:2" x14ac:dyDescent="0.3">
      <c r="A43" s="202"/>
      <c r="B43" s="500"/>
    </row>
    <row r="44" spans="1:2" ht="16.5" customHeight="1" x14ac:dyDescent="0.3">
      <c r="A44" s="202"/>
      <c r="B44" s="500"/>
    </row>
    <row r="45" spans="1:2" ht="15" customHeight="1" x14ac:dyDescent="0.3">
      <c r="B45" s="500" t="s">
        <v>788</v>
      </c>
    </row>
    <row r="46" spans="1:2" ht="14.25" customHeight="1" x14ac:dyDescent="0.3">
      <c r="B46" s="500"/>
    </row>
    <row r="47" spans="1:2" x14ac:dyDescent="0.3">
      <c r="B47" s="500" t="s">
        <v>789</v>
      </c>
    </row>
    <row r="48" spans="1:2" x14ac:dyDescent="0.3">
      <c r="B48" s="500"/>
    </row>
    <row r="49" spans="42:42" x14ac:dyDescent="0.3"/>
  </sheetData>
  <mergeCells count="7">
    <mergeCell ref="B45:B46"/>
    <mergeCell ref="B47:B48"/>
    <mergeCell ref="B3:B9"/>
    <mergeCell ref="B18:B20"/>
    <mergeCell ref="B29:B33"/>
    <mergeCell ref="B37:B38"/>
    <mergeCell ref="B42:B44"/>
  </mergeCells>
  <pageMargins left="0.25" right="0.25" top="0.75" bottom="0.75" header="0.3" footer="0.3"/>
  <pageSetup orientation="portrait" r:id="rId1"/>
  <rowBreaks count="3" manualBreakCount="3">
    <brk id="43" max="16383" man="1"/>
    <brk id="72" max="16383" man="1"/>
    <brk id="155" max="16383"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95A24-AB66-4EE9-9ECB-A552649D1948}">
  <dimension ref="D1:AS3511"/>
  <sheetViews>
    <sheetView showWhiteSpace="0" zoomScaleNormal="100" zoomScalePageLayoutView="85" workbookViewId="0">
      <selection activeCell="D6" sqref="D6"/>
    </sheetView>
  </sheetViews>
  <sheetFormatPr defaultColWidth="8.88671875" defaultRowHeight="14.4" x14ac:dyDescent="0.3"/>
  <cols>
    <col min="1" max="1" width="6.33203125" style="127" customWidth="1"/>
    <col min="2" max="2" width="93.6640625" style="127" customWidth="1"/>
    <col min="3" max="3" width="5.5546875" style="127" customWidth="1"/>
    <col min="4" max="4" width="7.33203125" style="127" customWidth="1"/>
    <col min="5" max="5" width="19.6640625" style="127" bestFit="1" customWidth="1"/>
    <col min="6" max="6" width="7" style="127" customWidth="1"/>
    <col min="7" max="7" width="12.88671875" style="127" customWidth="1"/>
    <col min="8" max="8" width="5.5546875" style="127" bestFit="1" customWidth="1"/>
    <col min="9" max="9" width="8.5546875" style="127" customWidth="1"/>
    <col min="10" max="11" width="8.44140625" style="127" bestFit="1" customWidth="1"/>
    <col min="12" max="12" width="15.6640625" style="179" bestFit="1" customWidth="1"/>
    <col min="13" max="13" width="16.44140625" style="127" bestFit="1" customWidth="1"/>
    <col min="14" max="14" width="8.6640625" style="195" customWidth="1"/>
    <col min="15" max="15" width="16.5546875" style="127" customWidth="1"/>
    <col min="16" max="16" width="17.109375" style="127" bestFit="1" customWidth="1"/>
    <col min="17" max="17" width="17.6640625" style="127" customWidth="1"/>
    <col min="18" max="19" width="8.88671875" style="127"/>
    <col min="20" max="20" width="10.88671875" style="127" bestFit="1" customWidth="1"/>
    <col min="21" max="22" width="8.88671875" style="127"/>
    <col min="23" max="23" width="10.88671875" style="127" bestFit="1" customWidth="1"/>
    <col min="24" max="24" width="19.6640625" style="127" bestFit="1" customWidth="1"/>
    <col min="25" max="25" width="20.6640625" style="127" bestFit="1" customWidth="1"/>
    <col min="26" max="26" width="30.44140625" style="127" bestFit="1" customWidth="1"/>
    <col min="27" max="27" width="13.109375" style="195" customWidth="1"/>
    <col min="28" max="28" width="12.88671875" style="127" customWidth="1"/>
    <col min="29" max="29" width="22.6640625" style="127" customWidth="1"/>
    <col min="30" max="30" width="10.33203125" style="127" bestFit="1" customWidth="1"/>
    <col min="31" max="31" width="11.33203125" style="127" bestFit="1" customWidth="1"/>
    <col min="32" max="32" width="11" style="127" customWidth="1"/>
    <col min="33" max="33" width="8.88671875" style="127"/>
    <col min="34" max="36" width="11.88671875" style="127" bestFit="1" customWidth="1"/>
    <col min="37" max="37" width="10.33203125" style="127" bestFit="1" customWidth="1"/>
    <col min="38" max="38" width="9.6640625" style="127" bestFit="1" customWidth="1"/>
    <col min="39" max="39" width="7.109375" style="127" customWidth="1"/>
    <col min="40" max="40" width="18.109375" style="127" customWidth="1"/>
    <col min="41" max="41" width="16" style="127" customWidth="1"/>
    <col min="42" max="42" width="13.33203125" style="127" bestFit="1" customWidth="1"/>
    <col min="43" max="43" width="16" style="127" customWidth="1"/>
    <col min="44" max="44" width="14.44140625" style="127" customWidth="1"/>
    <col min="45" max="45" width="12.5546875" style="127" bestFit="1" customWidth="1"/>
    <col min="46" max="49" width="8.88671875" style="127"/>
    <col min="50" max="50" width="12.6640625" style="127" bestFit="1" customWidth="1"/>
    <col min="51" max="51" width="10" style="127" bestFit="1" customWidth="1"/>
    <col min="52" max="52" width="8.88671875" style="127"/>
    <col min="53" max="53" width="17.109375" style="127" bestFit="1" customWidth="1"/>
    <col min="54" max="56" width="8.88671875" style="127"/>
    <col min="57" max="57" width="13.6640625" style="127" bestFit="1" customWidth="1"/>
    <col min="58" max="58" width="8.88671875" style="127"/>
    <col min="59" max="59" width="10.44140625" style="127" bestFit="1" customWidth="1"/>
    <col min="60" max="61" width="8.88671875" style="127"/>
    <col min="62" max="62" width="10.109375" style="127" bestFit="1" customWidth="1"/>
    <col min="63" max="63" width="10" style="127" customWidth="1"/>
    <col min="64" max="64" width="8.88671875" style="127"/>
    <col min="65" max="65" width="10.6640625" style="127" customWidth="1"/>
    <col min="66" max="66" width="11.6640625" style="127" customWidth="1"/>
    <col min="67" max="69" width="8.88671875" style="127"/>
    <col min="70" max="70" width="14" style="127" customWidth="1"/>
    <col min="71" max="16384" width="8.88671875" style="127"/>
  </cols>
  <sheetData>
    <row r="1" spans="4:45" s="195" customFormat="1" x14ac:dyDescent="0.3">
      <c r="L1" s="200"/>
      <c r="P1" s="195">
        <v>1298559.6015092446</v>
      </c>
    </row>
    <row r="2" spans="4:45" x14ac:dyDescent="0.3">
      <c r="D2" s="1"/>
      <c r="E2" s="1"/>
      <c r="F2" s="1"/>
      <c r="G2" s="1"/>
      <c r="H2" s="1"/>
      <c r="I2" s="1"/>
      <c r="J2" s="1"/>
      <c r="K2" s="1"/>
      <c r="L2" s="51"/>
      <c r="M2" s="1"/>
      <c r="N2" s="199"/>
      <c r="AM2" s="127">
        <v>1</v>
      </c>
      <c r="AR2" s="271" t="s">
        <v>1105</v>
      </c>
    </row>
    <row r="3" spans="4:45" x14ac:dyDescent="0.3">
      <c r="D3" s="1"/>
      <c r="E3" s="1"/>
      <c r="F3" s="1"/>
      <c r="G3" s="1"/>
      <c r="H3" s="1"/>
      <c r="I3" s="1"/>
      <c r="J3" s="1"/>
      <c r="K3" s="1"/>
      <c r="L3" s="51"/>
      <c r="M3" s="1"/>
      <c r="AM3" s="127" t="s">
        <v>612</v>
      </c>
      <c r="AR3" s="127">
        <v>-10450000</v>
      </c>
      <c r="AS3" s="127">
        <f>+SUM(AS6:AS9)</f>
        <v>10450000</v>
      </c>
    </row>
    <row r="4" spans="4:45" x14ac:dyDescent="0.3">
      <c r="D4" s="1"/>
      <c r="E4" s="1"/>
      <c r="F4" s="1"/>
      <c r="G4" s="1"/>
      <c r="H4" s="1"/>
      <c r="I4" s="1"/>
      <c r="J4" s="1"/>
      <c r="K4" s="1"/>
      <c r="L4" s="51"/>
      <c r="M4" s="1"/>
      <c r="AM4" s="127">
        <v>0</v>
      </c>
      <c r="AN4" s="127">
        <v>-10450000</v>
      </c>
      <c r="AO4" s="127">
        <f>+SUM(AO5:AO9)</f>
        <v>7713605.2337815734</v>
      </c>
      <c r="AP4" s="127">
        <f>-AN4-AO4</f>
        <v>2736394.7662184266</v>
      </c>
    </row>
    <row r="5" spans="4:45" x14ac:dyDescent="0.3">
      <c r="D5" s="1"/>
      <c r="E5" s="1"/>
      <c r="F5" s="1"/>
      <c r="G5" s="1"/>
      <c r="H5" s="1"/>
      <c r="I5" s="1"/>
      <c r="J5" s="1"/>
      <c r="K5" s="1"/>
      <c r="L5" s="51"/>
      <c r="M5" s="1"/>
      <c r="AM5" s="127">
        <v>1</v>
      </c>
      <c r="AN5" s="127">
        <v>0</v>
      </c>
      <c r="AR5" s="127">
        <v>0</v>
      </c>
    </row>
    <row r="6" spans="4:45" x14ac:dyDescent="0.3">
      <c r="D6" s="1"/>
      <c r="E6" s="1"/>
      <c r="F6" s="1"/>
      <c r="G6" s="1"/>
      <c r="H6" s="1"/>
      <c r="I6" s="1"/>
      <c r="J6" s="1"/>
      <c r="K6" s="1"/>
      <c r="L6" s="51"/>
      <c r="M6" s="1"/>
      <c r="AM6" s="127">
        <v>2</v>
      </c>
      <c r="AN6" s="127">
        <v>2000000</v>
      </c>
      <c r="AO6" s="127">
        <f>+AN6/(1.14)^AM6</f>
        <v>1538935.0569405972</v>
      </c>
      <c r="AR6" s="127">
        <v>2000000</v>
      </c>
      <c r="AS6" s="127">
        <f>+AR6/(1.14)^AM6</f>
        <v>1538935.0569405972</v>
      </c>
    </row>
    <row r="7" spans="4:45" x14ac:dyDescent="0.3">
      <c r="D7" s="1"/>
      <c r="E7" s="1"/>
      <c r="F7" s="1"/>
      <c r="G7" s="1"/>
      <c r="H7" s="1"/>
      <c r="I7" s="1"/>
      <c r="J7" s="1"/>
      <c r="K7" s="1"/>
      <c r="L7" s="51"/>
      <c r="AM7" s="127">
        <v>3</v>
      </c>
      <c r="AN7" s="127">
        <v>3000000</v>
      </c>
      <c r="AO7" s="127">
        <f t="shared" ref="AO7:AO9" si="0">+AN7/(1.14)^AM7</f>
        <v>2024914.5486060493</v>
      </c>
      <c r="AR7" s="127">
        <v>3000000</v>
      </c>
      <c r="AS7" s="127">
        <f t="shared" ref="AS7:AS9" si="1">+AR7/(1.14)^AM7</f>
        <v>2024914.5486060493</v>
      </c>
    </row>
    <row r="8" spans="4:45" x14ac:dyDescent="0.3">
      <c r="D8" s="1"/>
      <c r="E8" s="1"/>
      <c r="F8" s="1"/>
      <c r="G8" s="1"/>
      <c r="H8" s="1"/>
      <c r="I8" s="1"/>
      <c r="J8" s="1"/>
      <c r="K8" s="1"/>
      <c r="L8" s="1"/>
      <c r="M8" s="1"/>
      <c r="AM8" s="127">
        <v>4</v>
      </c>
      <c r="AN8" s="127">
        <v>3500000</v>
      </c>
      <c r="AO8" s="127">
        <f t="shared" si="0"/>
        <v>2072280.9707956645</v>
      </c>
      <c r="AR8" s="127">
        <v>3500000</v>
      </c>
      <c r="AS8" s="127">
        <f t="shared" si="1"/>
        <v>2072280.9707956645</v>
      </c>
    </row>
    <row r="9" spans="4:45" x14ac:dyDescent="0.3">
      <c r="D9" s="1"/>
      <c r="E9" s="1"/>
      <c r="F9" s="1"/>
      <c r="G9" s="1"/>
      <c r="H9" s="1"/>
      <c r="I9" s="1"/>
      <c r="J9" s="1"/>
      <c r="K9" s="1"/>
      <c r="L9" s="1"/>
      <c r="M9" s="1"/>
      <c r="AM9" s="127">
        <v>5</v>
      </c>
      <c r="AN9" s="127">
        <v>4000000</v>
      </c>
      <c r="AO9" s="127">
        <f t="shared" si="0"/>
        <v>2077474.6574392626</v>
      </c>
      <c r="AP9" s="220">
        <f>+AP4*(1.14)^5</f>
        <v>5268694.3860799959</v>
      </c>
      <c r="AR9" s="127">
        <f>4000000+AP9</f>
        <v>9268694.3860799968</v>
      </c>
      <c r="AS9" s="127">
        <f t="shared" si="1"/>
        <v>4813869.4236576892</v>
      </c>
    </row>
    <row r="10" spans="4:45" x14ac:dyDescent="0.3">
      <c r="D10" s="1"/>
      <c r="E10" s="1"/>
      <c r="F10" s="1"/>
      <c r="G10" s="1"/>
      <c r="H10" s="1"/>
      <c r="I10" s="1"/>
      <c r="J10" s="1"/>
      <c r="K10" s="1"/>
      <c r="L10" s="51"/>
    </row>
    <row r="11" spans="4:45" x14ac:dyDescent="0.3">
      <c r="J11" s="1"/>
      <c r="K11" s="1"/>
      <c r="L11" s="51"/>
      <c r="AM11" s="127">
        <v>2</v>
      </c>
      <c r="AN11" s="127" t="s">
        <v>1106</v>
      </c>
    </row>
    <row r="12" spans="4:45" x14ac:dyDescent="0.3">
      <c r="J12" s="1"/>
      <c r="K12" s="1"/>
      <c r="L12" s="51"/>
      <c r="O12" s="127" t="s">
        <v>890</v>
      </c>
      <c r="P12" s="127">
        <v>1000000</v>
      </c>
      <c r="AM12" s="127" t="s">
        <v>1109</v>
      </c>
      <c r="AN12" s="127">
        <f>+AN13/(1+0.14)</f>
        <v>9166666.666666666</v>
      </c>
      <c r="AQ12" s="127">
        <f>+NPV(0.14, AQ14:AQ17)</f>
        <v>9166666.6666666754</v>
      </c>
    </row>
    <row r="13" spans="4:45" x14ac:dyDescent="0.3">
      <c r="J13" s="1"/>
      <c r="K13" s="1"/>
      <c r="L13" s="51"/>
      <c r="O13" s="129" t="s">
        <v>880</v>
      </c>
      <c r="P13" s="129">
        <v>0.6</v>
      </c>
      <c r="Q13" s="129"/>
      <c r="AM13" s="127" t="s">
        <v>1110</v>
      </c>
      <c r="AN13" s="127">
        <v>10450000</v>
      </c>
    </row>
    <row r="14" spans="4:45" x14ac:dyDescent="0.3">
      <c r="J14" s="1"/>
      <c r="K14" s="1"/>
      <c r="L14" s="51"/>
      <c r="O14" s="127" t="s">
        <v>884</v>
      </c>
      <c r="P14" s="129">
        <f>+(1+P13)^(30/365)-1</f>
        <v>3.938629215917655E-2</v>
      </c>
      <c r="AN14" s="127" t="s">
        <v>1107</v>
      </c>
      <c r="AO14" s="127">
        <f>1/(0.14-0.25)</f>
        <v>-9.0909090909090917</v>
      </c>
      <c r="AP14" s="127" t="s">
        <v>712</v>
      </c>
      <c r="AQ14" s="127">
        <f>+AN12/AO16</f>
        <v>2263331.3544097254</v>
      </c>
    </row>
    <row r="15" spans="4:45" x14ac:dyDescent="0.3">
      <c r="J15" s="1"/>
      <c r="K15" s="1"/>
      <c r="L15" s="51"/>
      <c r="Q15" s="129"/>
      <c r="AN15" s="127" t="s">
        <v>1108</v>
      </c>
      <c r="AO15" s="127">
        <f>1-(((1+0.25)^4)/((1+0.14)^4))</f>
        <v>-0.44550848967331413</v>
      </c>
      <c r="AP15" s="127" t="s">
        <v>712</v>
      </c>
      <c r="AQ15" s="127">
        <f>+AQ14*1.25</f>
        <v>2829164.1930121565</v>
      </c>
    </row>
    <row r="16" spans="4:45" x14ac:dyDescent="0.3">
      <c r="J16" s="1"/>
      <c r="K16" s="1"/>
      <c r="L16" s="51"/>
      <c r="O16" s="129" t="s">
        <v>881</v>
      </c>
      <c r="P16" s="129" t="s">
        <v>882</v>
      </c>
      <c r="Q16" s="129">
        <v>0.01</v>
      </c>
      <c r="AO16" s="127">
        <f>+AO14*AO15</f>
        <v>4.0500771788483103</v>
      </c>
      <c r="AP16" s="127" t="s">
        <v>712</v>
      </c>
      <c r="AQ16" s="127">
        <f>+AQ15*1.25</f>
        <v>3536455.2412651954</v>
      </c>
    </row>
    <row r="17" spans="10:43" x14ac:dyDescent="0.3">
      <c r="J17" s="1"/>
      <c r="K17" s="1"/>
      <c r="L17" s="51"/>
      <c r="O17" s="129"/>
      <c r="P17" s="129" t="s">
        <v>883</v>
      </c>
      <c r="Q17" s="176">
        <f>+((1+Q16)*(1+P14))-1</f>
        <v>4.9780155080768385E-2</v>
      </c>
      <c r="AP17" s="127" t="s">
        <v>712</v>
      </c>
      <c r="AQ17" s="127">
        <f>+AQ16*1.25</f>
        <v>4420569.0515814945</v>
      </c>
    </row>
    <row r="18" spans="10:43" x14ac:dyDescent="0.3">
      <c r="J18" s="1"/>
      <c r="K18" s="1"/>
      <c r="L18" s="51"/>
      <c r="Q18" s="129"/>
    </row>
    <row r="19" spans="10:43" x14ac:dyDescent="0.3">
      <c r="J19" s="1"/>
      <c r="K19" s="1"/>
      <c r="L19" s="51"/>
      <c r="O19" s="127" t="s">
        <v>885</v>
      </c>
      <c r="P19" s="127" t="s">
        <v>887</v>
      </c>
      <c r="Q19" s="129">
        <v>0.1</v>
      </c>
      <c r="AM19" s="127">
        <v>3</v>
      </c>
    </row>
    <row r="20" spans="10:43" x14ac:dyDescent="0.3">
      <c r="J20" s="1"/>
      <c r="K20" s="1"/>
      <c r="L20" s="51"/>
      <c r="P20" s="127" t="s">
        <v>891</v>
      </c>
      <c r="Q20" s="129">
        <f>+(1+Q19)*(1+P13)-1</f>
        <v>0.76000000000000023</v>
      </c>
      <c r="AM20" s="127">
        <v>0</v>
      </c>
      <c r="AN20" s="127">
        <v>-10000000</v>
      </c>
      <c r="AO20" s="127">
        <v>-10000000</v>
      </c>
    </row>
    <row r="21" spans="10:43" x14ac:dyDescent="0.3">
      <c r="J21" s="1"/>
      <c r="K21" s="1"/>
      <c r="L21" s="51"/>
      <c r="P21" s="127" t="s">
        <v>892</v>
      </c>
      <c r="Q21" s="176">
        <f>+(1+Q20)^(0.0821917808219178)-1</f>
        <v>4.7560521977285886E-2</v>
      </c>
      <c r="AM21" s="127">
        <v>1</v>
      </c>
      <c r="AN21" s="127">
        <v>0</v>
      </c>
      <c r="AO21" s="127">
        <v>0</v>
      </c>
    </row>
    <row r="22" spans="10:43" x14ac:dyDescent="0.3">
      <c r="J22" s="1"/>
      <c r="K22" s="1"/>
      <c r="L22" s="51"/>
      <c r="AM22" s="127">
        <v>2</v>
      </c>
      <c r="AN22" s="127">
        <v>2000000</v>
      </c>
      <c r="AO22" s="127">
        <v>2000000</v>
      </c>
    </row>
    <row r="23" spans="10:43" x14ac:dyDescent="0.3">
      <c r="J23" s="1"/>
      <c r="K23" s="1"/>
      <c r="L23" s="51"/>
      <c r="AM23" s="127">
        <v>3</v>
      </c>
      <c r="AN23" s="127">
        <v>3000000</v>
      </c>
      <c r="AO23" s="127">
        <v>3000000</v>
      </c>
    </row>
    <row r="24" spans="10:43" x14ac:dyDescent="0.3">
      <c r="J24" s="1"/>
      <c r="K24" s="1"/>
      <c r="L24" s="51"/>
      <c r="O24" s="127" t="s">
        <v>888</v>
      </c>
      <c r="P24" s="127" t="s">
        <v>889</v>
      </c>
      <c r="Q24" s="129">
        <v>0.55000000000000004</v>
      </c>
      <c r="T24" s="127">
        <v>3.0416666666666665</v>
      </c>
      <c r="AM24" s="127">
        <v>4</v>
      </c>
      <c r="AN24" s="127">
        <v>3500000</v>
      </c>
      <c r="AO24" s="127">
        <v>3500000</v>
      </c>
    </row>
    <row r="25" spans="10:43" x14ac:dyDescent="0.3">
      <c r="J25" s="1"/>
      <c r="K25" s="1"/>
      <c r="L25" s="51"/>
      <c r="P25" s="127" t="s">
        <v>886</v>
      </c>
      <c r="Q25" s="129">
        <f>+(1+Q24/3.04)^3.04-1</f>
        <v>0.65787365197753456</v>
      </c>
      <c r="R25" s="133">
        <f>+EFFECT(Q24, 3.04166666666667)</f>
        <v>0.65699537037037037</v>
      </c>
      <c r="AM25" s="127">
        <v>5</v>
      </c>
      <c r="AN25" s="127">
        <v>4000000</v>
      </c>
      <c r="AO25" s="127">
        <v>9268694.3860799968</v>
      </c>
    </row>
    <row r="26" spans="10:43" x14ac:dyDescent="0.3">
      <c r="J26" s="1"/>
      <c r="K26" s="1"/>
      <c r="L26" s="51"/>
      <c r="P26" s="127" t="s">
        <v>893</v>
      </c>
      <c r="Q26" s="176">
        <f>(1+(Q24/(365/120)))-1</f>
        <v>0.1808219178082191</v>
      </c>
      <c r="R26" s="129"/>
      <c r="AM26" s="127" t="s">
        <v>1111</v>
      </c>
      <c r="AN26" s="127">
        <f>+IRR(AN20:AN25)</f>
        <v>6.1724962249014359E-2</v>
      </c>
      <c r="AO26" s="127">
        <f>+IRR(AO20:AO25)</f>
        <v>0.15272463965971284</v>
      </c>
    </row>
    <row r="27" spans="10:43" x14ac:dyDescent="0.3">
      <c r="J27" s="1"/>
      <c r="K27" s="1"/>
      <c r="L27" s="51"/>
      <c r="Q27" s="129"/>
      <c r="AM27" s="127" t="s">
        <v>57</v>
      </c>
    </row>
    <row r="28" spans="10:43" x14ac:dyDescent="0.3">
      <c r="J28" s="1"/>
      <c r="K28" s="1"/>
      <c r="L28" s="51"/>
      <c r="Q28" s="129"/>
    </row>
    <row r="29" spans="10:43" x14ac:dyDescent="0.3">
      <c r="J29" s="1"/>
      <c r="K29" s="1"/>
      <c r="L29" s="51"/>
      <c r="O29" s="127" t="s">
        <v>217</v>
      </c>
      <c r="P29" s="127">
        <f>+P12*(1+Q17)*(1+Q21)*(1+Q26)</f>
        <v>1298559.6015092446</v>
      </c>
    </row>
    <row r="30" spans="10:43" x14ac:dyDescent="0.3">
      <c r="J30" s="1"/>
      <c r="K30" s="1"/>
      <c r="L30" s="51"/>
    </row>
    <row r="31" spans="10:43" x14ac:dyDescent="0.3">
      <c r="J31" s="1"/>
      <c r="K31" s="1"/>
      <c r="L31" s="51"/>
      <c r="T31" s="247"/>
    </row>
    <row r="32" spans="10:43" x14ac:dyDescent="0.3">
      <c r="J32" s="1"/>
      <c r="K32" s="1"/>
      <c r="L32" s="51"/>
      <c r="T32" s="247"/>
    </row>
    <row r="33" spans="10:20" x14ac:dyDescent="0.3">
      <c r="J33" s="1"/>
      <c r="K33" s="1"/>
      <c r="L33" s="51"/>
      <c r="P33" s="127">
        <v>22.32</v>
      </c>
    </row>
    <row r="34" spans="10:20" x14ac:dyDescent="0.3">
      <c r="J34" s="1"/>
      <c r="K34" s="1"/>
      <c r="L34" s="51"/>
      <c r="O34" s="127" t="s">
        <v>223</v>
      </c>
      <c r="P34" s="133">
        <v>0.31919999999999998</v>
      </c>
      <c r="T34" s="133"/>
    </row>
    <row r="35" spans="10:20" x14ac:dyDescent="0.3">
      <c r="J35" s="1"/>
      <c r="K35" s="1"/>
      <c r="L35" s="51"/>
      <c r="O35" s="127" t="s">
        <v>265</v>
      </c>
      <c r="P35" s="133">
        <f>+(1+P34/2)^(2)-1</f>
        <v>0.34467216000000001</v>
      </c>
    </row>
    <row r="36" spans="10:20" x14ac:dyDescent="0.3">
      <c r="J36" s="1"/>
      <c r="K36" s="1"/>
      <c r="L36" s="51"/>
      <c r="Q36" s="253"/>
    </row>
    <row r="37" spans="10:20" x14ac:dyDescent="0.3">
      <c r="J37" s="1"/>
      <c r="K37" s="1"/>
      <c r="L37" s="51"/>
    </row>
    <row r="38" spans="10:20" x14ac:dyDescent="0.3">
      <c r="J38" s="1"/>
      <c r="K38" s="1"/>
      <c r="L38" s="51"/>
    </row>
    <row r="39" spans="10:20" x14ac:dyDescent="0.3">
      <c r="J39" s="1"/>
      <c r="K39" s="1"/>
      <c r="L39" s="51"/>
    </row>
    <row r="40" spans="10:20" x14ac:dyDescent="0.3">
      <c r="J40" s="1"/>
      <c r="K40" s="1"/>
      <c r="L40" s="51"/>
    </row>
    <row r="41" spans="10:20" x14ac:dyDescent="0.3">
      <c r="J41" s="1"/>
      <c r="K41" s="1"/>
      <c r="L41" s="51"/>
    </row>
    <row r="42" spans="10:20" x14ac:dyDescent="0.3">
      <c r="J42" s="1"/>
      <c r="K42" s="1"/>
      <c r="L42" s="51"/>
    </row>
    <row r="43" spans="10:20" x14ac:dyDescent="0.3">
      <c r="J43" s="1"/>
      <c r="K43" s="1"/>
      <c r="L43" s="51"/>
    </row>
    <row r="44" spans="10:20" x14ac:dyDescent="0.3">
      <c r="J44" s="1"/>
      <c r="K44" s="1"/>
      <c r="L44" s="51"/>
    </row>
    <row r="45" spans="10:20" x14ac:dyDescent="0.3">
      <c r="J45" s="1"/>
      <c r="K45" s="1"/>
      <c r="L45" s="51"/>
    </row>
    <row r="46" spans="10:20" x14ac:dyDescent="0.3">
      <c r="J46" s="1"/>
      <c r="K46" s="1"/>
      <c r="L46" s="51"/>
    </row>
    <row r="47" spans="10:20" x14ac:dyDescent="0.3">
      <c r="J47" s="1"/>
      <c r="K47" s="1"/>
      <c r="L47" s="51"/>
    </row>
    <row r="48" spans="10:20" x14ac:dyDescent="0.3">
      <c r="J48" s="1"/>
      <c r="K48" s="1"/>
      <c r="L48" s="51"/>
    </row>
    <row r="49" spans="10:12" x14ac:dyDescent="0.3">
      <c r="J49" s="1"/>
      <c r="K49" s="1"/>
      <c r="L49" s="51"/>
    </row>
    <row r="50" spans="10:12" x14ac:dyDescent="0.3">
      <c r="J50" s="1"/>
      <c r="K50" s="1"/>
      <c r="L50" s="51"/>
    </row>
    <row r="51" spans="10:12" x14ac:dyDescent="0.3">
      <c r="J51" s="1"/>
      <c r="K51" s="1"/>
      <c r="L51" s="51"/>
    </row>
    <row r="52" spans="10:12" x14ac:dyDescent="0.3">
      <c r="J52" s="1"/>
      <c r="K52" s="1"/>
      <c r="L52" s="51"/>
    </row>
    <row r="53" spans="10:12" x14ac:dyDescent="0.3">
      <c r="J53" s="1"/>
      <c r="K53" s="1"/>
      <c r="L53" s="51"/>
    </row>
    <row r="54" spans="10:12" x14ac:dyDescent="0.3">
      <c r="J54" s="1"/>
      <c r="K54" s="1"/>
      <c r="L54" s="51"/>
    </row>
    <row r="55" spans="10:12" x14ac:dyDescent="0.3">
      <c r="J55" s="1"/>
      <c r="K55" s="1"/>
      <c r="L55" s="51"/>
    </row>
    <row r="56" spans="10:12" x14ac:dyDescent="0.3">
      <c r="J56" s="1"/>
      <c r="K56" s="1"/>
      <c r="L56" s="51"/>
    </row>
    <row r="57" spans="10:12" x14ac:dyDescent="0.3">
      <c r="J57" s="1"/>
      <c r="K57" s="1"/>
      <c r="L57" s="51"/>
    </row>
    <row r="58" spans="10:12" x14ac:dyDescent="0.3">
      <c r="J58" s="1"/>
      <c r="K58" s="1"/>
      <c r="L58" s="51"/>
    </row>
    <row r="59" spans="10:12" x14ac:dyDescent="0.3">
      <c r="J59" s="1"/>
      <c r="K59" s="1"/>
      <c r="L59" s="51"/>
    </row>
    <row r="60" spans="10:12" x14ac:dyDescent="0.3">
      <c r="J60" s="1"/>
      <c r="K60" s="1"/>
      <c r="L60" s="51"/>
    </row>
    <row r="61" spans="10:12" x14ac:dyDescent="0.3">
      <c r="J61" s="1"/>
      <c r="K61" s="1"/>
      <c r="L61" s="51"/>
    </row>
    <row r="62" spans="10:12" x14ac:dyDescent="0.3">
      <c r="J62" s="1"/>
      <c r="K62" s="1"/>
      <c r="L62" s="51"/>
    </row>
    <row r="63" spans="10:12" x14ac:dyDescent="0.3">
      <c r="J63" s="1"/>
      <c r="K63" s="1"/>
      <c r="L63" s="51"/>
    </row>
    <row r="64" spans="10:12" x14ac:dyDescent="0.3">
      <c r="J64" s="1"/>
      <c r="K64" s="1"/>
      <c r="L64" s="51"/>
    </row>
    <row r="65" spans="10:12" x14ac:dyDescent="0.3">
      <c r="J65" s="1"/>
      <c r="K65" s="1"/>
      <c r="L65" s="51"/>
    </row>
    <row r="66" spans="10:12" x14ac:dyDescent="0.3">
      <c r="J66" s="1"/>
      <c r="K66" s="1"/>
      <c r="L66" s="51"/>
    </row>
    <row r="67" spans="10:12" x14ac:dyDescent="0.3">
      <c r="J67" s="1"/>
      <c r="K67" s="1"/>
      <c r="L67" s="51"/>
    </row>
    <row r="68" spans="10:12" x14ac:dyDescent="0.3">
      <c r="J68" s="1"/>
      <c r="K68" s="1"/>
      <c r="L68" s="51"/>
    </row>
    <row r="69" spans="10:12" x14ac:dyDescent="0.3">
      <c r="J69" s="1"/>
      <c r="K69" s="1"/>
      <c r="L69" s="51"/>
    </row>
    <row r="70" spans="10:12" x14ac:dyDescent="0.3">
      <c r="J70" s="1"/>
      <c r="K70" s="1"/>
      <c r="L70" s="51"/>
    </row>
    <row r="71" spans="10:12" x14ac:dyDescent="0.3">
      <c r="J71" s="1"/>
      <c r="K71" s="1"/>
      <c r="L71" s="51"/>
    </row>
    <row r="72" spans="10:12" x14ac:dyDescent="0.3">
      <c r="J72" s="1"/>
      <c r="K72" s="1"/>
      <c r="L72" s="51"/>
    </row>
    <row r="73" spans="10:12" x14ac:dyDescent="0.3">
      <c r="J73" s="1"/>
      <c r="K73" s="1"/>
      <c r="L73" s="51"/>
    </row>
    <row r="74" spans="10:12" x14ac:dyDescent="0.3">
      <c r="J74" s="1"/>
      <c r="K74" s="1"/>
      <c r="L74" s="51"/>
    </row>
    <row r="75" spans="10:12" x14ac:dyDescent="0.3">
      <c r="J75" s="1"/>
      <c r="K75" s="1"/>
      <c r="L75" s="51"/>
    </row>
    <row r="76" spans="10:12" x14ac:dyDescent="0.3">
      <c r="J76" s="1"/>
      <c r="K76" s="1"/>
      <c r="L76" s="51"/>
    </row>
    <row r="77" spans="10:12" x14ac:dyDescent="0.3">
      <c r="J77" s="1"/>
      <c r="K77" s="1"/>
      <c r="L77" s="51"/>
    </row>
    <row r="78" spans="10:12" x14ac:dyDescent="0.3">
      <c r="J78" s="1"/>
      <c r="K78" s="1"/>
      <c r="L78" s="51"/>
    </row>
    <row r="79" spans="10:12" x14ac:dyDescent="0.3">
      <c r="J79" s="1"/>
      <c r="K79" s="1"/>
      <c r="L79" s="51"/>
    </row>
    <row r="80" spans="10:12" x14ac:dyDescent="0.3">
      <c r="J80" s="1"/>
      <c r="K80" s="1"/>
      <c r="L80" s="51"/>
    </row>
    <row r="81" spans="10:12" x14ac:dyDescent="0.3">
      <c r="J81" s="1"/>
      <c r="K81" s="1"/>
      <c r="L81" s="51"/>
    </row>
    <row r="82" spans="10:12" x14ac:dyDescent="0.3">
      <c r="J82" s="1"/>
      <c r="K82" s="1"/>
      <c r="L82" s="51"/>
    </row>
    <row r="83" spans="10:12" x14ac:dyDescent="0.3">
      <c r="J83" s="1"/>
      <c r="K83" s="1"/>
      <c r="L83" s="51"/>
    </row>
    <row r="84" spans="10:12" x14ac:dyDescent="0.3">
      <c r="J84" s="1"/>
      <c r="K84" s="1"/>
      <c r="L84" s="51"/>
    </row>
    <row r="85" spans="10:12" x14ac:dyDescent="0.3">
      <c r="J85" s="1"/>
      <c r="K85" s="1"/>
      <c r="L85" s="51"/>
    </row>
    <row r="86" spans="10:12" x14ac:dyDescent="0.3">
      <c r="J86" s="1"/>
      <c r="K86" s="1"/>
      <c r="L86" s="51"/>
    </row>
    <row r="87" spans="10:12" x14ac:dyDescent="0.3">
      <c r="J87" s="1"/>
      <c r="K87" s="1"/>
      <c r="L87" s="51"/>
    </row>
    <row r="88" spans="10:12" x14ac:dyDescent="0.3">
      <c r="J88" s="1"/>
      <c r="K88" s="1"/>
      <c r="L88" s="51"/>
    </row>
    <row r="89" spans="10:12" x14ac:dyDescent="0.3">
      <c r="J89" s="1"/>
      <c r="K89" s="1"/>
      <c r="L89" s="51"/>
    </row>
    <row r="90" spans="10:12" x14ac:dyDescent="0.3">
      <c r="J90" s="1"/>
      <c r="K90" s="1"/>
      <c r="L90" s="51"/>
    </row>
    <row r="91" spans="10:12" x14ac:dyDescent="0.3">
      <c r="J91" s="1"/>
      <c r="K91" s="1"/>
      <c r="L91" s="51"/>
    </row>
    <row r="92" spans="10:12" x14ac:dyDescent="0.3">
      <c r="J92" s="1"/>
      <c r="K92" s="1"/>
      <c r="L92" s="51"/>
    </row>
    <row r="93" spans="10:12" x14ac:dyDescent="0.3">
      <c r="J93" s="1"/>
      <c r="K93" s="1"/>
      <c r="L93" s="51"/>
    </row>
    <row r="94" spans="10:12" x14ac:dyDescent="0.3">
      <c r="J94" s="1"/>
      <c r="K94" s="1"/>
      <c r="L94" s="51"/>
    </row>
    <row r="95" spans="10:12" x14ac:dyDescent="0.3">
      <c r="J95" s="1"/>
      <c r="K95" s="1"/>
      <c r="L95" s="51"/>
    </row>
    <row r="96" spans="10:12" x14ac:dyDescent="0.3">
      <c r="J96" s="1"/>
      <c r="K96" s="1"/>
      <c r="L96" s="51"/>
    </row>
    <row r="97" spans="10:12" x14ac:dyDescent="0.3">
      <c r="J97" s="1"/>
      <c r="K97" s="1"/>
      <c r="L97" s="51"/>
    </row>
    <row r="98" spans="10:12" x14ac:dyDescent="0.3">
      <c r="J98" s="1"/>
      <c r="K98" s="1"/>
      <c r="L98" s="51"/>
    </row>
    <row r="99" spans="10:12" x14ac:dyDescent="0.3">
      <c r="J99" s="1"/>
      <c r="K99" s="1"/>
      <c r="L99" s="51"/>
    </row>
    <row r="100" spans="10:12" x14ac:dyDescent="0.3">
      <c r="J100" s="1"/>
      <c r="K100" s="1"/>
      <c r="L100" s="51"/>
    </row>
    <row r="101" spans="10:12" x14ac:dyDescent="0.3">
      <c r="J101" s="1"/>
      <c r="K101" s="1"/>
      <c r="L101" s="51"/>
    </row>
    <row r="102" spans="10:12" x14ac:dyDescent="0.3">
      <c r="J102" s="1"/>
      <c r="K102" s="1"/>
      <c r="L102" s="51"/>
    </row>
    <row r="103" spans="10:12" x14ac:dyDescent="0.3">
      <c r="J103" s="1"/>
      <c r="K103" s="1"/>
      <c r="L103" s="51"/>
    </row>
    <row r="104" spans="10:12" x14ac:dyDescent="0.3">
      <c r="J104" s="1"/>
      <c r="K104" s="1"/>
      <c r="L104" s="51"/>
    </row>
    <row r="105" spans="10:12" x14ac:dyDescent="0.3">
      <c r="J105" s="1"/>
      <c r="K105" s="1"/>
      <c r="L105" s="51"/>
    </row>
    <row r="106" spans="10:12" x14ac:dyDescent="0.3">
      <c r="J106" s="1"/>
      <c r="K106" s="1"/>
      <c r="L106" s="51"/>
    </row>
    <row r="107" spans="10:12" x14ac:dyDescent="0.3">
      <c r="J107" s="1"/>
      <c r="K107" s="1"/>
      <c r="L107" s="51"/>
    </row>
    <row r="108" spans="10:12" x14ac:dyDescent="0.3">
      <c r="J108" s="1"/>
      <c r="K108" s="1"/>
      <c r="L108" s="51"/>
    </row>
    <row r="109" spans="10:12" x14ac:dyDescent="0.3">
      <c r="J109" s="1"/>
      <c r="K109" s="1"/>
      <c r="L109" s="51"/>
    </row>
    <row r="110" spans="10:12" x14ac:dyDescent="0.3">
      <c r="J110" s="1"/>
      <c r="K110" s="1"/>
      <c r="L110" s="51"/>
    </row>
    <row r="111" spans="10:12" x14ac:dyDescent="0.3">
      <c r="J111" s="1"/>
      <c r="K111" s="1"/>
      <c r="L111" s="51"/>
    </row>
    <row r="112" spans="10:12" x14ac:dyDescent="0.3">
      <c r="J112" s="1"/>
      <c r="K112" s="1"/>
      <c r="L112" s="51"/>
    </row>
    <row r="113" spans="10:12" x14ac:dyDescent="0.3">
      <c r="J113" s="1"/>
      <c r="K113" s="1"/>
      <c r="L113" s="51"/>
    </row>
    <row r="114" spans="10:12" x14ac:dyDescent="0.3">
      <c r="J114" s="1"/>
      <c r="K114" s="1"/>
      <c r="L114" s="51"/>
    </row>
    <row r="115" spans="10:12" x14ac:dyDescent="0.3">
      <c r="J115" s="1"/>
      <c r="K115" s="1"/>
      <c r="L115" s="51"/>
    </row>
    <row r="116" spans="10:12" x14ac:dyDescent="0.3">
      <c r="J116" s="1"/>
      <c r="K116" s="1"/>
      <c r="L116" s="51"/>
    </row>
    <row r="117" spans="10:12" x14ac:dyDescent="0.3">
      <c r="J117" s="1"/>
      <c r="K117" s="1"/>
      <c r="L117" s="51"/>
    </row>
    <row r="118" spans="10:12" x14ac:dyDescent="0.3">
      <c r="J118" s="1"/>
      <c r="K118" s="1"/>
      <c r="L118" s="51"/>
    </row>
    <row r="119" spans="10:12" x14ac:dyDescent="0.3">
      <c r="J119" s="1"/>
      <c r="K119" s="1"/>
      <c r="L119" s="51"/>
    </row>
    <row r="120" spans="10:12" x14ac:dyDescent="0.3">
      <c r="J120" s="1"/>
      <c r="K120" s="1"/>
      <c r="L120" s="51"/>
    </row>
    <row r="121" spans="10:12" x14ac:dyDescent="0.3">
      <c r="J121" s="1"/>
      <c r="K121" s="1"/>
      <c r="L121" s="51"/>
    </row>
    <row r="122" spans="10:12" x14ac:dyDescent="0.3">
      <c r="J122" s="1"/>
      <c r="K122" s="1"/>
      <c r="L122" s="51"/>
    </row>
    <row r="123" spans="10:12" x14ac:dyDescent="0.3">
      <c r="J123" s="1"/>
      <c r="K123" s="1"/>
      <c r="L123" s="51"/>
    </row>
    <row r="124" spans="10:12" x14ac:dyDescent="0.3">
      <c r="J124" s="1"/>
      <c r="K124" s="1"/>
      <c r="L124" s="51"/>
    </row>
    <row r="125" spans="10:12" x14ac:dyDescent="0.3">
      <c r="J125" s="1"/>
      <c r="K125" s="1"/>
      <c r="L125" s="51"/>
    </row>
    <row r="126" spans="10:12" x14ac:dyDescent="0.3">
      <c r="J126" s="1"/>
      <c r="K126" s="1"/>
      <c r="L126" s="51"/>
    </row>
    <row r="127" spans="10:12" x14ac:dyDescent="0.3">
      <c r="J127" s="1"/>
      <c r="K127" s="1"/>
      <c r="L127" s="51"/>
    </row>
    <row r="128" spans="10:12" x14ac:dyDescent="0.3">
      <c r="J128" s="1"/>
      <c r="K128" s="1"/>
      <c r="L128" s="51"/>
    </row>
    <row r="129" spans="10:12" x14ac:dyDescent="0.3">
      <c r="J129" s="1"/>
      <c r="K129" s="1"/>
      <c r="L129" s="51"/>
    </row>
    <row r="130" spans="10:12" x14ac:dyDescent="0.3">
      <c r="J130" s="1"/>
      <c r="K130" s="1"/>
      <c r="L130" s="51"/>
    </row>
    <row r="131" spans="10:12" x14ac:dyDescent="0.3">
      <c r="J131" s="1"/>
      <c r="K131" s="1"/>
      <c r="L131" s="51"/>
    </row>
    <row r="132" spans="10:12" x14ac:dyDescent="0.3">
      <c r="J132" s="1"/>
      <c r="K132" s="1"/>
      <c r="L132" s="51"/>
    </row>
    <row r="133" spans="10:12" x14ac:dyDescent="0.3">
      <c r="J133" s="1"/>
      <c r="K133" s="1"/>
      <c r="L133" s="51"/>
    </row>
    <row r="134" spans="10:12" x14ac:dyDescent="0.3">
      <c r="J134" s="1"/>
      <c r="K134" s="1"/>
      <c r="L134" s="51"/>
    </row>
    <row r="135" spans="10:12" x14ac:dyDescent="0.3">
      <c r="J135" s="1"/>
      <c r="K135" s="1"/>
      <c r="L135" s="51"/>
    </row>
    <row r="136" spans="10:12" x14ac:dyDescent="0.3">
      <c r="J136" s="1"/>
      <c r="K136" s="1"/>
      <c r="L136" s="51"/>
    </row>
    <row r="137" spans="10:12" x14ac:dyDescent="0.3">
      <c r="J137" s="1"/>
      <c r="K137" s="1"/>
      <c r="L137" s="51"/>
    </row>
    <row r="138" spans="10:12" x14ac:dyDescent="0.3">
      <c r="J138" s="1"/>
      <c r="K138" s="1"/>
      <c r="L138" s="51"/>
    </row>
    <row r="139" spans="10:12" x14ac:dyDescent="0.3">
      <c r="J139" s="1"/>
      <c r="K139" s="1"/>
      <c r="L139" s="51"/>
    </row>
    <row r="140" spans="10:12" x14ac:dyDescent="0.3">
      <c r="J140" s="1"/>
      <c r="K140" s="1"/>
      <c r="L140" s="51"/>
    </row>
    <row r="141" spans="10:12" x14ac:dyDescent="0.3">
      <c r="J141" s="1"/>
      <c r="K141" s="1"/>
      <c r="L141" s="51"/>
    </row>
    <row r="142" spans="10:12" x14ac:dyDescent="0.3">
      <c r="J142" s="1"/>
      <c r="K142" s="1"/>
      <c r="L142" s="51"/>
    </row>
    <row r="143" spans="10:12" x14ac:dyDescent="0.3">
      <c r="J143" s="1"/>
      <c r="K143" s="1"/>
      <c r="L143" s="51"/>
    </row>
    <row r="144" spans="10:12" x14ac:dyDescent="0.3">
      <c r="J144" s="1"/>
      <c r="K144" s="1"/>
      <c r="L144" s="51"/>
    </row>
    <row r="145" spans="10:12" x14ac:dyDescent="0.3">
      <c r="J145" s="1"/>
      <c r="K145" s="1"/>
      <c r="L145" s="51"/>
    </row>
    <row r="146" spans="10:12" x14ac:dyDescent="0.3">
      <c r="J146" s="1"/>
      <c r="K146" s="1"/>
      <c r="L146" s="51"/>
    </row>
    <row r="147" spans="10:12" x14ac:dyDescent="0.3">
      <c r="J147" s="1"/>
      <c r="K147" s="1"/>
      <c r="L147" s="51"/>
    </row>
    <row r="148" spans="10:12" x14ac:dyDescent="0.3">
      <c r="J148" s="1"/>
      <c r="K148" s="1"/>
      <c r="L148" s="51"/>
    </row>
    <row r="149" spans="10:12" x14ac:dyDescent="0.3">
      <c r="J149" s="1"/>
      <c r="K149" s="1"/>
      <c r="L149" s="51"/>
    </row>
    <row r="150" spans="10:12" x14ac:dyDescent="0.3">
      <c r="J150" s="1"/>
      <c r="K150" s="1"/>
      <c r="L150" s="51"/>
    </row>
    <row r="151" spans="10:12" x14ac:dyDescent="0.3">
      <c r="J151" s="1"/>
      <c r="K151" s="1"/>
      <c r="L151" s="51"/>
    </row>
    <row r="152" spans="10:12" x14ac:dyDescent="0.3">
      <c r="J152" s="1"/>
      <c r="K152" s="1"/>
      <c r="L152" s="51"/>
    </row>
    <row r="153" spans="10:12" x14ac:dyDescent="0.3">
      <c r="J153" s="1"/>
      <c r="K153" s="1"/>
      <c r="L153" s="51"/>
    </row>
    <row r="154" spans="10:12" x14ac:dyDescent="0.3">
      <c r="J154" s="1"/>
      <c r="K154" s="1"/>
      <c r="L154" s="51"/>
    </row>
    <row r="155" spans="10:12" x14ac:dyDescent="0.3">
      <c r="J155" s="1"/>
      <c r="K155" s="1"/>
      <c r="L155" s="51"/>
    </row>
    <row r="156" spans="10:12" x14ac:dyDescent="0.3">
      <c r="J156" s="1"/>
      <c r="K156" s="1"/>
      <c r="L156" s="51"/>
    </row>
    <row r="157" spans="10:12" x14ac:dyDescent="0.3">
      <c r="J157" s="1"/>
      <c r="K157" s="1"/>
      <c r="L157" s="51"/>
    </row>
    <row r="158" spans="10:12" x14ac:dyDescent="0.3">
      <c r="J158" s="1"/>
      <c r="K158" s="1"/>
      <c r="L158" s="51"/>
    </row>
    <row r="159" spans="10:12" x14ac:dyDescent="0.3">
      <c r="J159" s="1"/>
      <c r="K159" s="1"/>
      <c r="L159" s="51"/>
    </row>
    <row r="160" spans="10:12" x14ac:dyDescent="0.3">
      <c r="J160" s="1"/>
      <c r="K160" s="1"/>
      <c r="L160" s="51"/>
    </row>
    <row r="161" spans="10:12" x14ac:dyDescent="0.3">
      <c r="J161" s="1"/>
      <c r="K161" s="1"/>
      <c r="L161" s="51"/>
    </row>
    <row r="162" spans="10:12" x14ac:dyDescent="0.3">
      <c r="J162" s="1"/>
      <c r="K162" s="1"/>
      <c r="L162" s="51"/>
    </row>
    <row r="163" spans="10:12" x14ac:dyDescent="0.3">
      <c r="J163" s="1"/>
      <c r="K163" s="1"/>
      <c r="L163" s="51"/>
    </row>
    <row r="164" spans="10:12" x14ac:dyDescent="0.3">
      <c r="J164" s="1"/>
      <c r="K164" s="1"/>
      <c r="L164" s="51"/>
    </row>
    <row r="165" spans="10:12" x14ac:dyDescent="0.3">
      <c r="J165" s="1"/>
      <c r="K165" s="1"/>
      <c r="L165" s="51"/>
    </row>
    <row r="166" spans="10:12" x14ac:dyDescent="0.3">
      <c r="J166" s="1"/>
      <c r="K166" s="1"/>
      <c r="L166" s="51"/>
    </row>
    <row r="167" spans="10:12" x14ac:dyDescent="0.3">
      <c r="J167" s="1"/>
      <c r="K167" s="1"/>
      <c r="L167" s="51"/>
    </row>
    <row r="168" spans="10:12" x14ac:dyDescent="0.3">
      <c r="J168" s="1"/>
      <c r="K168" s="1"/>
      <c r="L168" s="51"/>
    </row>
    <row r="169" spans="10:12" x14ac:dyDescent="0.3">
      <c r="J169" s="1"/>
      <c r="K169" s="1"/>
      <c r="L169" s="51"/>
    </row>
    <row r="170" spans="10:12" x14ac:dyDescent="0.3">
      <c r="J170" s="1"/>
      <c r="K170" s="1"/>
      <c r="L170" s="51"/>
    </row>
    <row r="171" spans="10:12" x14ac:dyDescent="0.3">
      <c r="J171" s="1"/>
      <c r="K171" s="1"/>
      <c r="L171" s="51"/>
    </row>
    <row r="172" spans="10:12" x14ac:dyDescent="0.3">
      <c r="J172" s="1"/>
      <c r="K172" s="1"/>
      <c r="L172" s="51"/>
    </row>
    <row r="173" spans="10:12" x14ac:dyDescent="0.3">
      <c r="J173" s="1"/>
      <c r="K173" s="1"/>
      <c r="L173" s="51"/>
    </row>
    <row r="174" spans="10:12" x14ac:dyDescent="0.3">
      <c r="J174" s="1"/>
      <c r="K174" s="1"/>
      <c r="L174" s="51"/>
    </row>
    <row r="175" spans="10:12" x14ac:dyDescent="0.3">
      <c r="J175" s="1"/>
      <c r="K175" s="1"/>
      <c r="L175" s="51"/>
    </row>
    <row r="176" spans="10:12" x14ac:dyDescent="0.3">
      <c r="J176" s="1"/>
      <c r="K176" s="1"/>
      <c r="L176" s="51"/>
    </row>
    <row r="177" spans="10:12" x14ac:dyDescent="0.3">
      <c r="J177" s="1"/>
      <c r="K177" s="1"/>
      <c r="L177" s="51"/>
    </row>
    <row r="178" spans="10:12" x14ac:dyDescent="0.3">
      <c r="J178" s="1"/>
      <c r="K178" s="1"/>
      <c r="L178" s="51"/>
    </row>
    <row r="179" spans="10:12" x14ac:dyDescent="0.3">
      <c r="J179" s="1"/>
      <c r="K179" s="1"/>
      <c r="L179" s="51"/>
    </row>
    <row r="180" spans="10:12" x14ac:dyDescent="0.3">
      <c r="J180" s="1"/>
      <c r="K180" s="1"/>
      <c r="L180" s="51"/>
    </row>
    <row r="181" spans="10:12" x14ac:dyDescent="0.3">
      <c r="J181" s="1"/>
      <c r="K181" s="1"/>
      <c r="L181" s="51"/>
    </row>
    <row r="182" spans="10:12" x14ac:dyDescent="0.3">
      <c r="J182" s="1"/>
      <c r="K182" s="1"/>
      <c r="L182" s="51"/>
    </row>
    <row r="183" spans="10:12" x14ac:dyDescent="0.3">
      <c r="J183" s="1"/>
      <c r="K183" s="1"/>
      <c r="L183" s="51"/>
    </row>
    <row r="184" spans="10:12" ht="14.4" customHeight="1" x14ac:dyDescent="0.3">
      <c r="J184" s="1"/>
      <c r="K184" s="1"/>
      <c r="L184" s="51"/>
    </row>
    <row r="185" spans="10:12" x14ac:dyDescent="0.3">
      <c r="J185" s="1"/>
      <c r="K185" s="1"/>
      <c r="L185" s="51"/>
    </row>
    <row r="186" spans="10:12" ht="14.4" customHeight="1" x14ac:dyDescent="0.3">
      <c r="J186" s="1"/>
      <c r="K186" s="1"/>
      <c r="L186" s="51"/>
    </row>
    <row r="187" spans="10:12" x14ac:dyDescent="0.3">
      <c r="J187" s="1"/>
      <c r="K187" s="1"/>
      <c r="L187" s="51"/>
    </row>
    <row r="188" spans="10:12" x14ac:dyDescent="0.3">
      <c r="J188" s="1"/>
      <c r="K188" s="1"/>
      <c r="L188" s="51"/>
    </row>
    <row r="189" spans="10:12" x14ac:dyDescent="0.3">
      <c r="J189" s="1"/>
      <c r="K189" s="1"/>
      <c r="L189" s="51"/>
    </row>
    <row r="190" spans="10:12" x14ac:dyDescent="0.3">
      <c r="J190" s="1"/>
      <c r="K190" s="1"/>
      <c r="L190" s="51"/>
    </row>
    <row r="191" spans="10:12" x14ac:dyDescent="0.3">
      <c r="J191" s="1"/>
      <c r="K191" s="1"/>
      <c r="L191" s="51"/>
    </row>
    <row r="192" spans="10:12" x14ac:dyDescent="0.3">
      <c r="J192" s="1"/>
      <c r="K192" s="1"/>
      <c r="L192" s="51"/>
    </row>
    <row r="193" spans="10:12" x14ac:dyDescent="0.3">
      <c r="J193" s="1"/>
      <c r="K193" s="1"/>
      <c r="L193" s="51"/>
    </row>
    <row r="194" spans="10:12" x14ac:dyDescent="0.3">
      <c r="J194" s="1"/>
      <c r="K194" s="1"/>
      <c r="L194" s="51"/>
    </row>
    <row r="195" spans="10:12" x14ac:dyDescent="0.3">
      <c r="J195" s="1"/>
      <c r="K195" s="1"/>
      <c r="L195" s="51"/>
    </row>
    <row r="196" spans="10:12" x14ac:dyDescent="0.3">
      <c r="J196" s="1"/>
      <c r="K196" s="1"/>
      <c r="L196" s="51"/>
    </row>
    <row r="197" spans="10:12" x14ac:dyDescent="0.3">
      <c r="J197" s="1"/>
      <c r="K197" s="1"/>
      <c r="L197" s="51"/>
    </row>
    <row r="198" spans="10:12" x14ac:dyDescent="0.3">
      <c r="J198" s="1"/>
      <c r="K198" s="1"/>
      <c r="L198" s="51"/>
    </row>
    <row r="199" spans="10:12" x14ac:dyDescent="0.3">
      <c r="J199" s="1"/>
      <c r="K199" s="1"/>
      <c r="L199" s="51"/>
    </row>
    <row r="200" spans="10:12" x14ac:dyDescent="0.3">
      <c r="J200" s="1"/>
      <c r="K200" s="1"/>
      <c r="L200" s="51"/>
    </row>
    <row r="201" spans="10:12" x14ac:dyDescent="0.3">
      <c r="J201" s="1"/>
      <c r="K201" s="1"/>
      <c r="L201" s="51"/>
    </row>
    <row r="202" spans="10:12" x14ac:dyDescent="0.3">
      <c r="J202" s="1"/>
      <c r="K202" s="1"/>
      <c r="L202" s="51"/>
    </row>
    <row r="203" spans="10:12" x14ac:dyDescent="0.3">
      <c r="J203" s="1"/>
      <c r="K203" s="1"/>
      <c r="L203" s="51"/>
    </row>
    <row r="204" spans="10:12" x14ac:dyDescent="0.3">
      <c r="J204" s="1"/>
      <c r="K204" s="1"/>
      <c r="L204" s="51"/>
    </row>
    <row r="205" spans="10:12" x14ac:dyDescent="0.3">
      <c r="J205" s="1"/>
      <c r="K205" s="1"/>
      <c r="L205" s="51"/>
    </row>
    <row r="206" spans="10:12" x14ac:dyDescent="0.3">
      <c r="J206" s="1"/>
      <c r="K206" s="1"/>
      <c r="L206" s="51"/>
    </row>
    <row r="207" spans="10:12" x14ac:dyDescent="0.3">
      <c r="J207" s="1"/>
      <c r="K207" s="1"/>
      <c r="L207" s="51"/>
    </row>
    <row r="208" spans="10:12" x14ac:dyDescent="0.3">
      <c r="J208" s="1"/>
      <c r="K208" s="1"/>
      <c r="L208" s="51"/>
    </row>
    <row r="209" spans="10:12" x14ac:dyDescent="0.3">
      <c r="J209" s="1"/>
      <c r="K209" s="1"/>
      <c r="L209" s="51"/>
    </row>
    <row r="210" spans="10:12" x14ac:dyDescent="0.3">
      <c r="J210" s="1"/>
      <c r="K210" s="1"/>
      <c r="L210" s="51"/>
    </row>
    <row r="211" spans="10:12" x14ac:dyDescent="0.3">
      <c r="J211" s="1"/>
      <c r="K211" s="1"/>
      <c r="L211" s="51"/>
    </row>
    <row r="212" spans="10:12" x14ac:dyDescent="0.3">
      <c r="J212" s="1"/>
      <c r="K212" s="1"/>
      <c r="L212" s="51"/>
    </row>
    <row r="213" spans="10:12" x14ac:dyDescent="0.3">
      <c r="J213" s="1"/>
      <c r="K213" s="1"/>
      <c r="L213" s="51"/>
    </row>
    <row r="214" spans="10:12" x14ac:dyDescent="0.3">
      <c r="J214" s="1"/>
      <c r="K214" s="1"/>
      <c r="L214" s="51"/>
    </row>
    <row r="215" spans="10:12" x14ac:dyDescent="0.3">
      <c r="J215" s="1"/>
      <c r="K215" s="1"/>
      <c r="L215" s="51"/>
    </row>
    <row r="216" spans="10:12" x14ac:dyDescent="0.3">
      <c r="J216" s="1"/>
      <c r="K216" s="1"/>
      <c r="L216" s="51"/>
    </row>
    <row r="217" spans="10:12" x14ac:dyDescent="0.3">
      <c r="J217" s="1"/>
      <c r="K217" s="1"/>
      <c r="L217" s="51"/>
    </row>
    <row r="218" spans="10:12" x14ac:dyDescent="0.3">
      <c r="J218" s="1"/>
      <c r="K218" s="1"/>
      <c r="L218" s="51"/>
    </row>
    <row r="219" spans="10:12" x14ac:dyDescent="0.3">
      <c r="J219" s="1"/>
      <c r="K219" s="1"/>
      <c r="L219" s="51"/>
    </row>
    <row r="220" spans="10:12" x14ac:dyDescent="0.3">
      <c r="J220" s="1"/>
      <c r="K220" s="1"/>
      <c r="L220" s="51"/>
    </row>
    <row r="221" spans="10:12" x14ac:dyDescent="0.3">
      <c r="J221" s="1"/>
      <c r="K221" s="1"/>
      <c r="L221" s="51"/>
    </row>
    <row r="222" spans="10:12" x14ac:dyDescent="0.3">
      <c r="J222" s="1"/>
      <c r="K222" s="1"/>
      <c r="L222" s="51"/>
    </row>
    <row r="223" spans="10:12" x14ac:dyDescent="0.3">
      <c r="J223" s="1"/>
      <c r="K223" s="1"/>
      <c r="L223" s="51"/>
    </row>
    <row r="224" spans="10:12" x14ac:dyDescent="0.3">
      <c r="J224" s="1"/>
      <c r="K224" s="1"/>
      <c r="L224" s="51"/>
    </row>
    <row r="225" spans="10:12" x14ac:dyDescent="0.3">
      <c r="J225" s="1"/>
      <c r="K225" s="1"/>
      <c r="L225" s="51"/>
    </row>
    <row r="226" spans="10:12" x14ac:dyDescent="0.3">
      <c r="J226" s="1"/>
      <c r="K226" s="1"/>
      <c r="L226" s="51"/>
    </row>
    <row r="227" spans="10:12" x14ac:dyDescent="0.3">
      <c r="J227" s="1"/>
      <c r="K227" s="1"/>
      <c r="L227" s="51"/>
    </row>
    <row r="228" spans="10:12" x14ac:dyDescent="0.3">
      <c r="J228" s="1"/>
      <c r="K228" s="1"/>
      <c r="L228" s="51"/>
    </row>
    <row r="229" spans="10:12" x14ac:dyDescent="0.3">
      <c r="J229" s="1"/>
      <c r="K229" s="1"/>
      <c r="L229" s="51"/>
    </row>
    <row r="230" spans="10:12" x14ac:dyDescent="0.3">
      <c r="J230" s="1"/>
      <c r="K230" s="1"/>
      <c r="L230" s="51"/>
    </row>
    <row r="231" spans="10:12" x14ac:dyDescent="0.3">
      <c r="J231" s="1"/>
      <c r="K231" s="1"/>
      <c r="L231" s="51"/>
    </row>
    <row r="232" spans="10:12" x14ac:dyDescent="0.3">
      <c r="J232" s="1"/>
      <c r="K232" s="1"/>
      <c r="L232" s="51"/>
    </row>
    <row r="233" spans="10:12" x14ac:dyDescent="0.3">
      <c r="J233" s="1"/>
      <c r="K233" s="1"/>
      <c r="L233" s="51"/>
    </row>
    <row r="234" spans="10:12" x14ac:dyDescent="0.3">
      <c r="J234" s="1"/>
      <c r="K234" s="1"/>
      <c r="L234" s="51"/>
    </row>
    <row r="235" spans="10:12" x14ac:dyDescent="0.3">
      <c r="J235" s="1"/>
      <c r="K235" s="1"/>
      <c r="L235" s="51"/>
    </row>
    <row r="236" spans="10:12" x14ac:dyDescent="0.3">
      <c r="J236" s="1"/>
      <c r="K236" s="1"/>
      <c r="L236" s="51"/>
    </row>
    <row r="237" spans="10:12" x14ac:dyDescent="0.3">
      <c r="J237" s="1"/>
      <c r="K237" s="1"/>
      <c r="L237" s="51"/>
    </row>
    <row r="238" spans="10:12" x14ac:dyDescent="0.3">
      <c r="J238" s="1"/>
      <c r="K238" s="1"/>
      <c r="L238" s="51"/>
    </row>
    <row r="239" spans="10:12" x14ac:dyDescent="0.3">
      <c r="J239" s="1"/>
      <c r="K239" s="1"/>
      <c r="L239" s="51"/>
    </row>
    <row r="240" spans="10:12" x14ac:dyDescent="0.3">
      <c r="J240" s="1"/>
      <c r="K240" s="1"/>
      <c r="L240" s="51"/>
    </row>
    <row r="241" spans="10:12" x14ac:dyDescent="0.3">
      <c r="J241" s="1"/>
      <c r="K241" s="1"/>
      <c r="L241" s="51"/>
    </row>
    <row r="242" spans="10:12" x14ac:dyDescent="0.3">
      <c r="J242" s="1"/>
      <c r="K242" s="1"/>
      <c r="L242" s="51"/>
    </row>
    <row r="243" spans="10:12" x14ac:dyDescent="0.3">
      <c r="J243" s="1"/>
      <c r="K243" s="1"/>
      <c r="L243" s="51"/>
    </row>
    <row r="244" spans="10:12" x14ac:dyDescent="0.3">
      <c r="J244" s="1"/>
      <c r="K244" s="1"/>
      <c r="L244" s="51"/>
    </row>
    <row r="245" spans="10:12" x14ac:dyDescent="0.3">
      <c r="J245" s="1"/>
      <c r="K245" s="1"/>
      <c r="L245" s="51"/>
    </row>
    <row r="246" spans="10:12" x14ac:dyDescent="0.3">
      <c r="J246" s="1"/>
      <c r="K246" s="1"/>
      <c r="L246" s="51"/>
    </row>
    <row r="247" spans="10:12" x14ac:dyDescent="0.3">
      <c r="J247" s="1"/>
      <c r="K247" s="1"/>
      <c r="L247" s="51"/>
    </row>
    <row r="248" spans="10:12" x14ac:dyDescent="0.3">
      <c r="J248" s="1"/>
      <c r="K248" s="1"/>
      <c r="L248" s="51"/>
    </row>
    <row r="249" spans="10:12" x14ac:dyDescent="0.3">
      <c r="J249" s="1"/>
      <c r="K249" s="1"/>
      <c r="L249" s="51"/>
    </row>
    <row r="250" spans="10:12" x14ac:dyDescent="0.3">
      <c r="J250" s="1"/>
      <c r="K250" s="1"/>
      <c r="L250" s="51"/>
    </row>
    <row r="251" spans="10:12" x14ac:dyDescent="0.3">
      <c r="J251" s="1"/>
      <c r="K251" s="1"/>
      <c r="L251" s="51"/>
    </row>
    <row r="252" spans="10:12" x14ac:dyDescent="0.3">
      <c r="J252" s="1"/>
      <c r="K252" s="1"/>
      <c r="L252" s="51"/>
    </row>
    <row r="253" spans="10:12" x14ac:dyDescent="0.3">
      <c r="J253" s="1"/>
      <c r="K253" s="1"/>
      <c r="L253" s="51"/>
    </row>
    <row r="254" spans="10:12" x14ac:dyDescent="0.3">
      <c r="J254" s="1"/>
      <c r="K254" s="1"/>
      <c r="L254" s="51"/>
    </row>
    <row r="255" spans="10:12" x14ac:dyDescent="0.3">
      <c r="J255" s="1"/>
      <c r="K255" s="1"/>
      <c r="L255" s="51"/>
    </row>
    <row r="256" spans="10:12" x14ac:dyDescent="0.3">
      <c r="J256" s="1"/>
      <c r="K256" s="1"/>
      <c r="L256" s="51"/>
    </row>
    <row r="257" spans="10:12" x14ac:dyDescent="0.3">
      <c r="J257" s="1"/>
      <c r="K257" s="1"/>
      <c r="L257" s="51"/>
    </row>
    <row r="258" spans="10:12" x14ac:dyDescent="0.3">
      <c r="J258" s="1"/>
      <c r="K258" s="1"/>
      <c r="L258" s="51"/>
    </row>
    <row r="259" spans="10:12" x14ac:dyDescent="0.3">
      <c r="J259" s="1"/>
      <c r="K259" s="1"/>
      <c r="L259" s="51"/>
    </row>
    <row r="260" spans="10:12" x14ac:dyDescent="0.3">
      <c r="J260" s="1"/>
      <c r="K260" s="1"/>
      <c r="L260" s="51"/>
    </row>
    <row r="261" spans="10:12" x14ac:dyDescent="0.3">
      <c r="J261" s="1"/>
      <c r="K261" s="1"/>
      <c r="L261" s="51"/>
    </row>
    <row r="262" spans="10:12" x14ac:dyDescent="0.3">
      <c r="J262" s="1"/>
      <c r="K262" s="1"/>
      <c r="L262" s="51"/>
    </row>
    <row r="263" spans="10:12" x14ac:dyDescent="0.3">
      <c r="J263" s="1"/>
      <c r="K263" s="1"/>
      <c r="L263" s="51"/>
    </row>
    <row r="264" spans="10:12" x14ac:dyDescent="0.3">
      <c r="J264" s="1"/>
      <c r="K264" s="1"/>
      <c r="L264" s="51"/>
    </row>
    <row r="265" spans="10:12" x14ac:dyDescent="0.3">
      <c r="J265" s="1"/>
      <c r="K265" s="1"/>
      <c r="L265" s="51"/>
    </row>
    <row r="266" spans="10:12" x14ac:dyDescent="0.3">
      <c r="J266" s="1"/>
      <c r="K266" s="1"/>
      <c r="L266" s="51"/>
    </row>
    <row r="267" spans="10:12" x14ac:dyDescent="0.3">
      <c r="J267" s="1"/>
      <c r="K267" s="1"/>
      <c r="L267" s="51"/>
    </row>
    <row r="268" spans="10:12" x14ac:dyDescent="0.3">
      <c r="J268" s="1"/>
      <c r="K268" s="1"/>
      <c r="L268" s="51"/>
    </row>
    <row r="269" spans="10:12" x14ac:dyDescent="0.3">
      <c r="J269" s="1"/>
      <c r="K269" s="1"/>
      <c r="L269" s="51"/>
    </row>
    <row r="270" spans="10:12" x14ac:dyDescent="0.3">
      <c r="J270" s="1"/>
      <c r="K270" s="1"/>
      <c r="L270" s="51"/>
    </row>
    <row r="271" spans="10:12" x14ac:dyDescent="0.3">
      <c r="J271" s="1"/>
      <c r="K271" s="1"/>
      <c r="L271" s="51"/>
    </row>
    <row r="272" spans="10:12" x14ac:dyDescent="0.3">
      <c r="J272" s="1"/>
      <c r="K272" s="1"/>
      <c r="L272" s="51"/>
    </row>
    <row r="273" spans="10:12" x14ac:dyDescent="0.3">
      <c r="J273" s="1"/>
      <c r="K273" s="1"/>
      <c r="L273" s="51"/>
    </row>
    <row r="274" spans="10:12" x14ac:dyDescent="0.3">
      <c r="J274" s="1"/>
      <c r="K274" s="1"/>
      <c r="L274" s="51"/>
    </row>
    <row r="275" spans="10:12" x14ac:dyDescent="0.3">
      <c r="J275" s="1"/>
      <c r="K275" s="1"/>
      <c r="L275" s="51"/>
    </row>
    <row r="276" spans="10:12" x14ac:dyDescent="0.3">
      <c r="J276" s="1"/>
      <c r="K276" s="1"/>
      <c r="L276" s="51"/>
    </row>
    <row r="277" spans="10:12" x14ac:dyDescent="0.3">
      <c r="J277" s="1"/>
      <c r="K277" s="1"/>
      <c r="L277" s="51"/>
    </row>
    <row r="278" spans="10:12" x14ac:dyDescent="0.3">
      <c r="J278" s="1"/>
      <c r="K278" s="1"/>
      <c r="L278" s="51"/>
    </row>
    <row r="279" spans="10:12" x14ac:dyDescent="0.3">
      <c r="J279" s="1"/>
      <c r="K279" s="1"/>
      <c r="L279" s="51"/>
    </row>
    <row r="280" spans="10:12" x14ac:dyDescent="0.3">
      <c r="J280" s="1"/>
      <c r="K280" s="1"/>
      <c r="L280" s="51"/>
    </row>
    <row r="281" spans="10:12" x14ac:dyDescent="0.3">
      <c r="J281" s="1"/>
      <c r="K281" s="1"/>
      <c r="L281" s="51"/>
    </row>
    <row r="282" spans="10:12" x14ac:dyDescent="0.3">
      <c r="J282" s="1"/>
      <c r="K282" s="1"/>
      <c r="L282" s="51"/>
    </row>
    <row r="283" spans="10:12" x14ac:dyDescent="0.3">
      <c r="J283" s="1"/>
      <c r="K283" s="1"/>
      <c r="L283" s="51"/>
    </row>
    <row r="284" spans="10:12" x14ac:dyDescent="0.3">
      <c r="J284" s="1"/>
      <c r="K284" s="1"/>
      <c r="L284" s="51"/>
    </row>
    <row r="285" spans="10:12" x14ac:dyDescent="0.3">
      <c r="J285" s="1"/>
      <c r="K285" s="1"/>
      <c r="L285" s="51"/>
    </row>
    <row r="286" spans="10:12" x14ac:dyDescent="0.3">
      <c r="J286" s="1"/>
      <c r="K286" s="1"/>
      <c r="L286" s="51"/>
    </row>
    <row r="287" spans="10:12" x14ac:dyDescent="0.3">
      <c r="J287" s="1"/>
      <c r="K287" s="1"/>
      <c r="L287" s="51"/>
    </row>
    <row r="288" spans="10:12" x14ac:dyDescent="0.3">
      <c r="J288" s="1"/>
      <c r="K288" s="1"/>
      <c r="L288" s="51"/>
    </row>
    <row r="289" spans="10:12" x14ac:dyDescent="0.3">
      <c r="J289" s="1"/>
      <c r="K289" s="1"/>
      <c r="L289" s="51"/>
    </row>
    <row r="290" spans="10:12" x14ac:dyDescent="0.3">
      <c r="J290" s="1"/>
      <c r="K290" s="1"/>
      <c r="L290" s="51"/>
    </row>
    <row r="291" spans="10:12" x14ac:dyDescent="0.3">
      <c r="J291" s="1"/>
      <c r="K291" s="1"/>
      <c r="L291" s="51"/>
    </row>
    <row r="292" spans="10:12" x14ac:dyDescent="0.3">
      <c r="J292" s="1"/>
      <c r="K292" s="1"/>
      <c r="L292" s="51"/>
    </row>
    <row r="293" spans="10:12" x14ac:dyDescent="0.3">
      <c r="J293" s="1"/>
      <c r="K293" s="1"/>
      <c r="L293" s="51"/>
    </row>
    <row r="294" spans="10:12" x14ac:dyDescent="0.3">
      <c r="J294" s="1"/>
      <c r="K294" s="1"/>
      <c r="L294" s="51"/>
    </row>
    <row r="295" spans="10:12" x14ac:dyDescent="0.3">
      <c r="J295" s="1"/>
      <c r="K295" s="1"/>
      <c r="L295" s="51"/>
    </row>
    <row r="296" spans="10:12" x14ac:dyDescent="0.3">
      <c r="J296" s="1"/>
      <c r="K296" s="1"/>
      <c r="L296" s="51"/>
    </row>
    <row r="297" spans="10:12" x14ac:dyDescent="0.3">
      <c r="J297" s="1"/>
      <c r="K297" s="1"/>
      <c r="L297" s="51"/>
    </row>
    <row r="298" spans="10:12" x14ac:dyDescent="0.3">
      <c r="J298" s="1"/>
      <c r="K298" s="1"/>
      <c r="L298" s="51"/>
    </row>
    <row r="299" spans="10:12" x14ac:dyDescent="0.3">
      <c r="J299" s="1"/>
      <c r="K299" s="1"/>
      <c r="L299" s="51"/>
    </row>
    <row r="300" spans="10:12" x14ac:dyDescent="0.3">
      <c r="J300" s="1"/>
      <c r="K300" s="1"/>
      <c r="L300" s="51"/>
    </row>
    <row r="301" spans="10:12" x14ac:dyDescent="0.3">
      <c r="J301" s="1"/>
      <c r="K301" s="1"/>
      <c r="L301" s="51"/>
    </row>
    <row r="302" spans="10:12" x14ac:dyDescent="0.3">
      <c r="J302" s="1"/>
      <c r="K302" s="1"/>
      <c r="L302" s="51"/>
    </row>
    <row r="303" spans="10:12" x14ac:dyDescent="0.3">
      <c r="J303" s="1"/>
      <c r="K303" s="1"/>
      <c r="L303" s="51"/>
    </row>
    <row r="304" spans="10:12" x14ac:dyDescent="0.3">
      <c r="J304" s="1"/>
      <c r="K304" s="1"/>
      <c r="L304" s="51"/>
    </row>
    <row r="305" spans="10:12" x14ac:dyDescent="0.3">
      <c r="J305" s="1"/>
      <c r="K305" s="1"/>
      <c r="L305" s="51"/>
    </row>
    <row r="306" spans="10:12" x14ac:dyDescent="0.3">
      <c r="J306" s="1"/>
      <c r="K306" s="1"/>
      <c r="L306" s="51"/>
    </row>
    <row r="307" spans="10:12" x14ac:dyDescent="0.3">
      <c r="J307" s="1"/>
      <c r="K307" s="1"/>
      <c r="L307" s="51"/>
    </row>
    <row r="308" spans="10:12" x14ac:dyDescent="0.3">
      <c r="J308" s="1"/>
      <c r="K308" s="1"/>
      <c r="L308" s="51"/>
    </row>
    <row r="309" spans="10:12" x14ac:dyDescent="0.3">
      <c r="J309" s="1"/>
      <c r="K309" s="1"/>
      <c r="L309" s="51"/>
    </row>
    <row r="310" spans="10:12" x14ac:dyDescent="0.3">
      <c r="J310" s="1"/>
      <c r="K310" s="1"/>
      <c r="L310" s="51"/>
    </row>
    <row r="311" spans="10:12" x14ac:dyDescent="0.3">
      <c r="J311" s="1"/>
      <c r="K311" s="1"/>
      <c r="L311" s="51"/>
    </row>
    <row r="312" spans="10:12" x14ac:dyDescent="0.3">
      <c r="J312" s="1"/>
      <c r="K312" s="1"/>
      <c r="L312" s="51"/>
    </row>
    <row r="313" spans="10:12" x14ac:dyDescent="0.3">
      <c r="J313" s="1"/>
      <c r="K313" s="1"/>
      <c r="L313" s="51"/>
    </row>
    <row r="314" spans="10:12" x14ac:dyDescent="0.3">
      <c r="J314" s="1"/>
      <c r="K314" s="1"/>
      <c r="L314" s="51"/>
    </row>
    <row r="315" spans="10:12" x14ac:dyDescent="0.3">
      <c r="J315" s="1"/>
      <c r="K315" s="1"/>
      <c r="L315" s="51"/>
    </row>
    <row r="316" spans="10:12" x14ac:dyDescent="0.3">
      <c r="J316" s="1"/>
      <c r="K316" s="1"/>
      <c r="L316" s="51"/>
    </row>
    <row r="317" spans="10:12" x14ac:dyDescent="0.3">
      <c r="J317" s="1"/>
      <c r="K317" s="1"/>
      <c r="L317" s="51"/>
    </row>
    <row r="318" spans="10:12" x14ac:dyDescent="0.3">
      <c r="J318" s="1"/>
      <c r="K318" s="1"/>
      <c r="L318" s="51"/>
    </row>
    <row r="319" spans="10:12" x14ac:dyDescent="0.3">
      <c r="J319" s="1"/>
      <c r="K319" s="1"/>
      <c r="L319" s="51"/>
    </row>
    <row r="320" spans="10:12" x14ac:dyDescent="0.3">
      <c r="J320" s="1"/>
      <c r="K320" s="1"/>
      <c r="L320" s="51"/>
    </row>
    <row r="321" spans="10:12" x14ac:dyDescent="0.3">
      <c r="J321" s="1"/>
      <c r="K321" s="1"/>
      <c r="L321" s="51"/>
    </row>
    <row r="322" spans="10:12" x14ac:dyDescent="0.3">
      <c r="J322" s="1"/>
      <c r="K322" s="1"/>
      <c r="L322" s="51"/>
    </row>
    <row r="323" spans="10:12" x14ac:dyDescent="0.3">
      <c r="J323" s="1"/>
      <c r="K323" s="1"/>
      <c r="L323" s="51"/>
    </row>
    <row r="324" spans="10:12" x14ac:dyDescent="0.3">
      <c r="J324" s="1"/>
      <c r="K324" s="1"/>
      <c r="L324" s="51"/>
    </row>
    <row r="325" spans="10:12" x14ac:dyDescent="0.3">
      <c r="J325" s="1"/>
      <c r="K325" s="1"/>
      <c r="L325" s="51"/>
    </row>
    <row r="326" spans="10:12" x14ac:dyDescent="0.3">
      <c r="J326" s="1"/>
      <c r="K326" s="1"/>
      <c r="L326" s="51"/>
    </row>
    <row r="327" spans="10:12" x14ac:dyDescent="0.3">
      <c r="J327" s="1"/>
      <c r="K327" s="1"/>
      <c r="L327" s="51"/>
    </row>
    <row r="328" spans="10:12" x14ac:dyDescent="0.3">
      <c r="J328" s="1"/>
      <c r="K328" s="1"/>
      <c r="L328" s="51"/>
    </row>
    <row r="329" spans="10:12" x14ac:dyDescent="0.3">
      <c r="J329" s="1"/>
      <c r="K329" s="1"/>
      <c r="L329" s="51"/>
    </row>
    <row r="330" spans="10:12" x14ac:dyDescent="0.3">
      <c r="J330" s="1"/>
      <c r="K330" s="1"/>
      <c r="L330" s="51"/>
    </row>
    <row r="331" spans="10:12" x14ac:dyDescent="0.3">
      <c r="J331" s="1"/>
      <c r="K331" s="1"/>
      <c r="L331" s="51"/>
    </row>
    <row r="332" spans="10:12" x14ac:dyDescent="0.3">
      <c r="J332" s="1"/>
      <c r="K332" s="1"/>
      <c r="L332" s="51"/>
    </row>
    <row r="333" spans="10:12" x14ac:dyDescent="0.3">
      <c r="J333" s="1"/>
      <c r="K333" s="1"/>
      <c r="L333" s="51"/>
    </row>
    <row r="334" spans="10:12" x14ac:dyDescent="0.3">
      <c r="J334" s="1"/>
      <c r="K334" s="1"/>
      <c r="L334" s="51"/>
    </row>
    <row r="335" spans="10:12" x14ac:dyDescent="0.3">
      <c r="J335" s="1"/>
      <c r="K335" s="1"/>
      <c r="L335" s="51"/>
    </row>
    <row r="336" spans="10:12" x14ac:dyDescent="0.3">
      <c r="J336" s="1"/>
      <c r="K336" s="1"/>
      <c r="L336" s="51"/>
    </row>
    <row r="337" spans="10:12" x14ac:dyDescent="0.3">
      <c r="J337" s="1"/>
      <c r="K337" s="1"/>
      <c r="L337" s="51"/>
    </row>
    <row r="338" spans="10:12" x14ac:dyDescent="0.3">
      <c r="J338" s="1"/>
      <c r="K338" s="1"/>
      <c r="L338" s="51"/>
    </row>
    <row r="339" spans="10:12" x14ac:dyDescent="0.3">
      <c r="J339" s="1"/>
      <c r="K339" s="1"/>
      <c r="L339" s="51"/>
    </row>
    <row r="340" spans="10:12" x14ac:dyDescent="0.3">
      <c r="J340" s="1"/>
      <c r="K340" s="1"/>
      <c r="L340" s="51"/>
    </row>
    <row r="341" spans="10:12" x14ac:dyDescent="0.3">
      <c r="J341" s="1"/>
      <c r="K341" s="1"/>
      <c r="L341" s="51"/>
    </row>
    <row r="342" spans="10:12" x14ac:dyDescent="0.3">
      <c r="J342" s="1"/>
      <c r="K342" s="1"/>
      <c r="L342" s="51"/>
    </row>
    <row r="343" spans="10:12" x14ac:dyDescent="0.3">
      <c r="J343" s="1"/>
      <c r="K343" s="1"/>
      <c r="L343" s="51"/>
    </row>
    <row r="344" spans="10:12" x14ac:dyDescent="0.3">
      <c r="J344" s="1"/>
      <c r="K344" s="1"/>
      <c r="L344" s="51"/>
    </row>
    <row r="345" spans="10:12" x14ac:dyDescent="0.3">
      <c r="J345" s="1"/>
      <c r="K345" s="1"/>
      <c r="L345" s="51"/>
    </row>
    <row r="346" spans="10:12" x14ac:dyDescent="0.3">
      <c r="J346" s="1"/>
      <c r="K346" s="1"/>
      <c r="L346" s="51"/>
    </row>
    <row r="347" spans="10:12" x14ac:dyDescent="0.3">
      <c r="J347" s="1"/>
      <c r="K347" s="1"/>
      <c r="L347" s="51"/>
    </row>
    <row r="348" spans="10:12" x14ac:dyDescent="0.3">
      <c r="J348" s="1"/>
      <c r="K348" s="1"/>
      <c r="L348" s="51"/>
    </row>
    <row r="349" spans="10:12" x14ac:dyDescent="0.3">
      <c r="J349" s="1"/>
      <c r="K349" s="1"/>
      <c r="L349" s="51"/>
    </row>
    <row r="350" spans="10:12" x14ac:dyDescent="0.3">
      <c r="J350" s="1"/>
      <c r="K350" s="1"/>
      <c r="L350" s="51"/>
    </row>
    <row r="351" spans="10:12" x14ac:dyDescent="0.3">
      <c r="J351" s="1"/>
      <c r="K351" s="1"/>
      <c r="L351" s="51"/>
    </row>
    <row r="352" spans="10:12" x14ac:dyDescent="0.3">
      <c r="J352" s="1"/>
      <c r="K352" s="1"/>
      <c r="L352" s="51"/>
    </row>
    <row r="353" spans="10:12" x14ac:dyDescent="0.3">
      <c r="J353" s="1"/>
      <c r="K353" s="1"/>
      <c r="L353" s="51"/>
    </row>
    <row r="354" spans="10:12" x14ac:dyDescent="0.3">
      <c r="J354" s="1"/>
      <c r="K354" s="1"/>
      <c r="L354" s="51"/>
    </row>
    <row r="355" spans="10:12" x14ac:dyDescent="0.3">
      <c r="J355" s="1"/>
      <c r="K355" s="1"/>
      <c r="L355" s="51"/>
    </row>
    <row r="356" spans="10:12" x14ac:dyDescent="0.3">
      <c r="J356" s="1"/>
      <c r="K356" s="1"/>
      <c r="L356" s="51"/>
    </row>
    <row r="357" spans="10:12" x14ac:dyDescent="0.3">
      <c r="J357" s="1"/>
      <c r="K357" s="1"/>
      <c r="L357" s="51"/>
    </row>
    <row r="358" spans="10:12" x14ac:dyDescent="0.3">
      <c r="J358" s="1"/>
      <c r="K358" s="1"/>
      <c r="L358" s="51"/>
    </row>
    <row r="359" spans="10:12" x14ac:dyDescent="0.3">
      <c r="J359" s="1"/>
      <c r="K359" s="1"/>
      <c r="L359" s="51"/>
    </row>
    <row r="360" spans="10:12" x14ac:dyDescent="0.3">
      <c r="J360" s="1"/>
      <c r="K360" s="1"/>
      <c r="L360" s="51"/>
    </row>
    <row r="361" spans="10:12" x14ac:dyDescent="0.3">
      <c r="J361" s="1"/>
      <c r="K361" s="1"/>
      <c r="L361" s="51"/>
    </row>
    <row r="362" spans="10:12" x14ac:dyDescent="0.3">
      <c r="J362" s="1"/>
      <c r="K362" s="1"/>
      <c r="L362" s="51"/>
    </row>
    <row r="363" spans="10:12" x14ac:dyDescent="0.3">
      <c r="J363" s="1"/>
      <c r="K363" s="1"/>
      <c r="L363" s="51"/>
    </row>
    <row r="364" spans="10:12" x14ac:dyDescent="0.3">
      <c r="J364" s="1"/>
      <c r="K364" s="1"/>
      <c r="L364" s="51"/>
    </row>
    <row r="365" spans="10:12" x14ac:dyDescent="0.3">
      <c r="J365" s="1"/>
      <c r="K365" s="1"/>
      <c r="L365" s="51"/>
    </row>
    <row r="366" spans="10:12" x14ac:dyDescent="0.3">
      <c r="J366" s="1"/>
      <c r="K366" s="1"/>
      <c r="L366" s="51"/>
    </row>
    <row r="367" spans="10:12" x14ac:dyDescent="0.3">
      <c r="J367" s="1"/>
      <c r="K367" s="1"/>
      <c r="L367" s="51"/>
    </row>
    <row r="368" spans="10:12" x14ac:dyDescent="0.3">
      <c r="J368" s="1"/>
      <c r="K368" s="1"/>
      <c r="L368" s="51"/>
    </row>
    <row r="369" spans="10:12" x14ac:dyDescent="0.3">
      <c r="J369" s="1"/>
      <c r="K369" s="1"/>
      <c r="L369" s="51"/>
    </row>
    <row r="370" spans="10:12" x14ac:dyDescent="0.3">
      <c r="J370" s="1"/>
      <c r="K370" s="1"/>
      <c r="L370" s="51"/>
    </row>
    <row r="371" spans="10:12" x14ac:dyDescent="0.3">
      <c r="J371" s="1"/>
      <c r="K371" s="1"/>
      <c r="L371" s="51"/>
    </row>
    <row r="372" spans="10:12" x14ac:dyDescent="0.3">
      <c r="J372" s="1"/>
      <c r="K372" s="1"/>
      <c r="L372" s="51"/>
    </row>
    <row r="373" spans="10:12" x14ac:dyDescent="0.3">
      <c r="J373" s="1"/>
      <c r="K373" s="1"/>
      <c r="L373" s="51"/>
    </row>
    <row r="374" spans="10:12" x14ac:dyDescent="0.3">
      <c r="J374" s="1"/>
      <c r="K374" s="1"/>
      <c r="L374" s="51"/>
    </row>
    <row r="375" spans="10:12" x14ac:dyDescent="0.3">
      <c r="J375" s="1"/>
      <c r="K375" s="1"/>
      <c r="L375" s="51"/>
    </row>
    <row r="376" spans="10:12" x14ac:dyDescent="0.3">
      <c r="J376" s="1"/>
      <c r="K376" s="1"/>
      <c r="L376" s="51"/>
    </row>
    <row r="377" spans="10:12" x14ac:dyDescent="0.3">
      <c r="J377" s="1"/>
      <c r="K377" s="1"/>
      <c r="L377" s="51"/>
    </row>
    <row r="378" spans="10:12" x14ac:dyDescent="0.3">
      <c r="J378" s="1"/>
      <c r="K378" s="1"/>
      <c r="L378" s="51"/>
    </row>
    <row r="379" spans="10:12" x14ac:dyDescent="0.3">
      <c r="J379" s="1"/>
      <c r="K379" s="1"/>
      <c r="L379" s="51"/>
    </row>
    <row r="380" spans="10:12" x14ac:dyDescent="0.3">
      <c r="J380" s="1"/>
      <c r="K380" s="1"/>
      <c r="L380" s="51"/>
    </row>
    <row r="381" spans="10:12" x14ac:dyDescent="0.3">
      <c r="J381" s="1"/>
      <c r="K381" s="1"/>
      <c r="L381" s="51"/>
    </row>
    <row r="382" spans="10:12" x14ac:dyDescent="0.3">
      <c r="J382" s="1"/>
      <c r="K382" s="1"/>
      <c r="L382" s="51"/>
    </row>
    <row r="383" spans="10:12" x14ac:dyDescent="0.3">
      <c r="J383" s="1"/>
      <c r="K383" s="1"/>
      <c r="L383" s="51"/>
    </row>
    <row r="384" spans="10:12" x14ac:dyDescent="0.3">
      <c r="J384" s="1"/>
      <c r="K384" s="1"/>
      <c r="L384" s="51"/>
    </row>
    <row r="385" spans="10:12" x14ac:dyDescent="0.3">
      <c r="J385" s="1"/>
      <c r="K385" s="1"/>
      <c r="L385" s="51"/>
    </row>
    <row r="386" spans="10:12" x14ac:dyDescent="0.3">
      <c r="J386" s="1"/>
      <c r="K386" s="1"/>
      <c r="L386" s="51"/>
    </row>
    <row r="387" spans="10:12" x14ac:dyDescent="0.3">
      <c r="J387" s="1"/>
      <c r="K387" s="1"/>
      <c r="L387" s="51"/>
    </row>
    <row r="388" spans="10:12" x14ac:dyDescent="0.3">
      <c r="J388" s="1"/>
      <c r="K388" s="1"/>
      <c r="L388" s="51"/>
    </row>
    <row r="389" spans="10:12" x14ac:dyDescent="0.3">
      <c r="J389" s="1"/>
      <c r="K389" s="1"/>
      <c r="L389" s="51"/>
    </row>
    <row r="390" spans="10:12" x14ac:dyDescent="0.3">
      <c r="J390" s="1"/>
      <c r="K390" s="1"/>
      <c r="L390" s="51"/>
    </row>
    <row r="391" spans="10:12" x14ac:dyDescent="0.3">
      <c r="J391" s="1"/>
      <c r="K391" s="1"/>
      <c r="L391" s="51"/>
    </row>
    <row r="392" spans="10:12" x14ac:dyDescent="0.3">
      <c r="J392" s="1"/>
      <c r="K392" s="1"/>
      <c r="L392" s="51"/>
    </row>
    <row r="393" spans="10:12" x14ac:dyDescent="0.3">
      <c r="J393" s="1"/>
      <c r="K393" s="1"/>
      <c r="L393" s="51"/>
    </row>
    <row r="394" spans="10:12" x14ac:dyDescent="0.3">
      <c r="J394" s="1"/>
      <c r="K394" s="1"/>
      <c r="L394" s="51"/>
    </row>
    <row r="395" spans="10:12" x14ac:dyDescent="0.3">
      <c r="J395" s="1"/>
      <c r="K395" s="1"/>
      <c r="L395" s="51"/>
    </row>
    <row r="396" spans="10:12" x14ac:dyDescent="0.3">
      <c r="J396" s="1"/>
      <c r="K396" s="1"/>
      <c r="L396" s="51"/>
    </row>
    <row r="397" spans="10:12" x14ac:dyDescent="0.3">
      <c r="J397" s="1"/>
      <c r="K397" s="1"/>
      <c r="L397" s="51"/>
    </row>
    <row r="398" spans="10:12" x14ac:dyDescent="0.3">
      <c r="J398" s="1"/>
      <c r="K398" s="1"/>
      <c r="L398" s="51"/>
    </row>
    <row r="399" spans="10:12" x14ac:dyDescent="0.3">
      <c r="J399" s="1"/>
      <c r="K399" s="1"/>
      <c r="L399" s="51"/>
    </row>
    <row r="400" spans="10:12" x14ac:dyDescent="0.3">
      <c r="J400" s="1"/>
      <c r="K400" s="1"/>
      <c r="L400" s="51"/>
    </row>
    <row r="401" spans="10:12" x14ac:dyDescent="0.3">
      <c r="J401" s="1"/>
      <c r="K401" s="1"/>
      <c r="L401" s="51"/>
    </row>
    <row r="402" spans="10:12" x14ac:dyDescent="0.3">
      <c r="J402" s="1"/>
      <c r="K402" s="1"/>
      <c r="L402" s="51"/>
    </row>
    <row r="403" spans="10:12" x14ac:dyDescent="0.3">
      <c r="J403" s="1"/>
      <c r="K403" s="1"/>
      <c r="L403" s="51"/>
    </row>
    <row r="404" spans="10:12" x14ac:dyDescent="0.3">
      <c r="J404" s="1"/>
      <c r="K404" s="1"/>
      <c r="L404" s="51"/>
    </row>
    <row r="405" spans="10:12" x14ac:dyDescent="0.3">
      <c r="J405" s="1"/>
      <c r="K405" s="1"/>
      <c r="L405" s="51"/>
    </row>
    <row r="406" spans="10:12" x14ac:dyDescent="0.3">
      <c r="J406" s="1"/>
      <c r="K406" s="1"/>
      <c r="L406" s="51"/>
    </row>
    <row r="407" spans="10:12" x14ac:dyDescent="0.3">
      <c r="J407" s="1"/>
      <c r="K407" s="1"/>
      <c r="L407" s="51"/>
    </row>
    <row r="408" spans="10:12" x14ac:dyDescent="0.3">
      <c r="J408" s="1"/>
      <c r="K408" s="1"/>
      <c r="L408" s="51"/>
    </row>
    <row r="409" spans="10:12" x14ac:dyDescent="0.3">
      <c r="J409" s="1"/>
      <c r="K409" s="1"/>
      <c r="L409" s="51"/>
    </row>
    <row r="410" spans="10:12" x14ac:dyDescent="0.3">
      <c r="J410" s="1"/>
      <c r="K410" s="1"/>
      <c r="L410" s="51"/>
    </row>
    <row r="411" spans="10:12" x14ac:dyDescent="0.3">
      <c r="J411" s="1"/>
      <c r="K411" s="1"/>
      <c r="L411" s="51"/>
    </row>
    <row r="412" spans="10:12" x14ac:dyDescent="0.3">
      <c r="J412" s="1"/>
      <c r="K412" s="1"/>
      <c r="L412" s="51"/>
    </row>
    <row r="413" spans="10:12" x14ac:dyDescent="0.3">
      <c r="J413" s="1"/>
      <c r="K413" s="1"/>
      <c r="L413" s="51"/>
    </row>
    <row r="414" spans="10:12" x14ac:dyDescent="0.3">
      <c r="J414" s="1"/>
      <c r="K414" s="1"/>
      <c r="L414" s="51"/>
    </row>
    <row r="415" spans="10:12" x14ac:dyDescent="0.3">
      <c r="J415" s="1"/>
      <c r="K415" s="1"/>
      <c r="L415" s="51"/>
    </row>
    <row r="416" spans="10:12" x14ac:dyDescent="0.3">
      <c r="J416" s="1"/>
      <c r="K416" s="1"/>
      <c r="L416" s="51"/>
    </row>
    <row r="417" spans="10:12" x14ac:dyDescent="0.3">
      <c r="J417" s="1"/>
      <c r="K417" s="1"/>
      <c r="L417" s="51"/>
    </row>
    <row r="418" spans="10:12" x14ac:dyDescent="0.3">
      <c r="J418" s="1"/>
      <c r="K418" s="1"/>
      <c r="L418" s="51"/>
    </row>
    <row r="419" spans="10:12" x14ac:dyDescent="0.3">
      <c r="J419" s="1"/>
      <c r="K419" s="1"/>
      <c r="L419" s="51"/>
    </row>
    <row r="420" spans="10:12" x14ac:dyDescent="0.3">
      <c r="J420" s="1"/>
      <c r="K420" s="1"/>
      <c r="L420" s="51"/>
    </row>
    <row r="421" spans="10:12" x14ac:dyDescent="0.3">
      <c r="J421" s="1"/>
      <c r="K421" s="1"/>
      <c r="L421" s="51"/>
    </row>
    <row r="422" spans="10:12" x14ac:dyDescent="0.3">
      <c r="J422" s="1"/>
      <c r="K422" s="1"/>
      <c r="L422" s="51"/>
    </row>
    <row r="423" spans="10:12" x14ac:dyDescent="0.3">
      <c r="J423" s="1"/>
      <c r="K423" s="1"/>
      <c r="L423" s="51"/>
    </row>
    <row r="424" spans="10:12" x14ac:dyDescent="0.3">
      <c r="J424" s="1"/>
      <c r="K424" s="1"/>
      <c r="L424" s="51"/>
    </row>
    <row r="425" spans="10:12" x14ac:dyDescent="0.3">
      <c r="J425" s="1"/>
      <c r="K425" s="1"/>
      <c r="L425" s="51"/>
    </row>
    <row r="426" spans="10:12" x14ac:dyDescent="0.3">
      <c r="J426" s="1"/>
      <c r="K426" s="1"/>
      <c r="L426" s="51"/>
    </row>
    <row r="427" spans="10:12" x14ac:dyDescent="0.3">
      <c r="J427" s="1"/>
      <c r="K427" s="1"/>
      <c r="L427" s="51"/>
    </row>
    <row r="428" spans="10:12" x14ac:dyDescent="0.3">
      <c r="J428" s="1"/>
      <c r="K428" s="1"/>
      <c r="L428" s="51"/>
    </row>
    <row r="429" spans="10:12" x14ac:dyDescent="0.3">
      <c r="J429" s="1"/>
      <c r="K429" s="1"/>
      <c r="L429" s="51"/>
    </row>
    <row r="430" spans="10:12" x14ac:dyDescent="0.3">
      <c r="J430" s="1"/>
      <c r="K430" s="1"/>
      <c r="L430" s="51"/>
    </row>
    <row r="431" spans="10:12" x14ac:dyDescent="0.3">
      <c r="J431" s="1"/>
      <c r="K431" s="1"/>
      <c r="L431" s="51"/>
    </row>
    <row r="432" spans="10:12" x14ac:dyDescent="0.3">
      <c r="J432" s="1"/>
      <c r="K432" s="1"/>
      <c r="L432" s="51"/>
    </row>
    <row r="433" spans="10:12" x14ac:dyDescent="0.3">
      <c r="J433" s="1"/>
      <c r="K433" s="1"/>
      <c r="L433" s="51"/>
    </row>
    <row r="434" spans="10:12" x14ac:dyDescent="0.3">
      <c r="J434" s="1"/>
      <c r="K434" s="1"/>
      <c r="L434" s="51"/>
    </row>
    <row r="435" spans="10:12" x14ac:dyDescent="0.3">
      <c r="J435" s="1"/>
      <c r="K435" s="1"/>
      <c r="L435" s="51"/>
    </row>
    <row r="436" spans="10:12" x14ac:dyDescent="0.3">
      <c r="J436" s="1"/>
      <c r="K436" s="1"/>
      <c r="L436" s="51"/>
    </row>
    <row r="437" spans="10:12" x14ac:dyDescent="0.3">
      <c r="J437" s="1"/>
      <c r="K437" s="1"/>
      <c r="L437" s="51"/>
    </row>
    <row r="438" spans="10:12" x14ac:dyDescent="0.3">
      <c r="J438" s="1"/>
      <c r="K438" s="1"/>
      <c r="L438" s="51"/>
    </row>
    <row r="439" spans="10:12" x14ac:dyDescent="0.3">
      <c r="J439" s="1"/>
      <c r="K439" s="1"/>
      <c r="L439" s="51"/>
    </row>
    <row r="440" spans="10:12" x14ac:dyDescent="0.3">
      <c r="J440" s="1"/>
      <c r="K440" s="1"/>
      <c r="L440" s="51"/>
    </row>
    <row r="441" spans="10:12" x14ac:dyDescent="0.3">
      <c r="J441" s="1"/>
      <c r="K441" s="1"/>
      <c r="L441" s="51"/>
    </row>
    <row r="442" spans="10:12" x14ac:dyDescent="0.3">
      <c r="J442" s="1"/>
      <c r="K442" s="1"/>
      <c r="L442" s="51"/>
    </row>
    <row r="443" spans="10:12" x14ac:dyDescent="0.3">
      <c r="J443" s="1"/>
      <c r="K443" s="1"/>
      <c r="L443" s="51"/>
    </row>
    <row r="444" spans="10:12" x14ac:dyDescent="0.3">
      <c r="J444" s="1"/>
      <c r="K444" s="1"/>
      <c r="L444" s="51"/>
    </row>
    <row r="445" spans="10:12" x14ac:dyDescent="0.3">
      <c r="J445" s="1"/>
      <c r="K445" s="1"/>
      <c r="L445" s="51"/>
    </row>
    <row r="446" spans="10:12" x14ac:dyDescent="0.3">
      <c r="J446" s="1"/>
      <c r="K446" s="1"/>
      <c r="L446" s="51"/>
    </row>
    <row r="447" spans="10:12" x14ac:dyDescent="0.3">
      <c r="J447" s="1"/>
      <c r="K447" s="1"/>
      <c r="L447" s="51"/>
    </row>
    <row r="448" spans="10:12" x14ac:dyDescent="0.3">
      <c r="J448" s="1"/>
      <c r="K448" s="1"/>
      <c r="L448" s="51"/>
    </row>
    <row r="449" spans="10:12" x14ac:dyDescent="0.3">
      <c r="J449" s="1"/>
      <c r="K449" s="1"/>
      <c r="L449" s="51"/>
    </row>
    <row r="450" spans="10:12" x14ac:dyDescent="0.3">
      <c r="J450" s="1"/>
      <c r="K450" s="1"/>
      <c r="L450" s="51"/>
    </row>
    <row r="451" spans="10:12" x14ac:dyDescent="0.3">
      <c r="J451" s="1"/>
      <c r="K451" s="1"/>
      <c r="L451" s="51"/>
    </row>
    <row r="452" spans="10:12" x14ac:dyDescent="0.3">
      <c r="J452" s="1"/>
      <c r="K452" s="1"/>
      <c r="L452" s="51"/>
    </row>
    <row r="453" spans="10:12" x14ac:dyDescent="0.3">
      <c r="J453" s="1"/>
      <c r="K453" s="1"/>
      <c r="L453" s="51"/>
    </row>
    <row r="454" spans="10:12" x14ac:dyDescent="0.3">
      <c r="J454" s="1"/>
      <c r="K454" s="1"/>
      <c r="L454" s="51"/>
    </row>
    <row r="455" spans="10:12" x14ac:dyDescent="0.3">
      <c r="J455" s="1"/>
      <c r="K455" s="1"/>
      <c r="L455" s="51"/>
    </row>
    <row r="456" spans="10:12" x14ac:dyDescent="0.3">
      <c r="J456" s="1"/>
      <c r="K456" s="1"/>
      <c r="L456" s="51"/>
    </row>
    <row r="457" spans="10:12" x14ac:dyDescent="0.3">
      <c r="J457" s="1"/>
      <c r="K457" s="1"/>
      <c r="L457" s="51"/>
    </row>
    <row r="458" spans="10:12" x14ac:dyDescent="0.3">
      <c r="J458" s="1"/>
      <c r="K458" s="1"/>
      <c r="L458" s="51"/>
    </row>
    <row r="459" spans="10:12" x14ac:dyDescent="0.3">
      <c r="J459" s="1"/>
      <c r="K459" s="1"/>
      <c r="L459" s="51"/>
    </row>
    <row r="460" spans="10:12" x14ac:dyDescent="0.3">
      <c r="J460" s="1"/>
      <c r="K460" s="1"/>
      <c r="L460" s="51"/>
    </row>
    <row r="461" spans="10:12" x14ac:dyDescent="0.3">
      <c r="J461" s="1"/>
      <c r="K461" s="1"/>
      <c r="L461" s="51"/>
    </row>
    <row r="462" spans="10:12" x14ac:dyDescent="0.3">
      <c r="J462" s="1"/>
      <c r="K462" s="1"/>
      <c r="L462" s="51"/>
    </row>
    <row r="463" spans="10:12" x14ac:dyDescent="0.3">
      <c r="J463" s="1"/>
      <c r="K463" s="1"/>
      <c r="L463" s="51"/>
    </row>
    <row r="464" spans="10:12" x14ac:dyDescent="0.3">
      <c r="J464" s="1"/>
      <c r="K464" s="1"/>
      <c r="L464" s="51"/>
    </row>
    <row r="465" spans="10:12" x14ac:dyDescent="0.3">
      <c r="J465" s="1"/>
      <c r="K465" s="1"/>
      <c r="L465" s="51"/>
    </row>
    <row r="466" spans="10:12" x14ac:dyDescent="0.3">
      <c r="J466" s="1"/>
      <c r="K466" s="1"/>
      <c r="L466" s="51"/>
    </row>
    <row r="467" spans="10:12" x14ac:dyDescent="0.3">
      <c r="J467" s="1"/>
      <c r="K467" s="1"/>
      <c r="L467" s="51"/>
    </row>
    <row r="468" spans="10:12" x14ac:dyDescent="0.3">
      <c r="J468" s="1"/>
      <c r="K468" s="1"/>
      <c r="L468" s="51"/>
    </row>
    <row r="469" spans="10:12" x14ac:dyDescent="0.3">
      <c r="J469" s="1"/>
      <c r="K469" s="1"/>
      <c r="L469" s="51"/>
    </row>
    <row r="470" spans="10:12" x14ac:dyDescent="0.3">
      <c r="J470" s="1"/>
      <c r="K470" s="1"/>
      <c r="L470" s="51"/>
    </row>
    <row r="471" spans="10:12" x14ac:dyDescent="0.3">
      <c r="J471" s="1"/>
      <c r="K471" s="1"/>
      <c r="L471" s="51"/>
    </row>
    <row r="472" spans="10:12" x14ac:dyDescent="0.3">
      <c r="J472" s="1"/>
      <c r="K472" s="1"/>
      <c r="L472" s="51"/>
    </row>
    <row r="473" spans="10:12" x14ac:dyDescent="0.3">
      <c r="J473" s="1"/>
      <c r="K473" s="1"/>
      <c r="L473" s="51"/>
    </row>
    <row r="474" spans="10:12" x14ac:dyDescent="0.3">
      <c r="J474" s="1"/>
      <c r="K474" s="1"/>
      <c r="L474" s="51"/>
    </row>
    <row r="475" spans="10:12" x14ac:dyDescent="0.3">
      <c r="J475" s="1"/>
      <c r="K475" s="1"/>
      <c r="L475" s="51"/>
    </row>
    <row r="476" spans="10:12" x14ac:dyDescent="0.3">
      <c r="J476" s="1"/>
      <c r="K476" s="1"/>
      <c r="L476" s="51"/>
    </row>
    <row r="477" spans="10:12" x14ac:dyDescent="0.3">
      <c r="J477" s="1"/>
      <c r="K477" s="1"/>
      <c r="L477" s="51"/>
    </row>
    <row r="478" spans="10:12" x14ac:dyDescent="0.3">
      <c r="J478" s="1"/>
      <c r="K478" s="1"/>
      <c r="L478" s="51"/>
    </row>
    <row r="479" spans="10:12" x14ac:dyDescent="0.3">
      <c r="J479" s="1"/>
      <c r="K479" s="1"/>
      <c r="L479" s="51"/>
    </row>
    <row r="480" spans="10:12" x14ac:dyDescent="0.3">
      <c r="J480" s="1"/>
      <c r="K480" s="1"/>
      <c r="L480" s="51"/>
    </row>
    <row r="481" spans="10:12" x14ac:dyDescent="0.3">
      <c r="J481" s="1"/>
      <c r="K481" s="1"/>
      <c r="L481" s="51"/>
    </row>
    <row r="482" spans="10:12" x14ac:dyDescent="0.3">
      <c r="J482" s="1"/>
      <c r="K482" s="1"/>
      <c r="L482" s="51"/>
    </row>
    <row r="483" spans="10:12" x14ac:dyDescent="0.3">
      <c r="J483" s="1"/>
      <c r="K483" s="1"/>
      <c r="L483" s="51"/>
    </row>
    <row r="484" spans="10:12" x14ac:dyDescent="0.3">
      <c r="J484" s="1"/>
      <c r="K484" s="1"/>
      <c r="L484" s="51"/>
    </row>
    <row r="485" spans="10:12" x14ac:dyDescent="0.3">
      <c r="J485" s="1"/>
      <c r="K485" s="1"/>
      <c r="L485" s="51"/>
    </row>
    <row r="486" spans="10:12" x14ac:dyDescent="0.3">
      <c r="J486" s="1"/>
      <c r="K486" s="1"/>
      <c r="L486" s="51"/>
    </row>
    <row r="487" spans="10:12" x14ac:dyDescent="0.3">
      <c r="J487" s="1"/>
      <c r="K487" s="1"/>
      <c r="L487" s="51"/>
    </row>
    <row r="488" spans="10:12" x14ac:dyDescent="0.3">
      <c r="J488" s="1"/>
      <c r="K488" s="1"/>
      <c r="L488" s="51"/>
    </row>
    <row r="489" spans="10:12" x14ac:dyDescent="0.3">
      <c r="J489" s="1"/>
      <c r="K489" s="1"/>
      <c r="L489" s="51"/>
    </row>
    <row r="490" spans="10:12" x14ac:dyDescent="0.3">
      <c r="J490" s="1"/>
      <c r="K490" s="1"/>
      <c r="L490" s="51"/>
    </row>
    <row r="491" spans="10:12" x14ac:dyDescent="0.3">
      <c r="J491" s="1"/>
      <c r="K491" s="1"/>
      <c r="L491" s="51"/>
    </row>
    <row r="492" spans="10:12" x14ac:dyDescent="0.3">
      <c r="J492" s="1"/>
      <c r="K492" s="1"/>
      <c r="L492" s="51"/>
    </row>
    <row r="493" spans="10:12" x14ac:dyDescent="0.3">
      <c r="J493" s="1"/>
      <c r="K493" s="1"/>
      <c r="L493" s="51"/>
    </row>
    <row r="494" spans="10:12" x14ac:dyDescent="0.3">
      <c r="J494" s="1"/>
      <c r="K494" s="1"/>
      <c r="L494" s="51"/>
    </row>
    <row r="495" spans="10:12" x14ac:dyDescent="0.3">
      <c r="J495" s="1"/>
      <c r="K495" s="1"/>
      <c r="L495" s="51"/>
    </row>
    <row r="496" spans="10:12" x14ac:dyDescent="0.3">
      <c r="J496" s="1"/>
      <c r="K496" s="1"/>
      <c r="L496" s="51"/>
    </row>
    <row r="497" spans="10:12" x14ac:dyDescent="0.3">
      <c r="J497" s="1"/>
      <c r="K497" s="1"/>
      <c r="L497" s="51"/>
    </row>
    <row r="498" spans="10:12" x14ac:dyDescent="0.3">
      <c r="J498" s="1"/>
      <c r="K498" s="1"/>
      <c r="L498" s="51"/>
    </row>
    <row r="499" spans="10:12" x14ac:dyDescent="0.3">
      <c r="J499" s="1"/>
      <c r="K499" s="1"/>
      <c r="L499" s="51"/>
    </row>
    <row r="500" spans="10:12" x14ac:dyDescent="0.3">
      <c r="J500" s="1"/>
      <c r="K500" s="1"/>
      <c r="L500" s="51"/>
    </row>
    <row r="501" spans="10:12" x14ac:dyDescent="0.3">
      <c r="J501" s="1"/>
      <c r="K501" s="1"/>
      <c r="L501" s="51"/>
    </row>
    <row r="502" spans="10:12" x14ac:dyDescent="0.3">
      <c r="J502" s="1"/>
      <c r="K502" s="1"/>
      <c r="L502" s="51"/>
    </row>
    <row r="503" spans="10:12" x14ac:dyDescent="0.3">
      <c r="J503" s="1"/>
      <c r="K503" s="1"/>
      <c r="L503" s="51"/>
    </row>
    <row r="504" spans="10:12" x14ac:dyDescent="0.3">
      <c r="J504" s="1"/>
      <c r="K504" s="1"/>
      <c r="L504" s="51"/>
    </row>
    <row r="505" spans="10:12" x14ac:dyDescent="0.3">
      <c r="J505" s="1"/>
      <c r="K505" s="1"/>
      <c r="L505" s="51"/>
    </row>
    <row r="506" spans="10:12" x14ac:dyDescent="0.3">
      <c r="J506" s="1"/>
      <c r="K506" s="1"/>
      <c r="L506" s="51"/>
    </row>
    <row r="507" spans="10:12" x14ac:dyDescent="0.3">
      <c r="J507" s="1"/>
      <c r="K507" s="1"/>
      <c r="L507" s="51"/>
    </row>
    <row r="508" spans="10:12" x14ac:dyDescent="0.3">
      <c r="J508" s="1"/>
      <c r="K508" s="1"/>
      <c r="L508" s="51"/>
    </row>
    <row r="509" spans="10:12" x14ac:dyDescent="0.3">
      <c r="J509" s="1"/>
      <c r="K509" s="1"/>
      <c r="L509" s="51"/>
    </row>
    <row r="510" spans="10:12" x14ac:dyDescent="0.3">
      <c r="J510" s="1"/>
      <c r="K510" s="1"/>
      <c r="L510" s="51"/>
    </row>
    <row r="511" spans="10:12" x14ac:dyDescent="0.3">
      <c r="J511" s="1"/>
      <c r="K511" s="1"/>
      <c r="L511" s="51"/>
    </row>
    <row r="512" spans="10:12" x14ac:dyDescent="0.3">
      <c r="J512" s="1"/>
      <c r="K512" s="1"/>
      <c r="L512" s="51"/>
    </row>
    <row r="513" spans="10:12" x14ac:dyDescent="0.3">
      <c r="J513" s="1"/>
      <c r="K513" s="1"/>
      <c r="L513" s="51"/>
    </row>
    <row r="514" spans="10:12" x14ac:dyDescent="0.3">
      <c r="J514" s="1"/>
      <c r="K514" s="1"/>
      <c r="L514" s="51"/>
    </row>
    <row r="515" spans="10:12" x14ac:dyDescent="0.3">
      <c r="J515" s="1"/>
      <c r="K515" s="1"/>
      <c r="L515" s="51"/>
    </row>
    <row r="516" spans="10:12" x14ac:dyDescent="0.3">
      <c r="J516" s="1"/>
      <c r="K516" s="1"/>
      <c r="L516" s="51"/>
    </row>
    <row r="517" spans="10:12" x14ac:dyDescent="0.3">
      <c r="J517" s="1"/>
      <c r="K517" s="1"/>
      <c r="L517" s="51"/>
    </row>
    <row r="518" spans="10:12" x14ac:dyDescent="0.3">
      <c r="J518" s="1"/>
      <c r="K518" s="1"/>
      <c r="L518" s="51"/>
    </row>
    <row r="519" spans="10:12" x14ac:dyDescent="0.3">
      <c r="J519" s="1"/>
      <c r="K519" s="1"/>
      <c r="L519" s="51"/>
    </row>
    <row r="520" spans="10:12" x14ac:dyDescent="0.3">
      <c r="J520" s="1"/>
      <c r="K520" s="1"/>
      <c r="L520" s="51"/>
    </row>
    <row r="521" spans="10:12" x14ac:dyDescent="0.3">
      <c r="J521" s="1"/>
      <c r="K521" s="1"/>
      <c r="L521" s="51"/>
    </row>
    <row r="522" spans="10:12" x14ac:dyDescent="0.3">
      <c r="J522" s="1"/>
      <c r="K522" s="1"/>
      <c r="L522" s="51"/>
    </row>
    <row r="523" spans="10:12" x14ac:dyDescent="0.3">
      <c r="J523" s="1"/>
      <c r="K523" s="1"/>
      <c r="L523" s="51"/>
    </row>
    <row r="524" spans="10:12" x14ac:dyDescent="0.3">
      <c r="J524" s="1"/>
      <c r="K524" s="1"/>
      <c r="L524" s="51"/>
    </row>
    <row r="525" spans="10:12" x14ac:dyDescent="0.3">
      <c r="J525" s="1"/>
      <c r="K525" s="1"/>
      <c r="L525" s="51"/>
    </row>
    <row r="526" spans="10:12" x14ac:dyDescent="0.3">
      <c r="J526" s="1"/>
      <c r="K526" s="1"/>
      <c r="L526" s="51"/>
    </row>
    <row r="527" spans="10:12" x14ac:dyDescent="0.3">
      <c r="J527" s="1"/>
      <c r="K527" s="1"/>
      <c r="L527" s="51"/>
    </row>
    <row r="528" spans="10:12" x14ac:dyDescent="0.3">
      <c r="J528" s="1"/>
      <c r="K528" s="1"/>
      <c r="L528" s="51"/>
    </row>
    <row r="529" spans="10:12" x14ac:dyDescent="0.3">
      <c r="J529" s="1"/>
      <c r="K529" s="1"/>
      <c r="L529" s="51"/>
    </row>
    <row r="530" spans="10:12" x14ac:dyDescent="0.3">
      <c r="J530" s="1"/>
      <c r="K530" s="1"/>
      <c r="L530" s="51"/>
    </row>
    <row r="531" spans="10:12" x14ac:dyDescent="0.3">
      <c r="J531" s="1"/>
      <c r="K531" s="1"/>
      <c r="L531" s="51"/>
    </row>
    <row r="532" spans="10:12" x14ac:dyDescent="0.3">
      <c r="J532" s="1"/>
      <c r="K532" s="1"/>
      <c r="L532" s="51"/>
    </row>
    <row r="533" spans="10:12" x14ac:dyDescent="0.3">
      <c r="J533" s="1"/>
      <c r="K533" s="1"/>
      <c r="L533" s="51"/>
    </row>
    <row r="534" spans="10:12" x14ac:dyDescent="0.3">
      <c r="J534" s="1"/>
      <c r="K534" s="1"/>
      <c r="L534" s="51"/>
    </row>
    <row r="535" spans="10:12" x14ac:dyDescent="0.3">
      <c r="J535" s="1"/>
      <c r="K535" s="1"/>
      <c r="L535" s="51"/>
    </row>
    <row r="536" spans="10:12" x14ac:dyDescent="0.3">
      <c r="J536" s="1"/>
      <c r="K536" s="1"/>
      <c r="L536" s="51"/>
    </row>
    <row r="537" spans="10:12" x14ac:dyDescent="0.3">
      <c r="J537" s="1"/>
      <c r="K537" s="1"/>
      <c r="L537" s="51"/>
    </row>
    <row r="538" spans="10:12" x14ac:dyDescent="0.3">
      <c r="J538" s="1"/>
      <c r="K538" s="1"/>
      <c r="L538" s="51"/>
    </row>
    <row r="539" spans="10:12" x14ac:dyDescent="0.3">
      <c r="J539" s="1"/>
      <c r="K539" s="1"/>
      <c r="L539" s="51"/>
    </row>
    <row r="540" spans="10:12" x14ac:dyDescent="0.3">
      <c r="J540" s="1"/>
      <c r="K540" s="1"/>
      <c r="L540" s="51"/>
    </row>
    <row r="541" spans="10:12" x14ac:dyDescent="0.3">
      <c r="J541" s="1"/>
      <c r="K541" s="1"/>
      <c r="L541" s="51"/>
    </row>
    <row r="542" spans="10:12" x14ac:dyDescent="0.3">
      <c r="J542" s="1"/>
      <c r="K542" s="1"/>
      <c r="L542" s="51"/>
    </row>
    <row r="543" spans="10:12" x14ac:dyDescent="0.3">
      <c r="J543" s="1"/>
      <c r="K543" s="1"/>
      <c r="L543" s="51"/>
    </row>
    <row r="544" spans="10:12" x14ac:dyDescent="0.3">
      <c r="J544" s="1"/>
      <c r="K544" s="1"/>
      <c r="L544" s="51"/>
    </row>
    <row r="545" spans="10:12" x14ac:dyDescent="0.3">
      <c r="J545" s="1"/>
      <c r="K545" s="1"/>
      <c r="L545" s="51"/>
    </row>
    <row r="546" spans="10:12" x14ac:dyDescent="0.3">
      <c r="J546" s="1"/>
      <c r="K546" s="1"/>
      <c r="L546" s="51"/>
    </row>
    <row r="547" spans="10:12" x14ac:dyDescent="0.3">
      <c r="J547" s="1"/>
      <c r="K547" s="1"/>
      <c r="L547" s="51"/>
    </row>
    <row r="548" spans="10:12" x14ac:dyDescent="0.3">
      <c r="J548" s="1"/>
      <c r="K548" s="1"/>
      <c r="L548" s="51"/>
    </row>
    <row r="549" spans="10:12" x14ac:dyDescent="0.3">
      <c r="J549" s="1"/>
      <c r="K549" s="1"/>
      <c r="L549" s="51"/>
    </row>
    <row r="550" spans="10:12" x14ac:dyDescent="0.3">
      <c r="J550" s="1"/>
      <c r="K550" s="1"/>
      <c r="L550" s="51"/>
    </row>
    <row r="551" spans="10:12" x14ac:dyDescent="0.3">
      <c r="J551" s="1"/>
      <c r="K551" s="1"/>
      <c r="L551" s="51"/>
    </row>
    <row r="552" spans="10:12" x14ac:dyDescent="0.3">
      <c r="J552" s="1"/>
      <c r="K552" s="1"/>
      <c r="L552" s="51"/>
    </row>
    <row r="553" spans="10:12" x14ac:dyDescent="0.3">
      <c r="J553" s="1"/>
      <c r="K553" s="1"/>
      <c r="L553" s="51"/>
    </row>
    <row r="554" spans="10:12" x14ac:dyDescent="0.3">
      <c r="J554" s="1"/>
      <c r="K554" s="1"/>
      <c r="L554" s="51"/>
    </row>
    <row r="555" spans="10:12" x14ac:dyDescent="0.3">
      <c r="J555" s="1"/>
      <c r="K555" s="1"/>
      <c r="L555" s="51"/>
    </row>
    <row r="556" spans="10:12" x14ac:dyDescent="0.3">
      <c r="J556" s="1"/>
      <c r="K556" s="1"/>
      <c r="L556" s="51"/>
    </row>
    <row r="557" spans="10:12" x14ac:dyDescent="0.3">
      <c r="J557" s="1"/>
      <c r="K557" s="1"/>
      <c r="L557" s="51"/>
    </row>
    <row r="558" spans="10:12" x14ac:dyDescent="0.3">
      <c r="J558" s="1"/>
      <c r="K558" s="1"/>
      <c r="L558" s="51"/>
    </row>
    <row r="559" spans="10:12" x14ac:dyDescent="0.3">
      <c r="J559" s="1"/>
      <c r="K559" s="1"/>
      <c r="L559" s="51"/>
    </row>
    <row r="560" spans="10:12" x14ac:dyDescent="0.3">
      <c r="J560" s="1"/>
      <c r="K560" s="1"/>
      <c r="L560" s="51"/>
    </row>
    <row r="561" spans="10:12" x14ac:dyDescent="0.3">
      <c r="J561" s="1"/>
      <c r="K561" s="1"/>
      <c r="L561" s="51"/>
    </row>
    <row r="562" spans="10:12" x14ac:dyDescent="0.3">
      <c r="J562" s="1"/>
      <c r="K562" s="1"/>
      <c r="L562" s="51"/>
    </row>
    <row r="563" spans="10:12" x14ac:dyDescent="0.3">
      <c r="J563" s="1"/>
      <c r="K563" s="1"/>
      <c r="L563" s="51"/>
    </row>
    <row r="564" spans="10:12" x14ac:dyDescent="0.3">
      <c r="J564" s="1"/>
      <c r="K564" s="1"/>
      <c r="L564" s="51"/>
    </row>
    <row r="565" spans="10:12" x14ac:dyDescent="0.3">
      <c r="J565" s="1"/>
      <c r="K565" s="1"/>
      <c r="L565" s="51"/>
    </row>
    <row r="566" spans="10:12" x14ac:dyDescent="0.3">
      <c r="J566" s="1"/>
      <c r="K566" s="1"/>
      <c r="L566" s="51"/>
    </row>
    <row r="567" spans="10:12" x14ac:dyDescent="0.3">
      <c r="J567" s="1"/>
      <c r="K567" s="1"/>
      <c r="L567" s="51"/>
    </row>
    <row r="568" spans="10:12" x14ac:dyDescent="0.3">
      <c r="J568" s="1"/>
      <c r="K568" s="1"/>
      <c r="L568" s="51"/>
    </row>
    <row r="569" spans="10:12" x14ac:dyDescent="0.3">
      <c r="J569" s="1"/>
      <c r="K569" s="1"/>
      <c r="L569" s="51"/>
    </row>
    <row r="570" spans="10:12" x14ac:dyDescent="0.3">
      <c r="J570" s="1"/>
      <c r="K570" s="1"/>
      <c r="L570" s="51"/>
    </row>
    <row r="571" spans="10:12" x14ac:dyDescent="0.3">
      <c r="J571" s="1"/>
      <c r="K571" s="1"/>
      <c r="L571" s="51"/>
    </row>
    <row r="572" spans="10:12" x14ac:dyDescent="0.3">
      <c r="J572" s="1"/>
      <c r="K572" s="1"/>
      <c r="L572" s="51"/>
    </row>
    <row r="573" spans="10:12" x14ac:dyDescent="0.3">
      <c r="J573" s="1"/>
      <c r="K573" s="1"/>
      <c r="L573" s="51"/>
    </row>
    <row r="574" spans="10:12" x14ac:dyDescent="0.3">
      <c r="J574" s="1"/>
      <c r="K574" s="1"/>
      <c r="L574" s="51"/>
    </row>
    <row r="575" spans="10:12" x14ac:dyDescent="0.3">
      <c r="J575" s="1"/>
      <c r="K575" s="1"/>
      <c r="L575" s="51"/>
    </row>
    <row r="576" spans="10:12" x14ac:dyDescent="0.3">
      <c r="J576" s="1"/>
      <c r="K576" s="1"/>
      <c r="L576" s="51"/>
    </row>
    <row r="577" spans="10:12" x14ac:dyDescent="0.3">
      <c r="J577" s="1"/>
      <c r="K577" s="1"/>
      <c r="L577" s="51"/>
    </row>
    <row r="578" spans="10:12" x14ac:dyDescent="0.3">
      <c r="J578" s="1"/>
      <c r="K578" s="1"/>
      <c r="L578" s="51"/>
    </row>
    <row r="579" spans="10:12" x14ac:dyDescent="0.3">
      <c r="J579" s="1"/>
      <c r="K579" s="1"/>
      <c r="L579" s="51"/>
    </row>
    <row r="580" spans="10:12" x14ac:dyDescent="0.3">
      <c r="J580" s="1"/>
      <c r="K580" s="1"/>
      <c r="L580" s="51"/>
    </row>
    <row r="581" spans="10:12" x14ac:dyDescent="0.3">
      <c r="J581" s="1"/>
      <c r="K581" s="1"/>
      <c r="L581" s="51"/>
    </row>
    <row r="582" spans="10:12" x14ac:dyDescent="0.3">
      <c r="J582" s="1"/>
      <c r="K582" s="1"/>
      <c r="L582" s="51"/>
    </row>
    <row r="583" spans="10:12" x14ac:dyDescent="0.3">
      <c r="J583" s="1"/>
      <c r="K583" s="1"/>
      <c r="L583" s="51"/>
    </row>
    <row r="584" spans="10:12" x14ac:dyDescent="0.3">
      <c r="J584" s="1"/>
      <c r="K584" s="1"/>
      <c r="L584" s="51"/>
    </row>
    <row r="585" spans="10:12" x14ac:dyDescent="0.3">
      <c r="J585" s="1"/>
      <c r="K585" s="1"/>
      <c r="L585" s="51"/>
    </row>
    <row r="586" spans="10:12" x14ac:dyDescent="0.3">
      <c r="J586" s="1"/>
      <c r="K586" s="1"/>
      <c r="L586" s="51"/>
    </row>
    <row r="587" spans="10:12" x14ac:dyDescent="0.3">
      <c r="J587" s="1"/>
      <c r="K587" s="1"/>
      <c r="L587" s="51"/>
    </row>
    <row r="588" spans="10:12" x14ac:dyDescent="0.3">
      <c r="J588" s="1"/>
      <c r="K588" s="1"/>
      <c r="L588" s="51"/>
    </row>
    <row r="589" spans="10:12" x14ac:dyDescent="0.3">
      <c r="J589" s="1"/>
      <c r="K589" s="1"/>
      <c r="L589" s="51"/>
    </row>
    <row r="590" spans="10:12" x14ac:dyDescent="0.3">
      <c r="J590" s="1"/>
      <c r="K590" s="1"/>
      <c r="L590" s="51"/>
    </row>
    <row r="591" spans="10:12" x14ac:dyDescent="0.3">
      <c r="J591" s="1"/>
      <c r="K591" s="1"/>
      <c r="L591" s="51"/>
    </row>
    <row r="592" spans="10:12" x14ac:dyDescent="0.3">
      <c r="J592" s="1"/>
      <c r="K592" s="1"/>
      <c r="L592" s="51"/>
    </row>
    <row r="593" spans="10:12" x14ac:dyDescent="0.3">
      <c r="J593" s="1"/>
      <c r="K593" s="1"/>
      <c r="L593" s="51"/>
    </row>
    <row r="594" spans="10:12" x14ac:dyDescent="0.3">
      <c r="J594" s="1"/>
      <c r="K594" s="1"/>
      <c r="L594" s="51"/>
    </row>
    <row r="595" spans="10:12" x14ac:dyDescent="0.3">
      <c r="J595" s="1"/>
      <c r="K595" s="1"/>
      <c r="L595" s="51"/>
    </row>
    <row r="596" spans="10:12" x14ac:dyDescent="0.3">
      <c r="J596" s="1"/>
      <c r="K596" s="1"/>
      <c r="L596" s="51"/>
    </row>
    <row r="597" spans="10:12" x14ac:dyDescent="0.3">
      <c r="J597" s="1"/>
      <c r="K597" s="1"/>
      <c r="L597" s="51"/>
    </row>
    <row r="598" spans="10:12" x14ac:dyDescent="0.3">
      <c r="J598" s="1"/>
      <c r="K598" s="1"/>
      <c r="L598" s="51"/>
    </row>
    <row r="599" spans="10:12" x14ac:dyDescent="0.3">
      <c r="J599" s="1"/>
      <c r="K599" s="1"/>
      <c r="L599" s="51"/>
    </row>
    <row r="600" spans="10:12" x14ac:dyDescent="0.3">
      <c r="J600" s="1"/>
      <c r="K600" s="1"/>
      <c r="L600" s="51"/>
    </row>
    <row r="601" spans="10:12" x14ac:dyDescent="0.3">
      <c r="J601" s="1"/>
      <c r="K601" s="1"/>
      <c r="L601" s="51"/>
    </row>
    <row r="602" spans="10:12" x14ac:dyDescent="0.3">
      <c r="J602" s="1"/>
      <c r="K602" s="1"/>
      <c r="L602" s="51"/>
    </row>
    <row r="603" spans="10:12" x14ac:dyDescent="0.3">
      <c r="J603" s="1"/>
      <c r="K603" s="1"/>
      <c r="L603" s="51"/>
    </row>
    <row r="604" spans="10:12" x14ac:dyDescent="0.3">
      <c r="J604" s="1"/>
      <c r="K604" s="1"/>
      <c r="L604" s="51"/>
    </row>
    <row r="605" spans="10:12" x14ac:dyDescent="0.3">
      <c r="J605" s="1"/>
      <c r="K605" s="1"/>
      <c r="L605" s="51"/>
    </row>
    <row r="606" spans="10:12" x14ac:dyDescent="0.3">
      <c r="J606" s="1"/>
      <c r="K606" s="1"/>
      <c r="L606" s="51"/>
    </row>
    <row r="607" spans="10:12" x14ac:dyDescent="0.3">
      <c r="J607" s="1"/>
      <c r="K607" s="1"/>
      <c r="L607" s="51"/>
    </row>
    <row r="608" spans="10:12" x14ac:dyDescent="0.3">
      <c r="J608" s="1"/>
      <c r="K608" s="1"/>
      <c r="L608" s="51"/>
    </row>
    <row r="609" spans="10:12" x14ac:dyDescent="0.3">
      <c r="J609" s="1"/>
      <c r="K609" s="1"/>
      <c r="L609" s="51"/>
    </row>
    <row r="610" spans="10:12" x14ac:dyDescent="0.3">
      <c r="J610" s="1"/>
      <c r="K610" s="1"/>
      <c r="L610" s="51"/>
    </row>
    <row r="611" spans="10:12" x14ac:dyDescent="0.3">
      <c r="J611" s="1"/>
      <c r="K611" s="1"/>
      <c r="L611" s="51"/>
    </row>
    <row r="612" spans="10:12" x14ac:dyDescent="0.3">
      <c r="J612" s="1"/>
      <c r="K612" s="1"/>
      <c r="L612" s="51"/>
    </row>
    <row r="613" spans="10:12" x14ac:dyDescent="0.3">
      <c r="J613" s="1"/>
      <c r="K613" s="1"/>
      <c r="L613" s="51"/>
    </row>
    <row r="614" spans="10:12" x14ac:dyDescent="0.3">
      <c r="J614" s="1"/>
      <c r="K614" s="1"/>
      <c r="L614" s="51"/>
    </row>
    <row r="615" spans="10:12" x14ac:dyDescent="0.3">
      <c r="J615" s="1"/>
      <c r="K615" s="1"/>
      <c r="L615" s="51"/>
    </row>
    <row r="616" spans="10:12" x14ac:dyDescent="0.3">
      <c r="J616" s="1"/>
      <c r="K616" s="1"/>
      <c r="L616" s="51"/>
    </row>
    <row r="617" spans="10:12" x14ac:dyDescent="0.3">
      <c r="J617" s="1"/>
      <c r="K617" s="1"/>
      <c r="L617" s="51"/>
    </row>
    <row r="618" spans="10:12" x14ac:dyDescent="0.3">
      <c r="J618" s="1"/>
      <c r="K618" s="1"/>
      <c r="L618" s="51"/>
    </row>
    <row r="619" spans="10:12" x14ac:dyDescent="0.3">
      <c r="J619" s="1"/>
      <c r="K619" s="1"/>
      <c r="L619" s="51"/>
    </row>
    <row r="620" spans="10:12" x14ac:dyDescent="0.3">
      <c r="J620" s="1"/>
      <c r="K620" s="1"/>
      <c r="L620" s="51"/>
    </row>
    <row r="621" spans="10:12" x14ac:dyDescent="0.3">
      <c r="J621" s="1"/>
      <c r="K621" s="1"/>
      <c r="L621" s="51"/>
    </row>
    <row r="622" spans="10:12" x14ac:dyDescent="0.3">
      <c r="J622" s="1"/>
      <c r="K622" s="1"/>
      <c r="L622" s="51"/>
    </row>
    <row r="623" spans="10:12" x14ac:dyDescent="0.3">
      <c r="J623" s="1"/>
      <c r="K623" s="1"/>
      <c r="L623" s="51"/>
    </row>
    <row r="624" spans="10:12" x14ac:dyDescent="0.3">
      <c r="J624" s="1"/>
      <c r="K624" s="1"/>
      <c r="L624" s="51"/>
    </row>
    <row r="625" spans="10:12" x14ac:dyDescent="0.3">
      <c r="J625" s="1"/>
      <c r="K625" s="1"/>
      <c r="L625" s="51"/>
    </row>
    <row r="626" spans="10:12" x14ac:dyDescent="0.3">
      <c r="J626" s="1"/>
      <c r="K626" s="1"/>
      <c r="L626" s="51"/>
    </row>
    <row r="627" spans="10:12" x14ac:dyDescent="0.3">
      <c r="J627" s="1"/>
      <c r="K627" s="1"/>
      <c r="L627" s="51"/>
    </row>
    <row r="628" spans="10:12" x14ac:dyDescent="0.3">
      <c r="J628" s="1"/>
      <c r="K628" s="1"/>
      <c r="L628" s="51"/>
    </row>
    <row r="629" spans="10:12" x14ac:dyDescent="0.3">
      <c r="J629" s="1"/>
      <c r="K629" s="1"/>
      <c r="L629" s="51"/>
    </row>
    <row r="630" spans="10:12" x14ac:dyDescent="0.3">
      <c r="J630" s="1"/>
      <c r="K630" s="1"/>
      <c r="L630" s="51"/>
    </row>
    <row r="631" spans="10:12" x14ac:dyDescent="0.3">
      <c r="J631" s="1"/>
      <c r="K631" s="1"/>
      <c r="L631" s="51"/>
    </row>
    <row r="632" spans="10:12" x14ac:dyDescent="0.3">
      <c r="J632" s="1"/>
      <c r="K632" s="1"/>
      <c r="L632" s="51"/>
    </row>
    <row r="633" spans="10:12" x14ac:dyDescent="0.3">
      <c r="J633" s="1"/>
      <c r="K633" s="1"/>
      <c r="L633" s="51"/>
    </row>
    <row r="634" spans="10:12" x14ac:dyDescent="0.3">
      <c r="J634" s="1"/>
      <c r="K634" s="1"/>
      <c r="L634" s="51"/>
    </row>
    <row r="635" spans="10:12" x14ac:dyDescent="0.3">
      <c r="J635" s="1"/>
      <c r="K635" s="1"/>
      <c r="L635" s="51"/>
    </row>
    <row r="636" spans="10:12" x14ac:dyDescent="0.3">
      <c r="J636" s="1"/>
      <c r="K636" s="1"/>
      <c r="L636" s="51"/>
    </row>
    <row r="637" spans="10:12" x14ac:dyDescent="0.3">
      <c r="J637" s="1"/>
      <c r="K637" s="1"/>
      <c r="L637" s="51"/>
    </row>
    <row r="638" spans="10:12" x14ac:dyDescent="0.3">
      <c r="J638" s="1"/>
      <c r="K638" s="1"/>
      <c r="L638" s="51"/>
    </row>
    <row r="639" spans="10:12" x14ac:dyDescent="0.3">
      <c r="J639" s="1"/>
      <c r="K639" s="1"/>
      <c r="L639" s="51"/>
    </row>
    <row r="640" spans="10:12" x14ac:dyDescent="0.3">
      <c r="J640" s="1"/>
      <c r="K640" s="1"/>
      <c r="L640" s="51"/>
    </row>
    <row r="641" spans="10:12" x14ac:dyDescent="0.3">
      <c r="J641" s="1"/>
      <c r="K641" s="1"/>
      <c r="L641" s="51"/>
    </row>
    <row r="642" spans="10:12" x14ac:dyDescent="0.3">
      <c r="J642" s="1"/>
      <c r="K642" s="1"/>
      <c r="L642" s="51"/>
    </row>
    <row r="643" spans="10:12" x14ac:dyDescent="0.3">
      <c r="J643" s="1"/>
      <c r="K643" s="1"/>
      <c r="L643" s="51"/>
    </row>
    <row r="644" spans="10:12" x14ac:dyDescent="0.3">
      <c r="J644" s="1"/>
      <c r="K644" s="1"/>
      <c r="L644" s="51"/>
    </row>
    <row r="645" spans="10:12" x14ac:dyDescent="0.3">
      <c r="J645" s="1"/>
      <c r="K645" s="1"/>
      <c r="L645" s="51"/>
    </row>
    <row r="646" spans="10:12" x14ac:dyDescent="0.3">
      <c r="J646" s="1"/>
      <c r="K646" s="1"/>
      <c r="L646" s="51"/>
    </row>
    <row r="647" spans="10:12" x14ac:dyDescent="0.3">
      <c r="J647" s="1"/>
      <c r="K647" s="1"/>
      <c r="L647" s="51"/>
    </row>
    <row r="648" spans="10:12" x14ac:dyDescent="0.3">
      <c r="J648" s="1"/>
      <c r="K648" s="1"/>
      <c r="L648" s="51"/>
    </row>
    <row r="649" spans="10:12" x14ac:dyDescent="0.3">
      <c r="J649" s="1"/>
      <c r="K649" s="1"/>
      <c r="L649" s="51"/>
    </row>
    <row r="650" spans="10:12" x14ac:dyDescent="0.3">
      <c r="J650" s="1"/>
      <c r="K650" s="1"/>
      <c r="L650" s="51"/>
    </row>
    <row r="651" spans="10:12" x14ac:dyDescent="0.3">
      <c r="J651" s="1"/>
      <c r="K651" s="1"/>
      <c r="L651" s="51"/>
    </row>
    <row r="652" spans="10:12" x14ac:dyDescent="0.3">
      <c r="J652" s="1"/>
      <c r="K652" s="1"/>
      <c r="L652" s="51"/>
    </row>
    <row r="653" spans="10:12" x14ac:dyDescent="0.3">
      <c r="J653" s="1"/>
      <c r="K653" s="1"/>
      <c r="L653" s="51"/>
    </row>
    <row r="654" spans="10:12" x14ac:dyDescent="0.3">
      <c r="J654" s="1"/>
      <c r="K654" s="1"/>
      <c r="L654" s="51"/>
    </row>
    <row r="655" spans="10:12" x14ac:dyDescent="0.3">
      <c r="J655" s="1"/>
      <c r="K655" s="1"/>
      <c r="L655" s="51"/>
    </row>
    <row r="656" spans="10:12" x14ac:dyDescent="0.3">
      <c r="J656" s="1"/>
      <c r="K656" s="1"/>
      <c r="L656" s="51"/>
    </row>
    <row r="657" spans="10:12" x14ac:dyDescent="0.3">
      <c r="J657" s="1"/>
      <c r="K657" s="1"/>
      <c r="L657" s="51"/>
    </row>
    <row r="658" spans="10:12" x14ac:dyDescent="0.3">
      <c r="J658" s="1"/>
      <c r="K658" s="1"/>
      <c r="L658" s="51"/>
    </row>
    <row r="659" spans="10:12" x14ac:dyDescent="0.3">
      <c r="J659" s="1"/>
      <c r="K659" s="1"/>
      <c r="L659" s="51"/>
    </row>
    <row r="660" spans="10:12" x14ac:dyDescent="0.3">
      <c r="J660" s="1"/>
      <c r="K660" s="1"/>
      <c r="L660" s="51"/>
    </row>
    <row r="661" spans="10:12" x14ac:dyDescent="0.3">
      <c r="J661" s="1"/>
      <c r="K661" s="1"/>
      <c r="L661" s="51"/>
    </row>
    <row r="662" spans="10:12" x14ac:dyDescent="0.3">
      <c r="J662" s="1"/>
      <c r="K662" s="1"/>
      <c r="L662" s="51"/>
    </row>
    <row r="663" spans="10:12" x14ac:dyDescent="0.3">
      <c r="J663" s="1"/>
      <c r="K663" s="1"/>
      <c r="L663" s="51"/>
    </row>
    <row r="664" spans="10:12" x14ac:dyDescent="0.3">
      <c r="J664" s="1"/>
      <c r="K664" s="1"/>
      <c r="L664" s="51"/>
    </row>
    <row r="665" spans="10:12" x14ac:dyDescent="0.3">
      <c r="J665" s="1"/>
      <c r="K665" s="1"/>
      <c r="L665" s="51"/>
    </row>
    <row r="666" spans="10:12" x14ac:dyDescent="0.3">
      <c r="J666" s="1"/>
      <c r="K666" s="1"/>
      <c r="L666" s="51"/>
    </row>
    <row r="667" spans="10:12" x14ac:dyDescent="0.3">
      <c r="J667" s="1"/>
      <c r="K667" s="1"/>
      <c r="L667" s="51"/>
    </row>
    <row r="668" spans="10:12" x14ac:dyDescent="0.3">
      <c r="J668" s="1"/>
      <c r="K668" s="1"/>
      <c r="L668" s="51"/>
    </row>
    <row r="669" spans="10:12" x14ac:dyDescent="0.3">
      <c r="J669" s="1"/>
      <c r="K669" s="1"/>
      <c r="L669" s="51"/>
    </row>
    <row r="670" spans="10:12" x14ac:dyDescent="0.3">
      <c r="J670" s="1"/>
      <c r="K670" s="1"/>
      <c r="L670" s="51"/>
    </row>
    <row r="671" spans="10:12" x14ac:dyDescent="0.3">
      <c r="J671" s="1"/>
      <c r="K671" s="1"/>
      <c r="L671" s="51"/>
    </row>
    <row r="672" spans="10:12" x14ac:dyDescent="0.3">
      <c r="J672" s="1"/>
      <c r="K672" s="1"/>
      <c r="L672" s="51"/>
    </row>
    <row r="673" spans="10:12" x14ac:dyDescent="0.3">
      <c r="J673" s="1"/>
      <c r="K673" s="1"/>
      <c r="L673" s="51"/>
    </row>
    <row r="674" spans="10:12" x14ac:dyDescent="0.3">
      <c r="J674" s="1"/>
      <c r="K674" s="1"/>
      <c r="L674" s="51"/>
    </row>
    <row r="675" spans="10:12" x14ac:dyDescent="0.3">
      <c r="J675" s="1"/>
      <c r="K675" s="1"/>
      <c r="L675" s="51"/>
    </row>
    <row r="676" spans="10:12" x14ac:dyDescent="0.3">
      <c r="J676" s="1"/>
      <c r="K676" s="1"/>
      <c r="L676" s="51"/>
    </row>
    <row r="677" spans="10:12" x14ac:dyDescent="0.3">
      <c r="J677" s="1"/>
      <c r="K677" s="1"/>
      <c r="L677" s="51"/>
    </row>
    <row r="678" spans="10:12" x14ac:dyDescent="0.3">
      <c r="J678" s="1"/>
      <c r="K678" s="1"/>
      <c r="L678" s="51"/>
    </row>
    <row r="679" spans="10:12" x14ac:dyDescent="0.3">
      <c r="J679" s="1"/>
      <c r="K679" s="1"/>
      <c r="L679" s="51"/>
    </row>
    <row r="680" spans="10:12" x14ac:dyDescent="0.3">
      <c r="J680" s="1"/>
      <c r="K680" s="1"/>
      <c r="L680" s="51"/>
    </row>
    <row r="681" spans="10:12" x14ac:dyDescent="0.3">
      <c r="J681" s="1"/>
      <c r="K681" s="1"/>
      <c r="L681" s="51"/>
    </row>
    <row r="682" spans="10:12" x14ac:dyDescent="0.3">
      <c r="J682" s="1"/>
      <c r="K682" s="1"/>
      <c r="L682" s="51"/>
    </row>
    <row r="683" spans="10:12" x14ac:dyDescent="0.3">
      <c r="J683" s="1"/>
      <c r="K683" s="1"/>
      <c r="L683" s="51"/>
    </row>
    <row r="684" spans="10:12" x14ac:dyDescent="0.3">
      <c r="J684" s="1"/>
      <c r="K684" s="1"/>
      <c r="L684" s="51"/>
    </row>
    <row r="685" spans="10:12" x14ac:dyDescent="0.3">
      <c r="J685" s="1"/>
      <c r="K685" s="1"/>
      <c r="L685" s="51"/>
    </row>
    <row r="686" spans="10:12" x14ac:dyDescent="0.3">
      <c r="J686" s="1"/>
      <c r="K686" s="1"/>
      <c r="L686" s="51"/>
    </row>
    <row r="687" spans="10:12" x14ac:dyDescent="0.3">
      <c r="J687" s="1"/>
      <c r="K687" s="1"/>
      <c r="L687" s="51"/>
    </row>
    <row r="688" spans="10:12" x14ac:dyDescent="0.3">
      <c r="J688" s="1"/>
      <c r="K688" s="1"/>
      <c r="L688" s="51"/>
    </row>
    <row r="689" spans="10:12" x14ac:dyDescent="0.3">
      <c r="J689" s="1"/>
      <c r="K689" s="1"/>
      <c r="L689" s="51"/>
    </row>
    <row r="690" spans="10:12" x14ac:dyDescent="0.3">
      <c r="J690" s="1"/>
      <c r="K690" s="1"/>
      <c r="L690" s="51"/>
    </row>
    <row r="691" spans="10:12" x14ac:dyDescent="0.3">
      <c r="J691" s="1"/>
      <c r="K691" s="1"/>
      <c r="L691" s="51"/>
    </row>
    <row r="692" spans="10:12" x14ac:dyDescent="0.3">
      <c r="J692" s="1"/>
      <c r="K692" s="1"/>
      <c r="L692" s="51"/>
    </row>
    <row r="693" spans="10:12" x14ac:dyDescent="0.3">
      <c r="J693" s="1"/>
      <c r="K693" s="1"/>
      <c r="L693" s="51"/>
    </row>
    <row r="694" spans="10:12" x14ac:dyDescent="0.3">
      <c r="J694" s="1"/>
      <c r="K694" s="1"/>
      <c r="L694" s="51"/>
    </row>
    <row r="695" spans="10:12" x14ac:dyDescent="0.3">
      <c r="J695" s="1"/>
      <c r="K695" s="1"/>
      <c r="L695" s="51"/>
    </row>
    <row r="696" spans="10:12" x14ac:dyDescent="0.3">
      <c r="J696" s="1"/>
      <c r="K696" s="1"/>
      <c r="L696" s="51"/>
    </row>
    <row r="697" spans="10:12" x14ac:dyDescent="0.3">
      <c r="J697" s="1"/>
      <c r="K697" s="1"/>
      <c r="L697" s="51"/>
    </row>
    <row r="698" spans="10:12" x14ac:dyDescent="0.3">
      <c r="J698" s="1"/>
      <c r="K698" s="1"/>
      <c r="L698" s="51"/>
    </row>
    <row r="699" spans="10:12" x14ac:dyDescent="0.3">
      <c r="J699" s="1"/>
      <c r="K699" s="1"/>
      <c r="L699" s="51"/>
    </row>
    <row r="700" spans="10:12" x14ac:dyDescent="0.3">
      <c r="J700" s="1"/>
      <c r="K700" s="1"/>
      <c r="L700" s="51"/>
    </row>
    <row r="701" spans="10:12" x14ac:dyDescent="0.3">
      <c r="J701" s="1"/>
      <c r="K701" s="1"/>
      <c r="L701" s="51"/>
    </row>
    <row r="702" spans="10:12" x14ac:dyDescent="0.3">
      <c r="J702" s="1"/>
      <c r="K702" s="1"/>
      <c r="L702" s="51"/>
    </row>
    <row r="703" spans="10:12" x14ac:dyDescent="0.3">
      <c r="J703" s="1"/>
      <c r="K703" s="1"/>
      <c r="L703" s="51"/>
    </row>
    <row r="704" spans="10:12" x14ac:dyDescent="0.3">
      <c r="J704" s="1"/>
      <c r="K704" s="1"/>
      <c r="L704" s="51"/>
    </row>
    <row r="705" spans="10:12" x14ac:dyDescent="0.3">
      <c r="J705" s="1"/>
      <c r="K705" s="1"/>
      <c r="L705" s="51"/>
    </row>
    <row r="706" spans="10:12" x14ac:dyDescent="0.3">
      <c r="J706" s="1"/>
      <c r="K706" s="1"/>
      <c r="L706" s="51"/>
    </row>
    <row r="707" spans="10:12" x14ac:dyDescent="0.3">
      <c r="J707" s="1"/>
      <c r="K707" s="1"/>
      <c r="L707" s="51"/>
    </row>
    <row r="708" spans="10:12" x14ac:dyDescent="0.3">
      <c r="J708" s="1"/>
      <c r="K708" s="1"/>
      <c r="L708" s="51"/>
    </row>
    <row r="709" spans="10:12" x14ac:dyDescent="0.3">
      <c r="J709" s="1"/>
      <c r="K709" s="1"/>
      <c r="L709" s="51"/>
    </row>
    <row r="710" spans="10:12" x14ac:dyDescent="0.3">
      <c r="J710" s="1"/>
      <c r="K710" s="1"/>
      <c r="L710" s="51"/>
    </row>
    <row r="711" spans="10:12" x14ac:dyDescent="0.3">
      <c r="J711" s="1"/>
      <c r="K711" s="1"/>
      <c r="L711" s="51"/>
    </row>
    <row r="712" spans="10:12" x14ac:dyDescent="0.3">
      <c r="J712" s="1"/>
      <c r="K712" s="1"/>
      <c r="L712" s="51"/>
    </row>
    <row r="713" spans="10:12" x14ac:dyDescent="0.3">
      <c r="J713" s="1"/>
      <c r="K713" s="1"/>
      <c r="L713" s="51"/>
    </row>
    <row r="714" spans="10:12" x14ac:dyDescent="0.3">
      <c r="J714" s="1"/>
      <c r="K714" s="1"/>
      <c r="L714" s="51"/>
    </row>
    <row r="715" spans="10:12" x14ac:dyDescent="0.3">
      <c r="J715" s="1"/>
      <c r="K715" s="1"/>
      <c r="L715" s="51"/>
    </row>
    <row r="716" spans="10:12" x14ac:dyDescent="0.3">
      <c r="J716" s="1"/>
      <c r="K716" s="1"/>
      <c r="L716" s="51"/>
    </row>
    <row r="717" spans="10:12" x14ac:dyDescent="0.3">
      <c r="J717" s="1"/>
      <c r="K717" s="1"/>
      <c r="L717" s="51"/>
    </row>
    <row r="718" spans="10:12" x14ac:dyDescent="0.3">
      <c r="J718" s="1"/>
      <c r="K718" s="1"/>
      <c r="L718" s="51"/>
    </row>
    <row r="719" spans="10:12" x14ac:dyDescent="0.3">
      <c r="J719" s="1"/>
      <c r="K719" s="1"/>
      <c r="L719" s="51"/>
    </row>
    <row r="720" spans="10:12" x14ac:dyDescent="0.3">
      <c r="J720" s="1"/>
      <c r="K720" s="1"/>
      <c r="L720" s="51"/>
    </row>
    <row r="721" spans="10:12" x14ac:dyDescent="0.3">
      <c r="J721" s="1"/>
      <c r="K721" s="1"/>
      <c r="L721" s="51"/>
    </row>
    <row r="722" spans="10:12" x14ac:dyDescent="0.3">
      <c r="J722" s="1"/>
      <c r="K722" s="1"/>
      <c r="L722" s="51"/>
    </row>
    <row r="723" spans="10:12" x14ac:dyDescent="0.3">
      <c r="J723" s="1"/>
      <c r="K723" s="1"/>
      <c r="L723" s="51"/>
    </row>
    <row r="724" spans="10:12" x14ac:dyDescent="0.3">
      <c r="J724" s="1"/>
      <c r="K724" s="1"/>
      <c r="L724" s="51"/>
    </row>
    <row r="725" spans="10:12" x14ac:dyDescent="0.3">
      <c r="J725" s="1"/>
      <c r="K725" s="1"/>
      <c r="L725" s="51"/>
    </row>
    <row r="726" spans="10:12" x14ac:dyDescent="0.3">
      <c r="J726" s="1"/>
      <c r="K726" s="1"/>
      <c r="L726" s="51"/>
    </row>
    <row r="727" spans="10:12" x14ac:dyDescent="0.3">
      <c r="J727" s="1"/>
      <c r="K727" s="1"/>
      <c r="L727" s="51"/>
    </row>
    <row r="728" spans="10:12" x14ac:dyDescent="0.3">
      <c r="J728" s="1"/>
      <c r="K728" s="1"/>
      <c r="L728" s="51"/>
    </row>
    <row r="729" spans="10:12" x14ac:dyDescent="0.3">
      <c r="J729" s="1"/>
      <c r="K729" s="1"/>
      <c r="L729" s="51"/>
    </row>
    <row r="730" spans="10:12" x14ac:dyDescent="0.3">
      <c r="J730" s="1"/>
      <c r="K730" s="1"/>
      <c r="L730" s="51"/>
    </row>
    <row r="731" spans="10:12" x14ac:dyDescent="0.3">
      <c r="J731" s="1"/>
      <c r="K731" s="1"/>
      <c r="L731" s="51"/>
    </row>
    <row r="732" spans="10:12" x14ac:dyDescent="0.3">
      <c r="J732" s="1"/>
      <c r="K732" s="1"/>
      <c r="L732" s="51"/>
    </row>
    <row r="733" spans="10:12" x14ac:dyDescent="0.3">
      <c r="J733" s="1"/>
      <c r="K733" s="1"/>
      <c r="L733" s="51"/>
    </row>
    <row r="734" spans="10:12" x14ac:dyDescent="0.3">
      <c r="J734" s="1"/>
      <c r="K734" s="1"/>
      <c r="L734" s="51"/>
    </row>
    <row r="735" spans="10:12" x14ac:dyDescent="0.3">
      <c r="J735" s="1"/>
      <c r="K735" s="1"/>
      <c r="L735" s="51"/>
    </row>
    <row r="736" spans="10:12" x14ac:dyDescent="0.3">
      <c r="J736" s="1"/>
      <c r="K736" s="1"/>
      <c r="L736" s="51"/>
    </row>
    <row r="737" spans="10:12" x14ac:dyDescent="0.3">
      <c r="J737" s="1"/>
      <c r="K737" s="1"/>
      <c r="L737" s="51"/>
    </row>
    <row r="738" spans="10:12" x14ac:dyDescent="0.3">
      <c r="J738" s="1"/>
      <c r="K738" s="1"/>
      <c r="L738" s="51"/>
    </row>
    <row r="739" spans="10:12" x14ac:dyDescent="0.3">
      <c r="J739" s="1"/>
      <c r="K739" s="1"/>
      <c r="L739" s="51"/>
    </row>
    <row r="740" spans="10:12" x14ac:dyDescent="0.3">
      <c r="J740" s="1"/>
      <c r="K740" s="1"/>
      <c r="L740" s="51"/>
    </row>
    <row r="741" spans="10:12" x14ac:dyDescent="0.3">
      <c r="J741" s="1"/>
      <c r="K741" s="1"/>
      <c r="L741" s="51"/>
    </row>
    <row r="742" spans="10:12" x14ac:dyDescent="0.3">
      <c r="J742" s="1"/>
      <c r="K742" s="1"/>
      <c r="L742" s="51"/>
    </row>
    <row r="743" spans="10:12" x14ac:dyDescent="0.3">
      <c r="J743" s="1"/>
      <c r="K743" s="1"/>
      <c r="L743" s="51"/>
    </row>
    <row r="744" spans="10:12" x14ac:dyDescent="0.3">
      <c r="J744" s="1"/>
      <c r="K744" s="1"/>
      <c r="L744" s="51"/>
    </row>
    <row r="745" spans="10:12" x14ac:dyDescent="0.3">
      <c r="J745" s="1"/>
      <c r="K745" s="1"/>
      <c r="L745" s="51"/>
    </row>
    <row r="746" spans="10:12" x14ac:dyDescent="0.3">
      <c r="J746" s="1"/>
      <c r="K746" s="1"/>
      <c r="L746" s="51"/>
    </row>
    <row r="747" spans="10:12" x14ac:dyDescent="0.3">
      <c r="J747" s="1"/>
      <c r="K747" s="1"/>
      <c r="L747" s="51"/>
    </row>
    <row r="748" spans="10:12" x14ac:dyDescent="0.3">
      <c r="J748" s="1"/>
      <c r="K748" s="1"/>
      <c r="L748" s="51"/>
    </row>
    <row r="749" spans="10:12" x14ac:dyDescent="0.3">
      <c r="J749" s="1"/>
      <c r="K749" s="1"/>
      <c r="L749" s="51"/>
    </row>
    <row r="750" spans="10:12" x14ac:dyDescent="0.3">
      <c r="J750" s="1"/>
      <c r="K750" s="1"/>
      <c r="L750" s="51"/>
    </row>
    <row r="751" spans="10:12" x14ac:dyDescent="0.3">
      <c r="J751" s="1"/>
      <c r="K751" s="1"/>
      <c r="L751" s="51"/>
    </row>
    <row r="752" spans="10:12" x14ac:dyDescent="0.3">
      <c r="J752" s="1"/>
      <c r="K752" s="1"/>
      <c r="L752" s="51"/>
    </row>
    <row r="753" spans="10:12" x14ac:dyDescent="0.3">
      <c r="J753" s="1"/>
      <c r="K753" s="1"/>
      <c r="L753" s="51"/>
    </row>
    <row r="754" spans="10:12" x14ac:dyDescent="0.3">
      <c r="J754" s="1"/>
      <c r="K754" s="1"/>
      <c r="L754" s="51"/>
    </row>
    <row r="755" spans="10:12" x14ac:dyDescent="0.3">
      <c r="J755" s="1"/>
      <c r="K755" s="1"/>
      <c r="L755" s="51"/>
    </row>
    <row r="756" spans="10:12" x14ac:dyDescent="0.3">
      <c r="J756" s="1"/>
      <c r="K756" s="1"/>
      <c r="L756" s="51"/>
    </row>
    <row r="757" spans="10:12" x14ac:dyDescent="0.3">
      <c r="J757" s="1"/>
      <c r="K757" s="1"/>
      <c r="L757" s="51"/>
    </row>
    <row r="758" spans="10:12" x14ac:dyDescent="0.3">
      <c r="J758" s="1"/>
      <c r="K758" s="1"/>
      <c r="L758" s="51"/>
    </row>
    <row r="759" spans="10:12" x14ac:dyDescent="0.3">
      <c r="J759" s="1"/>
      <c r="K759" s="1"/>
      <c r="L759" s="51"/>
    </row>
    <row r="760" spans="10:12" x14ac:dyDescent="0.3">
      <c r="J760" s="1"/>
      <c r="K760" s="1"/>
      <c r="L760" s="51"/>
    </row>
    <row r="761" spans="10:12" x14ac:dyDescent="0.3">
      <c r="J761" s="1"/>
      <c r="K761" s="1"/>
      <c r="L761" s="51"/>
    </row>
    <row r="762" spans="10:12" x14ac:dyDescent="0.3">
      <c r="J762" s="1"/>
      <c r="K762" s="1"/>
      <c r="L762" s="51"/>
    </row>
    <row r="763" spans="10:12" x14ac:dyDescent="0.3">
      <c r="J763" s="1"/>
      <c r="K763" s="1"/>
      <c r="L763" s="51"/>
    </row>
    <row r="764" spans="10:12" x14ac:dyDescent="0.3">
      <c r="J764" s="1"/>
      <c r="K764" s="1"/>
      <c r="L764" s="51"/>
    </row>
    <row r="765" spans="10:12" x14ac:dyDescent="0.3">
      <c r="J765" s="1"/>
      <c r="K765" s="1"/>
      <c r="L765" s="51"/>
    </row>
    <row r="766" spans="10:12" x14ac:dyDescent="0.3">
      <c r="J766" s="1"/>
      <c r="K766" s="1"/>
      <c r="L766" s="51"/>
    </row>
    <row r="767" spans="10:12" x14ac:dyDescent="0.3">
      <c r="J767" s="1"/>
      <c r="K767" s="1"/>
      <c r="L767" s="51"/>
    </row>
    <row r="768" spans="10:12" x14ac:dyDescent="0.3">
      <c r="J768" s="1"/>
      <c r="K768" s="1"/>
      <c r="L768" s="51"/>
    </row>
    <row r="769" spans="10:12" x14ac:dyDescent="0.3">
      <c r="J769" s="1"/>
      <c r="K769" s="1"/>
      <c r="L769" s="51"/>
    </row>
    <row r="770" spans="10:12" x14ac:dyDescent="0.3">
      <c r="J770" s="1"/>
      <c r="K770" s="1"/>
      <c r="L770" s="51"/>
    </row>
    <row r="771" spans="10:12" x14ac:dyDescent="0.3">
      <c r="J771" s="1"/>
      <c r="K771" s="1"/>
      <c r="L771" s="51"/>
    </row>
    <row r="772" spans="10:12" x14ac:dyDescent="0.3">
      <c r="J772" s="1"/>
      <c r="K772" s="1"/>
      <c r="L772" s="51"/>
    </row>
    <row r="773" spans="10:12" x14ac:dyDescent="0.3">
      <c r="J773" s="1"/>
      <c r="K773" s="1"/>
      <c r="L773" s="51"/>
    </row>
    <row r="774" spans="10:12" x14ac:dyDescent="0.3">
      <c r="J774" s="1"/>
      <c r="K774" s="1"/>
      <c r="L774" s="51"/>
    </row>
    <row r="775" spans="10:12" x14ac:dyDescent="0.3">
      <c r="J775" s="1"/>
      <c r="K775" s="1"/>
      <c r="L775" s="51"/>
    </row>
    <row r="776" spans="10:12" x14ac:dyDescent="0.3">
      <c r="J776" s="1"/>
      <c r="K776" s="1"/>
      <c r="L776" s="51"/>
    </row>
    <row r="777" spans="10:12" x14ac:dyDescent="0.3">
      <c r="J777" s="1"/>
      <c r="K777" s="1"/>
      <c r="L777" s="51"/>
    </row>
    <row r="778" spans="10:12" x14ac:dyDescent="0.3">
      <c r="J778" s="1"/>
      <c r="K778" s="1"/>
      <c r="L778" s="51"/>
    </row>
    <row r="779" spans="10:12" x14ac:dyDescent="0.3">
      <c r="J779" s="1"/>
      <c r="K779" s="1"/>
      <c r="L779" s="51"/>
    </row>
    <row r="780" spans="10:12" x14ac:dyDescent="0.3">
      <c r="J780" s="1"/>
      <c r="K780" s="1"/>
      <c r="L780" s="51"/>
    </row>
    <row r="781" spans="10:12" x14ac:dyDescent="0.3">
      <c r="J781" s="1"/>
      <c r="K781" s="1"/>
      <c r="L781" s="51"/>
    </row>
    <row r="782" spans="10:12" x14ac:dyDescent="0.3">
      <c r="J782" s="1"/>
      <c r="K782" s="1"/>
      <c r="L782" s="51"/>
    </row>
    <row r="783" spans="10:12" x14ac:dyDescent="0.3">
      <c r="J783" s="1"/>
      <c r="K783" s="1"/>
      <c r="L783" s="51"/>
    </row>
    <row r="784" spans="10:12" x14ac:dyDescent="0.3">
      <c r="J784" s="1"/>
      <c r="K784" s="1"/>
      <c r="L784" s="51"/>
    </row>
    <row r="785" spans="10:12" x14ac:dyDescent="0.3">
      <c r="J785" s="1"/>
      <c r="K785" s="1"/>
      <c r="L785" s="51"/>
    </row>
    <row r="786" spans="10:12" x14ac:dyDescent="0.3">
      <c r="J786" s="1"/>
      <c r="K786" s="1"/>
      <c r="L786" s="51"/>
    </row>
    <row r="787" spans="10:12" x14ac:dyDescent="0.3">
      <c r="J787" s="1"/>
      <c r="K787" s="1"/>
      <c r="L787" s="51"/>
    </row>
    <row r="788" spans="10:12" x14ac:dyDescent="0.3">
      <c r="J788" s="1"/>
      <c r="K788" s="1"/>
      <c r="L788" s="51"/>
    </row>
    <row r="789" spans="10:12" x14ac:dyDescent="0.3">
      <c r="J789" s="1"/>
      <c r="K789" s="1"/>
      <c r="L789" s="51"/>
    </row>
    <row r="790" spans="10:12" x14ac:dyDescent="0.3">
      <c r="J790" s="1"/>
      <c r="K790" s="1"/>
      <c r="L790" s="51"/>
    </row>
    <row r="791" spans="10:12" x14ac:dyDescent="0.3">
      <c r="J791" s="1"/>
      <c r="K791" s="1"/>
      <c r="L791" s="51"/>
    </row>
    <row r="792" spans="10:12" x14ac:dyDescent="0.3">
      <c r="J792" s="1"/>
      <c r="K792" s="1"/>
      <c r="L792" s="51"/>
    </row>
    <row r="793" spans="10:12" x14ac:dyDescent="0.3">
      <c r="J793" s="1"/>
      <c r="K793" s="1"/>
      <c r="L793" s="51"/>
    </row>
    <row r="794" spans="10:12" x14ac:dyDescent="0.3">
      <c r="J794" s="1"/>
      <c r="K794" s="1"/>
      <c r="L794" s="51"/>
    </row>
    <row r="795" spans="10:12" x14ac:dyDescent="0.3">
      <c r="J795" s="1"/>
      <c r="K795" s="1"/>
      <c r="L795" s="51"/>
    </row>
    <row r="796" spans="10:12" x14ac:dyDescent="0.3">
      <c r="J796" s="1"/>
      <c r="K796" s="1"/>
      <c r="L796" s="51"/>
    </row>
    <row r="797" spans="10:12" x14ac:dyDescent="0.3">
      <c r="J797" s="1"/>
      <c r="K797" s="1"/>
      <c r="L797" s="51"/>
    </row>
    <row r="798" spans="10:12" x14ac:dyDescent="0.3">
      <c r="J798" s="1"/>
      <c r="K798" s="1"/>
      <c r="L798" s="51"/>
    </row>
    <row r="799" spans="10:12" x14ac:dyDescent="0.3">
      <c r="J799" s="1"/>
      <c r="K799" s="1"/>
      <c r="L799" s="51"/>
    </row>
    <row r="800" spans="10:12" x14ac:dyDescent="0.3">
      <c r="J800" s="1"/>
      <c r="K800" s="1"/>
      <c r="L800" s="51"/>
    </row>
    <row r="801" spans="10:12" x14ac:dyDescent="0.3">
      <c r="J801" s="1"/>
      <c r="K801" s="1"/>
      <c r="L801" s="51"/>
    </row>
    <row r="802" spans="10:12" x14ac:dyDescent="0.3">
      <c r="J802" s="1"/>
      <c r="K802" s="1"/>
      <c r="L802" s="51"/>
    </row>
    <row r="803" spans="10:12" x14ac:dyDescent="0.3">
      <c r="J803" s="1"/>
      <c r="K803" s="1"/>
      <c r="L803" s="51"/>
    </row>
    <row r="804" spans="10:12" x14ac:dyDescent="0.3">
      <c r="J804" s="1"/>
      <c r="K804" s="1"/>
      <c r="L804" s="51"/>
    </row>
    <row r="805" spans="10:12" x14ac:dyDescent="0.3">
      <c r="J805" s="1"/>
      <c r="K805" s="1"/>
      <c r="L805" s="51"/>
    </row>
    <row r="806" spans="10:12" x14ac:dyDescent="0.3">
      <c r="J806" s="1"/>
      <c r="K806" s="1"/>
      <c r="L806" s="51"/>
    </row>
    <row r="807" spans="10:12" x14ac:dyDescent="0.3">
      <c r="J807" s="1"/>
      <c r="K807" s="1"/>
      <c r="L807" s="51"/>
    </row>
    <row r="808" spans="10:12" x14ac:dyDescent="0.3">
      <c r="J808" s="1"/>
      <c r="K808" s="1"/>
      <c r="L808" s="51"/>
    </row>
    <row r="809" spans="10:12" x14ac:dyDescent="0.3">
      <c r="J809" s="1"/>
      <c r="K809" s="1"/>
      <c r="L809" s="51"/>
    </row>
    <row r="810" spans="10:12" x14ac:dyDescent="0.3">
      <c r="J810" s="1"/>
      <c r="K810" s="1"/>
      <c r="L810" s="51"/>
    </row>
    <row r="811" spans="10:12" x14ac:dyDescent="0.3">
      <c r="J811" s="1"/>
      <c r="K811" s="1"/>
      <c r="L811" s="51"/>
    </row>
    <row r="812" spans="10:12" x14ac:dyDescent="0.3">
      <c r="J812" s="1"/>
      <c r="K812" s="1"/>
      <c r="L812" s="51"/>
    </row>
    <row r="813" spans="10:12" x14ac:dyDescent="0.3">
      <c r="J813" s="1"/>
      <c r="K813" s="1"/>
      <c r="L813" s="51"/>
    </row>
    <row r="814" spans="10:12" x14ac:dyDescent="0.3">
      <c r="J814" s="1"/>
      <c r="K814" s="1"/>
      <c r="L814" s="51"/>
    </row>
    <row r="815" spans="10:12" x14ac:dyDescent="0.3">
      <c r="J815" s="1"/>
      <c r="K815" s="1"/>
      <c r="L815" s="51"/>
    </row>
    <row r="816" spans="10:12" x14ac:dyDescent="0.3">
      <c r="J816" s="1"/>
      <c r="K816" s="1"/>
      <c r="L816" s="51"/>
    </row>
    <row r="817" spans="10:12" x14ac:dyDescent="0.3">
      <c r="J817" s="1"/>
      <c r="K817" s="1"/>
      <c r="L817" s="51"/>
    </row>
    <row r="818" spans="10:12" x14ac:dyDescent="0.3">
      <c r="J818" s="1"/>
      <c r="K818" s="1"/>
      <c r="L818" s="51"/>
    </row>
    <row r="819" spans="10:12" x14ac:dyDescent="0.3">
      <c r="J819" s="1"/>
      <c r="K819" s="1"/>
      <c r="L819" s="51"/>
    </row>
    <row r="820" spans="10:12" x14ac:dyDescent="0.3">
      <c r="J820" s="1"/>
      <c r="K820" s="1"/>
      <c r="L820" s="51"/>
    </row>
    <row r="821" spans="10:12" x14ac:dyDescent="0.3">
      <c r="J821" s="1"/>
      <c r="K821" s="1"/>
      <c r="L821" s="51"/>
    </row>
    <row r="822" spans="10:12" x14ac:dyDescent="0.3">
      <c r="J822" s="1"/>
      <c r="K822" s="1"/>
      <c r="L822" s="51"/>
    </row>
    <row r="823" spans="10:12" x14ac:dyDescent="0.3">
      <c r="J823" s="1"/>
      <c r="K823" s="1"/>
      <c r="L823" s="51"/>
    </row>
    <row r="824" spans="10:12" x14ac:dyDescent="0.3">
      <c r="J824" s="1"/>
      <c r="K824" s="1"/>
      <c r="L824" s="51"/>
    </row>
    <row r="825" spans="10:12" x14ac:dyDescent="0.3">
      <c r="J825" s="1"/>
      <c r="K825" s="1"/>
      <c r="L825" s="51"/>
    </row>
    <row r="826" spans="10:12" x14ac:dyDescent="0.3">
      <c r="J826" s="1"/>
      <c r="K826" s="1"/>
      <c r="L826" s="51"/>
    </row>
    <row r="827" spans="10:12" x14ac:dyDescent="0.3">
      <c r="J827" s="1"/>
      <c r="K827" s="1"/>
      <c r="L827" s="51"/>
    </row>
    <row r="828" spans="10:12" x14ac:dyDescent="0.3">
      <c r="J828" s="1"/>
      <c r="K828" s="1"/>
      <c r="L828" s="51"/>
    </row>
    <row r="829" spans="10:12" x14ac:dyDescent="0.3">
      <c r="J829" s="1"/>
      <c r="K829" s="1"/>
      <c r="L829" s="51"/>
    </row>
    <row r="830" spans="10:12" x14ac:dyDescent="0.3">
      <c r="J830" s="1"/>
      <c r="K830" s="1"/>
      <c r="L830" s="51"/>
    </row>
    <row r="831" spans="10:12" x14ac:dyDescent="0.3">
      <c r="J831" s="1"/>
      <c r="K831" s="1"/>
      <c r="L831" s="51"/>
    </row>
    <row r="832" spans="10:12" x14ac:dyDescent="0.3">
      <c r="J832" s="1"/>
      <c r="K832" s="1"/>
      <c r="L832" s="51"/>
    </row>
    <row r="833" spans="10:12" x14ac:dyDescent="0.3">
      <c r="J833" s="1"/>
      <c r="K833" s="1"/>
      <c r="L833" s="51"/>
    </row>
    <row r="834" spans="10:12" x14ac:dyDescent="0.3">
      <c r="J834" s="1"/>
      <c r="K834" s="1"/>
      <c r="L834" s="51"/>
    </row>
    <row r="835" spans="10:12" x14ac:dyDescent="0.3">
      <c r="J835" s="1"/>
      <c r="K835" s="1"/>
      <c r="L835" s="51"/>
    </row>
    <row r="836" spans="10:12" x14ac:dyDescent="0.3">
      <c r="J836" s="1"/>
      <c r="K836" s="1"/>
      <c r="L836" s="51"/>
    </row>
    <row r="837" spans="10:12" x14ac:dyDescent="0.3">
      <c r="J837" s="1"/>
      <c r="K837" s="1"/>
      <c r="L837" s="51"/>
    </row>
    <row r="838" spans="10:12" x14ac:dyDescent="0.3">
      <c r="J838" s="1"/>
      <c r="K838" s="1"/>
      <c r="L838" s="51"/>
    </row>
    <row r="839" spans="10:12" x14ac:dyDescent="0.3">
      <c r="J839" s="1"/>
      <c r="K839" s="1"/>
      <c r="L839" s="51"/>
    </row>
    <row r="840" spans="10:12" x14ac:dyDescent="0.3">
      <c r="J840" s="1"/>
      <c r="K840" s="1"/>
      <c r="L840" s="51"/>
    </row>
    <row r="841" spans="10:12" x14ac:dyDescent="0.3">
      <c r="J841" s="1"/>
      <c r="K841" s="1"/>
      <c r="L841" s="51"/>
    </row>
    <row r="842" spans="10:12" x14ac:dyDescent="0.3">
      <c r="J842" s="1"/>
      <c r="K842" s="1"/>
      <c r="L842" s="51"/>
    </row>
    <row r="843" spans="10:12" x14ac:dyDescent="0.3">
      <c r="J843" s="1"/>
      <c r="K843" s="1"/>
      <c r="L843" s="51"/>
    </row>
    <row r="844" spans="10:12" x14ac:dyDescent="0.3">
      <c r="J844" s="1"/>
      <c r="K844" s="1"/>
      <c r="L844" s="51"/>
    </row>
    <row r="845" spans="10:12" x14ac:dyDescent="0.3">
      <c r="J845" s="1"/>
      <c r="K845" s="1"/>
      <c r="L845" s="51"/>
    </row>
    <row r="846" spans="10:12" x14ac:dyDescent="0.3">
      <c r="J846" s="1"/>
      <c r="K846" s="1"/>
      <c r="L846" s="51"/>
    </row>
    <row r="847" spans="10:12" x14ac:dyDescent="0.3">
      <c r="J847" s="1"/>
      <c r="K847" s="1"/>
      <c r="L847" s="51"/>
    </row>
    <row r="848" spans="10:12" x14ac:dyDescent="0.3">
      <c r="J848" s="1"/>
      <c r="K848" s="1"/>
      <c r="L848" s="51"/>
    </row>
    <row r="849" spans="10:12" x14ac:dyDescent="0.3">
      <c r="J849" s="1"/>
      <c r="K849" s="1"/>
      <c r="L849" s="51"/>
    </row>
    <row r="850" spans="10:12" x14ac:dyDescent="0.3">
      <c r="J850" s="1"/>
      <c r="K850" s="1"/>
      <c r="L850" s="51"/>
    </row>
    <row r="851" spans="10:12" x14ac:dyDescent="0.3">
      <c r="J851" s="1"/>
      <c r="K851" s="1"/>
      <c r="L851" s="51"/>
    </row>
    <row r="852" spans="10:12" x14ac:dyDescent="0.3">
      <c r="J852" s="1"/>
      <c r="K852" s="1"/>
      <c r="L852" s="51"/>
    </row>
    <row r="853" spans="10:12" x14ac:dyDescent="0.3">
      <c r="J853" s="1"/>
      <c r="K853" s="1"/>
      <c r="L853" s="51"/>
    </row>
    <row r="854" spans="10:12" x14ac:dyDescent="0.3">
      <c r="J854" s="1"/>
      <c r="K854" s="1"/>
      <c r="L854" s="51"/>
    </row>
    <row r="855" spans="10:12" x14ac:dyDescent="0.3">
      <c r="J855" s="1"/>
      <c r="K855" s="1"/>
      <c r="L855" s="51"/>
    </row>
    <row r="856" spans="10:12" x14ac:dyDescent="0.3">
      <c r="J856" s="1"/>
      <c r="K856" s="1"/>
      <c r="L856" s="51"/>
    </row>
    <row r="857" spans="10:12" x14ac:dyDescent="0.3">
      <c r="J857" s="1"/>
      <c r="K857" s="1"/>
      <c r="L857" s="51"/>
    </row>
    <row r="858" spans="10:12" x14ac:dyDescent="0.3">
      <c r="J858" s="1"/>
      <c r="K858" s="1"/>
      <c r="L858" s="51"/>
    </row>
    <row r="859" spans="10:12" x14ac:dyDescent="0.3">
      <c r="J859" s="1"/>
      <c r="K859" s="1"/>
      <c r="L859" s="51"/>
    </row>
    <row r="860" spans="10:12" x14ac:dyDescent="0.3">
      <c r="J860" s="1"/>
      <c r="K860" s="1"/>
      <c r="L860" s="51"/>
    </row>
    <row r="861" spans="10:12" x14ac:dyDescent="0.3">
      <c r="J861" s="1"/>
      <c r="K861" s="1"/>
      <c r="L861" s="51"/>
    </row>
    <row r="862" spans="10:12" x14ac:dyDescent="0.3">
      <c r="J862" s="1"/>
      <c r="K862" s="1"/>
      <c r="L862" s="51"/>
    </row>
    <row r="863" spans="10:12" x14ac:dyDescent="0.3">
      <c r="J863" s="1"/>
      <c r="K863" s="1"/>
      <c r="L863" s="51"/>
    </row>
    <row r="864" spans="10:12" x14ac:dyDescent="0.3">
      <c r="J864" s="1"/>
      <c r="K864" s="1"/>
      <c r="L864" s="51"/>
    </row>
    <row r="865" spans="10:12" x14ac:dyDescent="0.3">
      <c r="J865" s="1"/>
      <c r="K865" s="1"/>
      <c r="L865" s="51"/>
    </row>
    <row r="866" spans="10:12" x14ac:dyDescent="0.3">
      <c r="J866" s="1"/>
      <c r="K866" s="1"/>
      <c r="L866" s="51"/>
    </row>
    <row r="867" spans="10:12" x14ac:dyDescent="0.3">
      <c r="J867" s="1"/>
      <c r="K867" s="1"/>
      <c r="L867" s="51"/>
    </row>
    <row r="868" spans="10:12" x14ac:dyDescent="0.3">
      <c r="J868" s="1"/>
      <c r="K868" s="1"/>
      <c r="L868" s="51"/>
    </row>
    <row r="869" spans="10:12" x14ac:dyDescent="0.3">
      <c r="J869" s="1"/>
      <c r="K869" s="1"/>
      <c r="L869" s="51"/>
    </row>
    <row r="870" spans="10:12" x14ac:dyDescent="0.3">
      <c r="J870" s="1"/>
      <c r="K870" s="1"/>
      <c r="L870" s="51"/>
    </row>
    <row r="871" spans="10:12" x14ac:dyDescent="0.3">
      <c r="J871" s="1"/>
      <c r="K871" s="1"/>
      <c r="L871" s="51"/>
    </row>
    <row r="872" spans="10:12" x14ac:dyDescent="0.3">
      <c r="J872" s="1"/>
      <c r="K872" s="1"/>
      <c r="L872" s="51"/>
    </row>
    <row r="873" spans="10:12" x14ac:dyDescent="0.3">
      <c r="J873" s="1"/>
      <c r="K873" s="1"/>
      <c r="L873" s="51"/>
    </row>
    <row r="874" spans="10:12" x14ac:dyDescent="0.3">
      <c r="J874" s="1"/>
      <c r="K874" s="1"/>
      <c r="L874" s="51"/>
    </row>
    <row r="875" spans="10:12" x14ac:dyDescent="0.3">
      <c r="J875" s="1"/>
      <c r="K875" s="1"/>
      <c r="L875" s="51"/>
    </row>
    <row r="876" spans="10:12" x14ac:dyDescent="0.3">
      <c r="J876" s="1"/>
      <c r="K876" s="1"/>
      <c r="L876" s="51"/>
    </row>
    <row r="877" spans="10:12" x14ac:dyDescent="0.3">
      <c r="J877" s="1"/>
      <c r="K877" s="1"/>
      <c r="L877" s="51"/>
    </row>
    <row r="878" spans="10:12" x14ac:dyDescent="0.3">
      <c r="J878" s="1"/>
      <c r="K878" s="1"/>
      <c r="L878" s="51"/>
    </row>
    <row r="879" spans="10:12" x14ac:dyDescent="0.3">
      <c r="J879" s="1"/>
      <c r="K879" s="1"/>
      <c r="L879" s="51"/>
    </row>
    <row r="880" spans="10:12" x14ac:dyDescent="0.3">
      <c r="J880" s="1"/>
      <c r="K880" s="1"/>
      <c r="L880" s="51"/>
    </row>
    <row r="881" spans="10:12" x14ac:dyDescent="0.3">
      <c r="J881" s="1"/>
      <c r="K881" s="1"/>
      <c r="L881" s="51"/>
    </row>
    <row r="882" spans="10:12" x14ac:dyDescent="0.3">
      <c r="J882" s="1"/>
      <c r="K882" s="1"/>
      <c r="L882" s="51"/>
    </row>
    <row r="883" spans="10:12" x14ac:dyDescent="0.3">
      <c r="J883" s="1"/>
      <c r="K883" s="1"/>
      <c r="L883" s="51"/>
    </row>
    <row r="884" spans="10:12" x14ac:dyDescent="0.3">
      <c r="J884" s="1"/>
      <c r="K884" s="1"/>
      <c r="L884" s="51"/>
    </row>
    <row r="885" spans="10:12" x14ac:dyDescent="0.3">
      <c r="J885" s="1"/>
      <c r="K885" s="1"/>
      <c r="L885" s="51"/>
    </row>
    <row r="886" spans="10:12" x14ac:dyDescent="0.3">
      <c r="J886" s="1"/>
      <c r="K886" s="1"/>
      <c r="L886" s="51"/>
    </row>
    <row r="887" spans="10:12" x14ac:dyDescent="0.3">
      <c r="J887" s="1"/>
      <c r="K887" s="1"/>
      <c r="L887" s="51"/>
    </row>
    <row r="888" spans="10:12" x14ac:dyDescent="0.3">
      <c r="J888" s="1"/>
      <c r="K888" s="1"/>
      <c r="L888" s="51"/>
    </row>
    <row r="889" spans="10:12" x14ac:dyDescent="0.3">
      <c r="J889" s="1"/>
      <c r="K889" s="1"/>
      <c r="L889" s="51"/>
    </row>
    <row r="890" spans="10:12" x14ac:dyDescent="0.3">
      <c r="J890" s="1"/>
      <c r="K890" s="1"/>
      <c r="L890" s="51"/>
    </row>
    <row r="891" spans="10:12" x14ac:dyDescent="0.3">
      <c r="J891" s="1"/>
      <c r="K891" s="1"/>
      <c r="L891" s="51"/>
    </row>
    <row r="892" spans="10:12" x14ac:dyDescent="0.3">
      <c r="J892" s="1"/>
      <c r="K892" s="1"/>
      <c r="L892" s="51"/>
    </row>
    <row r="893" spans="10:12" x14ac:dyDescent="0.3">
      <c r="J893" s="1"/>
      <c r="K893" s="1"/>
      <c r="L893" s="51"/>
    </row>
    <row r="894" spans="10:12" x14ac:dyDescent="0.3">
      <c r="J894" s="1"/>
      <c r="K894" s="1"/>
      <c r="L894" s="51"/>
    </row>
    <row r="895" spans="10:12" x14ac:dyDescent="0.3">
      <c r="J895" s="1"/>
      <c r="K895" s="1"/>
      <c r="L895" s="51"/>
    </row>
    <row r="896" spans="10:12" x14ac:dyDescent="0.3">
      <c r="J896" s="1"/>
      <c r="K896" s="1"/>
      <c r="L896" s="51"/>
    </row>
    <row r="897" spans="10:12" x14ac:dyDescent="0.3">
      <c r="J897" s="1"/>
      <c r="K897" s="1"/>
      <c r="L897" s="51"/>
    </row>
    <row r="898" spans="10:12" x14ac:dyDescent="0.3">
      <c r="J898" s="1"/>
      <c r="K898" s="1"/>
      <c r="L898" s="51"/>
    </row>
    <row r="899" spans="10:12" x14ac:dyDescent="0.3">
      <c r="J899" s="1"/>
      <c r="K899" s="1"/>
      <c r="L899" s="51"/>
    </row>
    <row r="900" spans="10:12" x14ac:dyDescent="0.3">
      <c r="J900" s="1"/>
      <c r="K900" s="1"/>
      <c r="L900" s="51"/>
    </row>
    <row r="901" spans="10:12" x14ac:dyDescent="0.3">
      <c r="J901" s="1"/>
      <c r="K901" s="1"/>
      <c r="L901" s="51"/>
    </row>
    <row r="902" spans="10:12" x14ac:dyDescent="0.3">
      <c r="J902" s="1"/>
      <c r="K902" s="1"/>
      <c r="L902" s="51"/>
    </row>
    <row r="903" spans="10:12" x14ac:dyDescent="0.3">
      <c r="J903" s="1"/>
      <c r="K903" s="1"/>
      <c r="L903" s="51"/>
    </row>
    <row r="904" spans="10:12" x14ac:dyDescent="0.3">
      <c r="J904" s="1"/>
      <c r="K904" s="1"/>
      <c r="L904" s="51"/>
    </row>
    <row r="905" spans="10:12" x14ac:dyDescent="0.3">
      <c r="J905" s="1"/>
      <c r="K905" s="1"/>
      <c r="L905" s="51"/>
    </row>
    <row r="906" spans="10:12" x14ac:dyDescent="0.3">
      <c r="J906" s="1"/>
      <c r="K906" s="1"/>
      <c r="L906" s="51"/>
    </row>
    <row r="907" spans="10:12" x14ac:dyDescent="0.3">
      <c r="J907" s="1"/>
      <c r="K907" s="1"/>
      <c r="L907" s="51"/>
    </row>
    <row r="908" spans="10:12" x14ac:dyDescent="0.3">
      <c r="J908" s="1"/>
      <c r="K908" s="1"/>
      <c r="L908" s="51"/>
    </row>
    <row r="909" spans="10:12" x14ac:dyDescent="0.3">
      <c r="J909" s="1"/>
      <c r="K909" s="1"/>
      <c r="L909" s="51"/>
    </row>
    <row r="910" spans="10:12" x14ac:dyDescent="0.3">
      <c r="J910" s="1"/>
      <c r="K910" s="1"/>
      <c r="L910" s="51"/>
    </row>
    <row r="911" spans="10:12" x14ac:dyDescent="0.3">
      <c r="J911" s="1"/>
      <c r="K911" s="1"/>
      <c r="L911" s="51"/>
    </row>
    <row r="912" spans="10:12" x14ac:dyDescent="0.3">
      <c r="J912" s="1"/>
      <c r="K912" s="1"/>
      <c r="L912" s="51"/>
    </row>
    <row r="913" spans="10:12" x14ac:dyDescent="0.3">
      <c r="J913" s="1"/>
      <c r="K913" s="1"/>
      <c r="L913" s="51"/>
    </row>
    <row r="914" spans="10:12" x14ac:dyDescent="0.3">
      <c r="J914" s="1"/>
      <c r="K914" s="1"/>
      <c r="L914" s="51"/>
    </row>
    <row r="915" spans="10:12" x14ac:dyDescent="0.3">
      <c r="J915" s="1"/>
      <c r="K915" s="1"/>
      <c r="L915" s="51"/>
    </row>
    <row r="916" spans="10:12" x14ac:dyDescent="0.3">
      <c r="J916" s="1"/>
      <c r="K916" s="1"/>
      <c r="L916" s="51"/>
    </row>
    <row r="917" spans="10:12" x14ac:dyDescent="0.3">
      <c r="J917" s="1"/>
      <c r="K917" s="1"/>
      <c r="L917" s="51"/>
    </row>
    <row r="918" spans="10:12" x14ac:dyDescent="0.3">
      <c r="J918" s="1"/>
      <c r="K918" s="1"/>
      <c r="L918" s="51"/>
    </row>
    <row r="919" spans="10:12" x14ac:dyDescent="0.3">
      <c r="J919" s="1"/>
      <c r="K919" s="1"/>
      <c r="L919" s="51"/>
    </row>
    <row r="920" spans="10:12" x14ac:dyDescent="0.3">
      <c r="J920" s="1"/>
      <c r="K920" s="1"/>
      <c r="L920" s="51"/>
    </row>
    <row r="921" spans="10:12" x14ac:dyDescent="0.3">
      <c r="J921" s="1"/>
      <c r="K921" s="1"/>
      <c r="L921" s="51"/>
    </row>
    <row r="922" spans="10:12" x14ac:dyDescent="0.3">
      <c r="J922" s="1"/>
      <c r="K922" s="1"/>
      <c r="L922" s="51"/>
    </row>
    <row r="923" spans="10:12" x14ac:dyDescent="0.3">
      <c r="J923" s="1"/>
      <c r="K923" s="1"/>
      <c r="L923" s="51"/>
    </row>
    <row r="924" spans="10:12" x14ac:dyDescent="0.3">
      <c r="J924" s="1"/>
      <c r="K924" s="1"/>
      <c r="L924" s="51"/>
    </row>
    <row r="925" spans="10:12" x14ac:dyDescent="0.3">
      <c r="J925" s="1"/>
      <c r="K925" s="1"/>
      <c r="L925" s="51"/>
    </row>
    <row r="926" spans="10:12" x14ac:dyDescent="0.3">
      <c r="J926" s="1"/>
      <c r="K926" s="1"/>
      <c r="L926" s="51"/>
    </row>
    <row r="927" spans="10:12" x14ac:dyDescent="0.3">
      <c r="J927" s="1"/>
      <c r="K927" s="1"/>
      <c r="L927" s="51"/>
    </row>
    <row r="928" spans="10:12" x14ac:dyDescent="0.3">
      <c r="J928" s="1"/>
      <c r="K928" s="1"/>
      <c r="L928" s="51"/>
    </row>
    <row r="929" spans="10:12" x14ac:dyDescent="0.3">
      <c r="J929" s="1"/>
      <c r="K929" s="1"/>
      <c r="L929" s="51"/>
    </row>
    <row r="930" spans="10:12" x14ac:dyDescent="0.3">
      <c r="J930" s="1"/>
      <c r="K930" s="1"/>
      <c r="L930" s="51"/>
    </row>
    <row r="931" spans="10:12" x14ac:dyDescent="0.3">
      <c r="J931" s="1"/>
      <c r="K931" s="1"/>
      <c r="L931" s="51"/>
    </row>
    <row r="932" spans="10:12" x14ac:dyDescent="0.3">
      <c r="J932" s="1"/>
      <c r="K932" s="1"/>
      <c r="L932" s="51"/>
    </row>
    <row r="933" spans="10:12" x14ac:dyDescent="0.3">
      <c r="J933" s="1"/>
      <c r="K933" s="1"/>
      <c r="L933" s="51"/>
    </row>
    <row r="934" spans="10:12" x14ac:dyDescent="0.3">
      <c r="J934" s="1"/>
      <c r="K934" s="1"/>
      <c r="L934" s="51"/>
    </row>
    <row r="935" spans="10:12" x14ac:dyDescent="0.3">
      <c r="J935" s="1"/>
      <c r="K935" s="1"/>
      <c r="L935" s="51"/>
    </row>
    <row r="936" spans="10:12" x14ac:dyDescent="0.3">
      <c r="J936" s="1"/>
      <c r="K936" s="1"/>
      <c r="L936" s="51"/>
    </row>
    <row r="937" spans="10:12" x14ac:dyDescent="0.3">
      <c r="J937" s="1"/>
      <c r="K937" s="1"/>
      <c r="L937" s="51"/>
    </row>
    <row r="938" spans="10:12" x14ac:dyDescent="0.3">
      <c r="J938" s="1"/>
      <c r="K938" s="1"/>
      <c r="L938" s="51"/>
    </row>
    <row r="939" spans="10:12" x14ac:dyDescent="0.3">
      <c r="J939" s="1"/>
      <c r="K939" s="1"/>
      <c r="L939" s="51"/>
    </row>
    <row r="940" spans="10:12" x14ac:dyDescent="0.3">
      <c r="J940" s="1"/>
      <c r="K940" s="1"/>
      <c r="L940" s="51"/>
    </row>
    <row r="941" spans="10:12" x14ac:dyDescent="0.3">
      <c r="J941" s="1"/>
      <c r="K941" s="1"/>
      <c r="L941" s="51"/>
    </row>
    <row r="942" spans="10:12" x14ac:dyDescent="0.3">
      <c r="J942" s="1"/>
      <c r="K942" s="1"/>
      <c r="L942" s="51"/>
    </row>
    <row r="943" spans="10:12" x14ac:dyDescent="0.3">
      <c r="J943" s="1"/>
      <c r="K943" s="1"/>
      <c r="L943" s="51"/>
    </row>
    <row r="944" spans="10:12" x14ac:dyDescent="0.3">
      <c r="J944" s="1"/>
      <c r="K944" s="1"/>
      <c r="L944" s="51"/>
    </row>
    <row r="945" spans="10:12" x14ac:dyDescent="0.3">
      <c r="J945" s="1"/>
      <c r="K945" s="1"/>
      <c r="L945" s="51"/>
    </row>
    <row r="946" spans="10:12" x14ac:dyDescent="0.3">
      <c r="J946" s="1"/>
      <c r="K946" s="1"/>
      <c r="L946" s="51"/>
    </row>
    <row r="947" spans="10:12" x14ac:dyDescent="0.3">
      <c r="J947" s="1"/>
      <c r="K947" s="1"/>
      <c r="L947" s="51"/>
    </row>
    <row r="948" spans="10:12" x14ac:dyDescent="0.3">
      <c r="J948" s="1"/>
      <c r="K948" s="1"/>
      <c r="L948" s="51"/>
    </row>
    <row r="949" spans="10:12" x14ac:dyDescent="0.3">
      <c r="J949" s="1"/>
      <c r="K949" s="1"/>
      <c r="L949" s="51"/>
    </row>
    <row r="950" spans="10:12" x14ac:dyDescent="0.3">
      <c r="J950" s="1"/>
      <c r="K950" s="1"/>
      <c r="L950" s="51"/>
    </row>
    <row r="951" spans="10:12" x14ac:dyDescent="0.3">
      <c r="J951" s="1"/>
      <c r="K951" s="1"/>
      <c r="L951" s="51"/>
    </row>
    <row r="952" spans="10:12" x14ac:dyDescent="0.3">
      <c r="J952" s="1"/>
      <c r="K952" s="1"/>
      <c r="L952" s="51"/>
    </row>
    <row r="953" spans="10:12" x14ac:dyDescent="0.3">
      <c r="J953" s="1"/>
      <c r="K953" s="1"/>
      <c r="L953" s="51"/>
    </row>
    <row r="954" spans="10:12" x14ac:dyDescent="0.3">
      <c r="J954" s="1"/>
      <c r="K954" s="1"/>
      <c r="L954" s="51"/>
    </row>
    <row r="955" spans="10:12" x14ac:dyDescent="0.3">
      <c r="J955" s="1"/>
      <c r="K955" s="1"/>
      <c r="L955" s="51"/>
    </row>
    <row r="956" spans="10:12" x14ac:dyDescent="0.3">
      <c r="J956" s="1"/>
      <c r="K956" s="1"/>
      <c r="L956" s="51"/>
    </row>
    <row r="957" spans="10:12" x14ac:dyDescent="0.3">
      <c r="J957" s="1"/>
      <c r="K957" s="1"/>
      <c r="L957" s="51"/>
    </row>
    <row r="958" spans="10:12" x14ac:dyDescent="0.3">
      <c r="J958" s="1"/>
      <c r="K958" s="1"/>
      <c r="L958" s="51"/>
    </row>
    <row r="959" spans="10:12" x14ac:dyDescent="0.3">
      <c r="J959" s="1"/>
      <c r="K959" s="1"/>
      <c r="L959" s="51"/>
    </row>
    <row r="960" spans="10:12" x14ac:dyDescent="0.3">
      <c r="J960" s="1"/>
      <c r="K960" s="1"/>
      <c r="L960" s="51"/>
    </row>
    <row r="961" spans="10:12" x14ac:dyDescent="0.3">
      <c r="J961" s="1"/>
      <c r="K961" s="1"/>
      <c r="L961" s="51"/>
    </row>
    <row r="962" spans="10:12" x14ac:dyDescent="0.3">
      <c r="J962" s="1"/>
      <c r="K962" s="1"/>
      <c r="L962" s="51"/>
    </row>
    <row r="963" spans="10:12" x14ac:dyDescent="0.3">
      <c r="J963" s="1"/>
      <c r="K963" s="1"/>
      <c r="L963" s="51"/>
    </row>
    <row r="964" spans="10:12" x14ac:dyDescent="0.3">
      <c r="J964" s="1"/>
      <c r="K964" s="1"/>
      <c r="L964" s="51"/>
    </row>
    <row r="965" spans="10:12" x14ac:dyDescent="0.3">
      <c r="J965" s="1"/>
      <c r="K965" s="1"/>
      <c r="L965" s="51"/>
    </row>
    <row r="966" spans="10:12" x14ac:dyDescent="0.3">
      <c r="J966" s="1"/>
      <c r="K966" s="1"/>
      <c r="L966" s="51"/>
    </row>
    <row r="967" spans="10:12" x14ac:dyDescent="0.3">
      <c r="J967" s="1"/>
      <c r="K967" s="1"/>
      <c r="L967" s="51"/>
    </row>
    <row r="968" spans="10:12" x14ac:dyDescent="0.3">
      <c r="J968" s="1"/>
      <c r="K968" s="1"/>
      <c r="L968" s="51"/>
    </row>
    <row r="969" spans="10:12" x14ac:dyDescent="0.3">
      <c r="J969" s="1"/>
      <c r="K969" s="1"/>
      <c r="L969" s="51"/>
    </row>
    <row r="970" spans="10:12" x14ac:dyDescent="0.3">
      <c r="J970" s="1"/>
      <c r="K970" s="1"/>
      <c r="L970" s="51"/>
    </row>
    <row r="971" spans="10:12" x14ac:dyDescent="0.3">
      <c r="J971" s="1"/>
      <c r="K971" s="1"/>
      <c r="L971" s="51"/>
    </row>
    <row r="972" spans="10:12" x14ac:dyDescent="0.3">
      <c r="J972" s="1"/>
      <c r="K972" s="1"/>
      <c r="L972" s="51"/>
    </row>
    <row r="973" spans="10:12" x14ac:dyDescent="0.3">
      <c r="J973" s="1"/>
      <c r="K973" s="1"/>
      <c r="L973" s="51"/>
    </row>
    <row r="974" spans="10:12" x14ac:dyDescent="0.3">
      <c r="J974" s="1"/>
      <c r="K974" s="1"/>
      <c r="L974" s="51"/>
    </row>
    <row r="975" spans="10:12" x14ac:dyDescent="0.3">
      <c r="J975" s="1"/>
      <c r="K975" s="1"/>
      <c r="L975" s="51"/>
    </row>
    <row r="976" spans="10:12" x14ac:dyDescent="0.3">
      <c r="J976" s="1"/>
      <c r="K976" s="1"/>
      <c r="L976" s="51"/>
    </row>
    <row r="977" spans="10:12" x14ac:dyDescent="0.3">
      <c r="J977" s="1"/>
      <c r="K977" s="1"/>
      <c r="L977" s="51"/>
    </row>
    <row r="978" spans="10:12" x14ac:dyDescent="0.3">
      <c r="J978" s="1"/>
      <c r="K978" s="1"/>
      <c r="L978" s="51"/>
    </row>
    <row r="979" spans="10:12" x14ac:dyDescent="0.3">
      <c r="J979" s="1"/>
      <c r="K979" s="1"/>
      <c r="L979" s="51"/>
    </row>
    <row r="980" spans="10:12" x14ac:dyDescent="0.3">
      <c r="J980" s="1"/>
      <c r="K980" s="1"/>
      <c r="L980" s="51"/>
    </row>
    <row r="981" spans="10:12" x14ac:dyDescent="0.3">
      <c r="J981" s="1"/>
      <c r="K981" s="1"/>
      <c r="L981" s="51"/>
    </row>
    <row r="982" spans="10:12" x14ac:dyDescent="0.3">
      <c r="J982" s="1"/>
      <c r="K982" s="1"/>
      <c r="L982" s="51"/>
    </row>
    <row r="983" spans="10:12" x14ac:dyDescent="0.3">
      <c r="J983" s="1"/>
      <c r="K983" s="1"/>
      <c r="L983" s="51"/>
    </row>
    <row r="984" spans="10:12" x14ac:dyDescent="0.3">
      <c r="J984" s="1"/>
      <c r="K984" s="1"/>
      <c r="L984" s="51"/>
    </row>
    <row r="985" spans="10:12" x14ac:dyDescent="0.3">
      <c r="J985" s="1"/>
      <c r="K985" s="1"/>
      <c r="L985" s="51"/>
    </row>
    <row r="986" spans="10:12" x14ac:dyDescent="0.3">
      <c r="J986" s="1"/>
      <c r="K986" s="1"/>
      <c r="L986" s="51"/>
    </row>
    <row r="987" spans="10:12" x14ac:dyDescent="0.3">
      <c r="J987" s="1"/>
      <c r="K987" s="1"/>
      <c r="L987" s="51"/>
    </row>
    <row r="988" spans="10:12" x14ac:dyDescent="0.3">
      <c r="J988" s="1"/>
      <c r="K988" s="1"/>
      <c r="L988" s="51"/>
    </row>
    <row r="989" spans="10:12" x14ac:dyDescent="0.3">
      <c r="J989" s="1"/>
      <c r="K989" s="1"/>
      <c r="L989" s="51"/>
    </row>
    <row r="990" spans="10:12" x14ac:dyDescent="0.3">
      <c r="J990" s="1"/>
      <c r="K990" s="1"/>
      <c r="L990" s="51"/>
    </row>
    <row r="991" spans="10:12" x14ac:dyDescent="0.3">
      <c r="J991" s="1"/>
      <c r="K991" s="1"/>
      <c r="L991" s="51"/>
    </row>
    <row r="992" spans="10:12" x14ac:dyDescent="0.3">
      <c r="J992" s="1"/>
      <c r="K992" s="1"/>
      <c r="L992" s="51"/>
    </row>
    <row r="993" spans="10:12" x14ac:dyDescent="0.3">
      <c r="J993" s="1"/>
      <c r="K993" s="1"/>
      <c r="L993" s="51"/>
    </row>
    <row r="994" spans="10:12" x14ac:dyDescent="0.3">
      <c r="J994" s="1"/>
      <c r="K994" s="1"/>
      <c r="L994" s="51"/>
    </row>
    <row r="995" spans="10:12" x14ac:dyDescent="0.3">
      <c r="J995" s="1"/>
      <c r="K995" s="1"/>
      <c r="L995" s="51"/>
    </row>
    <row r="996" spans="10:12" x14ac:dyDescent="0.3">
      <c r="J996" s="1"/>
      <c r="K996" s="1"/>
      <c r="L996" s="51"/>
    </row>
    <row r="997" spans="10:12" x14ac:dyDescent="0.3">
      <c r="J997" s="1"/>
      <c r="K997" s="1"/>
      <c r="L997" s="51"/>
    </row>
    <row r="998" spans="10:12" x14ac:dyDescent="0.3">
      <c r="J998" s="1"/>
      <c r="K998" s="1"/>
      <c r="L998" s="51"/>
    </row>
    <row r="999" spans="10:12" x14ac:dyDescent="0.3">
      <c r="J999" s="1"/>
      <c r="K999" s="1"/>
      <c r="L999" s="51"/>
    </row>
    <row r="1000" spans="10:12" x14ac:dyDescent="0.3">
      <c r="J1000" s="1"/>
      <c r="K1000" s="1"/>
      <c r="L1000" s="51"/>
    </row>
    <row r="1001" spans="10:12" x14ac:dyDescent="0.3">
      <c r="J1001" s="1"/>
      <c r="K1001" s="1"/>
      <c r="L1001" s="51"/>
    </row>
    <row r="1002" spans="10:12" x14ac:dyDescent="0.3">
      <c r="J1002" s="1"/>
      <c r="K1002" s="1"/>
      <c r="L1002" s="51"/>
    </row>
    <row r="1003" spans="10:12" x14ac:dyDescent="0.3">
      <c r="J1003" s="1"/>
      <c r="K1003" s="1"/>
      <c r="L1003" s="51"/>
    </row>
    <row r="1004" spans="10:12" x14ac:dyDescent="0.3">
      <c r="J1004" s="1"/>
      <c r="K1004" s="1"/>
      <c r="L1004" s="51"/>
    </row>
    <row r="1005" spans="10:12" x14ac:dyDescent="0.3">
      <c r="J1005" s="1"/>
      <c r="K1005" s="1"/>
      <c r="L1005" s="51"/>
    </row>
    <row r="1006" spans="10:12" x14ac:dyDescent="0.3">
      <c r="J1006" s="1"/>
      <c r="K1006" s="1"/>
      <c r="L1006" s="51"/>
    </row>
    <row r="1007" spans="10:12" x14ac:dyDescent="0.3">
      <c r="J1007" s="1"/>
      <c r="K1007" s="1"/>
      <c r="L1007" s="51"/>
    </row>
    <row r="1008" spans="10:12" x14ac:dyDescent="0.3">
      <c r="J1008" s="1"/>
      <c r="K1008" s="1"/>
      <c r="L1008" s="51"/>
    </row>
    <row r="1009" spans="10:12" x14ac:dyDescent="0.3">
      <c r="J1009" s="1"/>
      <c r="K1009" s="1"/>
      <c r="L1009" s="51"/>
    </row>
    <row r="1010" spans="10:12" x14ac:dyDescent="0.3">
      <c r="J1010" s="1"/>
      <c r="K1010" s="1"/>
      <c r="L1010" s="51"/>
    </row>
    <row r="1011" spans="10:12" x14ac:dyDescent="0.3">
      <c r="J1011" s="1"/>
      <c r="K1011" s="1"/>
      <c r="L1011" s="51"/>
    </row>
    <row r="1012" spans="10:12" x14ac:dyDescent="0.3">
      <c r="J1012" s="1"/>
      <c r="K1012" s="1"/>
      <c r="L1012" s="51"/>
    </row>
    <row r="1013" spans="10:12" x14ac:dyDescent="0.3">
      <c r="J1013" s="1"/>
      <c r="K1013" s="1"/>
      <c r="L1013" s="51"/>
    </row>
    <row r="1014" spans="10:12" x14ac:dyDescent="0.3">
      <c r="J1014" s="1"/>
      <c r="K1014" s="1"/>
      <c r="L1014" s="51"/>
    </row>
    <row r="1015" spans="10:12" x14ac:dyDescent="0.3">
      <c r="J1015" s="1"/>
      <c r="K1015" s="1"/>
      <c r="L1015" s="51"/>
    </row>
    <row r="1016" spans="10:12" x14ac:dyDescent="0.3">
      <c r="J1016" s="1"/>
      <c r="K1016" s="1"/>
      <c r="L1016" s="51"/>
    </row>
    <row r="1017" spans="10:12" x14ac:dyDescent="0.3">
      <c r="J1017" s="1"/>
      <c r="K1017" s="1"/>
      <c r="L1017" s="51"/>
    </row>
    <row r="1018" spans="10:12" x14ac:dyDescent="0.3">
      <c r="J1018" s="1"/>
      <c r="K1018" s="1"/>
      <c r="L1018" s="51"/>
    </row>
    <row r="1019" spans="10:12" x14ac:dyDescent="0.3">
      <c r="J1019" s="1"/>
      <c r="K1019" s="1"/>
      <c r="L1019" s="51"/>
    </row>
    <row r="1020" spans="10:12" x14ac:dyDescent="0.3">
      <c r="J1020" s="1"/>
      <c r="K1020" s="1"/>
      <c r="L1020" s="51"/>
    </row>
    <row r="1021" spans="10:12" x14ac:dyDescent="0.3">
      <c r="J1021" s="1"/>
      <c r="K1021" s="1"/>
      <c r="L1021" s="51"/>
    </row>
    <row r="1022" spans="10:12" x14ac:dyDescent="0.3">
      <c r="J1022" s="1"/>
      <c r="K1022" s="1"/>
      <c r="L1022" s="51"/>
    </row>
    <row r="1023" spans="10:12" x14ac:dyDescent="0.3">
      <c r="J1023" s="1"/>
      <c r="K1023" s="1"/>
      <c r="L1023" s="51"/>
    </row>
    <row r="1024" spans="10:12" x14ac:dyDescent="0.3">
      <c r="J1024" s="1"/>
      <c r="K1024" s="1"/>
      <c r="L1024" s="51"/>
    </row>
    <row r="1025" spans="10:12" x14ac:dyDescent="0.3">
      <c r="J1025" s="1"/>
      <c r="K1025" s="1"/>
      <c r="L1025" s="51"/>
    </row>
    <row r="1026" spans="10:12" x14ac:dyDescent="0.3">
      <c r="J1026" s="1"/>
      <c r="K1026" s="1"/>
      <c r="L1026" s="51"/>
    </row>
    <row r="1027" spans="10:12" x14ac:dyDescent="0.3">
      <c r="J1027" s="1"/>
      <c r="K1027" s="1"/>
      <c r="L1027" s="51"/>
    </row>
    <row r="1028" spans="10:12" x14ac:dyDescent="0.3">
      <c r="J1028" s="1"/>
      <c r="K1028" s="1"/>
      <c r="L1028" s="51"/>
    </row>
    <row r="1029" spans="10:12" x14ac:dyDescent="0.3">
      <c r="J1029" s="1"/>
      <c r="K1029" s="1"/>
      <c r="L1029" s="51"/>
    </row>
    <row r="1030" spans="10:12" x14ac:dyDescent="0.3">
      <c r="J1030" s="1"/>
      <c r="K1030" s="1"/>
      <c r="L1030" s="51"/>
    </row>
    <row r="1031" spans="10:12" x14ac:dyDescent="0.3">
      <c r="J1031" s="1"/>
      <c r="K1031" s="1"/>
      <c r="L1031" s="51"/>
    </row>
    <row r="1032" spans="10:12" x14ac:dyDescent="0.3">
      <c r="J1032" s="1"/>
      <c r="K1032" s="1"/>
      <c r="L1032" s="51"/>
    </row>
    <row r="1033" spans="10:12" x14ac:dyDescent="0.3">
      <c r="J1033" s="1"/>
      <c r="K1033" s="1"/>
      <c r="L1033" s="51"/>
    </row>
    <row r="1034" spans="10:12" x14ac:dyDescent="0.3">
      <c r="J1034" s="1"/>
      <c r="K1034" s="1"/>
      <c r="L1034" s="51"/>
    </row>
    <row r="1035" spans="10:12" x14ac:dyDescent="0.3">
      <c r="J1035" s="1"/>
      <c r="K1035" s="1"/>
      <c r="L1035" s="51"/>
    </row>
    <row r="1036" spans="10:12" x14ac:dyDescent="0.3">
      <c r="J1036" s="1"/>
      <c r="K1036" s="1"/>
      <c r="L1036" s="51"/>
    </row>
    <row r="1037" spans="10:12" x14ac:dyDescent="0.3">
      <c r="J1037" s="1"/>
      <c r="K1037" s="1"/>
      <c r="L1037" s="51"/>
    </row>
    <row r="1038" spans="10:12" x14ac:dyDescent="0.3">
      <c r="J1038" s="1"/>
      <c r="K1038" s="1"/>
      <c r="L1038" s="51"/>
    </row>
    <row r="1039" spans="10:12" x14ac:dyDescent="0.3">
      <c r="J1039" s="1"/>
      <c r="K1039" s="1"/>
      <c r="L1039" s="51"/>
    </row>
    <row r="1040" spans="10:12" x14ac:dyDescent="0.3">
      <c r="J1040" s="1"/>
      <c r="K1040" s="1"/>
      <c r="L1040" s="51"/>
    </row>
    <row r="1041" spans="10:12" x14ac:dyDescent="0.3">
      <c r="J1041" s="1"/>
      <c r="K1041" s="1"/>
      <c r="L1041" s="51"/>
    </row>
    <row r="1042" spans="10:12" x14ac:dyDescent="0.3">
      <c r="J1042" s="1"/>
      <c r="K1042" s="1"/>
      <c r="L1042" s="51"/>
    </row>
    <row r="1043" spans="10:12" x14ac:dyDescent="0.3">
      <c r="J1043" s="1"/>
      <c r="K1043" s="1"/>
      <c r="L1043" s="51"/>
    </row>
    <row r="1044" spans="10:12" x14ac:dyDescent="0.3">
      <c r="J1044" s="1"/>
      <c r="K1044" s="1"/>
      <c r="L1044" s="51"/>
    </row>
    <row r="1045" spans="10:12" x14ac:dyDescent="0.3">
      <c r="J1045" s="1"/>
      <c r="K1045" s="1"/>
      <c r="L1045" s="51"/>
    </row>
    <row r="1046" spans="10:12" x14ac:dyDescent="0.3">
      <c r="J1046" s="1"/>
      <c r="K1046" s="1"/>
      <c r="L1046" s="51"/>
    </row>
    <row r="1047" spans="10:12" x14ac:dyDescent="0.3">
      <c r="J1047" s="1"/>
      <c r="K1047" s="1"/>
      <c r="L1047" s="51"/>
    </row>
    <row r="1048" spans="10:12" x14ac:dyDescent="0.3">
      <c r="J1048" s="1"/>
      <c r="K1048" s="1"/>
      <c r="L1048" s="51"/>
    </row>
    <row r="1049" spans="10:12" x14ac:dyDescent="0.3">
      <c r="J1049" s="1"/>
      <c r="K1049" s="1"/>
      <c r="L1049" s="51"/>
    </row>
    <row r="1050" spans="10:12" x14ac:dyDescent="0.3">
      <c r="J1050" s="1"/>
      <c r="K1050" s="1"/>
      <c r="L1050" s="51"/>
    </row>
    <row r="1051" spans="10:12" x14ac:dyDescent="0.3">
      <c r="J1051" s="1"/>
      <c r="K1051" s="1"/>
      <c r="L1051" s="51"/>
    </row>
    <row r="1052" spans="10:12" x14ac:dyDescent="0.3">
      <c r="J1052" s="1"/>
      <c r="K1052" s="1"/>
      <c r="L1052" s="51"/>
    </row>
    <row r="1053" spans="10:12" x14ac:dyDescent="0.3">
      <c r="J1053" s="1"/>
      <c r="K1053" s="1"/>
      <c r="L1053" s="51"/>
    </row>
    <row r="1054" spans="10:12" x14ac:dyDescent="0.3">
      <c r="J1054" s="1"/>
      <c r="K1054" s="1"/>
      <c r="L1054" s="51"/>
    </row>
    <row r="1055" spans="10:12" x14ac:dyDescent="0.3">
      <c r="J1055" s="1"/>
      <c r="K1055" s="1"/>
      <c r="L1055" s="51"/>
    </row>
    <row r="1056" spans="10:12" x14ac:dyDescent="0.3">
      <c r="J1056" s="1"/>
      <c r="K1056" s="1"/>
      <c r="L1056" s="51"/>
    </row>
    <row r="1057" spans="10:12" x14ac:dyDescent="0.3">
      <c r="J1057" s="1"/>
      <c r="K1057" s="1"/>
      <c r="L1057" s="51"/>
    </row>
    <row r="1058" spans="10:12" x14ac:dyDescent="0.3">
      <c r="J1058" s="1"/>
      <c r="K1058" s="1"/>
      <c r="L1058" s="51"/>
    </row>
    <row r="1059" spans="10:12" x14ac:dyDescent="0.3">
      <c r="J1059" s="1"/>
      <c r="K1059" s="1"/>
      <c r="L1059" s="51"/>
    </row>
    <row r="1060" spans="10:12" x14ac:dyDescent="0.3">
      <c r="J1060" s="1"/>
      <c r="K1060" s="1"/>
      <c r="L1060" s="51"/>
    </row>
    <row r="1061" spans="10:12" x14ac:dyDescent="0.3">
      <c r="J1061" s="1"/>
      <c r="K1061" s="1"/>
      <c r="L1061" s="51"/>
    </row>
    <row r="1062" spans="10:12" x14ac:dyDescent="0.3">
      <c r="J1062" s="1"/>
      <c r="K1062" s="1"/>
      <c r="L1062" s="51"/>
    </row>
    <row r="1063" spans="10:12" x14ac:dyDescent="0.3">
      <c r="J1063" s="1"/>
      <c r="K1063" s="1"/>
      <c r="L1063" s="51"/>
    </row>
    <row r="1064" spans="10:12" x14ac:dyDescent="0.3">
      <c r="J1064" s="1"/>
      <c r="K1064" s="1"/>
      <c r="L1064" s="51"/>
    </row>
    <row r="1065" spans="10:12" x14ac:dyDescent="0.3">
      <c r="J1065" s="1"/>
      <c r="K1065" s="1"/>
      <c r="L1065" s="51"/>
    </row>
    <row r="1066" spans="10:12" x14ac:dyDescent="0.3">
      <c r="J1066" s="1"/>
      <c r="K1066" s="1"/>
      <c r="L1066" s="51"/>
    </row>
    <row r="1067" spans="10:12" x14ac:dyDescent="0.3">
      <c r="J1067" s="1"/>
      <c r="K1067" s="1"/>
      <c r="L1067" s="51"/>
    </row>
    <row r="1068" spans="10:12" x14ac:dyDescent="0.3">
      <c r="J1068" s="1"/>
      <c r="K1068" s="1"/>
      <c r="L1068" s="51"/>
    </row>
    <row r="1069" spans="10:12" x14ac:dyDescent="0.3">
      <c r="J1069" s="1"/>
      <c r="K1069" s="1"/>
      <c r="L1069" s="51"/>
    </row>
    <row r="1070" spans="10:12" x14ac:dyDescent="0.3">
      <c r="J1070" s="1"/>
      <c r="K1070" s="1"/>
      <c r="L1070" s="51"/>
    </row>
    <row r="1071" spans="10:12" x14ac:dyDescent="0.3">
      <c r="J1071" s="1"/>
      <c r="K1071" s="1"/>
      <c r="L1071" s="51"/>
    </row>
    <row r="1072" spans="10:12" x14ac:dyDescent="0.3">
      <c r="J1072" s="1"/>
      <c r="K1072" s="1"/>
      <c r="L1072" s="51"/>
    </row>
    <row r="1073" spans="10:12" x14ac:dyDescent="0.3">
      <c r="J1073" s="1"/>
      <c r="K1073" s="1"/>
      <c r="L1073" s="51"/>
    </row>
    <row r="1074" spans="10:12" x14ac:dyDescent="0.3">
      <c r="J1074" s="1"/>
      <c r="K1074" s="1"/>
      <c r="L1074" s="51"/>
    </row>
    <row r="1075" spans="10:12" x14ac:dyDescent="0.3">
      <c r="J1075" s="1"/>
      <c r="K1075" s="1"/>
      <c r="L1075" s="51"/>
    </row>
    <row r="1076" spans="10:12" x14ac:dyDescent="0.3">
      <c r="J1076" s="1"/>
      <c r="K1076" s="1"/>
      <c r="L1076" s="51"/>
    </row>
    <row r="1077" spans="10:12" x14ac:dyDescent="0.3">
      <c r="J1077" s="1"/>
      <c r="K1077" s="1"/>
      <c r="L1077" s="51"/>
    </row>
    <row r="1078" spans="10:12" x14ac:dyDescent="0.3">
      <c r="J1078" s="1"/>
      <c r="K1078" s="1"/>
      <c r="L1078" s="51"/>
    </row>
    <row r="1079" spans="10:12" x14ac:dyDescent="0.3">
      <c r="J1079" s="1"/>
      <c r="K1079" s="1"/>
      <c r="L1079" s="51"/>
    </row>
    <row r="1080" spans="10:12" x14ac:dyDescent="0.3">
      <c r="J1080" s="1"/>
      <c r="K1080" s="1"/>
      <c r="L1080" s="51"/>
    </row>
    <row r="1081" spans="10:12" x14ac:dyDescent="0.3">
      <c r="J1081" s="1"/>
      <c r="K1081" s="1"/>
      <c r="L1081" s="51"/>
    </row>
    <row r="1082" spans="10:12" x14ac:dyDescent="0.3">
      <c r="J1082" s="1"/>
      <c r="K1082" s="1"/>
      <c r="L1082" s="51"/>
    </row>
    <row r="1083" spans="10:12" x14ac:dyDescent="0.3">
      <c r="J1083" s="1"/>
      <c r="K1083" s="1"/>
      <c r="L1083" s="51"/>
    </row>
    <row r="1084" spans="10:12" x14ac:dyDescent="0.3">
      <c r="J1084" s="1"/>
      <c r="K1084" s="1"/>
      <c r="L1084" s="51"/>
    </row>
    <row r="1085" spans="10:12" x14ac:dyDescent="0.3">
      <c r="J1085" s="1"/>
      <c r="K1085" s="1"/>
      <c r="L1085" s="51"/>
    </row>
    <row r="1086" spans="10:12" x14ac:dyDescent="0.3">
      <c r="J1086" s="1"/>
      <c r="K1086" s="1"/>
      <c r="L1086" s="51"/>
    </row>
    <row r="1087" spans="10:12" x14ac:dyDescent="0.3">
      <c r="J1087" s="1"/>
      <c r="K1087" s="1"/>
      <c r="L1087" s="51"/>
    </row>
    <row r="1088" spans="10:12" x14ac:dyDescent="0.3">
      <c r="J1088" s="1"/>
      <c r="K1088" s="1"/>
      <c r="L1088" s="51"/>
    </row>
    <row r="1089" spans="10:12" x14ac:dyDescent="0.3">
      <c r="J1089" s="1"/>
      <c r="K1089" s="1"/>
      <c r="L1089" s="51"/>
    </row>
    <row r="1090" spans="10:12" x14ac:dyDescent="0.3">
      <c r="J1090" s="1"/>
      <c r="K1090" s="1"/>
      <c r="L1090" s="51"/>
    </row>
    <row r="1091" spans="10:12" x14ac:dyDescent="0.3">
      <c r="J1091" s="1"/>
      <c r="K1091" s="1"/>
      <c r="L1091" s="51"/>
    </row>
    <row r="1092" spans="10:12" x14ac:dyDescent="0.3">
      <c r="J1092" s="1"/>
      <c r="K1092" s="1"/>
      <c r="L1092" s="51"/>
    </row>
    <row r="1093" spans="10:12" x14ac:dyDescent="0.3">
      <c r="J1093" s="1"/>
      <c r="K1093" s="1"/>
      <c r="L1093" s="51"/>
    </row>
    <row r="1094" spans="10:12" x14ac:dyDescent="0.3">
      <c r="J1094" s="1"/>
      <c r="K1094" s="1"/>
      <c r="L1094" s="51"/>
    </row>
    <row r="1095" spans="10:12" x14ac:dyDescent="0.3">
      <c r="J1095" s="1"/>
      <c r="K1095" s="1"/>
      <c r="L1095" s="51"/>
    </row>
    <row r="1096" spans="10:12" x14ac:dyDescent="0.3">
      <c r="J1096" s="1"/>
      <c r="K1096" s="1"/>
      <c r="L1096" s="51"/>
    </row>
    <row r="1097" spans="10:12" x14ac:dyDescent="0.3">
      <c r="J1097" s="1"/>
      <c r="K1097" s="1"/>
      <c r="L1097" s="51"/>
    </row>
    <row r="1098" spans="10:12" x14ac:dyDescent="0.3">
      <c r="J1098" s="1"/>
      <c r="K1098" s="1"/>
      <c r="L1098" s="51"/>
    </row>
    <row r="1099" spans="10:12" x14ac:dyDescent="0.3">
      <c r="J1099" s="1"/>
      <c r="K1099" s="1"/>
      <c r="L1099" s="51"/>
    </row>
    <row r="1100" spans="10:12" x14ac:dyDescent="0.3">
      <c r="J1100" s="1"/>
      <c r="K1100" s="1"/>
      <c r="L1100" s="51"/>
    </row>
    <row r="1101" spans="10:12" x14ac:dyDescent="0.3">
      <c r="J1101" s="1"/>
      <c r="K1101" s="1"/>
      <c r="L1101" s="51"/>
    </row>
    <row r="1102" spans="10:12" x14ac:dyDescent="0.3">
      <c r="J1102" s="1"/>
      <c r="K1102" s="1"/>
      <c r="L1102" s="51"/>
    </row>
    <row r="1103" spans="10:12" x14ac:dyDescent="0.3">
      <c r="J1103" s="1"/>
      <c r="K1103" s="1"/>
      <c r="L1103" s="51"/>
    </row>
    <row r="1104" spans="10:12" x14ac:dyDescent="0.3">
      <c r="J1104" s="1"/>
      <c r="K1104" s="1"/>
      <c r="L1104" s="51"/>
    </row>
    <row r="1105" spans="10:12" x14ac:dyDescent="0.3">
      <c r="J1105" s="1"/>
      <c r="K1105" s="1"/>
      <c r="L1105" s="51"/>
    </row>
    <row r="1106" spans="10:12" x14ac:dyDescent="0.3">
      <c r="J1106" s="1"/>
      <c r="K1106" s="1"/>
      <c r="L1106" s="51"/>
    </row>
    <row r="1107" spans="10:12" x14ac:dyDescent="0.3">
      <c r="J1107" s="1"/>
      <c r="K1107" s="1"/>
      <c r="L1107" s="51"/>
    </row>
    <row r="1108" spans="10:12" x14ac:dyDescent="0.3">
      <c r="J1108" s="1"/>
      <c r="K1108" s="1"/>
      <c r="L1108" s="51"/>
    </row>
    <row r="1109" spans="10:12" x14ac:dyDescent="0.3">
      <c r="J1109" s="1"/>
      <c r="K1109" s="1"/>
      <c r="L1109" s="51"/>
    </row>
    <row r="1110" spans="10:12" x14ac:dyDescent="0.3">
      <c r="J1110" s="1"/>
      <c r="K1110" s="1"/>
      <c r="L1110" s="51"/>
    </row>
    <row r="1111" spans="10:12" x14ac:dyDescent="0.3">
      <c r="J1111" s="1"/>
      <c r="K1111" s="1"/>
      <c r="L1111" s="51"/>
    </row>
    <row r="1112" spans="10:12" x14ac:dyDescent="0.3">
      <c r="J1112" s="1"/>
      <c r="K1112" s="1"/>
      <c r="L1112" s="51"/>
    </row>
    <row r="1113" spans="10:12" x14ac:dyDescent="0.3">
      <c r="J1113" s="1"/>
      <c r="K1113" s="1"/>
      <c r="L1113" s="51"/>
    </row>
    <row r="1114" spans="10:12" x14ac:dyDescent="0.3">
      <c r="J1114" s="1"/>
      <c r="K1114" s="1"/>
      <c r="L1114" s="51"/>
    </row>
    <row r="1115" spans="10:12" x14ac:dyDescent="0.3">
      <c r="J1115" s="1"/>
      <c r="K1115" s="1"/>
      <c r="L1115" s="51"/>
    </row>
    <row r="1116" spans="10:12" x14ac:dyDescent="0.3">
      <c r="J1116" s="1"/>
      <c r="K1116" s="1"/>
      <c r="L1116" s="51"/>
    </row>
    <row r="1117" spans="10:12" x14ac:dyDescent="0.3">
      <c r="J1117" s="1"/>
      <c r="K1117" s="1"/>
      <c r="L1117" s="51"/>
    </row>
    <row r="1118" spans="10:12" x14ac:dyDescent="0.3">
      <c r="J1118" s="1"/>
      <c r="K1118" s="1"/>
      <c r="L1118" s="51"/>
    </row>
    <row r="1119" spans="10:12" x14ac:dyDescent="0.3">
      <c r="J1119" s="1"/>
      <c r="K1119" s="1"/>
      <c r="L1119" s="51"/>
    </row>
    <row r="1120" spans="10:12" x14ac:dyDescent="0.3">
      <c r="J1120" s="1"/>
      <c r="K1120" s="1"/>
      <c r="L1120" s="51"/>
    </row>
    <row r="1121" spans="10:12" x14ac:dyDescent="0.3">
      <c r="J1121" s="1"/>
      <c r="K1121" s="1"/>
      <c r="L1121" s="51"/>
    </row>
    <row r="1122" spans="10:12" x14ac:dyDescent="0.3">
      <c r="J1122" s="1"/>
      <c r="K1122" s="1"/>
      <c r="L1122" s="51"/>
    </row>
    <row r="1123" spans="10:12" x14ac:dyDescent="0.3">
      <c r="J1123" s="1"/>
      <c r="K1123" s="1"/>
      <c r="L1123" s="51"/>
    </row>
    <row r="1124" spans="10:12" x14ac:dyDescent="0.3">
      <c r="J1124" s="1"/>
      <c r="K1124" s="1"/>
      <c r="L1124" s="51"/>
    </row>
    <row r="1125" spans="10:12" x14ac:dyDescent="0.3">
      <c r="J1125" s="1"/>
      <c r="K1125" s="1"/>
      <c r="L1125" s="51"/>
    </row>
    <row r="1126" spans="10:12" x14ac:dyDescent="0.3">
      <c r="J1126" s="1"/>
      <c r="K1126" s="1"/>
      <c r="L1126" s="51"/>
    </row>
    <row r="1127" spans="10:12" x14ac:dyDescent="0.3">
      <c r="J1127" s="1"/>
      <c r="K1127" s="1"/>
      <c r="L1127" s="51"/>
    </row>
    <row r="1128" spans="10:12" x14ac:dyDescent="0.3">
      <c r="J1128" s="1"/>
      <c r="K1128" s="1"/>
      <c r="L1128" s="51"/>
    </row>
    <row r="1129" spans="10:12" x14ac:dyDescent="0.3">
      <c r="J1129" s="1"/>
      <c r="K1129" s="1"/>
      <c r="L1129" s="51"/>
    </row>
    <row r="1130" spans="10:12" x14ac:dyDescent="0.3">
      <c r="J1130" s="1"/>
      <c r="K1130" s="1"/>
      <c r="L1130" s="51"/>
    </row>
    <row r="1131" spans="10:12" x14ac:dyDescent="0.3">
      <c r="J1131" s="1"/>
      <c r="K1131" s="1"/>
      <c r="L1131" s="51"/>
    </row>
    <row r="1132" spans="10:12" x14ac:dyDescent="0.3">
      <c r="J1132" s="1"/>
      <c r="K1132" s="1"/>
      <c r="L1132" s="51"/>
    </row>
    <row r="1133" spans="10:12" x14ac:dyDescent="0.3">
      <c r="J1133" s="1"/>
      <c r="K1133" s="1"/>
      <c r="L1133" s="51"/>
    </row>
    <row r="1134" spans="10:12" x14ac:dyDescent="0.3">
      <c r="J1134" s="1"/>
      <c r="K1134" s="1"/>
      <c r="L1134" s="51"/>
    </row>
    <row r="1135" spans="10:12" x14ac:dyDescent="0.3">
      <c r="J1135" s="1"/>
      <c r="K1135" s="1"/>
      <c r="L1135" s="51"/>
    </row>
    <row r="1136" spans="10:12" x14ac:dyDescent="0.3">
      <c r="J1136" s="1"/>
      <c r="K1136" s="1"/>
      <c r="L1136" s="51"/>
    </row>
    <row r="1137" spans="10:12" x14ac:dyDescent="0.3">
      <c r="J1137" s="1"/>
      <c r="K1137" s="1"/>
      <c r="L1137" s="51"/>
    </row>
    <row r="1138" spans="10:12" x14ac:dyDescent="0.3">
      <c r="J1138" s="1"/>
      <c r="K1138" s="1"/>
      <c r="L1138" s="51"/>
    </row>
    <row r="1139" spans="10:12" x14ac:dyDescent="0.3">
      <c r="J1139" s="1"/>
      <c r="K1139" s="1"/>
      <c r="L1139" s="51"/>
    </row>
    <row r="1140" spans="10:12" x14ac:dyDescent="0.3">
      <c r="J1140" s="1"/>
      <c r="K1140" s="1"/>
      <c r="L1140" s="51"/>
    </row>
    <row r="1141" spans="10:12" x14ac:dyDescent="0.3">
      <c r="J1141" s="1"/>
      <c r="K1141" s="1"/>
      <c r="L1141" s="51"/>
    </row>
    <row r="1142" spans="10:12" x14ac:dyDescent="0.3">
      <c r="J1142" s="1"/>
      <c r="K1142" s="1"/>
      <c r="L1142" s="51"/>
    </row>
    <row r="1143" spans="10:12" x14ac:dyDescent="0.3">
      <c r="J1143" s="1"/>
      <c r="K1143" s="1"/>
      <c r="L1143" s="51"/>
    </row>
    <row r="1144" spans="10:12" x14ac:dyDescent="0.3">
      <c r="J1144" s="1"/>
      <c r="K1144" s="1"/>
      <c r="L1144" s="51"/>
    </row>
    <row r="1145" spans="10:12" x14ac:dyDescent="0.3">
      <c r="J1145" s="1"/>
      <c r="K1145" s="1"/>
      <c r="L1145" s="51"/>
    </row>
    <row r="1146" spans="10:12" x14ac:dyDescent="0.3">
      <c r="J1146" s="1"/>
      <c r="K1146" s="1"/>
      <c r="L1146" s="51"/>
    </row>
    <row r="1147" spans="10:12" x14ac:dyDescent="0.3">
      <c r="J1147" s="1"/>
      <c r="K1147" s="1"/>
      <c r="L1147" s="51"/>
    </row>
    <row r="1148" spans="10:12" x14ac:dyDescent="0.3">
      <c r="J1148" s="1"/>
      <c r="K1148" s="1"/>
      <c r="L1148" s="51"/>
    </row>
    <row r="1149" spans="10:12" x14ac:dyDescent="0.3">
      <c r="J1149" s="1"/>
      <c r="K1149" s="1"/>
      <c r="L1149" s="51"/>
    </row>
    <row r="1150" spans="10:12" x14ac:dyDescent="0.3">
      <c r="J1150" s="1"/>
      <c r="K1150" s="1"/>
      <c r="L1150" s="51"/>
    </row>
    <row r="1151" spans="10:12" x14ac:dyDescent="0.3">
      <c r="J1151" s="1"/>
      <c r="K1151" s="1"/>
      <c r="L1151" s="51"/>
    </row>
    <row r="1152" spans="10:12" x14ac:dyDescent="0.3">
      <c r="J1152" s="1"/>
      <c r="K1152" s="1"/>
      <c r="L1152" s="51"/>
    </row>
    <row r="1153" spans="10:12" x14ac:dyDescent="0.3">
      <c r="J1153" s="1"/>
      <c r="K1153" s="1"/>
      <c r="L1153" s="51"/>
    </row>
    <row r="1154" spans="10:12" x14ac:dyDescent="0.3">
      <c r="J1154" s="1"/>
      <c r="K1154" s="1"/>
      <c r="L1154" s="51"/>
    </row>
    <row r="1155" spans="10:12" x14ac:dyDescent="0.3">
      <c r="J1155" s="1"/>
      <c r="K1155" s="1"/>
      <c r="L1155" s="51"/>
    </row>
    <row r="1156" spans="10:12" x14ac:dyDescent="0.3">
      <c r="J1156" s="1"/>
      <c r="K1156" s="1"/>
      <c r="L1156" s="51"/>
    </row>
    <row r="1157" spans="10:12" x14ac:dyDescent="0.3">
      <c r="J1157" s="1"/>
      <c r="K1157" s="1"/>
      <c r="L1157" s="51"/>
    </row>
    <row r="1158" spans="10:12" x14ac:dyDescent="0.3">
      <c r="J1158" s="1"/>
      <c r="K1158" s="1"/>
      <c r="L1158" s="51"/>
    </row>
    <row r="1159" spans="10:12" x14ac:dyDescent="0.3">
      <c r="J1159" s="1"/>
      <c r="K1159" s="1"/>
      <c r="L1159" s="51"/>
    </row>
    <row r="1160" spans="10:12" x14ac:dyDescent="0.3">
      <c r="J1160" s="1"/>
      <c r="K1160" s="1"/>
      <c r="L1160" s="51"/>
    </row>
    <row r="1161" spans="10:12" x14ac:dyDescent="0.3">
      <c r="J1161" s="1"/>
      <c r="K1161" s="1"/>
      <c r="L1161" s="51"/>
    </row>
    <row r="1162" spans="10:12" x14ac:dyDescent="0.3">
      <c r="J1162" s="1"/>
      <c r="K1162" s="1"/>
      <c r="L1162" s="51"/>
    </row>
    <row r="1163" spans="10:12" x14ac:dyDescent="0.3">
      <c r="J1163" s="1"/>
      <c r="K1163" s="1"/>
      <c r="L1163" s="51"/>
    </row>
    <row r="1164" spans="10:12" x14ac:dyDescent="0.3">
      <c r="J1164" s="1"/>
      <c r="K1164" s="1"/>
      <c r="L1164" s="51"/>
    </row>
    <row r="1165" spans="10:12" x14ac:dyDescent="0.3">
      <c r="J1165" s="1"/>
      <c r="K1165" s="1"/>
      <c r="L1165" s="51"/>
    </row>
    <row r="1166" spans="10:12" x14ac:dyDescent="0.3">
      <c r="J1166" s="1"/>
      <c r="K1166" s="1"/>
      <c r="L1166" s="51"/>
    </row>
    <row r="1167" spans="10:12" x14ac:dyDescent="0.3">
      <c r="J1167" s="1"/>
      <c r="K1167" s="1"/>
      <c r="L1167" s="51"/>
    </row>
    <row r="1168" spans="10:12" x14ac:dyDescent="0.3">
      <c r="J1168" s="1"/>
      <c r="K1168" s="1"/>
      <c r="L1168" s="51"/>
    </row>
    <row r="1169" spans="10:12" x14ac:dyDescent="0.3">
      <c r="J1169" s="1"/>
      <c r="K1169" s="1"/>
      <c r="L1169" s="51"/>
    </row>
    <row r="1170" spans="10:12" x14ac:dyDescent="0.3">
      <c r="J1170" s="1"/>
      <c r="K1170" s="1"/>
      <c r="L1170" s="51"/>
    </row>
    <row r="1171" spans="10:12" x14ac:dyDescent="0.3">
      <c r="J1171" s="1"/>
      <c r="K1171" s="1"/>
      <c r="L1171" s="51"/>
    </row>
    <row r="1172" spans="10:12" x14ac:dyDescent="0.3">
      <c r="J1172" s="1"/>
      <c r="K1172" s="1"/>
      <c r="L1172" s="51"/>
    </row>
    <row r="1173" spans="10:12" x14ac:dyDescent="0.3">
      <c r="J1173" s="1"/>
      <c r="K1173" s="1"/>
      <c r="L1173" s="51"/>
    </row>
    <row r="1174" spans="10:12" x14ac:dyDescent="0.3">
      <c r="J1174" s="1"/>
      <c r="K1174" s="1"/>
      <c r="L1174" s="51"/>
    </row>
    <row r="1175" spans="10:12" x14ac:dyDescent="0.3">
      <c r="J1175" s="1"/>
      <c r="K1175" s="1"/>
      <c r="L1175" s="51"/>
    </row>
    <row r="1176" spans="10:12" x14ac:dyDescent="0.3">
      <c r="J1176" s="1"/>
      <c r="K1176" s="1"/>
      <c r="L1176" s="51"/>
    </row>
    <row r="1177" spans="10:12" x14ac:dyDescent="0.3">
      <c r="J1177" s="1"/>
      <c r="K1177" s="1"/>
      <c r="L1177" s="51"/>
    </row>
    <row r="1178" spans="10:12" x14ac:dyDescent="0.3">
      <c r="J1178" s="1"/>
      <c r="K1178" s="1"/>
      <c r="L1178" s="51"/>
    </row>
    <row r="1179" spans="10:12" x14ac:dyDescent="0.3">
      <c r="J1179" s="1"/>
      <c r="K1179" s="1"/>
      <c r="L1179" s="51"/>
    </row>
    <row r="1180" spans="10:12" x14ac:dyDescent="0.3">
      <c r="J1180" s="1"/>
      <c r="K1180" s="1"/>
      <c r="L1180" s="51"/>
    </row>
    <row r="1181" spans="10:12" x14ac:dyDescent="0.3">
      <c r="J1181" s="1"/>
      <c r="K1181" s="1"/>
      <c r="L1181" s="51"/>
    </row>
    <row r="1182" spans="10:12" x14ac:dyDescent="0.3">
      <c r="J1182" s="1"/>
      <c r="K1182" s="1"/>
      <c r="L1182" s="51"/>
    </row>
    <row r="1183" spans="10:12" x14ac:dyDescent="0.3">
      <c r="J1183" s="1"/>
      <c r="K1183" s="1"/>
      <c r="L1183" s="51"/>
    </row>
    <row r="1184" spans="10:12" x14ac:dyDescent="0.3">
      <c r="J1184" s="1"/>
      <c r="K1184" s="1"/>
      <c r="L1184" s="51"/>
    </row>
    <row r="1185" spans="10:12" x14ac:dyDescent="0.3">
      <c r="J1185" s="1"/>
      <c r="K1185" s="1"/>
      <c r="L1185" s="51"/>
    </row>
    <row r="1186" spans="10:12" x14ac:dyDescent="0.3">
      <c r="J1186" s="1"/>
      <c r="K1186" s="1"/>
      <c r="L1186" s="51"/>
    </row>
    <row r="1187" spans="10:12" x14ac:dyDescent="0.3">
      <c r="J1187" s="1"/>
      <c r="K1187" s="1"/>
      <c r="L1187" s="51"/>
    </row>
    <row r="1188" spans="10:12" x14ac:dyDescent="0.3">
      <c r="J1188" s="1"/>
      <c r="K1188" s="1"/>
      <c r="L1188" s="51"/>
    </row>
    <row r="1189" spans="10:12" x14ac:dyDescent="0.3">
      <c r="J1189" s="1"/>
      <c r="K1189" s="1"/>
      <c r="L1189" s="51"/>
    </row>
    <row r="1190" spans="10:12" x14ac:dyDescent="0.3">
      <c r="J1190" s="1"/>
      <c r="K1190" s="1"/>
      <c r="L1190" s="51"/>
    </row>
    <row r="1191" spans="10:12" x14ac:dyDescent="0.3">
      <c r="J1191" s="1"/>
      <c r="K1191" s="1"/>
      <c r="L1191" s="51"/>
    </row>
    <row r="1192" spans="10:12" x14ac:dyDescent="0.3">
      <c r="J1192" s="1"/>
      <c r="K1192" s="1"/>
      <c r="L1192" s="51"/>
    </row>
    <row r="1193" spans="10:12" x14ac:dyDescent="0.3">
      <c r="J1193" s="1"/>
      <c r="K1193" s="1"/>
      <c r="L1193" s="51"/>
    </row>
    <row r="1194" spans="10:12" x14ac:dyDescent="0.3">
      <c r="J1194" s="1"/>
      <c r="K1194" s="1"/>
      <c r="L1194" s="51"/>
    </row>
    <row r="1195" spans="10:12" x14ac:dyDescent="0.3">
      <c r="J1195" s="1"/>
      <c r="K1195" s="1"/>
      <c r="L1195" s="51"/>
    </row>
    <row r="1196" spans="10:12" x14ac:dyDescent="0.3">
      <c r="J1196" s="1"/>
      <c r="K1196" s="1"/>
      <c r="L1196" s="51"/>
    </row>
    <row r="1197" spans="10:12" x14ac:dyDescent="0.3">
      <c r="J1197" s="1"/>
      <c r="K1197" s="1"/>
      <c r="L1197" s="51"/>
    </row>
    <row r="1198" spans="10:12" x14ac:dyDescent="0.3">
      <c r="J1198" s="1"/>
      <c r="K1198" s="1"/>
      <c r="L1198" s="51"/>
    </row>
    <row r="1199" spans="10:12" x14ac:dyDescent="0.3">
      <c r="J1199" s="1"/>
      <c r="K1199" s="1"/>
      <c r="L1199" s="51"/>
    </row>
    <row r="1200" spans="10:12" x14ac:dyDescent="0.3">
      <c r="J1200" s="1"/>
      <c r="K1200" s="1"/>
      <c r="L1200" s="51"/>
    </row>
    <row r="1201" spans="10:12" x14ac:dyDescent="0.3">
      <c r="J1201" s="1"/>
      <c r="K1201" s="1"/>
      <c r="L1201" s="51"/>
    </row>
    <row r="1202" spans="10:12" x14ac:dyDescent="0.3">
      <c r="J1202" s="1"/>
      <c r="K1202" s="1"/>
      <c r="L1202" s="51"/>
    </row>
    <row r="1203" spans="10:12" x14ac:dyDescent="0.3">
      <c r="J1203" s="1"/>
      <c r="K1203" s="1"/>
      <c r="L1203" s="51"/>
    </row>
    <row r="1204" spans="10:12" x14ac:dyDescent="0.3">
      <c r="J1204" s="1"/>
      <c r="K1204" s="1"/>
      <c r="L1204" s="51"/>
    </row>
    <row r="1205" spans="10:12" x14ac:dyDescent="0.3">
      <c r="J1205" s="1"/>
      <c r="K1205" s="1"/>
      <c r="L1205" s="51"/>
    </row>
    <row r="1206" spans="10:12" x14ac:dyDescent="0.3">
      <c r="J1206" s="1"/>
      <c r="K1206" s="1"/>
      <c r="L1206" s="51"/>
    </row>
    <row r="1207" spans="10:12" x14ac:dyDescent="0.3">
      <c r="J1207" s="1"/>
      <c r="K1207" s="1"/>
      <c r="L1207" s="51"/>
    </row>
    <row r="1208" spans="10:12" x14ac:dyDescent="0.3">
      <c r="J1208" s="1"/>
      <c r="K1208" s="1"/>
      <c r="L1208" s="51"/>
    </row>
    <row r="1209" spans="10:12" x14ac:dyDescent="0.3">
      <c r="J1209" s="1"/>
      <c r="K1209" s="1"/>
      <c r="L1209" s="51"/>
    </row>
    <row r="1210" spans="10:12" x14ac:dyDescent="0.3">
      <c r="J1210" s="1"/>
      <c r="K1210" s="1"/>
      <c r="L1210" s="51"/>
    </row>
    <row r="1211" spans="10:12" x14ac:dyDescent="0.3">
      <c r="J1211" s="1"/>
      <c r="K1211" s="1"/>
      <c r="L1211" s="51"/>
    </row>
    <row r="1212" spans="10:12" x14ac:dyDescent="0.3">
      <c r="J1212" s="1"/>
      <c r="K1212" s="1"/>
      <c r="L1212" s="51"/>
    </row>
    <row r="1213" spans="10:12" x14ac:dyDescent="0.3">
      <c r="J1213" s="1"/>
      <c r="K1213" s="1"/>
      <c r="L1213" s="51"/>
    </row>
    <row r="1214" spans="10:12" x14ac:dyDescent="0.3">
      <c r="J1214" s="1"/>
      <c r="K1214" s="1"/>
      <c r="L1214" s="51"/>
    </row>
    <row r="1215" spans="10:12" x14ac:dyDescent="0.3">
      <c r="J1215" s="1"/>
      <c r="K1215" s="1"/>
      <c r="L1215" s="51"/>
    </row>
    <row r="1216" spans="10:12" x14ac:dyDescent="0.3">
      <c r="J1216" s="1"/>
      <c r="K1216" s="1"/>
      <c r="L1216" s="51"/>
    </row>
    <row r="1217" spans="10:12" x14ac:dyDescent="0.3">
      <c r="J1217" s="1"/>
      <c r="K1217" s="1"/>
      <c r="L1217" s="51"/>
    </row>
    <row r="1218" spans="10:12" x14ac:dyDescent="0.3">
      <c r="J1218" s="1"/>
      <c r="K1218" s="1"/>
      <c r="L1218" s="51"/>
    </row>
    <row r="1219" spans="10:12" x14ac:dyDescent="0.3">
      <c r="J1219" s="1"/>
      <c r="K1219" s="1"/>
      <c r="L1219" s="51"/>
    </row>
    <row r="1220" spans="10:12" x14ac:dyDescent="0.3">
      <c r="J1220" s="1"/>
      <c r="K1220" s="1"/>
      <c r="L1220" s="51"/>
    </row>
    <row r="1221" spans="10:12" x14ac:dyDescent="0.3">
      <c r="J1221" s="1"/>
      <c r="K1221" s="1"/>
      <c r="L1221" s="51"/>
    </row>
    <row r="1222" spans="10:12" x14ac:dyDescent="0.3">
      <c r="J1222" s="1"/>
      <c r="K1222" s="1"/>
      <c r="L1222" s="51"/>
    </row>
    <row r="1223" spans="10:12" x14ac:dyDescent="0.3">
      <c r="J1223" s="1"/>
      <c r="K1223" s="1"/>
      <c r="L1223" s="51"/>
    </row>
    <row r="1224" spans="10:12" x14ac:dyDescent="0.3">
      <c r="J1224" s="1"/>
      <c r="K1224" s="1"/>
      <c r="L1224" s="51"/>
    </row>
    <row r="1225" spans="10:12" x14ac:dyDescent="0.3">
      <c r="J1225" s="1"/>
      <c r="K1225" s="1"/>
      <c r="L1225" s="51"/>
    </row>
    <row r="1226" spans="10:12" x14ac:dyDescent="0.3">
      <c r="J1226" s="1"/>
      <c r="K1226" s="1"/>
      <c r="L1226" s="51"/>
    </row>
    <row r="1227" spans="10:12" x14ac:dyDescent="0.3">
      <c r="J1227" s="1"/>
      <c r="K1227" s="1"/>
      <c r="L1227" s="51"/>
    </row>
    <row r="1228" spans="10:12" x14ac:dyDescent="0.3">
      <c r="J1228" s="1"/>
      <c r="K1228" s="1"/>
      <c r="L1228" s="51"/>
    </row>
    <row r="1229" spans="10:12" x14ac:dyDescent="0.3">
      <c r="J1229" s="1"/>
      <c r="K1229" s="1"/>
      <c r="L1229" s="51"/>
    </row>
    <row r="1230" spans="10:12" x14ac:dyDescent="0.3">
      <c r="J1230" s="1"/>
      <c r="K1230" s="1"/>
      <c r="L1230" s="51"/>
    </row>
    <row r="1231" spans="10:12" x14ac:dyDescent="0.3">
      <c r="J1231" s="1"/>
      <c r="K1231" s="1"/>
      <c r="L1231" s="51"/>
    </row>
    <row r="1232" spans="10:12" x14ac:dyDescent="0.3">
      <c r="J1232" s="1"/>
      <c r="K1232" s="1"/>
      <c r="L1232" s="51"/>
    </row>
    <row r="1233" spans="10:12" x14ac:dyDescent="0.3">
      <c r="J1233" s="1"/>
      <c r="K1233" s="1"/>
      <c r="L1233" s="51"/>
    </row>
    <row r="1234" spans="10:12" x14ac:dyDescent="0.3">
      <c r="J1234" s="1"/>
      <c r="K1234" s="1"/>
      <c r="L1234" s="51"/>
    </row>
    <row r="1235" spans="10:12" x14ac:dyDescent="0.3">
      <c r="J1235" s="1"/>
      <c r="K1235" s="1"/>
      <c r="L1235" s="51"/>
    </row>
    <row r="1236" spans="10:12" x14ac:dyDescent="0.3">
      <c r="J1236" s="1"/>
      <c r="K1236" s="1"/>
      <c r="L1236" s="51"/>
    </row>
    <row r="1237" spans="10:12" x14ac:dyDescent="0.3">
      <c r="J1237" s="1"/>
      <c r="K1237" s="1"/>
      <c r="L1237" s="51"/>
    </row>
    <row r="1238" spans="10:12" x14ac:dyDescent="0.3">
      <c r="J1238" s="1"/>
      <c r="K1238" s="1"/>
      <c r="L1238" s="51"/>
    </row>
    <row r="1239" spans="10:12" x14ac:dyDescent="0.3">
      <c r="J1239" s="1"/>
      <c r="K1239" s="1"/>
      <c r="L1239" s="51"/>
    </row>
    <row r="1240" spans="10:12" x14ac:dyDescent="0.3">
      <c r="J1240" s="1"/>
      <c r="K1240" s="1"/>
      <c r="L1240" s="51"/>
    </row>
    <row r="1241" spans="10:12" x14ac:dyDescent="0.3">
      <c r="J1241" s="1"/>
      <c r="K1241" s="1"/>
      <c r="L1241" s="51"/>
    </row>
    <row r="1242" spans="10:12" x14ac:dyDescent="0.3">
      <c r="J1242" s="1"/>
      <c r="K1242" s="1"/>
      <c r="L1242" s="51"/>
    </row>
    <row r="1243" spans="10:12" x14ac:dyDescent="0.3">
      <c r="J1243" s="1"/>
      <c r="K1243" s="1"/>
      <c r="L1243" s="51"/>
    </row>
    <row r="1244" spans="10:12" x14ac:dyDescent="0.3">
      <c r="J1244" s="1"/>
      <c r="K1244" s="1"/>
      <c r="L1244" s="51"/>
    </row>
    <row r="1245" spans="10:12" x14ac:dyDescent="0.3">
      <c r="J1245" s="1"/>
      <c r="K1245" s="1"/>
      <c r="L1245" s="51"/>
    </row>
    <row r="1246" spans="10:12" x14ac:dyDescent="0.3">
      <c r="J1246" s="1"/>
      <c r="K1246" s="1"/>
      <c r="L1246" s="51"/>
    </row>
    <row r="1247" spans="10:12" x14ac:dyDescent="0.3">
      <c r="J1247" s="1"/>
      <c r="K1247" s="1"/>
      <c r="L1247" s="51"/>
    </row>
    <row r="1248" spans="10:12" x14ac:dyDescent="0.3">
      <c r="J1248" s="1"/>
      <c r="K1248" s="1"/>
      <c r="L1248" s="51"/>
    </row>
    <row r="1249" spans="10:12" x14ac:dyDescent="0.3">
      <c r="J1249" s="1"/>
      <c r="K1249" s="1"/>
      <c r="L1249" s="51"/>
    </row>
    <row r="1250" spans="10:12" x14ac:dyDescent="0.3">
      <c r="J1250" s="1"/>
      <c r="K1250" s="1"/>
      <c r="L1250" s="51"/>
    </row>
    <row r="1251" spans="10:12" x14ac:dyDescent="0.3">
      <c r="J1251" s="1"/>
      <c r="K1251" s="1"/>
      <c r="L1251" s="51"/>
    </row>
    <row r="1252" spans="10:12" x14ac:dyDescent="0.3">
      <c r="J1252" s="1"/>
      <c r="K1252" s="1"/>
      <c r="L1252" s="51"/>
    </row>
    <row r="1253" spans="10:12" x14ac:dyDescent="0.3">
      <c r="J1253" s="1"/>
      <c r="K1253" s="1"/>
      <c r="L1253" s="51"/>
    </row>
    <row r="1254" spans="10:12" x14ac:dyDescent="0.3">
      <c r="J1254" s="1"/>
      <c r="K1254" s="1"/>
      <c r="L1254" s="51"/>
    </row>
    <row r="1255" spans="10:12" x14ac:dyDescent="0.3">
      <c r="J1255" s="1"/>
      <c r="K1255" s="1"/>
      <c r="L1255" s="51"/>
    </row>
    <row r="1256" spans="10:12" x14ac:dyDescent="0.3">
      <c r="J1256" s="1"/>
      <c r="K1256" s="1"/>
      <c r="L1256" s="51"/>
    </row>
    <row r="1257" spans="10:12" x14ac:dyDescent="0.3">
      <c r="J1257" s="1"/>
      <c r="K1257" s="1"/>
      <c r="L1257" s="51"/>
    </row>
    <row r="1258" spans="10:12" x14ac:dyDescent="0.3">
      <c r="J1258" s="1"/>
      <c r="K1258" s="1"/>
      <c r="L1258" s="51"/>
    </row>
    <row r="1259" spans="10:12" x14ac:dyDescent="0.3">
      <c r="J1259" s="1"/>
      <c r="K1259" s="1"/>
      <c r="L1259" s="51"/>
    </row>
    <row r="1260" spans="10:12" x14ac:dyDescent="0.3">
      <c r="J1260" s="1"/>
      <c r="K1260" s="1"/>
      <c r="L1260" s="51"/>
    </row>
    <row r="1261" spans="10:12" x14ac:dyDescent="0.3">
      <c r="J1261" s="1"/>
      <c r="K1261" s="1"/>
      <c r="L1261" s="51"/>
    </row>
    <row r="1262" spans="10:12" x14ac:dyDescent="0.3">
      <c r="J1262" s="1"/>
      <c r="K1262" s="1"/>
      <c r="L1262" s="51"/>
    </row>
    <row r="1263" spans="10:12" x14ac:dyDescent="0.3">
      <c r="J1263" s="1"/>
      <c r="K1263" s="1"/>
      <c r="L1263" s="51"/>
    </row>
    <row r="1264" spans="10:12" x14ac:dyDescent="0.3">
      <c r="J1264" s="1"/>
      <c r="K1264" s="1"/>
      <c r="L1264" s="51"/>
    </row>
    <row r="1265" spans="10:12" x14ac:dyDescent="0.3">
      <c r="J1265" s="1"/>
      <c r="K1265" s="1"/>
      <c r="L1265" s="51"/>
    </row>
    <row r="1266" spans="10:12" x14ac:dyDescent="0.3">
      <c r="J1266" s="1"/>
      <c r="K1266" s="1"/>
      <c r="L1266" s="51"/>
    </row>
    <row r="1267" spans="10:12" x14ac:dyDescent="0.3">
      <c r="J1267" s="1"/>
      <c r="K1267" s="1"/>
      <c r="L1267" s="51"/>
    </row>
    <row r="1268" spans="10:12" x14ac:dyDescent="0.3">
      <c r="J1268" s="1"/>
      <c r="K1268" s="1"/>
      <c r="L1268" s="51"/>
    </row>
    <row r="1269" spans="10:12" x14ac:dyDescent="0.3">
      <c r="J1269" s="1"/>
      <c r="K1269" s="1"/>
      <c r="L1269" s="51"/>
    </row>
    <row r="1270" spans="10:12" x14ac:dyDescent="0.3">
      <c r="J1270" s="1"/>
      <c r="K1270" s="1"/>
      <c r="L1270" s="51"/>
    </row>
    <row r="1271" spans="10:12" x14ac:dyDescent="0.3">
      <c r="J1271" s="1"/>
      <c r="K1271" s="1"/>
      <c r="L1271" s="51"/>
    </row>
    <row r="1272" spans="10:12" x14ac:dyDescent="0.3">
      <c r="J1272" s="1"/>
      <c r="K1272" s="1"/>
      <c r="L1272" s="51"/>
    </row>
    <row r="1273" spans="10:12" x14ac:dyDescent="0.3">
      <c r="J1273" s="1"/>
      <c r="K1273" s="1"/>
      <c r="L1273" s="51"/>
    </row>
    <row r="1274" spans="10:12" x14ac:dyDescent="0.3">
      <c r="J1274" s="1"/>
      <c r="K1274" s="1"/>
      <c r="L1274" s="51"/>
    </row>
    <row r="1275" spans="10:12" x14ac:dyDescent="0.3">
      <c r="J1275" s="1"/>
      <c r="K1275" s="1"/>
      <c r="L1275" s="51"/>
    </row>
    <row r="1276" spans="10:12" x14ac:dyDescent="0.3">
      <c r="J1276" s="1"/>
      <c r="K1276" s="1"/>
      <c r="L1276" s="51"/>
    </row>
    <row r="1277" spans="10:12" x14ac:dyDescent="0.3">
      <c r="J1277" s="1"/>
      <c r="K1277" s="1"/>
      <c r="L1277" s="51"/>
    </row>
    <row r="1278" spans="10:12" x14ac:dyDescent="0.3">
      <c r="J1278" s="1"/>
      <c r="K1278" s="1"/>
      <c r="L1278" s="51"/>
    </row>
    <row r="1279" spans="10:12" x14ac:dyDescent="0.3">
      <c r="J1279" s="1"/>
      <c r="K1279" s="1"/>
      <c r="L1279" s="51"/>
    </row>
    <row r="1280" spans="10:12" x14ac:dyDescent="0.3">
      <c r="J1280" s="1"/>
      <c r="K1280" s="1"/>
      <c r="L1280" s="51"/>
    </row>
    <row r="1281" spans="10:12" x14ac:dyDescent="0.3">
      <c r="J1281" s="1"/>
      <c r="K1281" s="1"/>
      <c r="L1281" s="51"/>
    </row>
    <row r="1282" spans="10:12" x14ac:dyDescent="0.3">
      <c r="J1282" s="1"/>
      <c r="K1282" s="1"/>
      <c r="L1282" s="51"/>
    </row>
    <row r="1283" spans="10:12" x14ac:dyDescent="0.3">
      <c r="J1283" s="1"/>
      <c r="K1283" s="1"/>
      <c r="L1283" s="51"/>
    </row>
    <row r="1284" spans="10:12" x14ac:dyDescent="0.3">
      <c r="J1284" s="1"/>
      <c r="K1284" s="1"/>
      <c r="L1284" s="51"/>
    </row>
    <row r="1285" spans="10:12" x14ac:dyDescent="0.3">
      <c r="J1285" s="1"/>
      <c r="K1285" s="1"/>
      <c r="L1285" s="51"/>
    </row>
    <row r="1286" spans="10:12" x14ac:dyDescent="0.3">
      <c r="J1286" s="1"/>
      <c r="K1286" s="1"/>
      <c r="L1286" s="51"/>
    </row>
    <row r="1287" spans="10:12" x14ac:dyDescent="0.3">
      <c r="J1287" s="1"/>
      <c r="K1287" s="1"/>
      <c r="L1287" s="51"/>
    </row>
    <row r="1288" spans="10:12" x14ac:dyDescent="0.3">
      <c r="J1288" s="1"/>
      <c r="K1288" s="1"/>
      <c r="L1288" s="51"/>
    </row>
    <row r="1289" spans="10:12" x14ac:dyDescent="0.3">
      <c r="J1289" s="1"/>
      <c r="K1289" s="1"/>
      <c r="L1289" s="51"/>
    </row>
    <row r="1290" spans="10:12" x14ac:dyDescent="0.3">
      <c r="J1290" s="1"/>
      <c r="K1290" s="1"/>
      <c r="L1290" s="51"/>
    </row>
    <row r="1291" spans="10:12" x14ac:dyDescent="0.3">
      <c r="J1291" s="1"/>
      <c r="K1291" s="1"/>
      <c r="L1291" s="51"/>
    </row>
    <row r="1292" spans="10:12" x14ac:dyDescent="0.3">
      <c r="J1292" s="1"/>
      <c r="K1292" s="1"/>
      <c r="L1292" s="51"/>
    </row>
    <row r="1293" spans="10:12" x14ac:dyDescent="0.3">
      <c r="J1293" s="1"/>
      <c r="K1293" s="1"/>
      <c r="L1293" s="51"/>
    </row>
    <row r="1294" spans="10:12" x14ac:dyDescent="0.3">
      <c r="J1294" s="1"/>
      <c r="K1294" s="1"/>
      <c r="L1294" s="51"/>
    </row>
    <row r="1295" spans="10:12" x14ac:dyDescent="0.3">
      <c r="J1295" s="1"/>
      <c r="K1295" s="1"/>
      <c r="L1295" s="51"/>
    </row>
    <row r="1296" spans="10:12" x14ac:dyDescent="0.3">
      <c r="J1296" s="1"/>
      <c r="K1296" s="1"/>
      <c r="L1296" s="51"/>
    </row>
    <row r="1297" spans="10:12" x14ac:dyDescent="0.3">
      <c r="J1297" s="1"/>
      <c r="K1297" s="1"/>
      <c r="L1297" s="51"/>
    </row>
    <row r="1298" spans="10:12" x14ac:dyDescent="0.3">
      <c r="J1298" s="1"/>
      <c r="K1298" s="1"/>
      <c r="L1298" s="51"/>
    </row>
    <row r="1299" spans="10:12" x14ac:dyDescent="0.3">
      <c r="J1299" s="1"/>
      <c r="K1299" s="1"/>
      <c r="L1299" s="51"/>
    </row>
    <row r="1300" spans="10:12" x14ac:dyDescent="0.3">
      <c r="J1300" s="1"/>
      <c r="K1300" s="1"/>
      <c r="L1300" s="51"/>
    </row>
    <row r="1301" spans="10:12" x14ac:dyDescent="0.3">
      <c r="J1301" s="1"/>
      <c r="K1301" s="1"/>
      <c r="L1301" s="51"/>
    </row>
    <row r="1302" spans="10:12" x14ac:dyDescent="0.3">
      <c r="J1302" s="1"/>
      <c r="K1302" s="1"/>
      <c r="L1302" s="51"/>
    </row>
    <row r="1303" spans="10:12" x14ac:dyDescent="0.3">
      <c r="J1303" s="1"/>
      <c r="K1303" s="1"/>
      <c r="L1303" s="51"/>
    </row>
    <row r="1304" spans="10:12" x14ac:dyDescent="0.3">
      <c r="J1304" s="1"/>
      <c r="K1304" s="1"/>
      <c r="L1304" s="51"/>
    </row>
    <row r="1305" spans="10:12" x14ac:dyDescent="0.3">
      <c r="J1305" s="1"/>
      <c r="K1305" s="1"/>
      <c r="L1305" s="51"/>
    </row>
    <row r="1306" spans="10:12" x14ac:dyDescent="0.3">
      <c r="J1306" s="1"/>
      <c r="K1306" s="1"/>
      <c r="L1306" s="51"/>
    </row>
    <row r="1307" spans="10:12" x14ac:dyDescent="0.3">
      <c r="J1307" s="1"/>
      <c r="K1307" s="1"/>
      <c r="L1307" s="51"/>
    </row>
    <row r="1308" spans="10:12" x14ac:dyDescent="0.3">
      <c r="J1308" s="1"/>
      <c r="K1308" s="1"/>
      <c r="L1308" s="51"/>
    </row>
    <row r="1309" spans="10:12" x14ac:dyDescent="0.3">
      <c r="J1309" s="1"/>
      <c r="K1309" s="1"/>
      <c r="L1309" s="51"/>
    </row>
    <row r="1310" spans="10:12" x14ac:dyDescent="0.3">
      <c r="J1310" s="1"/>
      <c r="K1310" s="1"/>
      <c r="L1310" s="51"/>
    </row>
    <row r="1311" spans="10:12" x14ac:dyDescent="0.3">
      <c r="J1311" s="1"/>
      <c r="K1311" s="1"/>
      <c r="L1311" s="51"/>
    </row>
    <row r="1312" spans="10:12" x14ac:dyDescent="0.3">
      <c r="J1312" s="1"/>
      <c r="K1312" s="1"/>
      <c r="L1312" s="51"/>
    </row>
    <row r="1313" spans="10:12" x14ac:dyDescent="0.3">
      <c r="J1313" s="1"/>
      <c r="K1313" s="1"/>
      <c r="L1313" s="51"/>
    </row>
    <row r="1314" spans="10:12" x14ac:dyDescent="0.3">
      <c r="J1314" s="1"/>
      <c r="K1314" s="1"/>
      <c r="L1314" s="51"/>
    </row>
    <row r="1315" spans="10:12" x14ac:dyDescent="0.3">
      <c r="J1315" s="1"/>
      <c r="K1315" s="1"/>
      <c r="L1315" s="51"/>
    </row>
    <row r="1316" spans="10:12" x14ac:dyDescent="0.3">
      <c r="J1316" s="1"/>
      <c r="K1316" s="1"/>
      <c r="L1316" s="51"/>
    </row>
    <row r="1317" spans="10:12" x14ac:dyDescent="0.3">
      <c r="J1317" s="1"/>
      <c r="K1317" s="1"/>
      <c r="L1317" s="51"/>
    </row>
    <row r="1318" spans="10:12" x14ac:dyDescent="0.3">
      <c r="J1318" s="1"/>
      <c r="K1318" s="1"/>
      <c r="L1318" s="51"/>
    </row>
    <row r="1319" spans="10:12" x14ac:dyDescent="0.3">
      <c r="J1319" s="1"/>
      <c r="K1319" s="1"/>
      <c r="L1319" s="51"/>
    </row>
    <row r="1320" spans="10:12" x14ac:dyDescent="0.3">
      <c r="J1320" s="1"/>
      <c r="K1320" s="1"/>
      <c r="L1320" s="51"/>
    </row>
    <row r="1321" spans="10:12" x14ac:dyDescent="0.3">
      <c r="J1321" s="1"/>
      <c r="K1321" s="1"/>
      <c r="L1321" s="51"/>
    </row>
    <row r="1322" spans="10:12" x14ac:dyDescent="0.3">
      <c r="J1322" s="1"/>
      <c r="K1322" s="1"/>
      <c r="L1322" s="51"/>
    </row>
    <row r="1323" spans="10:12" x14ac:dyDescent="0.3">
      <c r="J1323" s="1"/>
      <c r="K1323" s="1"/>
      <c r="L1323" s="51"/>
    </row>
    <row r="1324" spans="10:12" x14ac:dyDescent="0.3">
      <c r="J1324" s="1"/>
      <c r="K1324" s="1"/>
      <c r="L1324" s="51"/>
    </row>
    <row r="1325" spans="10:12" x14ac:dyDescent="0.3">
      <c r="J1325" s="1"/>
      <c r="K1325" s="1"/>
      <c r="L1325" s="51"/>
    </row>
    <row r="1326" spans="10:12" x14ac:dyDescent="0.3">
      <c r="J1326" s="1"/>
      <c r="K1326" s="1"/>
      <c r="L1326" s="51"/>
    </row>
    <row r="1327" spans="10:12" x14ac:dyDescent="0.3">
      <c r="J1327" s="1"/>
      <c r="K1327" s="1"/>
      <c r="L1327" s="51"/>
    </row>
    <row r="1328" spans="10:12" x14ac:dyDescent="0.3">
      <c r="J1328" s="1"/>
      <c r="K1328" s="1"/>
      <c r="L1328" s="51"/>
    </row>
    <row r="1329" spans="10:12" x14ac:dyDescent="0.3">
      <c r="J1329" s="1"/>
      <c r="K1329" s="1"/>
      <c r="L1329" s="51"/>
    </row>
    <row r="1330" spans="10:12" x14ac:dyDescent="0.3">
      <c r="J1330" s="1"/>
      <c r="K1330" s="1"/>
      <c r="L1330" s="51"/>
    </row>
    <row r="1331" spans="10:12" x14ac:dyDescent="0.3">
      <c r="J1331" s="1"/>
      <c r="K1331" s="1"/>
      <c r="L1331" s="51"/>
    </row>
    <row r="1332" spans="10:12" x14ac:dyDescent="0.3">
      <c r="J1332" s="1"/>
      <c r="K1332" s="1"/>
      <c r="L1332" s="51"/>
    </row>
    <row r="1333" spans="10:12" x14ac:dyDescent="0.3">
      <c r="J1333" s="1"/>
      <c r="K1333" s="1"/>
      <c r="L1333" s="51"/>
    </row>
    <row r="1334" spans="10:12" x14ac:dyDescent="0.3">
      <c r="J1334" s="1"/>
      <c r="K1334" s="1"/>
      <c r="L1334" s="51"/>
    </row>
    <row r="1335" spans="10:12" x14ac:dyDescent="0.3">
      <c r="J1335" s="1"/>
      <c r="K1335" s="1"/>
      <c r="L1335" s="51"/>
    </row>
    <row r="1336" spans="10:12" x14ac:dyDescent="0.3">
      <c r="J1336" s="1"/>
      <c r="K1336" s="1"/>
      <c r="L1336" s="51"/>
    </row>
    <row r="1337" spans="10:12" x14ac:dyDescent="0.3">
      <c r="J1337" s="1"/>
      <c r="K1337" s="1"/>
      <c r="L1337" s="51"/>
    </row>
    <row r="1338" spans="10:12" x14ac:dyDescent="0.3">
      <c r="J1338" s="1"/>
      <c r="K1338" s="1"/>
      <c r="L1338" s="51"/>
    </row>
    <row r="1339" spans="10:12" x14ac:dyDescent="0.3">
      <c r="J1339" s="1"/>
      <c r="K1339" s="1"/>
      <c r="L1339" s="51"/>
    </row>
    <row r="1340" spans="10:12" x14ac:dyDescent="0.3">
      <c r="J1340" s="1"/>
      <c r="K1340" s="1"/>
      <c r="L1340" s="51"/>
    </row>
    <row r="1341" spans="10:12" x14ac:dyDescent="0.3">
      <c r="J1341" s="1"/>
      <c r="K1341" s="1"/>
      <c r="L1341" s="51"/>
    </row>
    <row r="1342" spans="10:12" x14ac:dyDescent="0.3">
      <c r="J1342" s="1"/>
      <c r="K1342" s="1"/>
      <c r="L1342" s="51"/>
    </row>
    <row r="1343" spans="10:12" x14ac:dyDescent="0.3">
      <c r="J1343" s="1"/>
      <c r="K1343" s="1"/>
      <c r="L1343" s="51"/>
    </row>
    <row r="1344" spans="10:12" x14ac:dyDescent="0.3">
      <c r="J1344" s="1"/>
      <c r="K1344" s="1"/>
      <c r="L1344" s="51"/>
    </row>
    <row r="1345" spans="10:12" x14ac:dyDescent="0.3">
      <c r="J1345" s="1"/>
      <c r="K1345" s="1"/>
      <c r="L1345" s="51"/>
    </row>
    <row r="1346" spans="10:12" x14ac:dyDescent="0.3">
      <c r="J1346" s="1"/>
      <c r="K1346" s="1"/>
      <c r="L1346" s="51"/>
    </row>
    <row r="1347" spans="10:12" x14ac:dyDescent="0.3">
      <c r="J1347" s="1"/>
      <c r="K1347" s="1"/>
      <c r="L1347" s="51"/>
    </row>
    <row r="1348" spans="10:12" x14ac:dyDescent="0.3">
      <c r="J1348" s="1"/>
      <c r="K1348" s="1"/>
      <c r="L1348" s="51"/>
    </row>
    <row r="1349" spans="10:12" x14ac:dyDescent="0.3">
      <c r="J1349" s="1"/>
      <c r="K1349" s="1"/>
      <c r="L1349" s="51"/>
    </row>
    <row r="1350" spans="10:12" x14ac:dyDescent="0.3">
      <c r="J1350" s="1"/>
      <c r="K1350" s="1"/>
      <c r="L1350" s="51"/>
    </row>
    <row r="1351" spans="10:12" x14ac:dyDescent="0.3">
      <c r="J1351" s="1"/>
      <c r="K1351" s="1"/>
      <c r="L1351" s="51"/>
    </row>
    <row r="1352" spans="10:12" x14ac:dyDescent="0.3">
      <c r="J1352" s="1"/>
      <c r="K1352" s="1"/>
      <c r="L1352" s="51"/>
    </row>
    <row r="1353" spans="10:12" x14ac:dyDescent="0.3">
      <c r="J1353" s="1"/>
      <c r="K1353" s="1"/>
      <c r="L1353" s="51"/>
    </row>
    <row r="1354" spans="10:12" x14ac:dyDescent="0.3">
      <c r="J1354" s="1"/>
      <c r="K1354" s="1"/>
      <c r="L1354" s="51"/>
    </row>
    <row r="1355" spans="10:12" x14ac:dyDescent="0.3">
      <c r="J1355" s="1"/>
      <c r="K1355" s="1"/>
      <c r="L1355" s="51"/>
    </row>
    <row r="1356" spans="10:12" x14ac:dyDescent="0.3">
      <c r="J1356" s="1"/>
      <c r="K1356" s="1"/>
      <c r="L1356" s="51"/>
    </row>
    <row r="1357" spans="10:12" x14ac:dyDescent="0.3">
      <c r="J1357" s="1"/>
      <c r="K1357" s="1"/>
      <c r="L1357" s="51"/>
    </row>
    <row r="1358" spans="10:12" x14ac:dyDescent="0.3">
      <c r="J1358" s="1"/>
      <c r="K1358" s="1"/>
      <c r="L1358" s="51"/>
    </row>
    <row r="1359" spans="10:12" x14ac:dyDescent="0.3">
      <c r="J1359" s="1"/>
      <c r="K1359" s="1"/>
      <c r="L1359" s="51"/>
    </row>
    <row r="1360" spans="10:12" x14ac:dyDescent="0.3">
      <c r="J1360" s="1"/>
      <c r="K1360" s="1"/>
      <c r="L1360" s="51"/>
    </row>
    <row r="1361" spans="10:12" x14ac:dyDescent="0.3">
      <c r="J1361" s="1"/>
      <c r="K1361" s="1"/>
      <c r="L1361" s="51"/>
    </row>
    <row r="1362" spans="10:12" x14ac:dyDescent="0.3">
      <c r="J1362" s="1"/>
      <c r="K1362" s="1"/>
      <c r="L1362" s="51"/>
    </row>
    <row r="1363" spans="10:12" x14ac:dyDescent="0.3">
      <c r="J1363" s="1"/>
      <c r="K1363" s="1"/>
      <c r="L1363" s="51"/>
    </row>
    <row r="1364" spans="10:12" x14ac:dyDescent="0.3">
      <c r="J1364" s="1"/>
      <c r="K1364" s="1"/>
      <c r="L1364" s="51"/>
    </row>
    <row r="1365" spans="10:12" x14ac:dyDescent="0.3">
      <c r="J1365" s="1"/>
      <c r="K1365" s="1"/>
      <c r="L1365" s="51"/>
    </row>
    <row r="1366" spans="10:12" x14ac:dyDescent="0.3">
      <c r="J1366" s="1"/>
      <c r="K1366" s="1"/>
      <c r="L1366" s="51"/>
    </row>
    <row r="1367" spans="10:12" x14ac:dyDescent="0.3">
      <c r="J1367" s="1"/>
      <c r="K1367" s="1"/>
      <c r="L1367" s="51"/>
    </row>
    <row r="1368" spans="10:12" x14ac:dyDescent="0.3">
      <c r="J1368" s="1"/>
      <c r="K1368" s="1"/>
      <c r="L1368" s="51"/>
    </row>
    <row r="1369" spans="10:12" x14ac:dyDescent="0.3">
      <c r="J1369" s="1"/>
      <c r="K1369" s="1"/>
      <c r="L1369" s="51"/>
    </row>
    <row r="1370" spans="10:12" x14ac:dyDescent="0.3">
      <c r="J1370" s="1"/>
      <c r="K1370" s="1"/>
      <c r="L1370" s="51"/>
    </row>
    <row r="1371" spans="10:12" x14ac:dyDescent="0.3">
      <c r="J1371" s="1"/>
      <c r="K1371" s="1"/>
      <c r="L1371" s="51"/>
    </row>
    <row r="1372" spans="10:12" x14ac:dyDescent="0.3">
      <c r="J1372" s="1"/>
      <c r="K1372" s="1"/>
      <c r="L1372" s="51"/>
    </row>
    <row r="1373" spans="10:12" x14ac:dyDescent="0.3">
      <c r="J1373" s="1"/>
      <c r="K1373" s="1"/>
      <c r="L1373" s="51"/>
    </row>
    <row r="1374" spans="10:12" x14ac:dyDescent="0.3">
      <c r="J1374" s="1"/>
      <c r="K1374" s="1"/>
      <c r="L1374" s="51"/>
    </row>
    <row r="1375" spans="10:12" x14ac:dyDescent="0.3">
      <c r="J1375" s="1"/>
      <c r="K1375" s="1"/>
      <c r="L1375" s="51"/>
    </row>
    <row r="1376" spans="10:12" x14ac:dyDescent="0.3">
      <c r="J1376" s="1"/>
      <c r="K1376" s="1"/>
      <c r="L1376" s="51"/>
    </row>
    <row r="1377" spans="10:12" x14ac:dyDescent="0.3">
      <c r="J1377" s="1"/>
      <c r="K1377" s="1"/>
      <c r="L1377" s="51"/>
    </row>
    <row r="1378" spans="10:12" x14ac:dyDescent="0.3">
      <c r="J1378" s="1"/>
      <c r="K1378" s="1"/>
      <c r="L1378" s="51"/>
    </row>
    <row r="1379" spans="10:12" x14ac:dyDescent="0.3">
      <c r="J1379" s="1"/>
      <c r="K1379" s="1"/>
      <c r="L1379" s="51"/>
    </row>
    <row r="1380" spans="10:12" x14ac:dyDescent="0.3">
      <c r="J1380" s="1"/>
      <c r="K1380" s="1"/>
      <c r="L1380" s="51"/>
    </row>
    <row r="1381" spans="10:12" x14ac:dyDescent="0.3">
      <c r="J1381" s="1"/>
      <c r="K1381" s="1"/>
      <c r="L1381" s="51"/>
    </row>
    <row r="1382" spans="10:12" x14ac:dyDescent="0.3">
      <c r="J1382" s="1"/>
      <c r="K1382" s="1"/>
      <c r="L1382" s="51"/>
    </row>
    <row r="1383" spans="10:12" x14ac:dyDescent="0.3">
      <c r="J1383" s="1"/>
      <c r="K1383" s="1"/>
      <c r="L1383" s="51"/>
    </row>
    <row r="1384" spans="10:12" x14ac:dyDescent="0.3">
      <c r="J1384" s="1"/>
      <c r="K1384" s="1"/>
      <c r="L1384" s="51"/>
    </row>
    <row r="1385" spans="10:12" x14ac:dyDescent="0.3">
      <c r="J1385" s="1"/>
      <c r="K1385" s="1"/>
      <c r="L1385" s="51"/>
    </row>
    <row r="1386" spans="10:12" x14ac:dyDescent="0.3">
      <c r="J1386" s="1"/>
      <c r="K1386" s="1"/>
      <c r="L1386" s="51"/>
    </row>
    <row r="1387" spans="10:12" x14ac:dyDescent="0.3">
      <c r="J1387" s="1"/>
      <c r="K1387" s="1"/>
      <c r="L1387" s="51"/>
    </row>
    <row r="1388" spans="10:12" x14ac:dyDescent="0.3">
      <c r="J1388" s="1"/>
      <c r="K1388" s="1"/>
      <c r="L1388" s="51"/>
    </row>
    <row r="1389" spans="10:12" x14ac:dyDescent="0.3">
      <c r="J1389" s="1"/>
      <c r="K1389" s="1"/>
      <c r="L1389" s="51"/>
    </row>
    <row r="1390" spans="10:12" x14ac:dyDescent="0.3">
      <c r="J1390" s="1"/>
      <c r="K1390" s="1"/>
      <c r="L1390" s="51"/>
    </row>
    <row r="1391" spans="10:12" x14ac:dyDescent="0.3">
      <c r="J1391" s="1"/>
      <c r="K1391" s="1"/>
      <c r="L1391" s="51"/>
    </row>
    <row r="1392" spans="10:12" x14ac:dyDescent="0.3">
      <c r="J1392" s="1"/>
      <c r="K1392" s="1"/>
      <c r="L1392" s="51"/>
    </row>
    <row r="1393" spans="10:12" x14ac:dyDescent="0.3">
      <c r="J1393" s="1"/>
      <c r="K1393" s="1"/>
      <c r="L1393" s="51"/>
    </row>
    <row r="1394" spans="10:12" x14ac:dyDescent="0.3">
      <c r="J1394" s="1"/>
      <c r="K1394" s="1"/>
      <c r="L1394" s="51"/>
    </row>
    <row r="1395" spans="10:12" x14ac:dyDescent="0.3">
      <c r="J1395" s="1"/>
      <c r="K1395" s="1"/>
      <c r="L1395" s="51"/>
    </row>
    <row r="1396" spans="10:12" x14ac:dyDescent="0.3">
      <c r="J1396" s="1"/>
      <c r="K1396" s="1"/>
      <c r="L1396" s="51"/>
    </row>
    <row r="1397" spans="10:12" x14ac:dyDescent="0.3">
      <c r="J1397" s="1"/>
      <c r="K1397" s="1"/>
      <c r="L1397" s="51"/>
    </row>
    <row r="1398" spans="10:12" x14ac:dyDescent="0.3">
      <c r="J1398" s="1"/>
      <c r="K1398" s="1"/>
      <c r="L1398" s="51"/>
    </row>
    <row r="1399" spans="10:12" x14ac:dyDescent="0.3">
      <c r="J1399" s="1"/>
      <c r="K1399" s="1"/>
      <c r="L1399" s="51"/>
    </row>
    <row r="1400" spans="10:12" x14ac:dyDescent="0.3">
      <c r="J1400" s="1"/>
      <c r="K1400" s="1"/>
      <c r="L1400" s="51"/>
    </row>
    <row r="1401" spans="10:12" x14ac:dyDescent="0.3">
      <c r="J1401" s="1"/>
      <c r="K1401" s="1"/>
      <c r="L1401" s="51"/>
    </row>
    <row r="1402" spans="10:12" x14ac:dyDescent="0.3">
      <c r="J1402" s="1"/>
      <c r="K1402" s="1"/>
      <c r="L1402" s="51"/>
    </row>
    <row r="1403" spans="10:12" x14ac:dyDescent="0.3">
      <c r="J1403" s="1"/>
      <c r="K1403" s="1"/>
      <c r="L1403" s="51"/>
    </row>
    <row r="1404" spans="10:12" x14ac:dyDescent="0.3">
      <c r="J1404" s="1"/>
      <c r="K1404" s="1"/>
      <c r="L1404" s="51"/>
    </row>
    <row r="1405" spans="10:12" x14ac:dyDescent="0.3">
      <c r="J1405" s="1"/>
      <c r="K1405" s="1"/>
      <c r="L1405" s="51"/>
    </row>
    <row r="1406" spans="10:12" x14ac:dyDescent="0.3">
      <c r="J1406" s="1"/>
      <c r="K1406" s="1"/>
      <c r="L1406" s="51"/>
    </row>
    <row r="1407" spans="10:12" x14ac:dyDescent="0.3">
      <c r="J1407" s="1"/>
      <c r="K1407" s="1"/>
      <c r="L1407" s="51"/>
    </row>
    <row r="1408" spans="10:12" x14ac:dyDescent="0.3">
      <c r="J1408" s="1"/>
      <c r="K1408" s="1"/>
      <c r="L1408" s="51"/>
    </row>
    <row r="1409" spans="10:12" x14ac:dyDescent="0.3">
      <c r="J1409" s="1"/>
      <c r="K1409" s="1"/>
      <c r="L1409" s="51"/>
    </row>
    <row r="1410" spans="10:12" x14ac:dyDescent="0.3">
      <c r="J1410" s="1"/>
      <c r="K1410" s="1"/>
      <c r="L1410" s="51"/>
    </row>
    <row r="1411" spans="10:12" x14ac:dyDescent="0.3">
      <c r="J1411" s="1"/>
      <c r="K1411" s="1"/>
      <c r="L1411" s="51"/>
    </row>
    <row r="1412" spans="10:12" x14ac:dyDescent="0.3">
      <c r="J1412" s="1"/>
      <c r="K1412" s="1"/>
      <c r="L1412" s="51"/>
    </row>
    <row r="1413" spans="10:12" x14ac:dyDescent="0.3">
      <c r="J1413" s="1"/>
      <c r="K1413" s="1"/>
      <c r="L1413" s="51"/>
    </row>
    <row r="1414" spans="10:12" x14ac:dyDescent="0.3">
      <c r="J1414" s="1"/>
      <c r="K1414" s="1"/>
      <c r="L1414" s="51"/>
    </row>
    <row r="1415" spans="10:12" x14ac:dyDescent="0.3">
      <c r="J1415" s="1"/>
      <c r="K1415" s="1"/>
      <c r="L1415" s="51"/>
    </row>
    <row r="1416" spans="10:12" x14ac:dyDescent="0.3">
      <c r="J1416" s="1"/>
      <c r="K1416" s="1"/>
      <c r="L1416" s="51"/>
    </row>
    <row r="1417" spans="10:12" x14ac:dyDescent="0.3">
      <c r="J1417" s="1"/>
      <c r="K1417" s="1"/>
      <c r="L1417" s="51"/>
    </row>
    <row r="1418" spans="10:12" x14ac:dyDescent="0.3">
      <c r="J1418" s="1"/>
      <c r="K1418" s="1"/>
      <c r="L1418" s="51"/>
    </row>
    <row r="1419" spans="10:12" x14ac:dyDescent="0.3">
      <c r="J1419" s="1"/>
      <c r="K1419" s="1"/>
      <c r="L1419" s="51"/>
    </row>
    <row r="1420" spans="10:12" x14ac:dyDescent="0.3">
      <c r="J1420" s="1"/>
      <c r="K1420" s="1"/>
      <c r="L1420" s="51"/>
    </row>
    <row r="1421" spans="10:12" x14ac:dyDescent="0.3">
      <c r="J1421" s="1"/>
      <c r="K1421" s="1"/>
      <c r="L1421" s="51"/>
    </row>
    <row r="1422" spans="10:12" x14ac:dyDescent="0.3">
      <c r="J1422" s="1"/>
      <c r="K1422" s="1"/>
      <c r="L1422" s="51"/>
    </row>
    <row r="1423" spans="10:12" x14ac:dyDescent="0.3">
      <c r="J1423" s="1"/>
      <c r="K1423" s="1"/>
      <c r="L1423" s="51"/>
    </row>
    <row r="1424" spans="10:12" x14ac:dyDescent="0.3">
      <c r="J1424" s="1"/>
      <c r="K1424" s="1"/>
      <c r="L1424" s="51"/>
    </row>
    <row r="1425" spans="10:12" x14ac:dyDescent="0.3">
      <c r="J1425" s="1"/>
      <c r="K1425" s="1"/>
      <c r="L1425" s="51"/>
    </row>
    <row r="1426" spans="10:12" x14ac:dyDescent="0.3">
      <c r="J1426" s="1"/>
      <c r="K1426" s="1"/>
      <c r="L1426" s="51"/>
    </row>
    <row r="1427" spans="10:12" x14ac:dyDescent="0.3">
      <c r="J1427" s="1"/>
      <c r="K1427" s="1"/>
      <c r="L1427" s="51"/>
    </row>
    <row r="1428" spans="10:12" x14ac:dyDescent="0.3">
      <c r="J1428" s="1"/>
      <c r="K1428" s="1"/>
      <c r="L1428" s="51"/>
    </row>
    <row r="1429" spans="10:12" x14ac:dyDescent="0.3">
      <c r="J1429" s="1"/>
      <c r="K1429" s="1"/>
      <c r="L1429" s="51"/>
    </row>
    <row r="1430" spans="10:12" x14ac:dyDescent="0.3">
      <c r="J1430" s="1"/>
      <c r="K1430" s="1"/>
      <c r="L1430" s="51"/>
    </row>
    <row r="1431" spans="10:12" x14ac:dyDescent="0.3">
      <c r="J1431" s="1"/>
      <c r="K1431" s="1"/>
      <c r="L1431" s="51"/>
    </row>
    <row r="1432" spans="10:12" x14ac:dyDescent="0.3">
      <c r="J1432" s="1"/>
      <c r="K1432" s="1"/>
      <c r="L1432" s="51"/>
    </row>
    <row r="1433" spans="10:12" x14ac:dyDescent="0.3">
      <c r="J1433" s="1"/>
      <c r="K1433" s="1"/>
      <c r="L1433" s="51"/>
    </row>
    <row r="1434" spans="10:12" x14ac:dyDescent="0.3">
      <c r="J1434" s="1"/>
      <c r="K1434" s="1"/>
      <c r="L1434" s="51"/>
    </row>
    <row r="1435" spans="10:12" x14ac:dyDescent="0.3">
      <c r="J1435" s="1"/>
      <c r="K1435" s="1"/>
      <c r="L1435" s="51"/>
    </row>
    <row r="1436" spans="10:12" x14ac:dyDescent="0.3">
      <c r="J1436" s="1"/>
      <c r="K1436" s="1"/>
      <c r="L1436" s="51"/>
    </row>
    <row r="1437" spans="10:12" x14ac:dyDescent="0.3">
      <c r="J1437" s="1"/>
      <c r="K1437" s="1"/>
      <c r="L1437" s="51"/>
    </row>
    <row r="1438" spans="10:12" x14ac:dyDescent="0.3">
      <c r="J1438" s="1"/>
      <c r="K1438" s="1"/>
      <c r="L1438" s="51"/>
    </row>
    <row r="1439" spans="10:12" x14ac:dyDescent="0.3">
      <c r="J1439" s="1"/>
      <c r="K1439" s="1"/>
      <c r="L1439" s="51"/>
    </row>
    <row r="1440" spans="10:12" x14ac:dyDescent="0.3">
      <c r="J1440" s="1"/>
      <c r="K1440" s="1"/>
      <c r="L1440" s="51"/>
    </row>
    <row r="1441" spans="10:12" x14ac:dyDescent="0.3">
      <c r="J1441" s="1"/>
      <c r="K1441" s="1"/>
      <c r="L1441" s="51"/>
    </row>
    <row r="1442" spans="10:12" x14ac:dyDescent="0.3">
      <c r="J1442" s="1"/>
      <c r="K1442" s="1"/>
      <c r="L1442" s="51"/>
    </row>
    <row r="1443" spans="10:12" x14ac:dyDescent="0.3">
      <c r="J1443" s="1"/>
      <c r="K1443" s="1"/>
      <c r="L1443" s="51"/>
    </row>
    <row r="1444" spans="10:12" x14ac:dyDescent="0.3">
      <c r="J1444" s="1"/>
      <c r="K1444" s="1"/>
      <c r="L1444" s="51"/>
    </row>
    <row r="1445" spans="10:12" x14ac:dyDescent="0.3">
      <c r="J1445" s="1"/>
      <c r="K1445" s="1"/>
      <c r="L1445" s="51"/>
    </row>
    <row r="1446" spans="10:12" x14ac:dyDescent="0.3">
      <c r="J1446" s="1"/>
      <c r="K1446" s="1"/>
      <c r="L1446" s="51"/>
    </row>
    <row r="1447" spans="10:12" x14ac:dyDescent="0.3">
      <c r="J1447" s="1"/>
      <c r="K1447" s="1"/>
      <c r="L1447" s="51"/>
    </row>
    <row r="1448" spans="10:12" x14ac:dyDescent="0.3">
      <c r="J1448" s="1"/>
      <c r="K1448" s="1"/>
      <c r="L1448" s="51"/>
    </row>
    <row r="1449" spans="10:12" x14ac:dyDescent="0.3">
      <c r="J1449" s="1"/>
      <c r="K1449" s="1"/>
      <c r="L1449" s="51"/>
    </row>
    <row r="1450" spans="10:12" x14ac:dyDescent="0.3">
      <c r="J1450" s="1"/>
      <c r="K1450" s="1"/>
      <c r="L1450" s="51"/>
    </row>
    <row r="1451" spans="10:12" x14ac:dyDescent="0.3">
      <c r="J1451" s="1"/>
      <c r="K1451" s="1"/>
      <c r="L1451" s="51"/>
    </row>
    <row r="1452" spans="10:12" x14ac:dyDescent="0.3">
      <c r="J1452" s="1"/>
      <c r="K1452" s="1"/>
      <c r="L1452" s="51"/>
    </row>
    <row r="1453" spans="10:12" x14ac:dyDescent="0.3">
      <c r="J1453" s="1"/>
      <c r="K1453" s="1"/>
      <c r="L1453" s="51"/>
    </row>
    <row r="1454" spans="10:12" x14ac:dyDescent="0.3">
      <c r="J1454" s="1"/>
      <c r="K1454" s="1"/>
      <c r="L1454" s="51"/>
    </row>
    <row r="1455" spans="10:12" x14ac:dyDescent="0.3">
      <c r="J1455" s="1"/>
      <c r="K1455" s="1"/>
      <c r="L1455" s="51"/>
    </row>
    <row r="1456" spans="10:12" x14ac:dyDescent="0.3">
      <c r="J1456" s="1"/>
      <c r="K1456" s="1"/>
      <c r="L1456" s="51"/>
    </row>
    <row r="1457" spans="10:12" x14ac:dyDescent="0.3">
      <c r="J1457" s="1"/>
      <c r="K1457" s="1"/>
      <c r="L1457" s="51"/>
    </row>
    <row r="1458" spans="10:12" x14ac:dyDescent="0.3">
      <c r="J1458" s="1"/>
      <c r="K1458" s="1"/>
      <c r="L1458" s="51"/>
    </row>
    <row r="1459" spans="10:12" x14ac:dyDescent="0.3">
      <c r="J1459" s="1"/>
      <c r="K1459" s="1"/>
      <c r="L1459" s="51"/>
    </row>
    <row r="1460" spans="10:12" x14ac:dyDescent="0.3">
      <c r="J1460" s="1"/>
      <c r="K1460" s="1"/>
      <c r="L1460" s="51"/>
    </row>
    <row r="1461" spans="10:12" x14ac:dyDescent="0.3">
      <c r="J1461" s="1"/>
      <c r="K1461" s="1"/>
      <c r="L1461" s="51"/>
    </row>
    <row r="1462" spans="10:12" x14ac:dyDescent="0.3">
      <c r="J1462" s="1"/>
      <c r="K1462" s="1"/>
      <c r="L1462" s="51"/>
    </row>
    <row r="1463" spans="10:12" x14ac:dyDescent="0.3">
      <c r="J1463" s="1"/>
      <c r="K1463" s="1"/>
      <c r="L1463" s="51"/>
    </row>
    <row r="1464" spans="10:12" x14ac:dyDescent="0.3">
      <c r="J1464" s="1"/>
      <c r="K1464" s="1"/>
      <c r="L1464" s="51"/>
    </row>
    <row r="1465" spans="10:12" x14ac:dyDescent="0.3">
      <c r="J1465" s="1"/>
      <c r="K1465" s="1"/>
      <c r="L1465" s="51"/>
    </row>
    <row r="1466" spans="10:12" x14ac:dyDescent="0.3">
      <c r="J1466" s="1"/>
      <c r="K1466" s="1"/>
      <c r="L1466" s="51"/>
    </row>
    <row r="1467" spans="10:12" x14ac:dyDescent="0.3">
      <c r="J1467" s="1"/>
      <c r="K1467" s="1"/>
      <c r="L1467" s="51"/>
    </row>
    <row r="1468" spans="10:12" x14ac:dyDescent="0.3">
      <c r="J1468" s="1"/>
      <c r="K1468" s="1"/>
      <c r="L1468" s="51"/>
    </row>
    <row r="1469" spans="10:12" x14ac:dyDescent="0.3">
      <c r="J1469" s="1"/>
      <c r="K1469" s="1"/>
      <c r="L1469" s="51"/>
    </row>
    <row r="1470" spans="10:12" x14ac:dyDescent="0.3">
      <c r="J1470" s="1"/>
      <c r="K1470" s="1"/>
      <c r="L1470" s="51"/>
    </row>
    <row r="1471" spans="10:12" x14ac:dyDescent="0.3">
      <c r="J1471" s="1"/>
      <c r="K1471" s="1"/>
      <c r="L1471" s="51"/>
    </row>
    <row r="1472" spans="10:12" x14ac:dyDescent="0.3">
      <c r="J1472" s="1"/>
      <c r="K1472" s="1"/>
      <c r="L1472" s="51"/>
    </row>
    <row r="1473" spans="10:12" x14ac:dyDescent="0.3">
      <c r="J1473" s="1"/>
      <c r="K1473" s="1"/>
      <c r="L1473" s="51"/>
    </row>
    <row r="1474" spans="10:12" x14ac:dyDescent="0.3">
      <c r="J1474" s="1"/>
      <c r="K1474" s="1"/>
      <c r="L1474" s="51"/>
    </row>
    <row r="1475" spans="10:12" x14ac:dyDescent="0.3">
      <c r="J1475" s="1"/>
      <c r="K1475" s="1"/>
      <c r="L1475" s="51"/>
    </row>
    <row r="1476" spans="10:12" x14ac:dyDescent="0.3">
      <c r="J1476" s="1"/>
      <c r="K1476" s="1"/>
      <c r="L1476" s="51"/>
    </row>
    <row r="1477" spans="10:12" x14ac:dyDescent="0.3">
      <c r="J1477" s="1"/>
      <c r="K1477" s="1"/>
      <c r="L1477" s="51"/>
    </row>
    <row r="1478" spans="10:12" x14ac:dyDescent="0.3">
      <c r="J1478" s="1"/>
      <c r="K1478" s="1"/>
      <c r="L1478" s="51"/>
    </row>
    <row r="1479" spans="10:12" x14ac:dyDescent="0.3">
      <c r="J1479" s="1"/>
      <c r="K1479" s="1"/>
      <c r="L1479" s="51"/>
    </row>
    <row r="1480" spans="10:12" x14ac:dyDescent="0.3">
      <c r="J1480" s="1"/>
      <c r="K1480" s="1"/>
      <c r="L1480" s="51"/>
    </row>
    <row r="1481" spans="10:12" x14ac:dyDescent="0.3">
      <c r="J1481" s="1"/>
      <c r="K1481" s="1"/>
      <c r="L1481" s="51"/>
    </row>
    <row r="1482" spans="10:12" x14ac:dyDescent="0.3">
      <c r="J1482" s="1"/>
      <c r="K1482" s="1"/>
      <c r="L1482" s="51"/>
    </row>
    <row r="1483" spans="10:12" x14ac:dyDescent="0.3">
      <c r="J1483" s="1"/>
      <c r="K1483" s="1"/>
      <c r="L1483" s="51"/>
    </row>
    <row r="1484" spans="10:12" x14ac:dyDescent="0.3">
      <c r="J1484" s="1"/>
      <c r="K1484" s="1"/>
      <c r="L1484" s="51"/>
    </row>
    <row r="1485" spans="10:12" x14ac:dyDescent="0.3">
      <c r="J1485" s="1"/>
      <c r="K1485" s="1"/>
      <c r="L1485" s="51"/>
    </row>
    <row r="1486" spans="10:12" x14ac:dyDescent="0.3">
      <c r="J1486" s="1"/>
      <c r="K1486" s="1"/>
      <c r="L1486" s="51"/>
    </row>
    <row r="1487" spans="10:12" x14ac:dyDescent="0.3">
      <c r="J1487" s="1"/>
      <c r="K1487" s="1"/>
      <c r="L1487" s="51"/>
    </row>
    <row r="1488" spans="10:12" x14ac:dyDescent="0.3">
      <c r="J1488" s="1"/>
      <c r="K1488" s="1"/>
      <c r="L1488" s="51"/>
    </row>
    <row r="1489" spans="10:12" x14ac:dyDescent="0.3">
      <c r="J1489" s="1"/>
      <c r="K1489" s="1"/>
      <c r="L1489" s="51"/>
    </row>
    <row r="1490" spans="10:12" x14ac:dyDescent="0.3">
      <c r="J1490" s="1"/>
      <c r="K1490" s="1"/>
      <c r="L1490" s="51"/>
    </row>
    <row r="1491" spans="10:12" x14ac:dyDescent="0.3">
      <c r="J1491" s="1"/>
      <c r="K1491" s="1"/>
      <c r="L1491" s="51"/>
    </row>
    <row r="1492" spans="10:12" x14ac:dyDescent="0.3">
      <c r="J1492" s="1"/>
      <c r="K1492" s="1"/>
      <c r="L1492" s="51"/>
    </row>
    <row r="1493" spans="10:12" x14ac:dyDescent="0.3">
      <c r="J1493" s="1"/>
      <c r="K1493" s="1"/>
      <c r="L1493" s="51"/>
    </row>
    <row r="1494" spans="10:12" x14ac:dyDescent="0.3">
      <c r="J1494" s="1"/>
      <c r="K1494" s="1"/>
      <c r="L1494" s="51"/>
    </row>
    <row r="1495" spans="10:12" x14ac:dyDescent="0.3">
      <c r="J1495" s="1"/>
      <c r="K1495" s="1"/>
      <c r="L1495" s="51"/>
    </row>
    <row r="1496" spans="10:12" x14ac:dyDescent="0.3">
      <c r="J1496" s="1"/>
      <c r="K1496" s="1"/>
      <c r="L1496" s="51"/>
    </row>
    <row r="1497" spans="10:12" x14ac:dyDescent="0.3">
      <c r="J1497" s="1"/>
      <c r="K1497" s="1"/>
      <c r="L1497" s="51"/>
    </row>
    <row r="1498" spans="10:12" x14ac:dyDescent="0.3">
      <c r="J1498" s="1"/>
      <c r="K1498" s="1"/>
      <c r="L1498" s="51"/>
    </row>
    <row r="1499" spans="10:12" x14ac:dyDescent="0.3">
      <c r="J1499" s="1"/>
      <c r="K1499" s="1"/>
      <c r="L1499" s="51"/>
    </row>
    <row r="1500" spans="10:12" x14ac:dyDescent="0.3">
      <c r="J1500" s="1"/>
      <c r="K1500" s="1"/>
      <c r="L1500" s="51"/>
    </row>
    <row r="1501" spans="10:12" x14ac:dyDescent="0.3">
      <c r="J1501" s="1"/>
      <c r="K1501" s="1"/>
      <c r="L1501" s="51"/>
    </row>
    <row r="1502" spans="10:12" x14ac:dyDescent="0.3">
      <c r="J1502" s="1"/>
      <c r="K1502" s="1"/>
      <c r="L1502" s="51"/>
    </row>
    <row r="1503" spans="10:12" x14ac:dyDescent="0.3">
      <c r="J1503" s="1"/>
      <c r="K1503" s="1"/>
      <c r="L1503" s="51"/>
    </row>
    <row r="1504" spans="10:12" x14ac:dyDescent="0.3">
      <c r="J1504" s="1"/>
      <c r="K1504" s="1"/>
      <c r="L1504" s="51"/>
    </row>
    <row r="1505" spans="10:12" x14ac:dyDescent="0.3">
      <c r="J1505" s="1"/>
      <c r="K1505" s="1"/>
      <c r="L1505" s="51"/>
    </row>
    <row r="1506" spans="10:12" x14ac:dyDescent="0.3">
      <c r="J1506" s="1"/>
      <c r="K1506" s="1"/>
      <c r="L1506" s="51"/>
    </row>
    <row r="1507" spans="10:12" x14ac:dyDescent="0.3">
      <c r="J1507" s="1"/>
      <c r="K1507" s="1"/>
      <c r="L1507" s="51"/>
    </row>
    <row r="1508" spans="10:12" x14ac:dyDescent="0.3">
      <c r="J1508" s="1"/>
      <c r="K1508" s="1"/>
      <c r="L1508" s="51"/>
    </row>
    <row r="1509" spans="10:12" x14ac:dyDescent="0.3">
      <c r="J1509" s="1"/>
      <c r="K1509" s="1"/>
      <c r="L1509" s="51"/>
    </row>
    <row r="1510" spans="10:12" x14ac:dyDescent="0.3">
      <c r="J1510" s="1"/>
      <c r="K1510" s="1"/>
      <c r="L1510" s="51"/>
    </row>
    <row r="1511" spans="10:12" x14ac:dyDescent="0.3">
      <c r="J1511" s="1"/>
      <c r="K1511" s="1"/>
      <c r="L1511" s="51"/>
    </row>
    <row r="1512" spans="10:12" x14ac:dyDescent="0.3">
      <c r="J1512" s="1"/>
      <c r="K1512" s="1"/>
      <c r="L1512" s="51"/>
    </row>
    <row r="1513" spans="10:12" x14ac:dyDescent="0.3">
      <c r="J1513" s="1"/>
      <c r="K1513" s="1"/>
      <c r="L1513" s="51"/>
    </row>
    <row r="1514" spans="10:12" x14ac:dyDescent="0.3">
      <c r="J1514" s="1"/>
      <c r="K1514" s="1"/>
      <c r="L1514" s="51"/>
    </row>
    <row r="1515" spans="10:12" x14ac:dyDescent="0.3">
      <c r="J1515" s="1"/>
      <c r="K1515" s="1"/>
      <c r="L1515" s="51"/>
    </row>
    <row r="1516" spans="10:12" x14ac:dyDescent="0.3">
      <c r="J1516" s="1"/>
      <c r="K1516" s="1"/>
      <c r="L1516" s="51"/>
    </row>
    <row r="1517" spans="10:12" x14ac:dyDescent="0.3">
      <c r="J1517" s="1"/>
      <c r="K1517" s="1"/>
      <c r="L1517" s="51"/>
    </row>
    <row r="1518" spans="10:12" x14ac:dyDescent="0.3">
      <c r="J1518" s="1"/>
      <c r="K1518" s="1"/>
      <c r="L1518" s="51"/>
    </row>
    <row r="1519" spans="10:12" x14ac:dyDescent="0.3">
      <c r="J1519" s="1"/>
      <c r="K1519" s="1"/>
      <c r="L1519" s="51"/>
    </row>
    <row r="1520" spans="10:12" x14ac:dyDescent="0.3">
      <c r="J1520" s="1"/>
      <c r="K1520" s="1"/>
      <c r="L1520" s="51"/>
    </row>
    <row r="1521" spans="10:12" x14ac:dyDescent="0.3">
      <c r="J1521" s="1"/>
      <c r="K1521" s="1"/>
      <c r="L1521" s="51"/>
    </row>
    <row r="1522" spans="10:12" x14ac:dyDescent="0.3">
      <c r="J1522" s="1"/>
      <c r="K1522" s="1"/>
      <c r="L1522" s="51"/>
    </row>
    <row r="1523" spans="10:12" x14ac:dyDescent="0.3">
      <c r="J1523" s="1"/>
      <c r="K1523" s="1"/>
      <c r="L1523" s="51"/>
    </row>
    <row r="1524" spans="10:12" x14ac:dyDescent="0.3">
      <c r="J1524" s="1"/>
      <c r="K1524" s="1"/>
      <c r="L1524" s="51"/>
    </row>
    <row r="1525" spans="10:12" x14ac:dyDescent="0.3">
      <c r="J1525" s="1"/>
      <c r="K1525" s="1"/>
      <c r="L1525" s="51"/>
    </row>
    <row r="1526" spans="10:12" x14ac:dyDescent="0.3">
      <c r="J1526" s="1"/>
      <c r="K1526" s="1"/>
      <c r="L1526" s="51"/>
    </row>
    <row r="1527" spans="10:12" x14ac:dyDescent="0.3">
      <c r="J1527" s="1"/>
      <c r="K1527" s="1"/>
      <c r="L1527" s="51"/>
    </row>
    <row r="1528" spans="10:12" x14ac:dyDescent="0.3">
      <c r="J1528" s="1"/>
      <c r="K1528" s="1"/>
      <c r="L1528" s="51"/>
    </row>
    <row r="1529" spans="10:12" x14ac:dyDescent="0.3">
      <c r="J1529" s="1"/>
      <c r="K1529" s="1"/>
      <c r="L1529" s="51"/>
    </row>
    <row r="1530" spans="10:12" x14ac:dyDescent="0.3">
      <c r="J1530" s="1"/>
      <c r="K1530" s="1"/>
      <c r="L1530" s="51"/>
    </row>
    <row r="1531" spans="10:12" x14ac:dyDescent="0.3">
      <c r="J1531" s="1"/>
      <c r="K1531" s="1"/>
      <c r="L1531" s="51"/>
    </row>
    <row r="1532" spans="10:12" x14ac:dyDescent="0.3">
      <c r="J1532" s="1"/>
      <c r="K1532" s="1"/>
      <c r="L1532" s="51"/>
    </row>
    <row r="1533" spans="10:12" x14ac:dyDescent="0.3">
      <c r="J1533" s="1"/>
      <c r="K1533" s="1"/>
      <c r="L1533" s="51"/>
    </row>
    <row r="1534" spans="10:12" x14ac:dyDescent="0.3">
      <c r="J1534" s="1"/>
      <c r="K1534" s="1"/>
      <c r="L1534" s="51"/>
    </row>
    <row r="1535" spans="10:12" x14ac:dyDescent="0.3">
      <c r="J1535" s="1"/>
      <c r="K1535" s="1"/>
      <c r="L1535" s="51"/>
    </row>
    <row r="1536" spans="10:12" x14ac:dyDescent="0.3">
      <c r="J1536" s="1"/>
      <c r="K1536" s="1"/>
      <c r="L1536" s="51"/>
    </row>
    <row r="1537" spans="10:12" x14ac:dyDescent="0.3">
      <c r="J1537" s="1"/>
      <c r="K1537" s="1"/>
      <c r="L1537" s="51"/>
    </row>
    <row r="1538" spans="10:12" x14ac:dyDescent="0.3">
      <c r="J1538" s="1"/>
      <c r="K1538" s="1"/>
      <c r="L1538" s="51"/>
    </row>
    <row r="1539" spans="10:12" x14ac:dyDescent="0.3">
      <c r="J1539" s="1"/>
      <c r="K1539" s="1"/>
      <c r="L1539" s="51"/>
    </row>
    <row r="1540" spans="10:12" x14ac:dyDescent="0.3">
      <c r="J1540" s="1"/>
      <c r="K1540" s="1"/>
      <c r="L1540" s="51"/>
    </row>
    <row r="1541" spans="10:12" x14ac:dyDescent="0.3">
      <c r="J1541" s="1"/>
      <c r="K1541" s="1"/>
      <c r="L1541" s="51"/>
    </row>
    <row r="1542" spans="10:12" x14ac:dyDescent="0.3">
      <c r="J1542" s="1"/>
      <c r="K1542" s="1"/>
      <c r="L1542" s="51"/>
    </row>
    <row r="1543" spans="10:12" x14ac:dyDescent="0.3">
      <c r="J1543" s="1"/>
      <c r="K1543" s="1"/>
      <c r="L1543" s="51"/>
    </row>
    <row r="1544" spans="10:12" x14ac:dyDescent="0.3">
      <c r="J1544" s="1"/>
      <c r="K1544" s="1"/>
      <c r="L1544" s="51"/>
    </row>
    <row r="1545" spans="10:12" x14ac:dyDescent="0.3">
      <c r="J1545" s="1"/>
      <c r="K1545" s="1"/>
      <c r="L1545" s="51"/>
    </row>
    <row r="1546" spans="10:12" x14ac:dyDescent="0.3">
      <c r="J1546" s="1"/>
      <c r="K1546" s="1"/>
      <c r="L1546" s="51"/>
    </row>
    <row r="1547" spans="10:12" x14ac:dyDescent="0.3">
      <c r="J1547" s="1"/>
      <c r="K1547" s="1"/>
      <c r="L1547" s="51"/>
    </row>
    <row r="1548" spans="10:12" x14ac:dyDescent="0.3">
      <c r="J1548" s="1"/>
      <c r="K1548" s="1"/>
      <c r="L1548" s="51"/>
    </row>
    <row r="1549" spans="10:12" x14ac:dyDescent="0.3">
      <c r="J1549" s="1"/>
      <c r="K1549" s="1"/>
      <c r="L1549" s="51"/>
    </row>
    <row r="1550" spans="10:12" x14ac:dyDescent="0.3">
      <c r="J1550" s="1"/>
      <c r="K1550" s="1"/>
      <c r="L1550" s="51"/>
    </row>
    <row r="1551" spans="10:12" x14ac:dyDescent="0.3">
      <c r="J1551" s="1"/>
      <c r="K1551" s="1"/>
      <c r="L1551" s="51"/>
    </row>
    <row r="1552" spans="10:12" x14ac:dyDescent="0.3">
      <c r="J1552" s="1"/>
      <c r="K1552" s="1"/>
      <c r="L1552" s="51"/>
    </row>
    <row r="1553" spans="10:12" x14ac:dyDescent="0.3">
      <c r="J1553" s="1"/>
      <c r="K1553" s="1"/>
      <c r="L1553" s="51"/>
    </row>
    <row r="1554" spans="10:12" x14ac:dyDescent="0.3">
      <c r="J1554" s="1"/>
      <c r="K1554" s="1"/>
      <c r="L1554" s="51"/>
    </row>
    <row r="1555" spans="10:12" x14ac:dyDescent="0.3">
      <c r="J1555" s="1"/>
      <c r="K1555" s="1"/>
      <c r="L1555" s="51"/>
    </row>
    <row r="1556" spans="10:12" x14ac:dyDescent="0.3">
      <c r="J1556" s="1"/>
      <c r="K1556" s="1"/>
      <c r="L1556" s="51"/>
    </row>
    <row r="1557" spans="10:12" x14ac:dyDescent="0.3">
      <c r="J1557" s="1"/>
      <c r="K1557" s="1"/>
      <c r="L1557" s="51"/>
    </row>
    <row r="1558" spans="10:12" x14ac:dyDescent="0.3">
      <c r="J1558" s="1"/>
      <c r="K1558" s="1"/>
      <c r="L1558" s="51"/>
    </row>
    <row r="1559" spans="10:12" x14ac:dyDescent="0.3">
      <c r="J1559" s="1"/>
      <c r="K1559" s="1"/>
      <c r="L1559" s="51"/>
    </row>
    <row r="1560" spans="10:12" x14ac:dyDescent="0.3">
      <c r="J1560" s="1"/>
      <c r="K1560" s="1"/>
      <c r="L1560" s="51"/>
    </row>
    <row r="1561" spans="10:12" x14ac:dyDescent="0.3">
      <c r="J1561" s="1"/>
      <c r="K1561" s="1"/>
      <c r="L1561" s="51"/>
    </row>
    <row r="1562" spans="10:12" x14ac:dyDescent="0.3">
      <c r="J1562" s="1"/>
      <c r="K1562" s="1"/>
      <c r="L1562" s="51"/>
    </row>
    <row r="1563" spans="10:12" x14ac:dyDescent="0.3">
      <c r="J1563" s="1"/>
      <c r="K1563" s="1"/>
      <c r="L1563" s="51"/>
    </row>
    <row r="1564" spans="10:12" x14ac:dyDescent="0.3">
      <c r="J1564" s="1"/>
      <c r="K1564" s="1"/>
      <c r="L1564" s="51"/>
    </row>
    <row r="1565" spans="10:12" x14ac:dyDescent="0.3">
      <c r="J1565" s="1"/>
      <c r="K1565" s="1"/>
      <c r="L1565" s="51"/>
    </row>
    <row r="1566" spans="10:12" x14ac:dyDescent="0.3">
      <c r="J1566" s="1"/>
      <c r="K1566" s="1"/>
      <c r="L1566" s="51"/>
    </row>
    <row r="1567" spans="10:12" x14ac:dyDescent="0.3">
      <c r="J1567" s="1"/>
      <c r="K1567" s="1"/>
      <c r="L1567" s="51"/>
    </row>
    <row r="1568" spans="10:12" x14ac:dyDescent="0.3">
      <c r="J1568" s="1"/>
      <c r="K1568" s="1"/>
      <c r="L1568" s="51"/>
    </row>
    <row r="1569" spans="10:12" x14ac:dyDescent="0.3">
      <c r="J1569" s="1"/>
      <c r="K1569" s="1"/>
      <c r="L1569" s="51"/>
    </row>
    <row r="1570" spans="10:12" x14ac:dyDescent="0.3">
      <c r="J1570" s="1"/>
      <c r="K1570" s="1"/>
      <c r="L1570" s="51"/>
    </row>
    <row r="1571" spans="10:12" x14ac:dyDescent="0.3">
      <c r="J1571" s="1"/>
      <c r="K1571" s="1"/>
      <c r="L1571" s="51"/>
    </row>
    <row r="1572" spans="10:12" x14ac:dyDescent="0.3">
      <c r="J1572" s="1"/>
      <c r="K1572" s="1"/>
      <c r="L1572" s="51"/>
    </row>
    <row r="1573" spans="10:12" x14ac:dyDescent="0.3">
      <c r="J1573" s="1"/>
      <c r="K1573" s="1"/>
      <c r="L1573" s="51"/>
    </row>
    <row r="1574" spans="10:12" x14ac:dyDescent="0.3">
      <c r="J1574" s="1"/>
      <c r="K1574" s="1"/>
      <c r="L1574" s="51"/>
    </row>
    <row r="1575" spans="10:12" x14ac:dyDescent="0.3">
      <c r="J1575" s="1"/>
      <c r="K1575" s="1"/>
      <c r="L1575" s="51"/>
    </row>
    <row r="1576" spans="10:12" x14ac:dyDescent="0.3">
      <c r="J1576" s="1"/>
      <c r="K1576" s="1"/>
      <c r="L1576" s="51"/>
    </row>
    <row r="1577" spans="10:12" x14ac:dyDescent="0.3">
      <c r="J1577" s="1"/>
      <c r="K1577" s="1"/>
      <c r="L1577" s="51"/>
    </row>
    <row r="1578" spans="10:12" x14ac:dyDescent="0.3">
      <c r="J1578" s="1"/>
      <c r="K1578" s="1"/>
      <c r="L1578" s="51"/>
    </row>
    <row r="1579" spans="10:12" x14ac:dyDescent="0.3">
      <c r="J1579" s="1"/>
      <c r="K1579" s="1"/>
      <c r="L1579" s="51"/>
    </row>
    <row r="1580" spans="10:12" x14ac:dyDescent="0.3">
      <c r="J1580" s="1"/>
      <c r="K1580" s="1"/>
      <c r="L1580" s="51"/>
    </row>
    <row r="1581" spans="10:12" x14ac:dyDescent="0.3">
      <c r="J1581" s="1"/>
      <c r="K1581" s="1"/>
      <c r="L1581" s="51"/>
    </row>
    <row r="1582" spans="10:12" x14ac:dyDescent="0.3">
      <c r="J1582" s="1"/>
      <c r="K1582" s="1"/>
      <c r="L1582" s="51"/>
    </row>
    <row r="1583" spans="10:12" x14ac:dyDescent="0.3">
      <c r="J1583" s="1"/>
      <c r="K1583" s="1"/>
      <c r="L1583" s="51"/>
    </row>
    <row r="1584" spans="10:12" x14ac:dyDescent="0.3">
      <c r="J1584" s="1"/>
      <c r="K1584" s="1"/>
      <c r="L1584" s="51"/>
    </row>
    <row r="1585" spans="10:12" x14ac:dyDescent="0.3">
      <c r="J1585" s="1"/>
      <c r="K1585" s="1"/>
      <c r="L1585" s="51"/>
    </row>
    <row r="1586" spans="10:12" x14ac:dyDescent="0.3">
      <c r="J1586" s="1"/>
      <c r="K1586" s="1"/>
      <c r="L1586" s="51"/>
    </row>
    <row r="1587" spans="10:12" x14ac:dyDescent="0.3">
      <c r="J1587" s="1"/>
      <c r="K1587" s="1"/>
      <c r="L1587" s="51"/>
    </row>
    <row r="1588" spans="10:12" x14ac:dyDescent="0.3">
      <c r="J1588" s="1"/>
      <c r="K1588" s="1"/>
      <c r="L1588" s="51"/>
    </row>
    <row r="1589" spans="10:12" x14ac:dyDescent="0.3">
      <c r="J1589" s="1"/>
      <c r="K1589" s="1"/>
      <c r="L1589" s="51"/>
    </row>
    <row r="1590" spans="10:12" x14ac:dyDescent="0.3">
      <c r="J1590" s="1"/>
      <c r="K1590" s="1"/>
      <c r="L1590" s="51"/>
    </row>
    <row r="1591" spans="10:12" x14ac:dyDescent="0.3">
      <c r="J1591" s="1"/>
      <c r="K1591" s="1"/>
      <c r="L1591" s="51"/>
    </row>
    <row r="1592" spans="10:12" x14ac:dyDescent="0.3">
      <c r="J1592" s="1"/>
      <c r="K1592" s="1"/>
      <c r="L1592" s="51"/>
    </row>
    <row r="1593" spans="10:12" x14ac:dyDescent="0.3">
      <c r="J1593" s="1"/>
      <c r="K1593" s="1"/>
      <c r="L1593" s="51"/>
    </row>
    <row r="1594" spans="10:12" x14ac:dyDescent="0.3">
      <c r="J1594" s="1"/>
      <c r="K1594" s="1"/>
      <c r="L1594" s="51"/>
    </row>
    <row r="1595" spans="10:12" x14ac:dyDescent="0.3">
      <c r="J1595" s="1"/>
      <c r="K1595" s="1"/>
      <c r="L1595" s="51"/>
    </row>
    <row r="1596" spans="10:12" x14ac:dyDescent="0.3">
      <c r="J1596" s="1"/>
      <c r="K1596" s="1"/>
      <c r="L1596" s="51"/>
    </row>
    <row r="1597" spans="10:12" x14ac:dyDescent="0.3">
      <c r="J1597" s="1"/>
      <c r="K1597" s="1"/>
      <c r="L1597" s="51"/>
    </row>
    <row r="1598" spans="10:12" x14ac:dyDescent="0.3">
      <c r="J1598" s="1"/>
      <c r="K1598" s="1"/>
      <c r="L1598" s="51"/>
    </row>
    <row r="1599" spans="10:12" x14ac:dyDescent="0.3">
      <c r="J1599" s="1"/>
      <c r="K1599" s="1"/>
      <c r="L1599" s="51"/>
    </row>
    <row r="1600" spans="10:12" x14ac:dyDescent="0.3">
      <c r="J1600" s="1"/>
      <c r="K1600" s="1"/>
      <c r="L1600" s="51"/>
    </row>
    <row r="1601" spans="10:12" x14ac:dyDescent="0.3">
      <c r="J1601" s="1"/>
      <c r="K1601" s="1"/>
      <c r="L1601" s="51"/>
    </row>
    <row r="1602" spans="10:12" x14ac:dyDescent="0.3">
      <c r="J1602" s="1"/>
      <c r="K1602" s="1"/>
      <c r="L1602" s="51"/>
    </row>
    <row r="1603" spans="10:12" x14ac:dyDescent="0.3">
      <c r="J1603" s="1"/>
      <c r="K1603" s="1"/>
      <c r="L1603" s="51"/>
    </row>
    <row r="1604" spans="10:12" x14ac:dyDescent="0.3">
      <c r="J1604" s="1"/>
      <c r="K1604" s="1"/>
      <c r="L1604" s="51"/>
    </row>
    <row r="1605" spans="10:12" x14ac:dyDescent="0.3">
      <c r="J1605" s="1"/>
      <c r="K1605" s="1"/>
      <c r="L1605" s="51"/>
    </row>
    <row r="1606" spans="10:12" x14ac:dyDescent="0.3">
      <c r="J1606" s="1"/>
      <c r="K1606" s="1"/>
      <c r="L1606" s="51"/>
    </row>
    <row r="1607" spans="10:12" x14ac:dyDescent="0.3">
      <c r="J1607" s="1"/>
      <c r="K1607" s="1"/>
      <c r="L1607" s="51"/>
    </row>
    <row r="1608" spans="10:12" x14ac:dyDescent="0.3">
      <c r="J1608" s="1"/>
      <c r="K1608" s="1"/>
      <c r="L1608" s="51"/>
    </row>
    <row r="1609" spans="10:12" x14ac:dyDescent="0.3">
      <c r="J1609" s="1"/>
      <c r="K1609" s="1"/>
      <c r="L1609" s="51"/>
    </row>
    <row r="1610" spans="10:12" x14ac:dyDescent="0.3">
      <c r="J1610" s="1"/>
      <c r="K1610" s="1"/>
      <c r="L1610" s="51"/>
    </row>
    <row r="1611" spans="10:12" x14ac:dyDescent="0.3">
      <c r="J1611" s="1"/>
      <c r="K1611" s="1"/>
      <c r="L1611" s="51"/>
    </row>
    <row r="1612" spans="10:12" x14ac:dyDescent="0.3">
      <c r="J1612" s="1"/>
      <c r="K1612" s="1"/>
      <c r="L1612" s="51"/>
    </row>
    <row r="1613" spans="10:12" x14ac:dyDescent="0.3">
      <c r="J1613" s="1"/>
      <c r="K1613" s="1"/>
      <c r="L1613" s="51"/>
    </row>
    <row r="1614" spans="10:12" x14ac:dyDescent="0.3">
      <c r="J1614" s="1"/>
      <c r="K1614" s="1"/>
      <c r="L1614" s="51"/>
    </row>
    <row r="1615" spans="10:12" x14ac:dyDescent="0.3">
      <c r="J1615" s="1"/>
      <c r="K1615" s="1"/>
      <c r="L1615" s="51"/>
    </row>
    <row r="1616" spans="10:12" x14ac:dyDescent="0.3">
      <c r="J1616" s="1"/>
      <c r="K1616" s="1"/>
      <c r="L1616" s="51"/>
    </row>
    <row r="1617" spans="10:12" x14ac:dyDescent="0.3">
      <c r="J1617" s="1"/>
      <c r="K1617" s="1"/>
      <c r="L1617" s="51"/>
    </row>
    <row r="1618" spans="10:12" x14ac:dyDescent="0.3">
      <c r="J1618" s="1"/>
      <c r="K1618" s="1"/>
      <c r="L1618" s="51"/>
    </row>
    <row r="1619" spans="10:12" x14ac:dyDescent="0.3">
      <c r="J1619" s="1"/>
      <c r="K1619" s="1"/>
      <c r="L1619" s="51"/>
    </row>
    <row r="1620" spans="10:12" x14ac:dyDescent="0.3">
      <c r="J1620" s="1"/>
      <c r="K1620" s="1"/>
      <c r="L1620" s="51"/>
    </row>
    <row r="1621" spans="10:12" x14ac:dyDescent="0.3">
      <c r="J1621" s="1"/>
      <c r="K1621" s="1"/>
      <c r="L1621" s="51"/>
    </row>
    <row r="1622" spans="10:12" x14ac:dyDescent="0.3">
      <c r="J1622" s="1"/>
      <c r="K1622" s="1"/>
      <c r="L1622" s="51"/>
    </row>
    <row r="1623" spans="10:12" x14ac:dyDescent="0.3">
      <c r="J1623" s="1"/>
      <c r="K1623" s="1"/>
      <c r="L1623" s="51"/>
    </row>
    <row r="1624" spans="10:12" x14ac:dyDescent="0.3">
      <c r="J1624" s="1"/>
      <c r="K1624" s="1"/>
      <c r="L1624" s="51"/>
    </row>
    <row r="1625" spans="10:12" x14ac:dyDescent="0.3">
      <c r="J1625" s="1"/>
      <c r="K1625" s="1"/>
      <c r="L1625" s="51"/>
    </row>
    <row r="1626" spans="10:12" x14ac:dyDescent="0.3">
      <c r="J1626" s="1"/>
      <c r="K1626" s="1"/>
      <c r="L1626" s="51"/>
    </row>
    <row r="1627" spans="10:12" x14ac:dyDescent="0.3">
      <c r="J1627" s="1"/>
      <c r="K1627" s="1"/>
      <c r="L1627" s="51"/>
    </row>
    <row r="1628" spans="10:12" x14ac:dyDescent="0.3">
      <c r="J1628" s="1"/>
      <c r="K1628" s="1"/>
      <c r="L1628" s="51"/>
    </row>
    <row r="1629" spans="10:12" x14ac:dyDescent="0.3">
      <c r="J1629" s="1"/>
      <c r="K1629" s="1"/>
      <c r="L1629" s="51"/>
    </row>
    <row r="1630" spans="10:12" x14ac:dyDescent="0.3">
      <c r="J1630" s="1"/>
      <c r="K1630" s="1"/>
      <c r="L1630" s="51"/>
    </row>
    <row r="1631" spans="10:12" x14ac:dyDescent="0.3">
      <c r="J1631" s="1"/>
      <c r="K1631" s="1"/>
      <c r="L1631" s="51"/>
    </row>
    <row r="1632" spans="10:12" x14ac:dyDescent="0.3">
      <c r="J1632" s="1"/>
      <c r="K1632" s="1"/>
      <c r="L1632" s="51"/>
    </row>
    <row r="1633" spans="10:12" x14ac:dyDescent="0.3">
      <c r="J1633" s="1"/>
      <c r="K1633" s="1"/>
      <c r="L1633" s="51"/>
    </row>
    <row r="1634" spans="10:12" x14ac:dyDescent="0.3">
      <c r="J1634" s="1"/>
      <c r="K1634" s="1"/>
      <c r="L1634" s="51"/>
    </row>
    <row r="1635" spans="10:12" x14ac:dyDescent="0.3">
      <c r="J1635" s="1"/>
      <c r="K1635" s="1"/>
      <c r="L1635" s="51"/>
    </row>
    <row r="1636" spans="10:12" x14ac:dyDescent="0.3">
      <c r="J1636" s="1"/>
      <c r="K1636" s="1"/>
      <c r="L1636" s="51"/>
    </row>
    <row r="1637" spans="10:12" x14ac:dyDescent="0.3">
      <c r="J1637" s="1"/>
      <c r="K1637" s="1"/>
      <c r="L1637" s="51"/>
    </row>
    <row r="1638" spans="10:12" x14ac:dyDescent="0.3">
      <c r="J1638" s="1"/>
      <c r="K1638" s="1"/>
      <c r="L1638" s="51"/>
    </row>
    <row r="1639" spans="10:12" x14ac:dyDescent="0.3">
      <c r="J1639" s="1"/>
      <c r="K1639" s="1"/>
      <c r="L1639" s="51"/>
    </row>
    <row r="1640" spans="10:12" x14ac:dyDescent="0.3">
      <c r="J1640" s="1"/>
      <c r="K1640" s="1"/>
      <c r="L1640" s="51"/>
    </row>
    <row r="1641" spans="10:12" x14ac:dyDescent="0.3">
      <c r="J1641" s="1"/>
      <c r="K1641" s="1"/>
      <c r="L1641" s="51"/>
    </row>
    <row r="1642" spans="10:12" x14ac:dyDescent="0.3">
      <c r="J1642" s="1"/>
      <c r="K1642" s="1"/>
      <c r="L1642" s="51"/>
    </row>
    <row r="1643" spans="10:12" x14ac:dyDescent="0.3">
      <c r="J1643" s="1"/>
      <c r="K1643" s="1"/>
      <c r="L1643" s="51"/>
    </row>
    <row r="1644" spans="10:12" x14ac:dyDescent="0.3">
      <c r="J1644" s="1"/>
      <c r="K1644" s="1"/>
      <c r="L1644" s="51"/>
    </row>
    <row r="1645" spans="10:12" x14ac:dyDescent="0.3">
      <c r="J1645" s="1"/>
      <c r="K1645" s="1"/>
      <c r="L1645" s="51"/>
    </row>
    <row r="1646" spans="10:12" x14ac:dyDescent="0.3">
      <c r="J1646" s="1"/>
      <c r="K1646" s="1"/>
      <c r="L1646" s="51"/>
    </row>
    <row r="1647" spans="10:12" x14ac:dyDescent="0.3">
      <c r="J1647" s="1"/>
      <c r="K1647" s="1"/>
      <c r="L1647" s="51"/>
    </row>
    <row r="1648" spans="10:12" x14ac:dyDescent="0.3">
      <c r="J1648" s="1"/>
      <c r="K1648" s="1"/>
      <c r="L1648" s="51"/>
    </row>
    <row r="1649" spans="10:12" x14ac:dyDescent="0.3">
      <c r="J1649" s="1"/>
      <c r="K1649" s="1"/>
      <c r="L1649" s="51"/>
    </row>
    <row r="1650" spans="10:12" x14ac:dyDescent="0.3">
      <c r="J1650" s="1"/>
      <c r="K1650" s="1"/>
      <c r="L1650" s="51"/>
    </row>
    <row r="1651" spans="10:12" x14ac:dyDescent="0.3">
      <c r="J1651" s="1"/>
      <c r="K1651" s="1"/>
      <c r="L1651" s="51"/>
    </row>
    <row r="1652" spans="10:12" x14ac:dyDescent="0.3">
      <c r="J1652" s="1"/>
      <c r="K1652" s="1"/>
      <c r="L1652" s="51"/>
    </row>
    <row r="1653" spans="10:12" x14ac:dyDescent="0.3">
      <c r="J1653" s="1"/>
      <c r="K1653" s="1"/>
      <c r="L1653" s="51"/>
    </row>
    <row r="1654" spans="10:12" x14ac:dyDescent="0.3">
      <c r="J1654" s="1"/>
      <c r="K1654" s="1"/>
      <c r="L1654" s="51"/>
    </row>
    <row r="1655" spans="10:12" x14ac:dyDescent="0.3">
      <c r="J1655" s="1"/>
      <c r="K1655" s="1"/>
      <c r="L1655" s="51"/>
    </row>
    <row r="1656" spans="10:12" x14ac:dyDescent="0.3">
      <c r="J1656" s="1"/>
      <c r="K1656" s="1"/>
      <c r="L1656" s="51"/>
    </row>
    <row r="1657" spans="10:12" x14ac:dyDescent="0.3">
      <c r="J1657" s="1"/>
      <c r="K1657" s="1"/>
      <c r="L1657" s="51"/>
    </row>
    <row r="1658" spans="10:12" x14ac:dyDescent="0.3">
      <c r="J1658" s="1"/>
      <c r="K1658" s="1"/>
      <c r="L1658" s="51"/>
    </row>
    <row r="1659" spans="10:12" x14ac:dyDescent="0.3">
      <c r="J1659" s="1"/>
      <c r="K1659" s="1"/>
      <c r="L1659" s="51"/>
    </row>
    <row r="1660" spans="10:12" x14ac:dyDescent="0.3">
      <c r="J1660" s="1"/>
      <c r="K1660" s="1"/>
      <c r="L1660" s="51"/>
    </row>
    <row r="1661" spans="10:12" x14ac:dyDescent="0.3">
      <c r="J1661" s="1"/>
      <c r="K1661" s="1"/>
      <c r="L1661" s="51"/>
    </row>
    <row r="1662" spans="10:12" x14ac:dyDescent="0.3">
      <c r="J1662" s="1"/>
      <c r="K1662" s="1"/>
      <c r="L1662" s="51"/>
    </row>
    <row r="1663" spans="10:12" x14ac:dyDescent="0.3">
      <c r="J1663" s="1"/>
      <c r="K1663" s="1"/>
      <c r="L1663" s="51"/>
    </row>
    <row r="1664" spans="10:12" x14ac:dyDescent="0.3">
      <c r="J1664" s="1"/>
      <c r="K1664" s="1"/>
      <c r="L1664" s="51"/>
    </row>
    <row r="1665" spans="10:12" x14ac:dyDescent="0.3">
      <c r="J1665" s="1"/>
      <c r="K1665" s="1"/>
      <c r="L1665" s="51"/>
    </row>
    <row r="1666" spans="10:12" x14ac:dyDescent="0.3">
      <c r="J1666" s="1"/>
      <c r="K1666" s="1"/>
      <c r="L1666" s="51"/>
    </row>
    <row r="1667" spans="10:12" x14ac:dyDescent="0.3">
      <c r="J1667" s="1"/>
      <c r="K1667" s="1"/>
      <c r="L1667" s="51"/>
    </row>
    <row r="1668" spans="10:12" x14ac:dyDescent="0.3">
      <c r="J1668" s="1"/>
      <c r="K1668" s="1"/>
      <c r="L1668" s="51"/>
    </row>
    <row r="1669" spans="10:12" x14ac:dyDescent="0.3">
      <c r="J1669" s="1"/>
      <c r="K1669" s="1"/>
      <c r="L1669" s="51"/>
    </row>
    <row r="1670" spans="10:12" x14ac:dyDescent="0.3">
      <c r="J1670" s="1"/>
      <c r="K1670" s="1"/>
      <c r="L1670" s="51"/>
    </row>
    <row r="1671" spans="10:12" x14ac:dyDescent="0.3">
      <c r="J1671" s="1"/>
      <c r="K1671" s="1"/>
      <c r="L1671" s="51"/>
    </row>
    <row r="1672" spans="10:12" x14ac:dyDescent="0.3">
      <c r="J1672" s="1"/>
      <c r="K1672" s="1"/>
      <c r="L1672" s="51"/>
    </row>
    <row r="1673" spans="10:12" x14ac:dyDescent="0.3">
      <c r="J1673" s="1"/>
      <c r="K1673" s="1"/>
      <c r="L1673" s="51"/>
    </row>
    <row r="1674" spans="10:12" x14ac:dyDescent="0.3">
      <c r="J1674" s="1"/>
      <c r="K1674" s="1"/>
      <c r="L1674" s="51"/>
    </row>
    <row r="1675" spans="10:12" x14ac:dyDescent="0.3">
      <c r="J1675" s="1"/>
      <c r="K1675" s="1"/>
      <c r="L1675" s="51"/>
    </row>
    <row r="1676" spans="10:12" x14ac:dyDescent="0.3">
      <c r="J1676" s="1"/>
      <c r="K1676" s="1"/>
      <c r="L1676" s="51"/>
    </row>
    <row r="1677" spans="10:12" x14ac:dyDescent="0.3">
      <c r="J1677" s="1"/>
      <c r="K1677" s="1"/>
      <c r="L1677" s="51"/>
    </row>
    <row r="1678" spans="10:12" x14ac:dyDescent="0.3">
      <c r="J1678" s="1"/>
      <c r="K1678" s="1"/>
      <c r="L1678" s="51"/>
    </row>
    <row r="1679" spans="10:12" x14ac:dyDescent="0.3">
      <c r="J1679" s="1"/>
      <c r="K1679" s="1"/>
      <c r="L1679" s="51"/>
    </row>
    <row r="1680" spans="10:12" x14ac:dyDescent="0.3">
      <c r="J1680" s="1"/>
      <c r="K1680" s="1"/>
      <c r="L1680" s="51"/>
    </row>
    <row r="1681" spans="10:12" x14ac:dyDescent="0.3">
      <c r="J1681" s="1"/>
      <c r="K1681" s="1"/>
      <c r="L1681" s="51"/>
    </row>
    <row r="1682" spans="10:12" x14ac:dyDescent="0.3">
      <c r="J1682" s="1"/>
      <c r="K1682" s="1"/>
      <c r="L1682" s="51"/>
    </row>
    <row r="1683" spans="10:12" x14ac:dyDescent="0.3">
      <c r="J1683" s="1"/>
      <c r="K1683" s="1"/>
      <c r="L1683" s="51"/>
    </row>
    <row r="1684" spans="10:12" x14ac:dyDescent="0.3">
      <c r="J1684" s="1"/>
      <c r="K1684" s="1"/>
      <c r="L1684" s="51"/>
    </row>
    <row r="1685" spans="10:12" x14ac:dyDescent="0.3">
      <c r="J1685" s="1"/>
      <c r="K1685" s="1"/>
      <c r="L1685" s="51"/>
    </row>
    <row r="1686" spans="10:12" x14ac:dyDescent="0.3">
      <c r="J1686" s="1"/>
      <c r="K1686" s="1"/>
      <c r="L1686" s="51"/>
    </row>
    <row r="1687" spans="10:12" x14ac:dyDescent="0.3">
      <c r="J1687" s="1"/>
      <c r="K1687" s="1"/>
      <c r="L1687" s="51"/>
    </row>
    <row r="1688" spans="10:12" x14ac:dyDescent="0.3">
      <c r="J1688" s="1"/>
      <c r="K1688" s="1"/>
      <c r="L1688" s="51"/>
    </row>
    <row r="1689" spans="10:12" x14ac:dyDescent="0.3">
      <c r="J1689" s="1"/>
      <c r="K1689" s="1"/>
      <c r="L1689" s="51"/>
    </row>
    <row r="1690" spans="10:12" x14ac:dyDescent="0.3">
      <c r="J1690" s="1"/>
      <c r="K1690" s="1"/>
      <c r="L1690" s="51"/>
    </row>
    <row r="1691" spans="10:12" x14ac:dyDescent="0.3">
      <c r="J1691" s="1"/>
      <c r="K1691" s="1"/>
      <c r="L1691" s="51"/>
    </row>
    <row r="1692" spans="10:12" x14ac:dyDescent="0.3">
      <c r="J1692" s="1"/>
      <c r="K1692" s="1"/>
      <c r="L1692" s="51"/>
    </row>
    <row r="1693" spans="10:12" x14ac:dyDescent="0.3">
      <c r="J1693" s="1"/>
      <c r="K1693" s="1"/>
      <c r="L1693" s="51"/>
    </row>
    <row r="1694" spans="10:12" x14ac:dyDescent="0.3">
      <c r="J1694" s="1"/>
      <c r="K1694" s="1"/>
      <c r="L1694" s="51"/>
    </row>
    <row r="1695" spans="10:12" x14ac:dyDescent="0.3">
      <c r="J1695" s="1"/>
      <c r="K1695" s="1"/>
      <c r="L1695" s="51"/>
    </row>
    <row r="1696" spans="10:12" x14ac:dyDescent="0.3">
      <c r="J1696" s="1"/>
      <c r="K1696" s="1"/>
      <c r="L1696" s="51"/>
    </row>
    <row r="1697" spans="10:12" x14ac:dyDescent="0.3">
      <c r="J1697" s="1"/>
      <c r="K1697" s="1"/>
      <c r="L1697" s="51"/>
    </row>
    <row r="1698" spans="10:12" x14ac:dyDescent="0.3">
      <c r="J1698" s="1"/>
      <c r="K1698" s="1"/>
      <c r="L1698" s="51"/>
    </row>
    <row r="1699" spans="10:12" x14ac:dyDescent="0.3">
      <c r="J1699" s="1"/>
      <c r="K1699" s="1"/>
      <c r="L1699" s="51"/>
    </row>
    <row r="1700" spans="10:12" x14ac:dyDescent="0.3">
      <c r="J1700" s="1"/>
      <c r="K1700" s="1"/>
      <c r="L1700" s="51"/>
    </row>
    <row r="1701" spans="10:12" x14ac:dyDescent="0.3">
      <c r="J1701" s="1"/>
      <c r="K1701" s="1"/>
      <c r="L1701" s="51"/>
    </row>
    <row r="1702" spans="10:12" x14ac:dyDescent="0.3">
      <c r="J1702" s="1"/>
      <c r="K1702" s="1"/>
      <c r="L1702" s="51"/>
    </row>
    <row r="1703" spans="10:12" x14ac:dyDescent="0.3">
      <c r="J1703" s="1"/>
      <c r="K1703" s="1"/>
      <c r="L1703" s="51"/>
    </row>
    <row r="1704" spans="10:12" x14ac:dyDescent="0.3">
      <c r="J1704" s="1"/>
      <c r="K1704" s="1"/>
      <c r="L1704" s="51"/>
    </row>
    <row r="1705" spans="10:12" x14ac:dyDescent="0.3">
      <c r="J1705" s="1"/>
      <c r="K1705" s="1"/>
      <c r="L1705" s="51"/>
    </row>
    <row r="1706" spans="10:12" x14ac:dyDescent="0.3">
      <c r="J1706" s="1"/>
      <c r="K1706" s="1"/>
      <c r="L1706" s="51"/>
    </row>
    <row r="1707" spans="10:12" x14ac:dyDescent="0.3">
      <c r="J1707" s="1"/>
      <c r="K1707" s="1"/>
      <c r="L1707" s="51"/>
    </row>
    <row r="1708" spans="10:12" x14ac:dyDescent="0.3">
      <c r="J1708" s="1"/>
      <c r="K1708" s="1"/>
      <c r="L1708" s="51"/>
    </row>
    <row r="1709" spans="10:12" x14ac:dyDescent="0.3">
      <c r="J1709" s="1"/>
      <c r="K1709" s="1"/>
      <c r="L1709" s="51"/>
    </row>
    <row r="1710" spans="10:12" x14ac:dyDescent="0.3">
      <c r="J1710" s="1"/>
      <c r="K1710" s="1"/>
      <c r="L1710" s="51"/>
    </row>
    <row r="1711" spans="10:12" x14ac:dyDescent="0.3">
      <c r="J1711" s="1"/>
      <c r="K1711" s="1"/>
      <c r="L1711" s="51"/>
    </row>
    <row r="1712" spans="10:12" x14ac:dyDescent="0.3">
      <c r="J1712" s="1"/>
      <c r="K1712" s="1"/>
      <c r="L1712" s="51"/>
    </row>
    <row r="1713" spans="10:12" x14ac:dyDescent="0.3">
      <c r="J1713" s="1"/>
      <c r="K1713" s="1"/>
      <c r="L1713" s="51"/>
    </row>
    <row r="1714" spans="10:12" x14ac:dyDescent="0.3">
      <c r="J1714" s="1"/>
      <c r="K1714" s="1"/>
      <c r="L1714" s="51"/>
    </row>
    <row r="1715" spans="10:12" x14ac:dyDescent="0.3">
      <c r="J1715" s="1"/>
      <c r="K1715" s="1"/>
      <c r="L1715" s="51"/>
    </row>
    <row r="1716" spans="10:12" x14ac:dyDescent="0.3">
      <c r="J1716" s="1"/>
      <c r="K1716" s="1"/>
      <c r="L1716" s="51"/>
    </row>
    <row r="1717" spans="10:12" x14ac:dyDescent="0.3">
      <c r="J1717" s="1"/>
      <c r="K1717" s="1"/>
      <c r="L1717" s="51"/>
    </row>
    <row r="1718" spans="10:12" x14ac:dyDescent="0.3">
      <c r="J1718" s="1"/>
      <c r="K1718" s="1"/>
      <c r="L1718" s="51"/>
    </row>
    <row r="1719" spans="10:12" x14ac:dyDescent="0.3">
      <c r="J1719" s="1"/>
      <c r="K1719" s="1"/>
      <c r="L1719" s="51"/>
    </row>
    <row r="1720" spans="10:12" x14ac:dyDescent="0.3">
      <c r="J1720" s="1"/>
      <c r="K1720" s="1"/>
      <c r="L1720" s="51"/>
    </row>
    <row r="1721" spans="10:12" x14ac:dyDescent="0.3">
      <c r="J1721" s="1"/>
      <c r="K1721" s="1"/>
      <c r="L1721" s="51"/>
    </row>
    <row r="1722" spans="10:12" x14ac:dyDescent="0.3">
      <c r="J1722" s="1"/>
      <c r="K1722" s="1"/>
      <c r="L1722" s="51"/>
    </row>
    <row r="1723" spans="10:12" x14ac:dyDescent="0.3">
      <c r="J1723" s="1"/>
      <c r="K1723" s="1"/>
      <c r="L1723" s="51"/>
    </row>
    <row r="1724" spans="10:12" x14ac:dyDescent="0.3">
      <c r="J1724" s="1"/>
      <c r="K1724" s="1"/>
      <c r="L1724" s="51"/>
    </row>
    <row r="1725" spans="10:12" x14ac:dyDescent="0.3">
      <c r="J1725" s="1"/>
      <c r="K1725" s="1"/>
      <c r="L1725" s="51"/>
    </row>
    <row r="1726" spans="10:12" x14ac:dyDescent="0.3">
      <c r="J1726" s="1"/>
      <c r="K1726" s="1"/>
      <c r="L1726" s="51"/>
    </row>
    <row r="1727" spans="10:12" x14ac:dyDescent="0.3">
      <c r="J1727" s="1"/>
      <c r="K1727" s="1"/>
      <c r="L1727" s="51"/>
    </row>
    <row r="1728" spans="10:12" x14ac:dyDescent="0.3">
      <c r="J1728" s="1"/>
      <c r="K1728" s="1"/>
      <c r="L1728" s="51"/>
    </row>
    <row r="1729" spans="10:12" x14ac:dyDescent="0.3">
      <c r="J1729" s="1"/>
      <c r="K1729" s="1"/>
      <c r="L1729" s="51"/>
    </row>
    <row r="1730" spans="10:12" x14ac:dyDescent="0.3">
      <c r="J1730" s="1"/>
      <c r="K1730" s="1"/>
      <c r="L1730" s="51"/>
    </row>
    <row r="1731" spans="10:12" x14ac:dyDescent="0.3">
      <c r="J1731" s="1"/>
      <c r="K1731" s="1"/>
      <c r="L1731" s="51"/>
    </row>
    <row r="1732" spans="10:12" x14ac:dyDescent="0.3">
      <c r="J1732" s="1"/>
      <c r="K1732" s="1"/>
      <c r="L1732" s="51"/>
    </row>
    <row r="1733" spans="10:12" x14ac:dyDescent="0.3">
      <c r="J1733" s="1"/>
      <c r="K1733" s="1"/>
      <c r="L1733" s="51"/>
    </row>
    <row r="1734" spans="10:12" x14ac:dyDescent="0.3">
      <c r="J1734" s="1"/>
      <c r="K1734" s="1"/>
      <c r="L1734" s="51"/>
    </row>
    <row r="1735" spans="10:12" x14ac:dyDescent="0.3">
      <c r="J1735" s="1"/>
      <c r="K1735" s="1"/>
      <c r="L1735" s="51"/>
    </row>
    <row r="1736" spans="10:12" x14ac:dyDescent="0.3">
      <c r="J1736" s="1"/>
      <c r="K1736" s="1"/>
      <c r="L1736" s="51"/>
    </row>
    <row r="1737" spans="10:12" x14ac:dyDescent="0.3">
      <c r="J1737" s="1"/>
      <c r="K1737" s="1"/>
      <c r="L1737" s="51"/>
    </row>
    <row r="1738" spans="10:12" x14ac:dyDescent="0.3">
      <c r="J1738" s="1"/>
      <c r="K1738" s="1"/>
      <c r="L1738" s="51"/>
    </row>
    <row r="1739" spans="10:12" x14ac:dyDescent="0.3">
      <c r="J1739" s="1"/>
      <c r="K1739" s="1"/>
      <c r="L1739" s="51"/>
    </row>
    <row r="1740" spans="10:12" x14ac:dyDescent="0.3">
      <c r="J1740" s="1"/>
      <c r="K1740" s="1"/>
      <c r="L1740" s="51"/>
    </row>
    <row r="1741" spans="10:12" x14ac:dyDescent="0.3">
      <c r="J1741" s="1"/>
      <c r="K1741" s="1"/>
      <c r="L1741" s="51"/>
    </row>
    <row r="1742" spans="10:12" x14ac:dyDescent="0.3">
      <c r="J1742" s="1"/>
      <c r="K1742" s="1"/>
      <c r="L1742" s="51"/>
    </row>
    <row r="1743" spans="10:12" x14ac:dyDescent="0.3">
      <c r="J1743" s="1"/>
      <c r="K1743" s="1"/>
      <c r="L1743" s="51"/>
    </row>
    <row r="1744" spans="10:12" x14ac:dyDescent="0.3">
      <c r="J1744" s="1"/>
      <c r="K1744" s="1"/>
      <c r="L1744" s="51"/>
    </row>
    <row r="1745" spans="10:12" x14ac:dyDescent="0.3">
      <c r="J1745" s="1"/>
      <c r="K1745" s="1"/>
      <c r="L1745" s="51"/>
    </row>
    <row r="1746" spans="10:12" x14ac:dyDescent="0.3">
      <c r="J1746" s="1"/>
      <c r="K1746" s="1"/>
      <c r="L1746" s="51"/>
    </row>
    <row r="1747" spans="10:12" x14ac:dyDescent="0.3">
      <c r="J1747" s="1"/>
      <c r="K1747" s="1"/>
      <c r="L1747" s="51"/>
    </row>
    <row r="1748" spans="10:12" x14ac:dyDescent="0.3">
      <c r="J1748" s="1"/>
      <c r="K1748" s="1"/>
      <c r="L1748" s="51"/>
    </row>
    <row r="1749" spans="10:12" x14ac:dyDescent="0.3">
      <c r="J1749" s="1"/>
      <c r="K1749" s="1"/>
      <c r="L1749" s="51"/>
    </row>
    <row r="1750" spans="10:12" x14ac:dyDescent="0.3">
      <c r="J1750" s="1"/>
      <c r="K1750" s="1"/>
      <c r="L1750" s="51"/>
    </row>
    <row r="1751" spans="10:12" x14ac:dyDescent="0.3">
      <c r="J1751" s="1"/>
      <c r="K1751" s="1"/>
      <c r="L1751" s="51"/>
    </row>
    <row r="1752" spans="10:12" x14ac:dyDescent="0.3">
      <c r="J1752" s="1"/>
      <c r="K1752" s="1"/>
      <c r="L1752" s="51"/>
    </row>
    <row r="1753" spans="10:12" x14ac:dyDescent="0.3">
      <c r="J1753" s="1"/>
      <c r="K1753" s="1"/>
      <c r="L1753" s="51"/>
    </row>
    <row r="1754" spans="10:12" x14ac:dyDescent="0.3">
      <c r="J1754" s="1"/>
      <c r="K1754" s="1"/>
      <c r="L1754" s="51"/>
    </row>
    <row r="1755" spans="10:12" x14ac:dyDescent="0.3">
      <c r="J1755" s="1"/>
      <c r="K1755" s="1"/>
      <c r="L1755" s="51"/>
    </row>
    <row r="1756" spans="10:12" x14ac:dyDescent="0.3">
      <c r="J1756" s="1"/>
      <c r="K1756" s="1"/>
      <c r="L1756" s="51"/>
    </row>
    <row r="1757" spans="10:12" x14ac:dyDescent="0.3">
      <c r="J1757" s="1"/>
      <c r="K1757" s="1"/>
      <c r="L1757" s="51"/>
    </row>
    <row r="1758" spans="10:12" x14ac:dyDescent="0.3">
      <c r="J1758" s="1"/>
      <c r="K1758" s="1"/>
      <c r="L1758" s="51"/>
    </row>
    <row r="1759" spans="10:12" x14ac:dyDescent="0.3">
      <c r="J1759" s="1"/>
      <c r="K1759" s="1"/>
      <c r="L1759" s="51"/>
    </row>
    <row r="1760" spans="10:12" x14ac:dyDescent="0.3">
      <c r="J1760" s="1"/>
      <c r="K1760" s="1"/>
      <c r="L1760" s="51"/>
    </row>
    <row r="1761" spans="10:12" x14ac:dyDescent="0.3">
      <c r="J1761" s="1"/>
      <c r="K1761" s="1"/>
      <c r="L1761" s="51"/>
    </row>
    <row r="1762" spans="10:12" x14ac:dyDescent="0.3">
      <c r="J1762" s="1"/>
      <c r="K1762" s="1"/>
      <c r="L1762" s="51"/>
    </row>
    <row r="1763" spans="10:12" x14ac:dyDescent="0.3">
      <c r="J1763" s="1"/>
      <c r="K1763" s="1"/>
      <c r="L1763" s="51"/>
    </row>
    <row r="1764" spans="10:12" x14ac:dyDescent="0.3">
      <c r="J1764" s="1"/>
      <c r="K1764" s="1"/>
      <c r="L1764" s="51"/>
    </row>
    <row r="1765" spans="10:12" x14ac:dyDescent="0.3">
      <c r="J1765" s="1"/>
      <c r="K1765" s="1"/>
      <c r="L1765" s="51"/>
    </row>
    <row r="1766" spans="10:12" x14ac:dyDescent="0.3">
      <c r="J1766" s="1"/>
      <c r="K1766" s="1"/>
      <c r="L1766" s="51"/>
    </row>
    <row r="1767" spans="10:12" x14ac:dyDescent="0.3">
      <c r="J1767" s="1"/>
      <c r="K1767" s="1"/>
      <c r="L1767" s="51"/>
    </row>
    <row r="1768" spans="10:12" x14ac:dyDescent="0.3">
      <c r="J1768" s="1"/>
      <c r="K1768" s="1"/>
      <c r="L1768" s="51"/>
    </row>
    <row r="1769" spans="10:12" x14ac:dyDescent="0.3">
      <c r="J1769" s="1"/>
      <c r="K1769" s="1"/>
      <c r="L1769" s="51"/>
    </row>
    <row r="1770" spans="10:12" x14ac:dyDescent="0.3">
      <c r="J1770" s="1"/>
      <c r="K1770" s="1"/>
      <c r="L1770" s="51"/>
    </row>
    <row r="1771" spans="10:12" x14ac:dyDescent="0.3">
      <c r="J1771" s="1"/>
      <c r="K1771" s="1"/>
      <c r="L1771" s="51"/>
    </row>
    <row r="1772" spans="10:12" x14ac:dyDescent="0.3">
      <c r="J1772" s="1"/>
      <c r="K1772" s="1"/>
      <c r="L1772" s="51"/>
    </row>
    <row r="1773" spans="10:12" x14ac:dyDescent="0.3">
      <c r="J1773" s="1"/>
      <c r="K1773" s="1"/>
      <c r="L1773" s="51"/>
    </row>
    <row r="1774" spans="10:12" x14ac:dyDescent="0.3">
      <c r="J1774" s="1"/>
      <c r="K1774" s="1"/>
      <c r="L1774" s="51"/>
    </row>
    <row r="1775" spans="10:12" x14ac:dyDescent="0.3">
      <c r="J1775" s="1"/>
      <c r="K1775" s="1"/>
      <c r="L1775" s="51"/>
    </row>
    <row r="1776" spans="10:12" x14ac:dyDescent="0.3">
      <c r="J1776" s="1"/>
      <c r="K1776" s="1"/>
      <c r="L1776" s="51"/>
    </row>
    <row r="1777" spans="10:12" x14ac:dyDescent="0.3">
      <c r="J1777" s="1"/>
      <c r="K1777" s="1"/>
      <c r="L1777" s="51"/>
    </row>
    <row r="1778" spans="10:12" x14ac:dyDescent="0.3">
      <c r="J1778" s="1"/>
      <c r="K1778" s="1"/>
      <c r="L1778" s="51"/>
    </row>
    <row r="1779" spans="10:12" x14ac:dyDescent="0.3">
      <c r="J1779" s="1"/>
      <c r="K1779" s="1"/>
      <c r="L1779" s="51"/>
    </row>
    <row r="1780" spans="10:12" x14ac:dyDescent="0.3">
      <c r="J1780" s="1"/>
      <c r="K1780" s="1"/>
      <c r="L1780" s="51"/>
    </row>
    <row r="1781" spans="10:12" x14ac:dyDescent="0.3">
      <c r="J1781" s="1"/>
      <c r="K1781" s="1"/>
      <c r="L1781" s="51"/>
    </row>
    <row r="1782" spans="10:12" x14ac:dyDescent="0.3">
      <c r="J1782" s="1"/>
      <c r="K1782" s="1"/>
      <c r="L1782" s="51"/>
    </row>
    <row r="1783" spans="10:12" x14ac:dyDescent="0.3">
      <c r="J1783" s="1"/>
      <c r="K1783" s="1"/>
      <c r="L1783" s="51"/>
    </row>
    <row r="1784" spans="10:12" x14ac:dyDescent="0.3">
      <c r="J1784" s="1"/>
      <c r="K1784" s="1"/>
      <c r="L1784" s="51"/>
    </row>
    <row r="1785" spans="10:12" x14ac:dyDescent="0.3">
      <c r="J1785" s="1"/>
      <c r="K1785" s="1"/>
      <c r="L1785" s="51"/>
    </row>
    <row r="1786" spans="10:12" x14ac:dyDescent="0.3">
      <c r="J1786" s="1"/>
      <c r="K1786" s="1"/>
      <c r="L1786" s="51"/>
    </row>
    <row r="1787" spans="10:12" x14ac:dyDescent="0.3">
      <c r="J1787" s="1"/>
      <c r="K1787" s="1"/>
      <c r="L1787" s="51"/>
    </row>
    <row r="1788" spans="10:12" x14ac:dyDescent="0.3">
      <c r="J1788" s="1"/>
      <c r="K1788" s="1"/>
      <c r="L1788" s="51"/>
    </row>
    <row r="1789" spans="10:12" x14ac:dyDescent="0.3">
      <c r="J1789" s="1"/>
      <c r="K1789" s="1"/>
      <c r="L1789" s="51"/>
    </row>
    <row r="1790" spans="10:12" x14ac:dyDescent="0.3">
      <c r="J1790" s="1"/>
      <c r="K1790" s="1"/>
      <c r="L1790" s="51"/>
    </row>
    <row r="1791" spans="10:12" x14ac:dyDescent="0.3">
      <c r="J1791" s="1"/>
      <c r="K1791" s="1"/>
      <c r="L1791" s="51"/>
    </row>
    <row r="1792" spans="10:12" x14ac:dyDescent="0.3">
      <c r="J1792" s="1"/>
      <c r="K1792" s="1"/>
      <c r="L1792" s="51"/>
    </row>
    <row r="1793" spans="10:12" x14ac:dyDescent="0.3">
      <c r="J1793" s="1"/>
      <c r="K1793" s="1"/>
      <c r="L1793" s="51"/>
    </row>
    <row r="1794" spans="10:12" x14ac:dyDescent="0.3">
      <c r="J1794" s="1"/>
      <c r="K1794" s="1"/>
      <c r="L1794" s="51"/>
    </row>
    <row r="1795" spans="10:12" x14ac:dyDescent="0.3">
      <c r="J1795" s="1"/>
      <c r="K1795" s="1"/>
      <c r="L1795" s="51"/>
    </row>
    <row r="1796" spans="10:12" x14ac:dyDescent="0.3">
      <c r="J1796" s="1"/>
      <c r="K1796" s="1"/>
      <c r="L1796" s="51"/>
    </row>
    <row r="1797" spans="10:12" x14ac:dyDescent="0.3">
      <c r="J1797" s="1"/>
      <c r="K1797" s="1"/>
      <c r="L1797" s="51"/>
    </row>
    <row r="1798" spans="10:12" x14ac:dyDescent="0.3">
      <c r="J1798" s="1"/>
      <c r="K1798" s="1"/>
      <c r="L1798" s="51"/>
    </row>
    <row r="1799" spans="10:12" x14ac:dyDescent="0.3">
      <c r="J1799" s="1"/>
      <c r="K1799" s="1"/>
      <c r="L1799" s="51"/>
    </row>
    <row r="1800" spans="10:12" x14ac:dyDescent="0.3">
      <c r="J1800" s="1"/>
      <c r="K1800" s="1"/>
      <c r="L1800" s="51"/>
    </row>
    <row r="1801" spans="10:12" x14ac:dyDescent="0.3">
      <c r="J1801" s="1"/>
      <c r="K1801" s="1"/>
      <c r="L1801" s="51"/>
    </row>
    <row r="1802" spans="10:12" x14ac:dyDescent="0.3">
      <c r="J1802" s="1"/>
      <c r="K1802" s="1"/>
      <c r="L1802" s="51"/>
    </row>
    <row r="1803" spans="10:12" x14ac:dyDescent="0.3">
      <c r="J1803" s="1"/>
      <c r="K1803" s="1"/>
      <c r="L1803" s="51"/>
    </row>
    <row r="1804" spans="10:12" x14ac:dyDescent="0.3">
      <c r="J1804" s="1"/>
      <c r="K1804" s="1"/>
      <c r="L1804" s="51"/>
    </row>
    <row r="1805" spans="10:12" x14ac:dyDescent="0.3">
      <c r="J1805" s="1"/>
      <c r="K1805" s="1"/>
      <c r="L1805" s="51"/>
    </row>
    <row r="1806" spans="10:12" x14ac:dyDescent="0.3">
      <c r="J1806" s="1"/>
      <c r="K1806" s="1"/>
      <c r="L1806" s="51"/>
    </row>
    <row r="1807" spans="10:12" x14ac:dyDescent="0.3">
      <c r="J1807" s="1"/>
      <c r="K1807" s="1"/>
      <c r="L1807" s="51"/>
    </row>
    <row r="1808" spans="10:12" x14ac:dyDescent="0.3">
      <c r="J1808" s="1"/>
      <c r="K1808" s="1"/>
      <c r="L1808" s="51"/>
    </row>
    <row r="1809" spans="10:12" x14ac:dyDescent="0.3">
      <c r="J1809" s="1"/>
      <c r="K1809" s="1"/>
      <c r="L1809" s="51"/>
    </row>
    <row r="1810" spans="10:12" x14ac:dyDescent="0.3">
      <c r="J1810" s="1"/>
      <c r="K1810" s="1"/>
      <c r="L1810" s="51"/>
    </row>
    <row r="1811" spans="10:12" x14ac:dyDescent="0.3">
      <c r="J1811" s="1"/>
      <c r="K1811" s="1"/>
      <c r="L1811" s="51"/>
    </row>
    <row r="1812" spans="10:12" x14ac:dyDescent="0.3">
      <c r="J1812" s="1"/>
      <c r="K1812" s="1"/>
      <c r="L1812" s="51"/>
    </row>
    <row r="1813" spans="10:12" x14ac:dyDescent="0.3">
      <c r="J1813" s="1"/>
      <c r="K1813" s="1"/>
      <c r="L1813" s="51"/>
    </row>
    <row r="1814" spans="10:12" x14ac:dyDescent="0.3">
      <c r="J1814" s="1"/>
      <c r="K1814" s="1"/>
      <c r="L1814" s="51"/>
    </row>
    <row r="1815" spans="10:12" x14ac:dyDescent="0.3">
      <c r="J1815" s="1"/>
      <c r="K1815" s="1"/>
      <c r="L1815" s="51"/>
    </row>
    <row r="1816" spans="10:12" x14ac:dyDescent="0.3">
      <c r="J1816" s="1"/>
      <c r="K1816" s="1"/>
      <c r="L1816" s="51"/>
    </row>
    <row r="1817" spans="10:12" x14ac:dyDescent="0.3">
      <c r="J1817" s="1"/>
      <c r="K1817" s="1"/>
      <c r="L1817" s="51"/>
    </row>
    <row r="1818" spans="10:12" x14ac:dyDescent="0.3">
      <c r="J1818" s="1"/>
      <c r="K1818" s="1"/>
      <c r="L1818" s="51"/>
    </row>
    <row r="1819" spans="10:12" x14ac:dyDescent="0.3">
      <c r="J1819" s="1"/>
      <c r="K1819" s="1"/>
      <c r="L1819" s="51"/>
    </row>
    <row r="1820" spans="10:12" x14ac:dyDescent="0.3">
      <c r="J1820" s="1"/>
      <c r="K1820" s="1"/>
      <c r="L1820" s="51"/>
    </row>
    <row r="1821" spans="10:12" x14ac:dyDescent="0.3">
      <c r="J1821" s="1"/>
      <c r="K1821" s="1"/>
      <c r="L1821" s="51"/>
    </row>
    <row r="1822" spans="10:12" x14ac:dyDescent="0.3">
      <c r="J1822" s="1"/>
      <c r="K1822" s="1"/>
      <c r="L1822" s="51"/>
    </row>
    <row r="1823" spans="10:12" x14ac:dyDescent="0.3">
      <c r="J1823" s="1"/>
      <c r="K1823" s="1"/>
      <c r="L1823" s="51"/>
    </row>
    <row r="1824" spans="10:12" x14ac:dyDescent="0.3">
      <c r="J1824" s="1"/>
      <c r="K1824" s="1"/>
      <c r="L1824" s="51"/>
    </row>
    <row r="1825" spans="10:12" x14ac:dyDescent="0.3">
      <c r="J1825" s="1"/>
      <c r="K1825" s="1"/>
      <c r="L1825" s="51"/>
    </row>
    <row r="1826" spans="10:12" x14ac:dyDescent="0.3">
      <c r="J1826" s="1"/>
      <c r="K1826" s="1"/>
      <c r="L1826" s="51"/>
    </row>
    <row r="1827" spans="10:12" x14ac:dyDescent="0.3">
      <c r="J1827" s="1"/>
      <c r="K1827" s="1"/>
      <c r="L1827" s="51"/>
    </row>
    <row r="1828" spans="10:12" x14ac:dyDescent="0.3">
      <c r="J1828" s="1"/>
      <c r="K1828" s="1"/>
      <c r="L1828" s="51"/>
    </row>
    <row r="1829" spans="10:12" x14ac:dyDescent="0.3">
      <c r="J1829" s="1"/>
      <c r="K1829" s="1"/>
      <c r="L1829" s="51"/>
    </row>
    <row r="1830" spans="10:12" x14ac:dyDescent="0.3">
      <c r="J1830" s="1"/>
      <c r="K1830" s="1"/>
      <c r="L1830" s="51"/>
    </row>
    <row r="1831" spans="10:12" x14ac:dyDescent="0.3">
      <c r="J1831" s="1"/>
      <c r="K1831" s="1"/>
      <c r="L1831" s="51"/>
    </row>
    <row r="1832" spans="10:12" x14ac:dyDescent="0.3">
      <c r="J1832" s="1"/>
      <c r="K1832" s="1"/>
      <c r="L1832" s="51"/>
    </row>
    <row r="1833" spans="10:12" x14ac:dyDescent="0.3">
      <c r="J1833" s="1"/>
      <c r="K1833" s="1"/>
      <c r="L1833" s="51"/>
    </row>
    <row r="1834" spans="10:12" x14ac:dyDescent="0.3">
      <c r="J1834" s="1"/>
      <c r="K1834" s="1"/>
      <c r="L1834" s="51"/>
    </row>
    <row r="1835" spans="10:12" x14ac:dyDescent="0.3">
      <c r="J1835" s="1"/>
      <c r="K1835" s="1"/>
      <c r="L1835" s="51"/>
    </row>
    <row r="1836" spans="10:12" x14ac:dyDescent="0.3">
      <c r="J1836" s="1"/>
      <c r="K1836" s="1"/>
      <c r="L1836" s="51"/>
    </row>
    <row r="1837" spans="10:12" x14ac:dyDescent="0.3">
      <c r="J1837" s="1"/>
      <c r="K1837" s="1"/>
      <c r="L1837" s="51"/>
    </row>
    <row r="1838" spans="10:12" x14ac:dyDescent="0.3">
      <c r="J1838" s="1"/>
      <c r="K1838" s="1"/>
      <c r="L1838" s="51"/>
    </row>
    <row r="1839" spans="10:12" x14ac:dyDescent="0.3">
      <c r="J1839" s="1"/>
      <c r="K1839" s="1"/>
      <c r="L1839" s="51"/>
    </row>
    <row r="1840" spans="10:12" x14ac:dyDescent="0.3">
      <c r="J1840" s="1"/>
      <c r="K1840" s="1"/>
      <c r="L1840" s="51"/>
    </row>
    <row r="1841" spans="10:12" x14ac:dyDescent="0.3">
      <c r="J1841" s="1"/>
      <c r="K1841" s="1"/>
      <c r="L1841" s="51"/>
    </row>
    <row r="1842" spans="10:12" x14ac:dyDescent="0.3">
      <c r="J1842" s="1"/>
      <c r="K1842" s="1"/>
      <c r="L1842" s="51"/>
    </row>
    <row r="1843" spans="10:12" x14ac:dyDescent="0.3">
      <c r="J1843" s="1"/>
      <c r="K1843" s="1"/>
      <c r="L1843" s="51"/>
    </row>
    <row r="1844" spans="10:12" x14ac:dyDescent="0.3">
      <c r="J1844" s="1"/>
      <c r="K1844" s="1"/>
      <c r="L1844" s="51"/>
    </row>
    <row r="1845" spans="10:12" x14ac:dyDescent="0.3">
      <c r="J1845" s="1"/>
      <c r="K1845" s="1"/>
      <c r="L1845" s="51"/>
    </row>
    <row r="1846" spans="10:12" x14ac:dyDescent="0.3">
      <c r="J1846" s="1"/>
      <c r="K1846" s="1"/>
      <c r="L1846" s="51"/>
    </row>
    <row r="1847" spans="10:12" x14ac:dyDescent="0.3">
      <c r="J1847" s="1"/>
      <c r="K1847" s="1"/>
      <c r="L1847" s="51"/>
    </row>
    <row r="1848" spans="10:12" x14ac:dyDescent="0.3">
      <c r="J1848" s="1"/>
      <c r="K1848" s="1"/>
      <c r="L1848" s="51"/>
    </row>
    <row r="1849" spans="10:12" x14ac:dyDescent="0.3">
      <c r="J1849" s="1"/>
      <c r="K1849" s="1"/>
      <c r="L1849" s="51"/>
    </row>
    <row r="1850" spans="10:12" x14ac:dyDescent="0.3">
      <c r="J1850" s="1"/>
      <c r="K1850" s="1"/>
      <c r="L1850" s="51"/>
    </row>
    <row r="1851" spans="10:12" x14ac:dyDescent="0.3">
      <c r="J1851" s="1"/>
      <c r="K1851" s="1"/>
      <c r="L1851" s="51"/>
    </row>
    <row r="1852" spans="10:12" x14ac:dyDescent="0.3">
      <c r="J1852" s="1"/>
      <c r="K1852" s="1"/>
      <c r="L1852" s="51"/>
    </row>
    <row r="1853" spans="10:12" x14ac:dyDescent="0.3">
      <c r="J1853" s="1"/>
      <c r="K1853" s="1"/>
      <c r="L1853" s="51"/>
    </row>
    <row r="1854" spans="10:12" x14ac:dyDescent="0.3">
      <c r="J1854" s="1"/>
      <c r="K1854" s="1"/>
      <c r="L1854" s="51"/>
    </row>
    <row r="1855" spans="10:12" x14ac:dyDescent="0.3">
      <c r="J1855" s="1"/>
      <c r="K1855" s="1"/>
      <c r="L1855" s="51"/>
    </row>
    <row r="1856" spans="10:12" x14ac:dyDescent="0.3">
      <c r="J1856" s="1"/>
      <c r="K1856" s="1"/>
      <c r="L1856" s="51"/>
    </row>
    <row r="1857" spans="10:12" x14ac:dyDescent="0.3">
      <c r="J1857" s="1"/>
      <c r="K1857" s="1"/>
      <c r="L1857" s="51"/>
    </row>
    <row r="1858" spans="10:12" x14ac:dyDescent="0.3">
      <c r="J1858" s="1"/>
      <c r="K1858" s="1"/>
      <c r="L1858" s="51"/>
    </row>
    <row r="1859" spans="10:12" x14ac:dyDescent="0.3">
      <c r="J1859" s="1"/>
      <c r="K1859" s="1"/>
      <c r="L1859" s="51"/>
    </row>
    <row r="1860" spans="10:12" x14ac:dyDescent="0.3">
      <c r="J1860" s="1"/>
      <c r="K1860" s="1"/>
      <c r="L1860" s="51"/>
    </row>
    <row r="1861" spans="10:12" x14ac:dyDescent="0.3">
      <c r="J1861" s="1"/>
      <c r="K1861" s="1"/>
      <c r="L1861" s="51"/>
    </row>
    <row r="1862" spans="10:12" x14ac:dyDescent="0.3">
      <c r="J1862" s="1"/>
      <c r="K1862" s="1"/>
      <c r="L1862" s="51"/>
    </row>
    <row r="1863" spans="10:12" x14ac:dyDescent="0.3">
      <c r="J1863" s="1"/>
      <c r="K1863" s="1"/>
      <c r="L1863" s="51"/>
    </row>
    <row r="1864" spans="10:12" x14ac:dyDescent="0.3">
      <c r="J1864" s="1"/>
      <c r="K1864" s="1"/>
      <c r="L1864" s="51"/>
    </row>
    <row r="1865" spans="10:12" x14ac:dyDescent="0.3">
      <c r="J1865" s="1"/>
      <c r="K1865" s="1"/>
      <c r="L1865" s="51"/>
    </row>
    <row r="1866" spans="10:12" x14ac:dyDescent="0.3">
      <c r="J1866" s="1"/>
      <c r="K1866" s="1"/>
      <c r="L1866" s="51"/>
    </row>
    <row r="1867" spans="10:12" x14ac:dyDescent="0.3">
      <c r="J1867" s="1"/>
      <c r="K1867" s="1"/>
      <c r="L1867" s="51"/>
    </row>
    <row r="1868" spans="10:12" x14ac:dyDescent="0.3">
      <c r="J1868" s="1"/>
      <c r="K1868" s="1"/>
      <c r="L1868" s="51"/>
    </row>
    <row r="1869" spans="10:12" x14ac:dyDescent="0.3">
      <c r="J1869" s="1"/>
      <c r="K1869" s="1"/>
      <c r="L1869" s="51"/>
    </row>
    <row r="1870" spans="10:12" x14ac:dyDescent="0.3">
      <c r="J1870" s="1"/>
      <c r="K1870" s="1"/>
      <c r="L1870" s="51"/>
    </row>
    <row r="1871" spans="10:12" x14ac:dyDescent="0.3">
      <c r="J1871" s="1"/>
      <c r="K1871" s="1"/>
      <c r="L1871" s="51"/>
    </row>
    <row r="1872" spans="10:12" x14ac:dyDescent="0.3">
      <c r="J1872" s="1"/>
      <c r="K1872" s="1"/>
      <c r="L1872" s="51"/>
    </row>
    <row r="1873" spans="10:12" x14ac:dyDescent="0.3">
      <c r="J1873" s="1"/>
      <c r="K1873" s="1"/>
      <c r="L1873" s="51"/>
    </row>
    <row r="1874" spans="10:12" x14ac:dyDescent="0.3">
      <c r="J1874" s="1"/>
      <c r="K1874" s="1"/>
      <c r="L1874" s="51"/>
    </row>
    <row r="1875" spans="10:12" x14ac:dyDescent="0.3">
      <c r="J1875" s="1"/>
      <c r="K1875" s="1"/>
      <c r="L1875" s="51"/>
    </row>
    <row r="1876" spans="10:12" x14ac:dyDescent="0.3">
      <c r="J1876" s="1"/>
      <c r="K1876" s="1"/>
      <c r="L1876" s="51"/>
    </row>
    <row r="1877" spans="10:12" x14ac:dyDescent="0.3">
      <c r="J1877" s="1"/>
      <c r="K1877" s="1"/>
      <c r="L1877" s="51"/>
    </row>
    <row r="1878" spans="10:12" x14ac:dyDescent="0.3">
      <c r="J1878" s="1"/>
      <c r="K1878" s="1"/>
      <c r="L1878" s="51"/>
    </row>
    <row r="1879" spans="10:12" x14ac:dyDescent="0.3">
      <c r="J1879" s="1"/>
      <c r="K1879" s="1"/>
      <c r="L1879" s="51"/>
    </row>
    <row r="1880" spans="10:12" x14ac:dyDescent="0.3">
      <c r="J1880" s="1"/>
      <c r="K1880" s="1"/>
      <c r="L1880" s="51"/>
    </row>
    <row r="1881" spans="10:12" x14ac:dyDescent="0.3">
      <c r="J1881" s="1"/>
      <c r="K1881" s="1"/>
      <c r="L1881" s="51"/>
    </row>
    <row r="1882" spans="10:12" x14ac:dyDescent="0.3">
      <c r="J1882" s="1"/>
      <c r="K1882" s="1"/>
      <c r="L1882" s="51"/>
    </row>
    <row r="1883" spans="10:12" x14ac:dyDescent="0.3">
      <c r="J1883" s="1"/>
      <c r="K1883" s="1"/>
      <c r="L1883" s="51"/>
    </row>
    <row r="1884" spans="10:12" x14ac:dyDescent="0.3">
      <c r="J1884" s="1"/>
      <c r="K1884" s="1"/>
      <c r="L1884" s="51"/>
    </row>
    <row r="1885" spans="10:12" x14ac:dyDescent="0.3">
      <c r="J1885" s="1"/>
      <c r="K1885" s="1"/>
      <c r="L1885" s="51"/>
    </row>
    <row r="1886" spans="10:12" x14ac:dyDescent="0.3">
      <c r="J1886" s="1"/>
      <c r="K1886" s="1"/>
      <c r="L1886" s="51"/>
    </row>
    <row r="1887" spans="10:12" x14ac:dyDescent="0.3">
      <c r="J1887" s="1"/>
      <c r="K1887" s="1"/>
      <c r="L1887" s="51"/>
    </row>
    <row r="1888" spans="10:12" x14ac:dyDescent="0.3">
      <c r="J1888" s="1"/>
      <c r="K1888" s="1"/>
      <c r="L1888" s="51"/>
    </row>
    <row r="1889" spans="10:12" x14ac:dyDescent="0.3">
      <c r="J1889" s="1"/>
      <c r="K1889" s="1"/>
      <c r="L1889" s="51"/>
    </row>
    <row r="1890" spans="10:12" x14ac:dyDescent="0.3">
      <c r="J1890" s="1"/>
      <c r="K1890" s="1"/>
      <c r="L1890" s="51"/>
    </row>
    <row r="1891" spans="10:12" x14ac:dyDescent="0.3">
      <c r="J1891" s="1"/>
      <c r="K1891" s="1"/>
      <c r="L1891" s="51"/>
    </row>
    <row r="1892" spans="10:12" x14ac:dyDescent="0.3">
      <c r="J1892" s="1"/>
      <c r="K1892" s="1"/>
      <c r="L1892" s="51"/>
    </row>
    <row r="1893" spans="10:12" x14ac:dyDescent="0.3">
      <c r="J1893" s="1"/>
      <c r="K1893" s="1"/>
      <c r="L1893" s="51"/>
    </row>
    <row r="1894" spans="10:12" x14ac:dyDescent="0.3">
      <c r="J1894" s="1"/>
      <c r="K1894" s="1"/>
      <c r="L1894" s="51"/>
    </row>
    <row r="1895" spans="10:12" x14ac:dyDescent="0.3">
      <c r="J1895" s="1"/>
      <c r="K1895" s="1"/>
      <c r="L1895" s="51"/>
    </row>
    <row r="1896" spans="10:12" x14ac:dyDescent="0.3">
      <c r="J1896" s="1"/>
      <c r="K1896" s="1"/>
      <c r="L1896" s="51"/>
    </row>
    <row r="1897" spans="10:12" x14ac:dyDescent="0.3">
      <c r="J1897" s="1"/>
      <c r="K1897" s="1"/>
      <c r="L1897" s="51"/>
    </row>
    <row r="1898" spans="10:12" x14ac:dyDescent="0.3">
      <c r="J1898" s="1"/>
      <c r="K1898" s="1"/>
      <c r="L1898" s="51"/>
    </row>
    <row r="1899" spans="10:12" x14ac:dyDescent="0.3">
      <c r="J1899" s="1"/>
      <c r="K1899" s="1"/>
      <c r="L1899" s="51"/>
    </row>
    <row r="1900" spans="10:12" x14ac:dyDescent="0.3">
      <c r="J1900" s="1"/>
      <c r="K1900" s="1"/>
      <c r="L1900" s="51"/>
    </row>
    <row r="1901" spans="10:12" x14ac:dyDescent="0.3">
      <c r="J1901" s="1"/>
      <c r="K1901" s="1"/>
      <c r="L1901" s="51"/>
    </row>
    <row r="1902" spans="10:12" x14ac:dyDescent="0.3">
      <c r="J1902" s="1"/>
      <c r="K1902" s="1"/>
      <c r="L1902" s="51"/>
    </row>
    <row r="1903" spans="10:12" x14ac:dyDescent="0.3">
      <c r="J1903" s="1"/>
      <c r="K1903" s="1"/>
      <c r="L1903" s="51"/>
    </row>
    <row r="1904" spans="10:12" x14ac:dyDescent="0.3">
      <c r="J1904" s="1"/>
      <c r="K1904" s="1"/>
      <c r="L1904" s="51"/>
    </row>
    <row r="1905" spans="10:12" x14ac:dyDescent="0.3">
      <c r="J1905" s="1"/>
      <c r="K1905" s="1"/>
      <c r="L1905" s="51"/>
    </row>
    <row r="1906" spans="10:12" x14ac:dyDescent="0.3">
      <c r="J1906" s="1"/>
      <c r="K1906" s="1"/>
      <c r="L1906" s="51"/>
    </row>
    <row r="1907" spans="10:12" x14ac:dyDescent="0.3">
      <c r="J1907" s="1"/>
      <c r="K1907" s="1"/>
      <c r="L1907" s="51"/>
    </row>
    <row r="1908" spans="10:12" x14ac:dyDescent="0.3">
      <c r="J1908" s="1"/>
      <c r="K1908" s="1"/>
      <c r="L1908" s="51"/>
    </row>
    <row r="1909" spans="10:12" x14ac:dyDescent="0.3">
      <c r="J1909" s="1"/>
      <c r="K1909" s="1"/>
      <c r="L1909" s="51"/>
    </row>
    <row r="1910" spans="10:12" x14ac:dyDescent="0.3">
      <c r="J1910" s="1"/>
      <c r="K1910" s="1"/>
      <c r="L1910" s="51"/>
    </row>
    <row r="1911" spans="10:12" x14ac:dyDescent="0.3">
      <c r="J1911" s="1"/>
      <c r="K1911" s="1"/>
      <c r="L1911" s="51"/>
    </row>
    <row r="1912" spans="10:12" x14ac:dyDescent="0.3">
      <c r="J1912" s="1"/>
      <c r="K1912" s="1"/>
      <c r="L1912" s="51"/>
    </row>
    <row r="1913" spans="10:12" x14ac:dyDescent="0.3">
      <c r="J1913" s="1"/>
      <c r="K1913" s="1"/>
      <c r="L1913" s="51"/>
    </row>
    <row r="1914" spans="10:12" x14ac:dyDescent="0.3">
      <c r="J1914" s="1"/>
      <c r="K1914" s="1"/>
      <c r="L1914" s="51"/>
    </row>
    <row r="1915" spans="10:12" x14ac:dyDescent="0.3">
      <c r="J1915" s="1"/>
      <c r="K1915" s="1"/>
      <c r="L1915" s="51"/>
    </row>
    <row r="1916" spans="10:12" x14ac:dyDescent="0.3">
      <c r="J1916" s="1"/>
      <c r="K1916" s="1"/>
      <c r="L1916" s="51"/>
    </row>
    <row r="1917" spans="10:12" x14ac:dyDescent="0.3">
      <c r="J1917" s="1"/>
      <c r="K1917" s="1"/>
      <c r="L1917" s="51"/>
    </row>
    <row r="1918" spans="10:12" x14ac:dyDescent="0.3">
      <c r="J1918" s="1"/>
      <c r="K1918" s="1"/>
      <c r="L1918" s="51"/>
    </row>
    <row r="1919" spans="10:12" x14ac:dyDescent="0.3">
      <c r="J1919" s="1"/>
      <c r="K1919" s="1"/>
      <c r="L1919" s="51"/>
    </row>
    <row r="1920" spans="10:12" x14ac:dyDescent="0.3">
      <c r="J1920" s="1"/>
      <c r="K1920" s="1"/>
      <c r="L1920" s="51"/>
    </row>
    <row r="1921" spans="10:12" x14ac:dyDescent="0.3">
      <c r="J1921" s="1"/>
      <c r="K1921" s="1"/>
      <c r="L1921" s="51"/>
    </row>
    <row r="1922" spans="10:12" x14ac:dyDescent="0.3">
      <c r="J1922" s="1"/>
      <c r="K1922" s="1"/>
      <c r="L1922" s="51"/>
    </row>
    <row r="1923" spans="10:12" x14ac:dyDescent="0.3">
      <c r="J1923" s="1"/>
      <c r="K1923" s="1"/>
      <c r="L1923" s="51"/>
    </row>
    <row r="1924" spans="10:12" x14ac:dyDescent="0.3">
      <c r="J1924" s="1"/>
      <c r="K1924" s="1"/>
      <c r="L1924" s="51"/>
    </row>
    <row r="1925" spans="10:12" x14ac:dyDescent="0.3">
      <c r="J1925" s="1"/>
      <c r="K1925" s="1"/>
      <c r="L1925" s="51"/>
    </row>
    <row r="1926" spans="10:12" x14ac:dyDescent="0.3">
      <c r="J1926" s="1"/>
      <c r="K1926" s="1"/>
      <c r="L1926" s="51"/>
    </row>
    <row r="1927" spans="10:12" x14ac:dyDescent="0.3">
      <c r="J1927" s="1"/>
      <c r="K1927" s="1"/>
      <c r="L1927" s="51"/>
    </row>
    <row r="1928" spans="10:12" x14ac:dyDescent="0.3">
      <c r="J1928" s="1"/>
      <c r="K1928" s="1"/>
      <c r="L1928" s="51"/>
    </row>
    <row r="1929" spans="10:12" x14ac:dyDescent="0.3">
      <c r="J1929" s="1"/>
      <c r="K1929" s="1"/>
      <c r="L1929" s="51"/>
    </row>
    <row r="1930" spans="10:12" x14ac:dyDescent="0.3">
      <c r="J1930" s="1"/>
      <c r="K1930" s="1"/>
      <c r="L1930" s="51"/>
    </row>
    <row r="1931" spans="10:12" x14ac:dyDescent="0.3">
      <c r="J1931" s="1"/>
      <c r="K1931" s="1"/>
      <c r="L1931" s="51"/>
    </row>
    <row r="1932" spans="10:12" x14ac:dyDescent="0.3">
      <c r="J1932" s="1"/>
      <c r="K1932" s="1"/>
      <c r="L1932" s="51"/>
    </row>
    <row r="1933" spans="10:12" x14ac:dyDescent="0.3">
      <c r="J1933" s="1"/>
      <c r="K1933" s="1"/>
      <c r="L1933" s="51"/>
    </row>
    <row r="1934" spans="10:12" x14ac:dyDescent="0.3">
      <c r="J1934" s="1"/>
      <c r="K1934" s="1"/>
      <c r="L1934" s="51"/>
    </row>
    <row r="1935" spans="10:12" x14ac:dyDescent="0.3">
      <c r="J1935" s="1"/>
      <c r="K1935" s="1"/>
      <c r="L1935" s="51"/>
    </row>
    <row r="1936" spans="10:12" x14ac:dyDescent="0.3">
      <c r="J1936" s="1"/>
      <c r="K1936" s="1"/>
      <c r="L1936" s="51"/>
    </row>
    <row r="1937" spans="10:12" x14ac:dyDescent="0.3">
      <c r="J1937" s="1"/>
      <c r="K1937" s="1"/>
      <c r="L1937" s="51"/>
    </row>
    <row r="1938" spans="10:12" x14ac:dyDescent="0.3">
      <c r="J1938" s="1"/>
      <c r="K1938" s="1"/>
      <c r="L1938" s="51"/>
    </row>
    <row r="1939" spans="10:12" x14ac:dyDescent="0.3">
      <c r="J1939" s="1"/>
      <c r="K1939" s="1"/>
      <c r="L1939" s="51"/>
    </row>
    <row r="1940" spans="10:12" x14ac:dyDescent="0.3">
      <c r="J1940" s="1"/>
      <c r="K1940" s="1"/>
      <c r="L1940" s="51"/>
    </row>
    <row r="1941" spans="10:12" x14ac:dyDescent="0.3">
      <c r="J1941" s="1"/>
      <c r="K1941" s="1"/>
      <c r="L1941" s="51"/>
    </row>
    <row r="1942" spans="10:12" x14ac:dyDescent="0.3">
      <c r="J1942" s="1"/>
      <c r="K1942" s="1"/>
      <c r="L1942" s="51"/>
    </row>
    <row r="1943" spans="10:12" x14ac:dyDescent="0.3">
      <c r="J1943" s="1"/>
      <c r="K1943" s="1"/>
      <c r="L1943" s="51"/>
    </row>
    <row r="1944" spans="10:12" x14ac:dyDescent="0.3">
      <c r="J1944" s="1"/>
      <c r="K1944" s="1"/>
      <c r="L1944" s="51"/>
    </row>
    <row r="1945" spans="10:12" x14ac:dyDescent="0.3">
      <c r="J1945" s="1"/>
      <c r="K1945" s="1"/>
      <c r="L1945" s="51"/>
    </row>
    <row r="1946" spans="10:12" x14ac:dyDescent="0.3">
      <c r="J1946" s="1"/>
      <c r="K1946" s="1"/>
      <c r="L1946" s="51"/>
    </row>
    <row r="1947" spans="10:12" x14ac:dyDescent="0.3">
      <c r="J1947" s="1"/>
      <c r="K1947" s="1"/>
      <c r="L1947" s="51"/>
    </row>
    <row r="1948" spans="10:12" x14ac:dyDescent="0.3">
      <c r="J1948" s="1"/>
      <c r="K1948" s="1"/>
      <c r="L1948" s="51"/>
    </row>
    <row r="1949" spans="10:12" x14ac:dyDescent="0.3">
      <c r="J1949" s="1"/>
      <c r="K1949" s="1"/>
      <c r="L1949" s="51"/>
    </row>
    <row r="1950" spans="10:12" x14ac:dyDescent="0.3">
      <c r="J1950" s="1"/>
      <c r="K1950" s="1"/>
      <c r="L1950" s="51"/>
    </row>
    <row r="1951" spans="10:12" x14ac:dyDescent="0.3">
      <c r="J1951" s="1"/>
      <c r="K1951" s="1"/>
      <c r="L1951" s="51"/>
    </row>
    <row r="1952" spans="10:12" x14ac:dyDescent="0.3">
      <c r="J1952" s="1"/>
      <c r="K1952" s="1"/>
      <c r="L1952" s="51"/>
    </row>
    <row r="1953" spans="10:12" x14ac:dyDescent="0.3">
      <c r="J1953" s="1"/>
      <c r="K1953" s="1"/>
      <c r="L1953" s="51"/>
    </row>
    <row r="1954" spans="10:12" x14ac:dyDescent="0.3">
      <c r="J1954" s="1"/>
      <c r="K1954" s="1"/>
      <c r="L1954" s="51"/>
    </row>
    <row r="1955" spans="10:12" x14ac:dyDescent="0.3">
      <c r="J1955" s="1"/>
      <c r="K1955" s="1"/>
      <c r="L1955" s="51"/>
    </row>
    <row r="1956" spans="10:12" x14ac:dyDescent="0.3">
      <c r="J1956" s="1"/>
      <c r="K1956" s="1"/>
      <c r="L1956" s="51"/>
    </row>
    <row r="1957" spans="10:12" x14ac:dyDescent="0.3">
      <c r="J1957" s="1"/>
      <c r="K1957" s="1"/>
      <c r="L1957" s="51"/>
    </row>
    <row r="1958" spans="10:12" x14ac:dyDescent="0.3">
      <c r="J1958" s="1"/>
      <c r="K1958" s="1"/>
      <c r="L1958" s="51"/>
    </row>
    <row r="1959" spans="10:12" x14ac:dyDescent="0.3">
      <c r="J1959" s="1"/>
      <c r="K1959" s="1"/>
      <c r="L1959" s="51"/>
    </row>
    <row r="1960" spans="10:12" x14ac:dyDescent="0.3">
      <c r="J1960" s="1"/>
      <c r="K1960" s="1"/>
      <c r="L1960" s="51"/>
    </row>
    <row r="1961" spans="10:12" x14ac:dyDescent="0.3">
      <c r="J1961" s="1"/>
      <c r="K1961" s="1"/>
      <c r="L1961" s="51"/>
    </row>
    <row r="1962" spans="10:12" x14ac:dyDescent="0.3">
      <c r="J1962" s="1"/>
      <c r="K1962" s="1"/>
      <c r="L1962" s="51"/>
    </row>
    <row r="1963" spans="10:12" x14ac:dyDescent="0.3">
      <c r="J1963" s="1"/>
      <c r="K1963" s="1"/>
      <c r="L1963" s="51"/>
    </row>
    <row r="1964" spans="10:12" x14ac:dyDescent="0.3">
      <c r="J1964" s="1"/>
      <c r="K1964" s="1"/>
      <c r="L1964" s="51"/>
    </row>
    <row r="1965" spans="10:12" x14ac:dyDescent="0.3">
      <c r="J1965" s="1"/>
      <c r="K1965" s="1"/>
      <c r="L1965" s="51"/>
    </row>
    <row r="1966" spans="10:12" x14ac:dyDescent="0.3">
      <c r="J1966" s="1"/>
      <c r="K1966" s="1"/>
      <c r="L1966" s="51"/>
    </row>
    <row r="1967" spans="10:12" x14ac:dyDescent="0.3">
      <c r="J1967" s="1"/>
      <c r="K1967" s="1"/>
      <c r="L1967" s="51"/>
    </row>
    <row r="1968" spans="10:12" x14ac:dyDescent="0.3">
      <c r="J1968" s="1"/>
      <c r="K1968" s="1"/>
      <c r="L1968" s="51"/>
    </row>
    <row r="1969" spans="10:12" x14ac:dyDescent="0.3">
      <c r="J1969" s="1"/>
      <c r="K1969" s="1"/>
      <c r="L1969" s="51"/>
    </row>
    <row r="1970" spans="10:12" x14ac:dyDescent="0.3">
      <c r="J1970" s="1"/>
      <c r="K1970" s="1"/>
      <c r="L1970" s="51"/>
    </row>
    <row r="1971" spans="10:12" x14ac:dyDescent="0.3">
      <c r="J1971" s="1"/>
      <c r="K1971" s="1"/>
      <c r="L1971" s="51"/>
    </row>
    <row r="1972" spans="10:12" x14ac:dyDescent="0.3">
      <c r="J1972" s="1"/>
      <c r="K1972" s="1"/>
      <c r="L1972" s="51"/>
    </row>
    <row r="1973" spans="10:12" x14ac:dyDescent="0.3">
      <c r="J1973" s="1"/>
      <c r="K1973" s="1"/>
      <c r="L1973" s="51"/>
    </row>
    <row r="1974" spans="10:12" x14ac:dyDescent="0.3">
      <c r="J1974" s="1"/>
      <c r="K1974" s="1"/>
      <c r="L1974" s="51"/>
    </row>
    <row r="1975" spans="10:12" x14ac:dyDescent="0.3">
      <c r="J1975" s="1"/>
      <c r="K1975" s="1"/>
      <c r="L1975" s="51"/>
    </row>
    <row r="1976" spans="10:12" x14ac:dyDescent="0.3">
      <c r="J1976" s="1"/>
      <c r="K1976" s="1"/>
      <c r="L1976" s="51"/>
    </row>
    <row r="1977" spans="10:12" x14ac:dyDescent="0.3">
      <c r="J1977" s="1"/>
      <c r="K1977" s="1"/>
      <c r="L1977" s="51"/>
    </row>
    <row r="1978" spans="10:12" x14ac:dyDescent="0.3">
      <c r="J1978" s="1"/>
      <c r="K1978" s="1"/>
      <c r="L1978" s="51"/>
    </row>
    <row r="1979" spans="10:12" x14ac:dyDescent="0.3">
      <c r="J1979" s="1"/>
      <c r="K1979" s="1"/>
      <c r="L1979" s="51"/>
    </row>
    <row r="1980" spans="10:12" x14ac:dyDescent="0.3">
      <c r="J1980" s="1"/>
      <c r="K1980" s="1"/>
      <c r="L1980" s="51"/>
    </row>
    <row r="1981" spans="10:12" x14ac:dyDescent="0.3">
      <c r="J1981" s="1"/>
      <c r="K1981" s="1"/>
      <c r="L1981" s="51"/>
    </row>
    <row r="1982" spans="10:12" x14ac:dyDescent="0.3">
      <c r="J1982" s="1"/>
      <c r="K1982" s="1"/>
      <c r="L1982" s="51"/>
    </row>
    <row r="1983" spans="10:12" x14ac:dyDescent="0.3">
      <c r="J1983" s="1"/>
      <c r="K1983" s="1"/>
      <c r="L1983" s="51"/>
    </row>
    <row r="1984" spans="10:12" x14ac:dyDescent="0.3">
      <c r="J1984" s="1"/>
      <c r="K1984" s="1"/>
      <c r="L1984" s="51"/>
    </row>
    <row r="1985" spans="10:12" x14ac:dyDescent="0.3">
      <c r="J1985" s="1"/>
      <c r="K1985" s="1"/>
      <c r="L1985" s="51"/>
    </row>
    <row r="1986" spans="10:12" x14ac:dyDescent="0.3">
      <c r="J1986" s="1"/>
      <c r="K1986" s="1"/>
      <c r="L1986" s="51"/>
    </row>
    <row r="1987" spans="10:12" x14ac:dyDescent="0.3">
      <c r="J1987" s="1"/>
      <c r="K1987" s="1"/>
      <c r="L1987" s="51"/>
    </row>
    <row r="1988" spans="10:12" x14ac:dyDescent="0.3">
      <c r="J1988" s="1"/>
      <c r="K1988" s="1"/>
      <c r="L1988" s="51"/>
    </row>
    <row r="1989" spans="10:12" x14ac:dyDescent="0.3">
      <c r="J1989" s="1"/>
      <c r="K1989" s="1"/>
      <c r="L1989" s="51"/>
    </row>
    <row r="1990" spans="10:12" x14ac:dyDescent="0.3">
      <c r="J1990" s="1"/>
      <c r="K1990" s="1"/>
      <c r="L1990" s="51"/>
    </row>
    <row r="1991" spans="10:12" x14ac:dyDescent="0.3">
      <c r="J1991" s="1"/>
      <c r="K1991" s="1"/>
      <c r="L1991" s="51"/>
    </row>
    <row r="1992" spans="10:12" x14ac:dyDescent="0.3">
      <c r="J1992" s="1"/>
      <c r="K1992" s="1"/>
      <c r="L1992" s="51"/>
    </row>
    <row r="1993" spans="10:12" x14ac:dyDescent="0.3">
      <c r="J1993" s="1"/>
      <c r="K1993" s="1"/>
      <c r="L1993" s="51"/>
    </row>
    <row r="1994" spans="10:12" x14ac:dyDescent="0.3">
      <c r="J1994" s="1"/>
      <c r="K1994" s="1"/>
      <c r="L1994" s="51"/>
    </row>
    <row r="1995" spans="10:12" x14ac:dyDescent="0.3">
      <c r="J1995" s="1"/>
      <c r="K1995" s="1"/>
      <c r="L1995" s="51"/>
    </row>
    <row r="1996" spans="10:12" x14ac:dyDescent="0.3">
      <c r="J1996" s="1"/>
      <c r="K1996" s="1"/>
      <c r="L1996" s="51"/>
    </row>
    <row r="1997" spans="10:12" x14ac:dyDescent="0.3">
      <c r="J1997" s="1"/>
      <c r="K1997" s="1"/>
      <c r="L1997" s="51"/>
    </row>
    <row r="1998" spans="10:12" x14ac:dyDescent="0.3">
      <c r="J1998" s="1"/>
      <c r="K1998" s="1"/>
      <c r="L1998" s="51"/>
    </row>
    <row r="1999" spans="10:12" x14ac:dyDescent="0.3">
      <c r="J1999" s="1"/>
      <c r="K1999" s="1"/>
      <c r="L1999" s="51"/>
    </row>
    <row r="2000" spans="10:12" x14ac:dyDescent="0.3">
      <c r="J2000" s="1"/>
      <c r="K2000" s="1"/>
      <c r="L2000" s="51"/>
    </row>
    <row r="2001" spans="10:12" x14ac:dyDescent="0.3">
      <c r="J2001" s="1"/>
      <c r="K2001" s="1"/>
      <c r="L2001" s="51"/>
    </row>
    <row r="2002" spans="10:12" x14ac:dyDescent="0.3">
      <c r="J2002" s="1"/>
      <c r="K2002" s="1"/>
      <c r="L2002" s="51"/>
    </row>
    <row r="2003" spans="10:12" x14ac:dyDescent="0.3">
      <c r="J2003" s="1"/>
      <c r="K2003" s="1"/>
      <c r="L2003" s="51"/>
    </row>
    <row r="2004" spans="10:12" x14ac:dyDescent="0.3">
      <c r="J2004" s="1"/>
      <c r="K2004" s="1"/>
      <c r="L2004" s="51"/>
    </row>
    <row r="2005" spans="10:12" x14ac:dyDescent="0.3">
      <c r="J2005" s="1"/>
      <c r="K2005" s="1"/>
      <c r="L2005" s="51"/>
    </row>
    <row r="2006" spans="10:12" x14ac:dyDescent="0.3">
      <c r="J2006" s="1"/>
      <c r="K2006" s="1"/>
      <c r="L2006" s="51"/>
    </row>
    <row r="2007" spans="10:12" x14ac:dyDescent="0.3">
      <c r="J2007" s="1"/>
      <c r="K2007" s="1"/>
      <c r="L2007" s="51"/>
    </row>
    <row r="2008" spans="10:12" x14ac:dyDescent="0.3">
      <c r="J2008" s="1"/>
      <c r="K2008" s="1"/>
      <c r="L2008" s="51"/>
    </row>
    <row r="2009" spans="10:12" x14ac:dyDescent="0.3">
      <c r="J2009" s="1"/>
      <c r="K2009" s="1"/>
      <c r="L2009" s="51"/>
    </row>
    <row r="2010" spans="10:12" x14ac:dyDescent="0.3">
      <c r="J2010" s="1"/>
      <c r="K2010" s="1"/>
      <c r="L2010" s="51"/>
    </row>
    <row r="2011" spans="10:12" x14ac:dyDescent="0.3">
      <c r="J2011" s="1"/>
      <c r="K2011" s="1"/>
      <c r="L2011" s="51"/>
    </row>
    <row r="2012" spans="10:12" x14ac:dyDescent="0.3">
      <c r="J2012" s="1"/>
      <c r="K2012" s="1"/>
      <c r="L2012" s="51"/>
    </row>
    <row r="2013" spans="10:12" x14ac:dyDescent="0.3">
      <c r="J2013" s="1"/>
      <c r="K2013" s="1"/>
      <c r="L2013" s="51"/>
    </row>
    <row r="2014" spans="10:12" x14ac:dyDescent="0.3">
      <c r="J2014" s="1"/>
      <c r="K2014" s="1"/>
      <c r="L2014" s="51"/>
    </row>
    <row r="2015" spans="10:12" x14ac:dyDescent="0.3">
      <c r="J2015" s="1"/>
      <c r="K2015" s="1"/>
      <c r="L2015" s="51"/>
    </row>
    <row r="2016" spans="10:12" x14ac:dyDescent="0.3">
      <c r="J2016" s="1"/>
      <c r="K2016" s="1"/>
      <c r="L2016" s="51"/>
    </row>
    <row r="2017" spans="10:12" x14ac:dyDescent="0.3">
      <c r="J2017" s="1"/>
      <c r="K2017" s="1"/>
      <c r="L2017" s="51"/>
    </row>
    <row r="2018" spans="10:12" x14ac:dyDescent="0.3">
      <c r="J2018" s="1"/>
      <c r="K2018" s="1"/>
      <c r="L2018" s="51"/>
    </row>
    <row r="2019" spans="10:12" x14ac:dyDescent="0.3">
      <c r="J2019" s="1"/>
      <c r="K2019" s="1"/>
      <c r="L2019" s="51"/>
    </row>
    <row r="2020" spans="10:12" x14ac:dyDescent="0.3">
      <c r="J2020" s="1"/>
      <c r="K2020" s="1"/>
      <c r="L2020" s="51"/>
    </row>
    <row r="2021" spans="10:12" x14ac:dyDescent="0.3">
      <c r="J2021" s="1"/>
      <c r="K2021" s="1"/>
      <c r="L2021" s="51"/>
    </row>
    <row r="2022" spans="10:12" x14ac:dyDescent="0.3">
      <c r="J2022" s="1"/>
      <c r="K2022" s="1"/>
      <c r="L2022" s="51"/>
    </row>
    <row r="2023" spans="10:12" x14ac:dyDescent="0.3">
      <c r="J2023" s="1"/>
      <c r="K2023" s="1"/>
      <c r="L2023" s="51"/>
    </row>
    <row r="2024" spans="10:12" x14ac:dyDescent="0.3">
      <c r="J2024" s="1"/>
      <c r="K2024" s="1"/>
      <c r="L2024" s="51"/>
    </row>
    <row r="2025" spans="10:12" x14ac:dyDescent="0.3">
      <c r="J2025" s="1"/>
      <c r="K2025" s="1"/>
      <c r="L2025" s="51"/>
    </row>
    <row r="2026" spans="10:12" x14ac:dyDescent="0.3">
      <c r="J2026" s="1"/>
      <c r="K2026" s="1"/>
      <c r="L2026" s="51"/>
    </row>
    <row r="2027" spans="10:12" x14ac:dyDescent="0.3">
      <c r="J2027" s="1"/>
      <c r="K2027" s="1"/>
      <c r="L2027" s="51"/>
    </row>
    <row r="2028" spans="10:12" x14ac:dyDescent="0.3">
      <c r="J2028" s="1"/>
      <c r="K2028" s="1"/>
      <c r="L2028" s="51"/>
    </row>
    <row r="2029" spans="10:12" x14ac:dyDescent="0.3">
      <c r="J2029" s="1"/>
      <c r="K2029" s="1"/>
      <c r="L2029" s="51"/>
    </row>
    <row r="2030" spans="10:12" x14ac:dyDescent="0.3">
      <c r="J2030" s="1"/>
      <c r="K2030" s="1"/>
      <c r="L2030" s="51"/>
    </row>
    <row r="2031" spans="10:12" x14ac:dyDescent="0.3">
      <c r="J2031" s="1"/>
      <c r="K2031" s="1"/>
      <c r="L2031" s="51"/>
    </row>
    <row r="2032" spans="10:12" x14ac:dyDescent="0.3">
      <c r="J2032" s="1"/>
      <c r="K2032" s="1"/>
      <c r="L2032" s="51"/>
    </row>
    <row r="2033" spans="10:12" x14ac:dyDescent="0.3">
      <c r="J2033" s="1"/>
      <c r="K2033" s="1"/>
      <c r="L2033" s="51"/>
    </row>
    <row r="2034" spans="10:12" x14ac:dyDescent="0.3">
      <c r="J2034" s="1"/>
      <c r="K2034" s="1"/>
      <c r="L2034" s="51"/>
    </row>
    <row r="2035" spans="10:12" x14ac:dyDescent="0.3">
      <c r="J2035" s="1"/>
      <c r="K2035" s="1"/>
      <c r="L2035" s="51"/>
    </row>
    <row r="2036" spans="10:12" x14ac:dyDescent="0.3">
      <c r="J2036" s="1"/>
      <c r="K2036" s="1"/>
      <c r="L2036" s="51"/>
    </row>
    <row r="2037" spans="10:12" x14ac:dyDescent="0.3">
      <c r="J2037" s="1"/>
      <c r="K2037" s="1"/>
      <c r="L2037" s="51"/>
    </row>
    <row r="2038" spans="10:12" x14ac:dyDescent="0.3">
      <c r="J2038" s="1"/>
      <c r="K2038" s="1"/>
      <c r="L2038" s="51"/>
    </row>
    <row r="2039" spans="10:12" x14ac:dyDescent="0.3">
      <c r="J2039" s="1"/>
      <c r="K2039" s="1"/>
      <c r="L2039" s="51"/>
    </row>
    <row r="2040" spans="10:12" x14ac:dyDescent="0.3">
      <c r="J2040" s="1"/>
      <c r="K2040" s="1"/>
      <c r="L2040" s="51"/>
    </row>
    <row r="2041" spans="10:12" x14ac:dyDescent="0.3">
      <c r="J2041" s="1"/>
      <c r="K2041" s="1"/>
      <c r="L2041" s="51"/>
    </row>
    <row r="2042" spans="10:12" x14ac:dyDescent="0.3">
      <c r="J2042" s="1"/>
      <c r="K2042" s="1"/>
      <c r="L2042" s="51"/>
    </row>
    <row r="2043" spans="10:12" x14ac:dyDescent="0.3">
      <c r="J2043" s="1"/>
      <c r="K2043" s="1"/>
      <c r="L2043" s="51"/>
    </row>
    <row r="2044" spans="10:12" x14ac:dyDescent="0.3">
      <c r="J2044" s="1"/>
      <c r="K2044" s="1"/>
      <c r="L2044" s="51"/>
    </row>
    <row r="2045" spans="10:12" x14ac:dyDescent="0.3">
      <c r="J2045" s="1"/>
      <c r="K2045" s="1"/>
      <c r="L2045" s="51"/>
    </row>
    <row r="2046" spans="10:12" x14ac:dyDescent="0.3">
      <c r="J2046" s="1"/>
      <c r="K2046" s="1"/>
      <c r="L2046" s="51"/>
    </row>
    <row r="2047" spans="10:12" x14ac:dyDescent="0.3">
      <c r="J2047" s="1"/>
      <c r="K2047" s="1"/>
      <c r="L2047" s="51"/>
    </row>
    <row r="2048" spans="10:12" x14ac:dyDescent="0.3">
      <c r="J2048" s="1"/>
      <c r="K2048" s="1"/>
      <c r="L2048" s="51"/>
    </row>
    <row r="2049" spans="10:12" x14ac:dyDescent="0.3">
      <c r="J2049" s="1"/>
      <c r="K2049" s="1"/>
      <c r="L2049" s="51"/>
    </row>
    <row r="2050" spans="10:12" x14ac:dyDescent="0.3">
      <c r="J2050" s="1"/>
      <c r="K2050" s="1"/>
      <c r="L2050" s="51"/>
    </row>
    <row r="2051" spans="10:12" x14ac:dyDescent="0.3">
      <c r="J2051" s="1"/>
      <c r="K2051" s="1"/>
      <c r="L2051" s="51"/>
    </row>
    <row r="2052" spans="10:12" x14ac:dyDescent="0.3">
      <c r="J2052" s="1"/>
      <c r="K2052" s="1"/>
      <c r="L2052" s="51"/>
    </row>
    <row r="2053" spans="10:12" x14ac:dyDescent="0.3">
      <c r="J2053" s="1"/>
      <c r="K2053" s="1"/>
      <c r="L2053" s="51"/>
    </row>
    <row r="2054" spans="10:12" x14ac:dyDescent="0.3">
      <c r="J2054" s="1"/>
      <c r="K2054" s="1"/>
      <c r="L2054" s="51"/>
    </row>
    <row r="2055" spans="10:12" x14ac:dyDescent="0.3">
      <c r="J2055" s="1"/>
      <c r="K2055" s="1"/>
      <c r="L2055" s="51"/>
    </row>
    <row r="2056" spans="10:12" x14ac:dyDescent="0.3">
      <c r="J2056" s="1"/>
      <c r="K2056" s="1"/>
      <c r="L2056" s="51"/>
    </row>
    <row r="2057" spans="10:12" x14ac:dyDescent="0.3">
      <c r="J2057" s="1"/>
      <c r="K2057" s="1"/>
      <c r="L2057" s="51"/>
    </row>
    <row r="2058" spans="10:12" x14ac:dyDescent="0.3">
      <c r="J2058" s="1"/>
      <c r="K2058" s="1"/>
      <c r="L2058" s="51"/>
    </row>
    <row r="2059" spans="10:12" x14ac:dyDescent="0.3">
      <c r="J2059" s="1"/>
      <c r="K2059" s="1"/>
      <c r="L2059" s="51"/>
    </row>
    <row r="2060" spans="10:12" x14ac:dyDescent="0.3">
      <c r="J2060" s="1"/>
      <c r="K2060" s="1"/>
      <c r="L2060" s="51"/>
    </row>
    <row r="2061" spans="10:12" x14ac:dyDescent="0.3">
      <c r="J2061" s="1"/>
      <c r="K2061" s="1"/>
      <c r="L2061" s="51"/>
    </row>
    <row r="2062" spans="10:12" x14ac:dyDescent="0.3">
      <c r="J2062" s="1"/>
      <c r="K2062" s="1"/>
      <c r="L2062" s="51"/>
    </row>
    <row r="2063" spans="10:12" x14ac:dyDescent="0.3">
      <c r="J2063" s="1"/>
      <c r="K2063" s="1"/>
      <c r="L2063" s="51"/>
    </row>
    <row r="2064" spans="10:12" x14ac:dyDescent="0.3">
      <c r="J2064" s="1"/>
      <c r="K2064" s="1"/>
      <c r="L2064" s="51"/>
    </row>
    <row r="2065" spans="10:12" x14ac:dyDescent="0.3">
      <c r="J2065" s="1"/>
      <c r="K2065" s="1"/>
      <c r="L2065" s="51"/>
    </row>
    <row r="2066" spans="10:12" x14ac:dyDescent="0.3">
      <c r="J2066" s="1"/>
      <c r="K2066" s="1"/>
      <c r="L2066" s="51"/>
    </row>
    <row r="2067" spans="10:12" x14ac:dyDescent="0.3">
      <c r="J2067" s="1"/>
      <c r="K2067" s="1"/>
      <c r="L2067" s="51"/>
    </row>
    <row r="2068" spans="10:12" x14ac:dyDescent="0.3">
      <c r="J2068" s="1"/>
      <c r="K2068" s="1"/>
      <c r="L2068" s="51"/>
    </row>
    <row r="2069" spans="10:12" x14ac:dyDescent="0.3">
      <c r="J2069" s="1"/>
      <c r="K2069" s="1"/>
      <c r="L2069" s="51"/>
    </row>
    <row r="2070" spans="10:12" x14ac:dyDescent="0.3">
      <c r="J2070" s="1"/>
      <c r="K2070" s="1"/>
      <c r="L2070" s="51"/>
    </row>
    <row r="2071" spans="10:12" x14ac:dyDescent="0.3">
      <c r="J2071" s="1"/>
      <c r="K2071" s="1"/>
      <c r="L2071" s="51"/>
    </row>
    <row r="2072" spans="10:12" x14ac:dyDescent="0.3">
      <c r="J2072" s="1"/>
      <c r="K2072" s="1"/>
      <c r="L2072" s="51"/>
    </row>
    <row r="2073" spans="10:12" x14ac:dyDescent="0.3">
      <c r="J2073" s="1"/>
      <c r="K2073" s="1"/>
      <c r="L2073" s="51"/>
    </row>
    <row r="2074" spans="10:12" x14ac:dyDescent="0.3">
      <c r="J2074" s="1"/>
      <c r="K2074" s="1"/>
      <c r="L2074" s="51"/>
    </row>
    <row r="2075" spans="10:12" x14ac:dyDescent="0.3">
      <c r="J2075" s="1"/>
      <c r="K2075" s="1"/>
      <c r="L2075" s="51"/>
    </row>
    <row r="2076" spans="10:12" x14ac:dyDescent="0.3">
      <c r="J2076" s="1"/>
      <c r="K2076" s="1"/>
      <c r="L2076" s="51"/>
    </row>
    <row r="2077" spans="10:12" x14ac:dyDescent="0.3">
      <c r="J2077" s="1"/>
      <c r="K2077" s="1"/>
      <c r="L2077" s="51"/>
    </row>
    <row r="2078" spans="10:12" x14ac:dyDescent="0.3">
      <c r="J2078" s="1"/>
      <c r="K2078" s="1"/>
      <c r="L2078" s="51"/>
    </row>
    <row r="2079" spans="10:12" x14ac:dyDescent="0.3">
      <c r="J2079" s="1"/>
      <c r="K2079" s="1"/>
      <c r="L2079" s="51"/>
    </row>
    <row r="2080" spans="10:12" x14ac:dyDescent="0.3">
      <c r="J2080" s="1"/>
      <c r="K2080" s="1"/>
      <c r="L2080" s="51"/>
    </row>
    <row r="2081" spans="10:12" x14ac:dyDescent="0.3">
      <c r="J2081" s="1"/>
      <c r="K2081" s="1"/>
      <c r="L2081" s="51"/>
    </row>
    <row r="2082" spans="10:12" x14ac:dyDescent="0.3">
      <c r="J2082" s="1"/>
      <c r="K2082" s="1"/>
      <c r="L2082" s="51"/>
    </row>
    <row r="2083" spans="10:12" x14ac:dyDescent="0.3">
      <c r="J2083" s="1"/>
      <c r="K2083" s="1"/>
      <c r="L2083" s="51"/>
    </row>
    <row r="2084" spans="10:12" x14ac:dyDescent="0.3">
      <c r="J2084" s="1"/>
      <c r="K2084" s="1"/>
      <c r="L2084" s="51"/>
    </row>
    <row r="2085" spans="10:12" x14ac:dyDescent="0.3">
      <c r="J2085" s="1"/>
      <c r="K2085" s="1"/>
      <c r="L2085" s="51"/>
    </row>
    <row r="2086" spans="10:12" x14ac:dyDescent="0.3">
      <c r="J2086" s="1"/>
      <c r="K2086" s="1"/>
      <c r="L2086" s="51"/>
    </row>
    <row r="2087" spans="10:12" x14ac:dyDescent="0.3">
      <c r="J2087" s="1"/>
      <c r="K2087" s="1"/>
      <c r="L2087" s="51"/>
    </row>
    <row r="2088" spans="10:12" x14ac:dyDescent="0.3">
      <c r="J2088" s="1"/>
      <c r="K2088" s="1"/>
      <c r="L2088" s="51"/>
    </row>
    <row r="2089" spans="10:12" x14ac:dyDescent="0.3">
      <c r="J2089" s="1"/>
      <c r="K2089" s="1"/>
      <c r="L2089" s="51"/>
    </row>
    <row r="2090" spans="10:12" x14ac:dyDescent="0.3">
      <c r="J2090" s="1"/>
      <c r="K2090" s="1"/>
      <c r="L2090" s="51"/>
    </row>
    <row r="2091" spans="10:12" x14ac:dyDescent="0.3">
      <c r="J2091" s="1"/>
      <c r="K2091" s="1"/>
      <c r="L2091" s="51"/>
    </row>
    <row r="2092" spans="10:12" x14ac:dyDescent="0.3">
      <c r="J2092" s="1"/>
      <c r="K2092" s="1"/>
      <c r="L2092" s="51"/>
    </row>
    <row r="2093" spans="10:12" x14ac:dyDescent="0.3">
      <c r="J2093" s="1"/>
      <c r="K2093" s="1"/>
      <c r="L2093" s="51"/>
    </row>
    <row r="2094" spans="10:12" x14ac:dyDescent="0.3">
      <c r="J2094" s="1"/>
      <c r="K2094" s="1"/>
      <c r="L2094" s="51"/>
    </row>
    <row r="2095" spans="10:12" x14ac:dyDescent="0.3">
      <c r="J2095" s="1"/>
      <c r="K2095" s="1"/>
      <c r="L2095" s="51"/>
    </row>
    <row r="2096" spans="10:12" x14ac:dyDescent="0.3">
      <c r="J2096" s="1"/>
      <c r="K2096" s="1"/>
      <c r="L2096" s="51"/>
    </row>
    <row r="2097" spans="10:12" x14ac:dyDescent="0.3">
      <c r="J2097" s="1"/>
      <c r="K2097" s="1"/>
      <c r="L2097" s="51"/>
    </row>
    <row r="2098" spans="10:12" x14ac:dyDescent="0.3">
      <c r="J2098" s="1"/>
      <c r="K2098" s="1"/>
      <c r="L2098" s="51"/>
    </row>
    <row r="2099" spans="10:12" x14ac:dyDescent="0.3">
      <c r="J2099" s="1"/>
      <c r="K2099" s="1"/>
      <c r="L2099" s="51"/>
    </row>
    <row r="2100" spans="10:12" x14ac:dyDescent="0.3">
      <c r="J2100" s="1"/>
      <c r="K2100" s="1"/>
      <c r="L2100" s="51"/>
    </row>
    <row r="2101" spans="10:12" x14ac:dyDescent="0.3">
      <c r="J2101" s="1"/>
      <c r="K2101" s="1"/>
      <c r="L2101" s="51"/>
    </row>
    <row r="2102" spans="10:12" x14ac:dyDescent="0.3">
      <c r="J2102" s="1"/>
      <c r="K2102" s="1"/>
      <c r="L2102" s="51"/>
    </row>
    <row r="2103" spans="10:12" x14ac:dyDescent="0.3">
      <c r="J2103" s="1"/>
      <c r="K2103" s="1"/>
      <c r="L2103" s="51"/>
    </row>
    <row r="2104" spans="10:12" x14ac:dyDescent="0.3">
      <c r="J2104" s="1"/>
      <c r="K2104" s="1"/>
      <c r="L2104" s="51"/>
    </row>
    <row r="2105" spans="10:12" x14ac:dyDescent="0.3">
      <c r="J2105" s="1"/>
      <c r="K2105" s="1"/>
      <c r="L2105" s="51"/>
    </row>
    <row r="2106" spans="10:12" x14ac:dyDescent="0.3">
      <c r="J2106" s="1"/>
      <c r="K2106" s="1"/>
      <c r="L2106" s="51"/>
    </row>
    <row r="2107" spans="10:12" x14ac:dyDescent="0.3">
      <c r="J2107" s="1"/>
      <c r="K2107" s="1"/>
      <c r="L2107" s="51"/>
    </row>
    <row r="2108" spans="10:12" x14ac:dyDescent="0.3">
      <c r="J2108" s="1"/>
      <c r="K2108" s="1"/>
      <c r="L2108" s="51"/>
    </row>
    <row r="2109" spans="10:12" x14ac:dyDescent="0.3">
      <c r="J2109" s="1"/>
      <c r="K2109" s="1"/>
      <c r="L2109" s="51"/>
    </row>
    <row r="2110" spans="10:12" x14ac:dyDescent="0.3">
      <c r="J2110" s="1"/>
      <c r="K2110" s="1"/>
      <c r="L2110" s="51"/>
    </row>
    <row r="2111" spans="10:12" x14ac:dyDescent="0.3">
      <c r="J2111" s="1"/>
      <c r="K2111" s="1"/>
      <c r="L2111" s="51"/>
    </row>
    <row r="2112" spans="10:12" x14ac:dyDescent="0.3">
      <c r="J2112" s="1"/>
      <c r="K2112" s="1"/>
      <c r="L2112" s="51"/>
    </row>
    <row r="2113" spans="10:12" x14ac:dyDescent="0.3">
      <c r="J2113" s="1"/>
      <c r="K2113" s="1"/>
      <c r="L2113" s="51"/>
    </row>
    <row r="2114" spans="10:12" x14ac:dyDescent="0.3">
      <c r="J2114" s="1"/>
      <c r="K2114" s="1"/>
      <c r="L2114" s="51"/>
    </row>
    <row r="2115" spans="10:12" x14ac:dyDescent="0.3">
      <c r="J2115" s="1"/>
      <c r="K2115" s="1"/>
      <c r="L2115" s="51"/>
    </row>
    <row r="2116" spans="10:12" x14ac:dyDescent="0.3">
      <c r="J2116" s="1"/>
      <c r="K2116" s="1"/>
      <c r="L2116" s="51"/>
    </row>
    <row r="2117" spans="10:12" x14ac:dyDescent="0.3">
      <c r="J2117" s="1"/>
      <c r="K2117" s="1"/>
      <c r="L2117" s="51"/>
    </row>
    <row r="2118" spans="10:12" x14ac:dyDescent="0.3">
      <c r="J2118" s="1"/>
      <c r="K2118" s="1"/>
      <c r="L2118" s="51"/>
    </row>
    <row r="2119" spans="10:12" x14ac:dyDescent="0.3">
      <c r="J2119" s="1"/>
      <c r="K2119" s="1"/>
      <c r="L2119" s="51"/>
    </row>
    <row r="2120" spans="10:12" x14ac:dyDescent="0.3">
      <c r="J2120" s="1"/>
      <c r="K2120" s="1"/>
      <c r="L2120" s="51"/>
    </row>
    <row r="2121" spans="10:12" x14ac:dyDescent="0.3">
      <c r="J2121" s="1"/>
      <c r="K2121" s="1"/>
      <c r="L2121" s="51"/>
    </row>
    <row r="2122" spans="10:12" x14ac:dyDescent="0.3">
      <c r="J2122" s="1"/>
      <c r="K2122" s="1"/>
      <c r="L2122" s="51"/>
    </row>
    <row r="2123" spans="10:12" x14ac:dyDescent="0.3">
      <c r="J2123" s="1"/>
      <c r="K2123" s="1"/>
      <c r="L2123" s="51"/>
    </row>
    <row r="2124" spans="10:12" x14ac:dyDescent="0.3">
      <c r="J2124" s="1"/>
      <c r="K2124" s="1"/>
      <c r="L2124" s="51"/>
    </row>
    <row r="2125" spans="10:12" x14ac:dyDescent="0.3">
      <c r="J2125" s="1"/>
      <c r="K2125" s="1"/>
      <c r="L2125" s="51"/>
    </row>
    <row r="2126" spans="10:12" x14ac:dyDescent="0.3">
      <c r="J2126" s="1"/>
      <c r="K2126" s="1"/>
      <c r="L2126" s="51"/>
    </row>
    <row r="2127" spans="10:12" x14ac:dyDescent="0.3">
      <c r="J2127" s="1"/>
      <c r="K2127" s="1"/>
      <c r="L2127" s="51"/>
    </row>
    <row r="2128" spans="10:12" x14ac:dyDescent="0.3">
      <c r="J2128" s="1"/>
      <c r="K2128" s="1"/>
      <c r="L2128" s="51"/>
    </row>
    <row r="2129" spans="10:12" x14ac:dyDescent="0.3">
      <c r="J2129" s="1"/>
      <c r="K2129" s="1"/>
      <c r="L2129" s="51"/>
    </row>
    <row r="2130" spans="10:12" x14ac:dyDescent="0.3">
      <c r="J2130" s="1"/>
      <c r="K2130" s="1"/>
      <c r="L2130" s="51"/>
    </row>
    <row r="2131" spans="10:12" x14ac:dyDescent="0.3">
      <c r="J2131" s="1"/>
      <c r="K2131" s="1"/>
      <c r="L2131" s="51"/>
    </row>
    <row r="2132" spans="10:12" x14ac:dyDescent="0.3">
      <c r="J2132" s="1"/>
      <c r="K2132" s="1"/>
      <c r="L2132" s="51"/>
    </row>
    <row r="2133" spans="10:12" x14ac:dyDescent="0.3">
      <c r="J2133" s="1"/>
      <c r="K2133" s="1"/>
      <c r="L2133" s="51"/>
    </row>
    <row r="2134" spans="10:12" x14ac:dyDescent="0.3">
      <c r="J2134" s="1"/>
      <c r="K2134" s="1"/>
      <c r="L2134" s="51"/>
    </row>
    <row r="2135" spans="10:12" x14ac:dyDescent="0.3">
      <c r="J2135" s="1"/>
      <c r="K2135" s="1"/>
      <c r="L2135" s="51"/>
    </row>
    <row r="2136" spans="10:12" x14ac:dyDescent="0.3">
      <c r="J2136" s="1"/>
      <c r="K2136" s="1"/>
      <c r="L2136" s="51"/>
    </row>
    <row r="2137" spans="10:12" x14ac:dyDescent="0.3">
      <c r="J2137" s="1"/>
      <c r="K2137" s="1"/>
      <c r="L2137" s="51"/>
    </row>
    <row r="2138" spans="10:12" x14ac:dyDescent="0.3">
      <c r="J2138" s="1"/>
      <c r="K2138" s="1"/>
      <c r="L2138" s="51"/>
    </row>
    <row r="2139" spans="10:12" x14ac:dyDescent="0.3">
      <c r="J2139" s="1"/>
      <c r="K2139" s="1"/>
      <c r="L2139" s="51"/>
    </row>
    <row r="2140" spans="10:12" x14ac:dyDescent="0.3">
      <c r="J2140" s="1"/>
      <c r="K2140" s="1"/>
      <c r="L2140" s="51"/>
    </row>
    <row r="2141" spans="10:12" x14ac:dyDescent="0.3">
      <c r="J2141" s="1"/>
      <c r="K2141" s="1"/>
      <c r="L2141" s="51"/>
    </row>
    <row r="2142" spans="10:12" x14ac:dyDescent="0.3">
      <c r="J2142" s="1"/>
      <c r="K2142" s="1"/>
      <c r="L2142" s="51"/>
    </row>
    <row r="2143" spans="10:12" x14ac:dyDescent="0.3">
      <c r="J2143" s="1"/>
      <c r="K2143" s="1"/>
      <c r="L2143" s="51"/>
    </row>
    <row r="2144" spans="10:12" x14ac:dyDescent="0.3">
      <c r="J2144" s="1"/>
      <c r="K2144" s="1"/>
      <c r="L2144" s="51"/>
    </row>
    <row r="2145" spans="10:12" x14ac:dyDescent="0.3">
      <c r="J2145" s="1"/>
      <c r="K2145" s="1"/>
      <c r="L2145" s="51"/>
    </row>
    <row r="2146" spans="10:12" x14ac:dyDescent="0.3">
      <c r="J2146" s="1"/>
      <c r="K2146" s="1"/>
      <c r="L2146" s="51"/>
    </row>
    <row r="2147" spans="10:12" x14ac:dyDescent="0.3">
      <c r="J2147" s="1"/>
      <c r="K2147" s="1"/>
      <c r="L2147" s="51"/>
    </row>
    <row r="2148" spans="10:12" x14ac:dyDescent="0.3">
      <c r="J2148" s="1"/>
      <c r="K2148" s="1"/>
      <c r="L2148" s="51"/>
    </row>
    <row r="2149" spans="10:12" x14ac:dyDescent="0.3">
      <c r="J2149" s="1"/>
      <c r="K2149" s="1"/>
      <c r="L2149" s="51"/>
    </row>
    <row r="2150" spans="10:12" x14ac:dyDescent="0.3">
      <c r="J2150" s="1"/>
      <c r="K2150" s="1"/>
      <c r="L2150" s="51"/>
    </row>
    <row r="2151" spans="10:12" x14ac:dyDescent="0.3">
      <c r="J2151" s="1"/>
      <c r="K2151" s="1"/>
      <c r="L2151" s="51"/>
    </row>
    <row r="2152" spans="10:12" x14ac:dyDescent="0.3">
      <c r="J2152" s="1"/>
      <c r="K2152" s="1"/>
      <c r="L2152" s="51"/>
    </row>
    <row r="2153" spans="10:12" x14ac:dyDescent="0.3">
      <c r="J2153" s="1"/>
      <c r="K2153" s="1"/>
      <c r="L2153" s="51"/>
    </row>
    <row r="2154" spans="10:12" x14ac:dyDescent="0.3">
      <c r="J2154" s="1"/>
      <c r="K2154" s="1"/>
      <c r="L2154" s="51"/>
    </row>
    <row r="2155" spans="10:12" x14ac:dyDescent="0.3">
      <c r="J2155" s="1"/>
      <c r="K2155" s="1"/>
      <c r="L2155" s="51"/>
    </row>
    <row r="2156" spans="10:12" x14ac:dyDescent="0.3">
      <c r="J2156" s="1"/>
      <c r="K2156" s="1"/>
      <c r="L2156" s="51"/>
    </row>
    <row r="2157" spans="10:12" x14ac:dyDescent="0.3">
      <c r="J2157" s="1"/>
      <c r="K2157" s="1"/>
      <c r="L2157" s="51"/>
    </row>
    <row r="2158" spans="10:12" x14ac:dyDescent="0.3">
      <c r="J2158" s="1"/>
      <c r="K2158" s="1"/>
      <c r="L2158" s="51"/>
    </row>
    <row r="2159" spans="10:12" x14ac:dyDescent="0.3">
      <c r="J2159" s="1"/>
      <c r="K2159" s="1"/>
      <c r="L2159" s="51"/>
    </row>
    <row r="2160" spans="10:12" x14ac:dyDescent="0.3">
      <c r="J2160" s="1"/>
      <c r="K2160" s="1"/>
      <c r="L2160" s="51"/>
    </row>
    <row r="2161" spans="10:12" x14ac:dyDescent="0.3">
      <c r="J2161" s="1"/>
      <c r="K2161" s="1"/>
      <c r="L2161" s="51"/>
    </row>
    <row r="2162" spans="10:12" x14ac:dyDescent="0.3">
      <c r="J2162" s="1"/>
      <c r="K2162" s="1"/>
      <c r="L2162" s="51"/>
    </row>
    <row r="2163" spans="10:12" x14ac:dyDescent="0.3">
      <c r="J2163" s="1"/>
      <c r="K2163" s="1"/>
      <c r="L2163" s="51"/>
    </row>
    <row r="2164" spans="10:12" x14ac:dyDescent="0.3">
      <c r="J2164" s="1"/>
      <c r="K2164" s="1"/>
      <c r="L2164" s="51"/>
    </row>
    <row r="2165" spans="10:12" x14ac:dyDescent="0.3">
      <c r="J2165" s="1"/>
      <c r="K2165" s="1"/>
      <c r="L2165" s="51"/>
    </row>
    <row r="2166" spans="10:12" x14ac:dyDescent="0.3">
      <c r="J2166" s="1"/>
      <c r="K2166" s="1"/>
      <c r="L2166" s="51"/>
    </row>
    <row r="2167" spans="10:12" x14ac:dyDescent="0.3">
      <c r="J2167" s="1"/>
      <c r="K2167" s="1"/>
      <c r="L2167" s="51"/>
    </row>
    <row r="2168" spans="10:12" x14ac:dyDescent="0.3">
      <c r="J2168" s="1"/>
      <c r="K2168" s="1"/>
      <c r="L2168" s="51"/>
    </row>
    <row r="2169" spans="10:12" x14ac:dyDescent="0.3">
      <c r="J2169" s="1"/>
      <c r="K2169" s="1"/>
      <c r="L2169" s="51"/>
    </row>
    <row r="2170" spans="10:12" x14ac:dyDescent="0.3">
      <c r="J2170" s="1"/>
      <c r="K2170" s="1"/>
      <c r="L2170" s="51"/>
    </row>
    <row r="2171" spans="10:12" x14ac:dyDescent="0.3">
      <c r="J2171" s="1"/>
      <c r="K2171" s="1"/>
      <c r="L2171" s="51"/>
    </row>
    <row r="2172" spans="10:12" x14ac:dyDescent="0.3">
      <c r="J2172" s="1"/>
      <c r="K2172" s="1"/>
      <c r="L2172" s="51"/>
    </row>
    <row r="2173" spans="10:12" x14ac:dyDescent="0.3">
      <c r="J2173" s="1"/>
      <c r="K2173" s="1"/>
      <c r="L2173" s="51"/>
    </row>
    <row r="2174" spans="10:12" x14ac:dyDescent="0.3">
      <c r="J2174" s="1"/>
      <c r="K2174" s="1"/>
      <c r="L2174" s="51"/>
    </row>
    <row r="2175" spans="10:12" x14ac:dyDescent="0.3">
      <c r="J2175" s="1"/>
      <c r="K2175" s="1"/>
      <c r="L2175" s="51"/>
    </row>
    <row r="2176" spans="10:12" x14ac:dyDescent="0.3">
      <c r="J2176" s="1"/>
      <c r="K2176" s="1"/>
      <c r="L2176" s="51"/>
    </row>
    <row r="2177" spans="10:12" x14ac:dyDescent="0.3">
      <c r="J2177" s="1"/>
      <c r="K2177" s="1"/>
      <c r="L2177" s="51"/>
    </row>
    <row r="2178" spans="10:12" x14ac:dyDescent="0.3">
      <c r="J2178" s="1"/>
      <c r="K2178" s="1"/>
      <c r="L2178" s="51"/>
    </row>
    <row r="2179" spans="10:12" x14ac:dyDescent="0.3">
      <c r="J2179" s="1"/>
      <c r="K2179" s="1"/>
      <c r="L2179" s="51"/>
    </row>
    <row r="2180" spans="10:12" x14ac:dyDescent="0.3">
      <c r="J2180" s="1"/>
      <c r="K2180" s="1"/>
      <c r="L2180" s="51"/>
    </row>
    <row r="2181" spans="10:12" x14ac:dyDescent="0.3">
      <c r="J2181" s="1"/>
      <c r="K2181" s="1"/>
      <c r="L2181" s="51"/>
    </row>
    <row r="2182" spans="10:12" x14ac:dyDescent="0.3">
      <c r="J2182" s="1"/>
      <c r="K2182" s="1"/>
      <c r="L2182" s="51"/>
    </row>
    <row r="2183" spans="10:12" x14ac:dyDescent="0.3">
      <c r="J2183" s="1"/>
      <c r="K2183" s="1"/>
      <c r="L2183" s="51"/>
    </row>
    <row r="2184" spans="10:12" x14ac:dyDescent="0.3">
      <c r="J2184" s="1"/>
      <c r="K2184" s="1"/>
      <c r="L2184" s="51"/>
    </row>
    <row r="2185" spans="10:12" x14ac:dyDescent="0.3">
      <c r="J2185" s="1"/>
      <c r="K2185" s="1"/>
      <c r="L2185" s="51"/>
    </row>
    <row r="2186" spans="10:12" x14ac:dyDescent="0.3">
      <c r="J2186" s="1"/>
      <c r="K2186" s="1"/>
      <c r="L2186" s="51"/>
    </row>
    <row r="2187" spans="10:12" x14ac:dyDescent="0.3">
      <c r="J2187" s="1"/>
      <c r="K2187" s="1"/>
      <c r="L2187" s="51"/>
    </row>
    <row r="2188" spans="10:12" x14ac:dyDescent="0.3">
      <c r="J2188" s="1"/>
      <c r="K2188" s="1"/>
      <c r="L2188" s="51"/>
    </row>
    <row r="2189" spans="10:12" x14ac:dyDescent="0.3">
      <c r="J2189" s="1"/>
      <c r="K2189" s="1"/>
      <c r="L2189" s="51"/>
    </row>
    <row r="2190" spans="10:12" x14ac:dyDescent="0.3">
      <c r="J2190" s="1"/>
      <c r="K2190" s="1"/>
      <c r="L2190" s="51"/>
    </row>
    <row r="2191" spans="10:12" x14ac:dyDescent="0.3">
      <c r="J2191" s="1"/>
      <c r="K2191" s="1"/>
      <c r="L2191" s="51"/>
    </row>
    <row r="2192" spans="10:12" x14ac:dyDescent="0.3">
      <c r="J2192" s="1"/>
      <c r="K2192" s="1"/>
      <c r="L2192" s="51"/>
    </row>
    <row r="2193" spans="10:12" x14ac:dyDescent="0.3">
      <c r="J2193" s="1"/>
      <c r="K2193" s="1"/>
      <c r="L2193" s="51"/>
    </row>
    <row r="2194" spans="10:12" x14ac:dyDescent="0.3">
      <c r="J2194" s="1"/>
      <c r="K2194" s="1"/>
      <c r="L2194" s="51"/>
    </row>
    <row r="2195" spans="10:12" x14ac:dyDescent="0.3">
      <c r="J2195" s="1"/>
      <c r="K2195" s="1"/>
      <c r="L2195" s="51"/>
    </row>
    <row r="2196" spans="10:12" x14ac:dyDescent="0.3">
      <c r="J2196" s="1"/>
      <c r="K2196" s="1"/>
      <c r="L2196" s="51"/>
    </row>
    <row r="2197" spans="10:12" x14ac:dyDescent="0.3">
      <c r="J2197" s="1"/>
      <c r="K2197" s="1"/>
      <c r="L2197" s="51"/>
    </row>
    <row r="2198" spans="10:12" x14ac:dyDescent="0.3">
      <c r="J2198" s="1"/>
      <c r="K2198" s="1"/>
      <c r="L2198" s="51"/>
    </row>
    <row r="2199" spans="10:12" x14ac:dyDescent="0.3">
      <c r="J2199" s="1"/>
      <c r="K2199" s="1"/>
      <c r="L2199" s="51"/>
    </row>
    <row r="2200" spans="10:12" x14ac:dyDescent="0.3">
      <c r="J2200" s="1"/>
      <c r="K2200" s="1"/>
      <c r="L2200" s="51"/>
    </row>
    <row r="2201" spans="10:12" x14ac:dyDescent="0.3">
      <c r="J2201" s="1"/>
      <c r="K2201" s="1"/>
      <c r="L2201" s="51"/>
    </row>
    <row r="2202" spans="10:12" x14ac:dyDescent="0.3">
      <c r="J2202" s="1"/>
      <c r="K2202" s="1"/>
      <c r="L2202" s="51"/>
    </row>
    <row r="2203" spans="10:12" x14ac:dyDescent="0.3">
      <c r="J2203" s="1"/>
      <c r="K2203" s="1"/>
      <c r="L2203" s="51"/>
    </row>
    <row r="2204" spans="10:12" x14ac:dyDescent="0.3">
      <c r="J2204" s="1"/>
      <c r="K2204" s="1"/>
      <c r="L2204" s="51"/>
    </row>
    <row r="2205" spans="10:12" x14ac:dyDescent="0.3">
      <c r="J2205" s="1"/>
      <c r="K2205" s="1"/>
      <c r="L2205" s="51"/>
    </row>
    <row r="2206" spans="10:12" x14ac:dyDescent="0.3">
      <c r="J2206" s="1"/>
      <c r="K2206" s="1"/>
      <c r="L2206" s="51"/>
    </row>
    <row r="2207" spans="10:12" x14ac:dyDescent="0.3">
      <c r="J2207" s="1"/>
      <c r="K2207" s="1"/>
      <c r="L2207" s="51"/>
    </row>
    <row r="2208" spans="10:12" x14ac:dyDescent="0.3">
      <c r="J2208" s="1"/>
      <c r="K2208" s="1"/>
      <c r="L2208" s="51"/>
    </row>
    <row r="2209" spans="10:12" x14ac:dyDescent="0.3">
      <c r="J2209" s="1"/>
      <c r="K2209" s="1"/>
      <c r="L2209" s="51"/>
    </row>
    <row r="2210" spans="10:12" x14ac:dyDescent="0.3">
      <c r="J2210" s="1"/>
      <c r="K2210" s="1"/>
      <c r="L2210" s="51"/>
    </row>
    <row r="2211" spans="10:12" x14ac:dyDescent="0.3">
      <c r="J2211" s="1"/>
      <c r="K2211" s="1"/>
      <c r="L2211" s="51"/>
    </row>
    <row r="2212" spans="10:12" x14ac:dyDescent="0.3">
      <c r="J2212" s="1"/>
      <c r="K2212" s="1"/>
      <c r="L2212" s="51"/>
    </row>
    <row r="2213" spans="10:12" x14ac:dyDescent="0.3">
      <c r="J2213" s="1"/>
      <c r="K2213" s="1"/>
      <c r="L2213" s="51"/>
    </row>
    <row r="2214" spans="10:12" x14ac:dyDescent="0.3">
      <c r="J2214" s="1"/>
      <c r="K2214" s="1"/>
      <c r="L2214" s="51"/>
    </row>
    <row r="2215" spans="10:12" x14ac:dyDescent="0.3">
      <c r="J2215" s="1"/>
      <c r="K2215" s="1"/>
      <c r="L2215" s="51"/>
    </row>
    <row r="2216" spans="10:12" x14ac:dyDescent="0.3">
      <c r="J2216" s="1"/>
      <c r="K2216" s="1"/>
      <c r="L2216" s="51"/>
    </row>
    <row r="2217" spans="10:12" x14ac:dyDescent="0.3">
      <c r="J2217" s="1"/>
      <c r="K2217" s="1"/>
      <c r="L2217" s="51"/>
    </row>
    <row r="2218" spans="10:12" x14ac:dyDescent="0.3">
      <c r="J2218" s="1"/>
      <c r="K2218" s="1"/>
      <c r="L2218" s="51"/>
    </row>
    <row r="2219" spans="10:12" x14ac:dyDescent="0.3">
      <c r="J2219" s="1"/>
      <c r="K2219" s="1"/>
      <c r="L2219" s="51"/>
    </row>
    <row r="2220" spans="10:12" x14ac:dyDescent="0.3">
      <c r="J2220" s="1"/>
      <c r="K2220" s="1"/>
      <c r="L2220" s="51"/>
    </row>
    <row r="2221" spans="10:12" x14ac:dyDescent="0.3">
      <c r="J2221" s="1"/>
      <c r="K2221" s="1"/>
      <c r="L2221" s="51"/>
    </row>
    <row r="2222" spans="10:12" x14ac:dyDescent="0.3">
      <c r="J2222" s="1"/>
      <c r="K2222" s="1"/>
      <c r="L2222" s="51"/>
    </row>
    <row r="2223" spans="10:12" x14ac:dyDescent="0.3">
      <c r="J2223" s="1"/>
      <c r="K2223" s="1"/>
      <c r="L2223" s="51"/>
    </row>
    <row r="2224" spans="10:12" x14ac:dyDescent="0.3">
      <c r="J2224" s="1"/>
      <c r="K2224" s="1"/>
      <c r="L2224" s="51"/>
    </row>
    <row r="2225" spans="10:12" x14ac:dyDescent="0.3">
      <c r="J2225" s="1"/>
      <c r="K2225" s="1"/>
      <c r="L2225" s="51"/>
    </row>
    <row r="2226" spans="10:12" x14ac:dyDescent="0.3">
      <c r="J2226" s="1"/>
      <c r="K2226" s="1"/>
      <c r="L2226" s="51"/>
    </row>
    <row r="2227" spans="10:12" x14ac:dyDescent="0.3">
      <c r="J2227" s="1"/>
      <c r="K2227" s="1"/>
      <c r="L2227" s="51"/>
    </row>
    <row r="2228" spans="10:12" x14ac:dyDescent="0.3">
      <c r="J2228" s="1"/>
      <c r="K2228" s="1"/>
      <c r="L2228" s="51"/>
    </row>
    <row r="2229" spans="10:12" x14ac:dyDescent="0.3">
      <c r="J2229" s="1"/>
      <c r="K2229" s="1"/>
      <c r="L2229" s="51"/>
    </row>
    <row r="2230" spans="10:12" x14ac:dyDescent="0.3">
      <c r="J2230" s="1"/>
      <c r="K2230" s="1"/>
      <c r="L2230" s="51"/>
    </row>
    <row r="2231" spans="10:12" x14ac:dyDescent="0.3">
      <c r="J2231" s="1"/>
      <c r="K2231" s="1"/>
      <c r="L2231" s="51"/>
    </row>
    <row r="2232" spans="10:12" x14ac:dyDescent="0.3">
      <c r="J2232" s="1"/>
      <c r="K2232" s="1"/>
      <c r="L2232" s="51"/>
    </row>
    <row r="2233" spans="10:12" x14ac:dyDescent="0.3">
      <c r="J2233" s="1"/>
      <c r="K2233" s="1"/>
      <c r="L2233" s="51"/>
    </row>
    <row r="2234" spans="10:12" x14ac:dyDescent="0.3">
      <c r="J2234" s="1"/>
      <c r="K2234" s="1"/>
      <c r="L2234" s="51"/>
    </row>
    <row r="2235" spans="10:12" x14ac:dyDescent="0.3">
      <c r="J2235" s="1"/>
      <c r="K2235" s="1"/>
      <c r="L2235" s="51"/>
    </row>
    <row r="2236" spans="10:12" x14ac:dyDescent="0.3">
      <c r="J2236" s="1"/>
      <c r="K2236" s="1"/>
      <c r="L2236" s="51"/>
    </row>
    <row r="2237" spans="10:12" x14ac:dyDescent="0.3">
      <c r="J2237" s="1"/>
      <c r="K2237" s="1"/>
      <c r="L2237" s="51"/>
    </row>
    <row r="2238" spans="10:12" x14ac:dyDescent="0.3">
      <c r="J2238" s="1"/>
      <c r="K2238" s="1"/>
      <c r="L2238" s="51"/>
    </row>
    <row r="2239" spans="10:12" x14ac:dyDescent="0.3">
      <c r="J2239" s="1"/>
      <c r="K2239" s="1"/>
      <c r="L2239" s="51"/>
    </row>
    <row r="2240" spans="10:12" x14ac:dyDescent="0.3">
      <c r="J2240" s="1"/>
      <c r="K2240" s="1"/>
      <c r="L2240" s="51"/>
    </row>
    <row r="2241" spans="10:12" x14ac:dyDescent="0.3">
      <c r="J2241" s="1"/>
      <c r="K2241" s="1"/>
      <c r="L2241" s="51"/>
    </row>
    <row r="2242" spans="10:12" x14ac:dyDescent="0.3">
      <c r="J2242" s="1"/>
      <c r="K2242" s="1"/>
      <c r="L2242" s="51"/>
    </row>
    <row r="2243" spans="10:12" x14ac:dyDescent="0.3">
      <c r="J2243" s="1"/>
      <c r="K2243" s="1"/>
      <c r="L2243" s="51"/>
    </row>
    <row r="2244" spans="10:12" x14ac:dyDescent="0.3">
      <c r="J2244" s="1"/>
      <c r="K2244" s="1"/>
      <c r="L2244" s="51"/>
    </row>
    <row r="2245" spans="10:12" x14ac:dyDescent="0.3">
      <c r="J2245" s="1"/>
      <c r="K2245" s="1"/>
      <c r="L2245" s="51"/>
    </row>
    <row r="2246" spans="10:12" x14ac:dyDescent="0.3">
      <c r="J2246" s="1"/>
      <c r="K2246" s="1"/>
      <c r="L2246" s="51"/>
    </row>
    <row r="2247" spans="10:12" x14ac:dyDescent="0.3">
      <c r="J2247" s="1"/>
      <c r="K2247" s="1"/>
      <c r="L2247" s="51"/>
    </row>
    <row r="2248" spans="10:12" x14ac:dyDescent="0.3">
      <c r="J2248" s="1"/>
      <c r="K2248" s="1"/>
      <c r="L2248" s="51"/>
    </row>
    <row r="2249" spans="10:12" x14ac:dyDescent="0.3">
      <c r="J2249" s="1"/>
      <c r="K2249" s="1"/>
      <c r="L2249" s="51"/>
    </row>
    <row r="2250" spans="10:12" x14ac:dyDescent="0.3">
      <c r="J2250" s="1"/>
      <c r="K2250" s="1"/>
      <c r="L2250" s="51"/>
    </row>
    <row r="2251" spans="10:12" x14ac:dyDescent="0.3">
      <c r="J2251" s="1"/>
      <c r="K2251" s="1"/>
      <c r="L2251" s="51"/>
    </row>
    <row r="2252" spans="10:12" x14ac:dyDescent="0.3">
      <c r="J2252" s="1"/>
      <c r="K2252" s="1"/>
      <c r="L2252" s="51"/>
    </row>
    <row r="2253" spans="10:12" x14ac:dyDescent="0.3">
      <c r="J2253" s="1"/>
      <c r="K2253" s="1"/>
      <c r="L2253" s="51"/>
    </row>
    <row r="2254" spans="10:12" x14ac:dyDescent="0.3">
      <c r="J2254" s="1"/>
      <c r="K2254" s="1"/>
      <c r="L2254" s="51"/>
    </row>
    <row r="2255" spans="10:12" x14ac:dyDescent="0.3">
      <c r="J2255" s="1"/>
      <c r="K2255" s="1"/>
      <c r="L2255" s="51"/>
    </row>
    <row r="2256" spans="10:12" x14ac:dyDescent="0.3">
      <c r="J2256" s="1"/>
      <c r="K2256" s="1"/>
      <c r="L2256" s="51"/>
    </row>
    <row r="2257" spans="10:12" x14ac:dyDescent="0.3">
      <c r="J2257" s="1"/>
      <c r="K2257" s="1"/>
      <c r="L2257" s="51"/>
    </row>
    <row r="2258" spans="10:12" x14ac:dyDescent="0.3">
      <c r="J2258" s="1"/>
      <c r="K2258" s="1"/>
      <c r="L2258" s="51"/>
    </row>
    <row r="2259" spans="10:12" x14ac:dyDescent="0.3">
      <c r="J2259" s="1"/>
      <c r="K2259" s="1"/>
      <c r="L2259" s="51"/>
    </row>
    <row r="2260" spans="10:12" x14ac:dyDescent="0.3">
      <c r="J2260" s="1"/>
      <c r="K2260" s="1"/>
      <c r="L2260" s="51"/>
    </row>
    <row r="2261" spans="10:12" x14ac:dyDescent="0.3">
      <c r="J2261" s="1"/>
      <c r="K2261" s="1"/>
      <c r="L2261" s="51"/>
    </row>
    <row r="2262" spans="10:12" x14ac:dyDescent="0.3">
      <c r="J2262" s="1"/>
      <c r="K2262" s="1"/>
      <c r="L2262" s="51"/>
    </row>
    <row r="2263" spans="10:12" x14ac:dyDescent="0.3">
      <c r="J2263" s="1"/>
      <c r="K2263" s="1"/>
      <c r="L2263" s="51"/>
    </row>
    <row r="2264" spans="10:12" x14ac:dyDescent="0.3">
      <c r="J2264" s="1"/>
      <c r="K2264" s="1"/>
      <c r="L2264" s="51"/>
    </row>
    <row r="2265" spans="10:12" x14ac:dyDescent="0.3">
      <c r="J2265" s="1"/>
      <c r="K2265" s="1"/>
      <c r="L2265" s="51"/>
    </row>
    <row r="2266" spans="10:12" x14ac:dyDescent="0.3">
      <c r="J2266" s="1"/>
      <c r="K2266" s="1"/>
      <c r="L2266" s="51"/>
    </row>
    <row r="2267" spans="10:12" x14ac:dyDescent="0.3">
      <c r="J2267" s="1"/>
      <c r="K2267" s="1"/>
      <c r="L2267" s="51"/>
    </row>
    <row r="2268" spans="10:12" x14ac:dyDescent="0.3">
      <c r="J2268" s="1"/>
      <c r="K2268" s="1"/>
      <c r="L2268" s="51"/>
    </row>
    <row r="2269" spans="10:12" x14ac:dyDescent="0.3">
      <c r="J2269" s="1"/>
      <c r="K2269" s="1"/>
      <c r="L2269" s="51"/>
    </row>
    <row r="2270" spans="10:12" x14ac:dyDescent="0.3">
      <c r="J2270" s="1"/>
      <c r="K2270" s="1"/>
      <c r="L2270" s="51"/>
    </row>
    <row r="2271" spans="10:12" x14ac:dyDescent="0.3">
      <c r="J2271" s="1"/>
      <c r="K2271" s="1"/>
      <c r="L2271" s="51"/>
    </row>
    <row r="2272" spans="10:12" x14ac:dyDescent="0.3">
      <c r="J2272" s="1"/>
      <c r="K2272" s="1"/>
      <c r="L2272" s="51"/>
    </row>
    <row r="2273" spans="10:12" x14ac:dyDescent="0.3">
      <c r="J2273" s="1"/>
      <c r="K2273" s="1"/>
      <c r="L2273" s="51"/>
    </row>
    <row r="2274" spans="10:12" x14ac:dyDescent="0.3">
      <c r="J2274" s="1"/>
      <c r="K2274" s="1"/>
      <c r="L2274" s="51"/>
    </row>
    <row r="2275" spans="10:12" x14ac:dyDescent="0.3">
      <c r="J2275" s="1"/>
      <c r="K2275" s="1"/>
      <c r="L2275" s="51"/>
    </row>
    <row r="2276" spans="10:12" x14ac:dyDescent="0.3">
      <c r="J2276" s="1"/>
      <c r="K2276" s="1"/>
      <c r="L2276" s="51"/>
    </row>
    <row r="2277" spans="10:12" x14ac:dyDescent="0.3">
      <c r="J2277" s="1"/>
      <c r="K2277" s="1"/>
      <c r="L2277" s="51"/>
    </row>
    <row r="2278" spans="10:12" x14ac:dyDescent="0.3">
      <c r="J2278" s="1"/>
      <c r="K2278" s="1"/>
      <c r="L2278" s="51"/>
    </row>
    <row r="2279" spans="10:12" x14ac:dyDescent="0.3">
      <c r="J2279" s="1"/>
      <c r="K2279" s="1"/>
      <c r="L2279" s="51"/>
    </row>
    <row r="2280" spans="10:12" x14ac:dyDescent="0.3">
      <c r="J2280" s="1"/>
      <c r="K2280" s="1"/>
      <c r="L2280" s="51"/>
    </row>
    <row r="2281" spans="10:12" x14ac:dyDescent="0.3">
      <c r="J2281" s="1"/>
      <c r="K2281" s="1"/>
      <c r="L2281" s="51"/>
    </row>
    <row r="2282" spans="10:12" x14ac:dyDescent="0.3">
      <c r="J2282" s="1"/>
      <c r="K2282" s="1"/>
      <c r="L2282" s="51"/>
    </row>
    <row r="2283" spans="10:12" x14ac:dyDescent="0.3">
      <c r="J2283" s="1"/>
      <c r="K2283" s="1"/>
      <c r="L2283" s="51"/>
    </row>
    <row r="2284" spans="10:12" x14ac:dyDescent="0.3">
      <c r="J2284" s="1"/>
      <c r="K2284" s="1"/>
      <c r="L2284" s="51"/>
    </row>
    <row r="2285" spans="10:12" x14ac:dyDescent="0.3">
      <c r="J2285" s="1"/>
      <c r="K2285" s="1"/>
      <c r="L2285" s="51"/>
    </row>
    <row r="2286" spans="10:12" x14ac:dyDescent="0.3">
      <c r="J2286" s="1"/>
      <c r="K2286" s="1"/>
      <c r="L2286" s="51"/>
    </row>
    <row r="2287" spans="10:12" x14ac:dyDescent="0.3">
      <c r="J2287" s="1"/>
      <c r="K2287" s="1"/>
      <c r="L2287" s="51"/>
    </row>
    <row r="2288" spans="10:12" x14ac:dyDescent="0.3">
      <c r="J2288" s="1"/>
      <c r="K2288" s="1"/>
      <c r="L2288" s="51"/>
    </row>
    <row r="2289" spans="10:12" x14ac:dyDescent="0.3">
      <c r="J2289" s="1"/>
      <c r="K2289" s="1"/>
      <c r="L2289" s="51"/>
    </row>
    <row r="2290" spans="10:12" x14ac:dyDescent="0.3">
      <c r="J2290" s="1"/>
      <c r="K2290" s="1"/>
      <c r="L2290" s="51"/>
    </row>
    <row r="2291" spans="10:12" x14ac:dyDescent="0.3">
      <c r="J2291" s="1"/>
      <c r="K2291" s="1"/>
      <c r="L2291" s="51"/>
    </row>
    <row r="2292" spans="10:12" x14ac:dyDescent="0.3">
      <c r="J2292" s="1"/>
      <c r="K2292" s="1"/>
      <c r="L2292" s="51"/>
    </row>
    <row r="2293" spans="10:12" x14ac:dyDescent="0.3">
      <c r="J2293" s="1"/>
      <c r="K2293" s="1"/>
      <c r="L2293" s="51"/>
    </row>
    <row r="2294" spans="10:12" x14ac:dyDescent="0.3">
      <c r="J2294" s="1"/>
      <c r="K2294" s="1"/>
      <c r="L2294" s="51"/>
    </row>
    <row r="2295" spans="10:12" x14ac:dyDescent="0.3">
      <c r="J2295" s="1"/>
      <c r="K2295" s="1"/>
      <c r="L2295" s="51"/>
    </row>
    <row r="2296" spans="10:12" x14ac:dyDescent="0.3">
      <c r="J2296" s="1"/>
      <c r="K2296" s="1"/>
      <c r="L2296" s="51"/>
    </row>
    <row r="2297" spans="10:12" x14ac:dyDescent="0.3">
      <c r="J2297" s="1"/>
      <c r="K2297" s="1"/>
      <c r="L2297" s="51"/>
    </row>
    <row r="2298" spans="10:12" x14ac:dyDescent="0.3">
      <c r="J2298" s="1"/>
      <c r="K2298" s="1"/>
      <c r="L2298" s="51"/>
    </row>
    <row r="2299" spans="10:12" x14ac:dyDescent="0.3">
      <c r="J2299" s="1"/>
      <c r="K2299" s="1"/>
      <c r="L2299" s="51"/>
    </row>
    <row r="2300" spans="10:12" x14ac:dyDescent="0.3">
      <c r="J2300" s="1"/>
      <c r="K2300" s="1"/>
      <c r="L2300" s="51"/>
    </row>
    <row r="2301" spans="10:12" x14ac:dyDescent="0.3">
      <c r="J2301" s="1"/>
      <c r="K2301" s="1"/>
      <c r="L2301" s="51"/>
    </row>
    <row r="2302" spans="10:12" x14ac:dyDescent="0.3">
      <c r="J2302" s="1"/>
      <c r="K2302" s="1"/>
      <c r="L2302" s="51"/>
    </row>
    <row r="2303" spans="10:12" x14ac:dyDescent="0.3">
      <c r="J2303" s="1"/>
      <c r="K2303" s="1"/>
      <c r="L2303" s="51"/>
    </row>
    <row r="2304" spans="10:12" x14ac:dyDescent="0.3">
      <c r="J2304" s="1"/>
      <c r="K2304" s="1"/>
      <c r="L2304" s="51"/>
    </row>
    <row r="2305" spans="10:12" x14ac:dyDescent="0.3">
      <c r="J2305" s="1"/>
      <c r="K2305" s="1"/>
      <c r="L2305" s="51"/>
    </row>
    <row r="2306" spans="10:12" x14ac:dyDescent="0.3">
      <c r="J2306" s="1"/>
      <c r="K2306" s="1"/>
      <c r="L2306" s="51"/>
    </row>
    <row r="2307" spans="10:12" x14ac:dyDescent="0.3">
      <c r="J2307" s="1"/>
      <c r="K2307" s="1"/>
      <c r="L2307" s="51"/>
    </row>
    <row r="2308" spans="10:12" x14ac:dyDescent="0.3">
      <c r="J2308" s="1"/>
      <c r="K2308" s="1"/>
      <c r="L2308" s="51"/>
    </row>
    <row r="2309" spans="10:12" x14ac:dyDescent="0.3">
      <c r="J2309" s="1"/>
      <c r="K2309" s="1"/>
      <c r="L2309" s="51"/>
    </row>
    <row r="2310" spans="10:12" x14ac:dyDescent="0.3">
      <c r="J2310" s="1"/>
      <c r="K2310" s="1"/>
      <c r="L2310" s="51"/>
    </row>
    <row r="2311" spans="10:12" x14ac:dyDescent="0.3">
      <c r="J2311" s="1"/>
      <c r="K2311" s="1"/>
      <c r="L2311" s="51"/>
    </row>
    <row r="2312" spans="10:12" x14ac:dyDescent="0.3">
      <c r="J2312" s="1"/>
      <c r="K2312" s="1"/>
      <c r="L2312" s="51"/>
    </row>
    <row r="2313" spans="10:12" x14ac:dyDescent="0.3">
      <c r="J2313" s="1"/>
      <c r="K2313" s="1"/>
      <c r="L2313" s="51"/>
    </row>
    <row r="2314" spans="10:12" x14ac:dyDescent="0.3">
      <c r="J2314" s="1"/>
      <c r="K2314" s="1"/>
      <c r="L2314" s="51"/>
    </row>
    <row r="2315" spans="10:12" x14ac:dyDescent="0.3">
      <c r="J2315" s="1"/>
      <c r="K2315" s="1"/>
      <c r="L2315" s="51"/>
    </row>
    <row r="2316" spans="10:12" x14ac:dyDescent="0.3">
      <c r="J2316" s="1"/>
      <c r="K2316" s="1"/>
      <c r="L2316" s="51"/>
    </row>
    <row r="2317" spans="10:12" x14ac:dyDescent="0.3">
      <c r="J2317" s="1"/>
      <c r="K2317" s="1"/>
      <c r="L2317" s="51"/>
    </row>
    <row r="2318" spans="10:12" x14ac:dyDescent="0.3">
      <c r="J2318" s="1"/>
      <c r="K2318" s="1"/>
      <c r="L2318" s="51"/>
    </row>
    <row r="2319" spans="10:12" x14ac:dyDescent="0.3">
      <c r="J2319" s="1"/>
      <c r="K2319" s="1"/>
      <c r="L2319" s="51"/>
    </row>
    <row r="2320" spans="10:12" x14ac:dyDescent="0.3">
      <c r="J2320" s="1"/>
      <c r="K2320" s="1"/>
      <c r="L2320" s="51"/>
    </row>
    <row r="2321" spans="10:12" x14ac:dyDescent="0.3">
      <c r="J2321" s="1"/>
      <c r="K2321" s="1"/>
      <c r="L2321" s="51"/>
    </row>
    <row r="2322" spans="10:12" x14ac:dyDescent="0.3">
      <c r="J2322" s="1"/>
      <c r="K2322" s="1"/>
      <c r="L2322" s="51"/>
    </row>
    <row r="2323" spans="10:12" x14ac:dyDescent="0.3">
      <c r="J2323" s="1"/>
      <c r="K2323" s="1"/>
      <c r="L2323" s="51"/>
    </row>
    <row r="2324" spans="10:12" x14ac:dyDescent="0.3">
      <c r="J2324" s="1"/>
      <c r="K2324" s="1"/>
      <c r="L2324" s="51"/>
    </row>
    <row r="2325" spans="10:12" x14ac:dyDescent="0.3">
      <c r="J2325" s="1"/>
      <c r="K2325" s="1"/>
      <c r="L2325" s="51"/>
    </row>
    <row r="2326" spans="10:12" x14ac:dyDescent="0.3">
      <c r="J2326" s="1"/>
      <c r="K2326" s="1"/>
      <c r="L2326" s="51"/>
    </row>
    <row r="2327" spans="10:12" x14ac:dyDescent="0.3">
      <c r="J2327" s="1"/>
      <c r="K2327" s="1"/>
      <c r="L2327" s="51"/>
    </row>
    <row r="2328" spans="10:12" x14ac:dyDescent="0.3">
      <c r="J2328" s="1"/>
      <c r="K2328" s="1"/>
      <c r="L2328" s="51"/>
    </row>
    <row r="2329" spans="10:12" x14ac:dyDescent="0.3">
      <c r="J2329" s="1"/>
      <c r="K2329" s="1"/>
      <c r="L2329" s="51"/>
    </row>
    <row r="2330" spans="10:12" x14ac:dyDescent="0.3">
      <c r="J2330" s="1"/>
      <c r="K2330" s="1"/>
      <c r="L2330" s="51"/>
    </row>
    <row r="2331" spans="10:12" x14ac:dyDescent="0.3">
      <c r="J2331" s="1"/>
      <c r="K2331" s="1"/>
      <c r="L2331" s="51"/>
    </row>
    <row r="2332" spans="10:12" x14ac:dyDescent="0.3">
      <c r="J2332" s="1"/>
      <c r="K2332" s="1"/>
      <c r="L2332" s="51"/>
    </row>
    <row r="2333" spans="10:12" x14ac:dyDescent="0.3">
      <c r="J2333" s="1"/>
      <c r="K2333" s="1"/>
      <c r="L2333" s="51"/>
    </row>
    <row r="2334" spans="10:12" x14ac:dyDescent="0.3">
      <c r="J2334" s="1"/>
      <c r="K2334" s="1"/>
      <c r="L2334" s="51"/>
    </row>
    <row r="2335" spans="10:12" x14ac:dyDescent="0.3">
      <c r="J2335" s="1"/>
      <c r="K2335" s="1"/>
      <c r="L2335" s="51"/>
    </row>
    <row r="2336" spans="10:12" x14ac:dyDescent="0.3">
      <c r="J2336" s="1"/>
      <c r="K2336" s="1"/>
      <c r="L2336" s="51"/>
    </row>
    <row r="2337" spans="10:12" x14ac:dyDescent="0.3">
      <c r="J2337" s="1"/>
      <c r="K2337" s="1"/>
      <c r="L2337" s="51"/>
    </row>
    <row r="2338" spans="10:12" x14ac:dyDescent="0.3">
      <c r="J2338" s="1"/>
      <c r="K2338" s="1"/>
      <c r="L2338" s="51"/>
    </row>
    <row r="2339" spans="10:12" x14ac:dyDescent="0.3">
      <c r="J2339" s="1"/>
      <c r="K2339" s="1"/>
      <c r="L2339" s="51"/>
    </row>
    <row r="2340" spans="10:12" x14ac:dyDescent="0.3">
      <c r="J2340" s="1"/>
      <c r="K2340" s="1"/>
      <c r="L2340" s="51"/>
    </row>
    <row r="2341" spans="10:12" x14ac:dyDescent="0.3">
      <c r="J2341" s="1"/>
      <c r="K2341" s="1"/>
      <c r="L2341" s="51"/>
    </row>
    <row r="2342" spans="10:12" x14ac:dyDescent="0.3">
      <c r="J2342" s="1"/>
      <c r="K2342" s="1"/>
      <c r="L2342" s="51"/>
    </row>
    <row r="2343" spans="10:12" x14ac:dyDescent="0.3">
      <c r="J2343" s="1"/>
      <c r="K2343" s="1"/>
      <c r="L2343" s="51"/>
    </row>
    <row r="2344" spans="10:12" x14ac:dyDescent="0.3">
      <c r="J2344" s="1"/>
      <c r="K2344" s="1"/>
      <c r="L2344" s="51"/>
    </row>
    <row r="2345" spans="10:12" x14ac:dyDescent="0.3">
      <c r="J2345" s="1"/>
      <c r="K2345" s="1"/>
      <c r="L2345" s="51"/>
    </row>
    <row r="2346" spans="10:12" x14ac:dyDescent="0.3">
      <c r="J2346" s="1"/>
      <c r="K2346" s="1"/>
      <c r="L2346" s="51"/>
    </row>
    <row r="2347" spans="10:12" x14ac:dyDescent="0.3">
      <c r="J2347" s="1"/>
      <c r="K2347" s="1"/>
      <c r="L2347" s="51"/>
    </row>
    <row r="2348" spans="10:12" x14ac:dyDescent="0.3">
      <c r="J2348" s="1"/>
      <c r="K2348" s="1"/>
      <c r="L2348" s="51"/>
    </row>
    <row r="2349" spans="10:12" x14ac:dyDescent="0.3">
      <c r="J2349" s="1"/>
      <c r="K2349" s="1"/>
      <c r="L2349" s="51"/>
    </row>
    <row r="2350" spans="10:12" x14ac:dyDescent="0.3">
      <c r="J2350" s="1"/>
      <c r="K2350" s="1"/>
      <c r="L2350" s="51"/>
    </row>
    <row r="2351" spans="10:12" x14ac:dyDescent="0.3">
      <c r="J2351" s="1"/>
      <c r="K2351" s="1"/>
      <c r="L2351" s="51"/>
    </row>
    <row r="2352" spans="10:12" x14ac:dyDescent="0.3">
      <c r="J2352" s="1"/>
      <c r="K2352" s="1"/>
      <c r="L2352" s="51"/>
    </row>
    <row r="2353" spans="10:12" x14ac:dyDescent="0.3">
      <c r="J2353" s="1"/>
      <c r="K2353" s="1"/>
      <c r="L2353" s="51"/>
    </row>
    <row r="2354" spans="10:12" x14ac:dyDescent="0.3">
      <c r="J2354" s="1"/>
      <c r="K2354" s="1"/>
      <c r="L2354" s="51"/>
    </row>
    <row r="2355" spans="10:12" x14ac:dyDescent="0.3">
      <c r="J2355" s="1"/>
      <c r="K2355" s="1"/>
      <c r="L2355" s="51"/>
    </row>
    <row r="2356" spans="10:12" x14ac:dyDescent="0.3">
      <c r="J2356" s="1"/>
      <c r="K2356" s="1"/>
      <c r="L2356" s="51"/>
    </row>
    <row r="2357" spans="10:12" x14ac:dyDescent="0.3">
      <c r="J2357" s="1"/>
      <c r="K2357" s="1"/>
      <c r="L2357" s="51"/>
    </row>
    <row r="2358" spans="10:12" x14ac:dyDescent="0.3">
      <c r="J2358" s="1"/>
      <c r="K2358" s="1"/>
      <c r="L2358" s="51"/>
    </row>
    <row r="2359" spans="10:12" x14ac:dyDescent="0.3">
      <c r="J2359" s="1"/>
      <c r="K2359" s="1"/>
      <c r="L2359" s="51"/>
    </row>
    <row r="2360" spans="10:12" x14ac:dyDescent="0.3">
      <c r="J2360" s="1"/>
      <c r="K2360" s="1"/>
      <c r="L2360" s="51"/>
    </row>
    <row r="2361" spans="10:12" x14ac:dyDescent="0.3">
      <c r="J2361" s="1"/>
      <c r="K2361" s="1"/>
      <c r="L2361" s="51"/>
    </row>
    <row r="2362" spans="10:12" x14ac:dyDescent="0.3">
      <c r="J2362" s="1"/>
      <c r="K2362" s="1"/>
      <c r="L2362" s="51"/>
    </row>
    <row r="2363" spans="10:12" x14ac:dyDescent="0.3">
      <c r="J2363" s="1"/>
      <c r="K2363" s="1"/>
      <c r="L2363" s="51"/>
    </row>
    <row r="2364" spans="10:12" x14ac:dyDescent="0.3">
      <c r="J2364" s="1"/>
      <c r="K2364" s="1"/>
      <c r="L2364" s="51"/>
    </row>
    <row r="2365" spans="10:12" x14ac:dyDescent="0.3">
      <c r="J2365" s="1"/>
      <c r="K2365" s="1"/>
      <c r="L2365" s="51"/>
    </row>
    <row r="2366" spans="10:12" x14ac:dyDescent="0.3">
      <c r="J2366" s="1"/>
      <c r="K2366" s="1"/>
      <c r="L2366" s="51"/>
    </row>
    <row r="2367" spans="10:12" x14ac:dyDescent="0.3">
      <c r="J2367" s="1"/>
      <c r="K2367" s="1"/>
      <c r="L2367" s="51"/>
    </row>
    <row r="2368" spans="10:12" x14ac:dyDescent="0.3">
      <c r="J2368" s="1"/>
      <c r="K2368" s="1"/>
      <c r="L2368" s="51"/>
    </row>
    <row r="2369" spans="10:12" x14ac:dyDescent="0.3">
      <c r="J2369" s="1"/>
      <c r="K2369" s="1"/>
      <c r="L2369" s="51"/>
    </row>
    <row r="2370" spans="10:12" x14ac:dyDescent="0.3">
      <c r="J2370" s="1"/>
      <c r="K2370" s="1"/>
      <c r="L2370" s="51"/>
    </row>
    <row r="2371" spans="10:12" x14ac:dyDescent="0.3">
      <c r="J2371" s="1"/>
      <c r="K2371" s="1"/>
      <c r="L2371" s="51"/>
    </row>
    <row r="2372" spans="10:12" x14ac:dyDescent="0.3">
      <c r="J2372" s="1"/>
      <c r="K2372" s="1"/>
      <c r="L2372" s="51"/>
    </row>
    <row r="2373" spans="10:12" x14ac:dyDescent="0.3">
      <c r="J2373" s="1"/>
      <c r="K2373" s="1"/>
      <c r="L2373" s="51"/>
    </row>
    <row r="2374" spans="10:12" x14ac:dyDescent="0.3">
      <c r="J2374" s="1"/>
      <c r="K2374" s="1"/>
      <c r="L2374" s="51"/>
    </row>
    <row r="2375" spans="10:12" x14ac:dyDescent="0.3">
      <c r="J2375" s="1"/>
      <c r="K2375" s="1"/>
      <c r="L2375" s="51"/>
    </row>
    <row r="2376" spans="10:12" x14ac:dyDescent="0.3">
      <c r="J2376" s="1"/>
      <c r="K2376" s="1"/>
      <c r="L2376" s="51"/>
    </row>
    <row r="2377" spans="10:12" x14ac:dyDescent="0.3">
      <c r="J2377" s="1"/>
      <c r="K2377" s="1"/>
      <c r="L2377" s="51"/>
    </row>
    <row r="2378" spans="10:12" x14ac:dyDescent="0.3">
      <c r="J2378" s="1"/>
      <c r="K2378" s="1"/>
      <c r="L2378" s="51"/>
    </row>
    <row r="2379" spans="10:12" x14ac:dyDescent="0.3">
      <c r="J2379" s="1"/>
      <c r="K2379" s="1"/>
      <c r="L2379" s="51"/>
    </row>
    <row r="2380" spans="10:12" x14ac:dyDescent="0.3">
      <c r="J2380" s="1"/>
      <c r="K2380" s="1"/>
      <c r="L2380" s="51"/>
    </row>
    <row r="2381" spans="10:12" x14ac:dyDescent="0.3">
      <c r="J2381" s="1"/>
      <c r="K2381" s="1"/>
      <c r="L2381" s="51"/>
    </row>
    <row r="2382" spans="10:12" x14ac:dyDescent="0.3">
      <c r="J2382" s="1"/>
      <c r="K2382" s="1"/>
      <c r="L2382" s="51"/>
    </row>
    <row r="2383" spans="10:12" x14ac:dyDescent="0.3">
      <c r="J2383" s="1"/>
      <c r="K2383" s="1"/>
      <c r="L2383" s="51"/>
    </row>
    <row r="2384" spans="10:12" x14ac:dyDescent="0.3">
      <c r="J2384" s="1"/>
      <c r="K2384" s="1"/>
      <c r="L2384" s="51"/>
    </row>
    <row r="2385" spans="10:12" x14ac:dyDescent="0.3">
      <c r="J2385" s="1"/>
      <c r="K2385" s="1"/>
      <c r="L2385" s="51"/>
    </row>
    <row r="2386" spans="10:12" x14ac:dyDescent="0.3">
      <c r="J2386" s="1"/>
      <c r="K2386" s="1"/>
      <c r="L2386" s="51"/>
    </row>
    <row r="2387" spans="10:12" x14ac:dyDescent="0.3">
      <c r="J2387" s="1"/>
      <c r="K2387" s="1"/>
      <c r="L2387" s="51"/>
    </row>
    <row r="2388" spans="10:12" x14ac:dyDescent="0.3">
      <c r="J2388" s="1"/>
      <c r="K2388" s="1"/>
      <c r="L2388" s="51"/>
    </row>
    <row r="2389" spans="10:12" x14ac:dyDescent="0.3">
      <c r="J2389" s="1"/>
      <c r="K2389" s="1"/>
      <c r="L2389" s="51"/>
    </row>
    <row r="2390" spans="10:12" x14ac:dyDescent="0.3">
      <c r="J2390" s="1"/>
      <c r="K2390" s="1"/>
      <c r="L2390" s="51"/>
    </row>
    <row r="2391" spans="10:12" x14ac:dyDescent="0.3">
      <c r="J2391" s="1"/>
      <c r="K2391" s="1"/>
      <c r="L2391" s="51"/>
    </row>
    <row r="2392" spans="10:12" x14ac:dyDescent="0.3">
      <c r="J2392" s="1"/>
      <c r="K2392" s="1"/>
      <c r="L2392" s="51"/>
    </row>
    <row r="2393" spans="10:12" x14ac:dyDescent="0.3">
      <c r="J2393" s="1"/>
      <c r="K2393" s="1"/>
      <c r="L2393" s="51"/>
    </row>
    <row r="2394" spans="10:12" x14ac:dyDescent="0.3">
      <c r="J2394" s="1"/>
      <c r="K2394" s="1"/>
      <c r="L2394" s="51"/>
    </row>
    <row r="2395" spans="10:12" x14ac:dyDescent="0.3">
      <c r="J2395" s="1"/>
      <c r="K2395" s="1"/>
      <c r="L2395" s="51"/>
    </row>
    <row r="2396" spans="10:12" x14ac:dyDescent="0.3">
      <c r="J2396" s="1"/>
      <c r="K2396" s="1"/>
      <c r="L2396" s="51"/>
    </row>
    <row r="2397" spans="10:12" x14ac:dyDescent="0.3">
      <c r="J2397" s="1"/>
      <c r="K2397" s="1"/>
      <c r="L2397" s="51"/>
    </row>
    <row r="2398" spans="10:12" x14ac:dyDescent="0.3">
      <c r="J2398" s="1"/>
      <c r="K2398" s="1"/>
      <c r="L2398" s="51"/>
    </row>
    <row r="2399" spans="10:12" x14ac:dyDescent="0.3">
      <c r="J2399" s="1"/>
      <c r="K2399" s="1"/>
      <c r="L2399" s="51"/>
    </row>
    <row r="2400" spans="10:12" x14ac:dyDescent="0.3">
      <c r="J2400" s="1"/>
      <c r="K2400" s="1"/>
      <c r="L2400" s="51"/>
    </row>
    <row r="2401" spans="10:12" x14ac:dyDescent="0.3">
      <c r="J2401" s="1"/>
      <c r="K2401" s="1"/>
      <c r="L2401" s="51"/>
    </row>
    <row r="2402" spans="10:12" x14ac:dyDescent="0.3">
      <c r="J2402" s="1"/>
      <c r="K2402" s="1"/>
      <c r="L2402" s="51"/>
    </row>
    <row r="2403" spans="10:12" x14ac:dyDescent="0.3">
      <c r="J2403" s="1"/>
      <c r="K2403" s="1"/>
      <c r="L2403" s="51"/>
    </row>
    <row r="2404" spans="10:12" x14ac:dyDescent="0.3">
      <c r="J2404" s="1"/>
      <c r="K2404" s="1"/>
      <c r="L2404" s="51"/>
    </row>
    <row r="2405" spans="10:12" x14ac:dyDescent="0.3">
      <c r="J2405" s="1"/>
      <c r="K2405" s="1"/>
      <c r="L2405" s="51"/>
    </row>
    <row r="2406" spans="10:12" x14ac:dyDescent="0.3">
      <c r="J2406" s="1"/>
      <c r="K2406" s="1"/>
      <c r="L2406" s="51"/>
    </row>
    <row r="2407" spans="10:12" x14ac:dyDescent="0.3">
      <c r="J2407" s="1"/>
      <c r="K2407" s="1"/>
      <c r="L2407" s="51"/>
    </row>
    <row r="2408" spans="10:12" x14ac:dyDescent="0.3">
      <c r="J2408" s="1"/>
      <c r="K2408" s="1"/>
      <c r="L2408" s="51"/>
    </row>
    <row r="2409" spans="10:12" x14ac:dyDescent="0.3">
      <c r="J2409" s="1"/>
      <c r="K2409" s="1"/>
      <c r="L2409" s="51"/>
    </row>
    <row r="2410" spans="10:12" x14ac:dyDescent="0.3">
      <c r="J2410" s="1"/>
      <c r="K2410" s="1"/>
      <c r="L2410" s="51"/>
    </row>
    <row r="2411" spans="10:12" x14ac:dyDescent="0.3">
      <c r="J2411" s="1"/>
      <c r="K2411" s="1"/>
      <c r="L2411" s="51"/>
    </row>
    <row r="2412" spans="10:12" x14ac:dyDescent="0.3">
      <c r="J2412" s="1"/>
      <c r="K2412" s="1"/>
      <c r="L2412" s="51"/>
    </row>
    <row r="2413" spans="10:12" x14ac:dyDescent="0.3">
      <c r="J2413" s="1"/>
      <c r="K2413" s="1"/>
      <c r="L2413" s="51"/>
    </row>
    <row r="2414" spans="10:12" x14ac:dyDescent="0.3">
      <c r="J2414" s="1"/>
      <c r="K2414" s="1"/>
      <c r="L2414" s="51"/>
    </row>
    <row r="2415" spans="10:12" x14ac:dyDescent="0.3">
      <c r="J2415" s="1"/>
      <c r="K2415" s="1"/>
      <c r="L2415" s="51"/>
    </row>
    <row r="2416" spans="10:12" x14ac:dyDescent="0.3">
      <c r="J2416" s="1"/>
      <c r="K2416" s="1"/>
      <c r="L2416" s="51"/>
    </row>
    <row r="2417" spans="10:12" x14ac:dyDescent="0.3">
      <c r="J2417" s="1"/>
      <c r="K2417" s="1"/>
      <c r="L2417" s="51"/>
    </row>
    <row r="2418" spans="10:12" x14ac:dyDescent="0.3">
      <c r="J2418" s="1"/>
      <c r="K2418" s="1"/>
      <c r="L2418" s="51"/>
    </row>
    <row r="2419" spans="10:12" x14ac:dyDescent="0.3">
      <c r="J2419" s="1"/>
      <c r="K2419" s="1"/>
      <c r="L2419" s="51"/>
    </row>
    <row r="2420" spans="10:12" x14ac:dyDescent="0.3">
      <c r="J2420" s="1"/>
      <c r="K2420" s="1"/>
      <c r="L2420" s="51"/>
    </row>
    <row r="2421" spans="10:12" x14ac:dyDescent="0.3">
      <c r="J2421" s="1"/>
      <c r="K2421" s="1"/>
      <c r="L2421" s="51"/>
    </row>
    <row r="2422" spans="10:12" x14ac:dyDescent="0.3">
      <c r="J2422" s="1"/>
      <c r="K2422" s="1"/>
      <c r="L2422" s="51"/>
    </row>
    <row r="2423" spans="10:12" x14ac:dyDescent="0.3">
      <c r="J2423" s="1"/>
      <c r="K2423" s="1"/>
      <c r="L2423" s="51"/>
    </row>
    <row r="2424" spans="10:12" x14ac:dyDescent="0.3">
      <c r="J2424" s="1"/>
      <c r="K2424" s="1"/>
      <c r="L2424" s="51"/>
    </row>
    <row r="2425" spans="10:12" x14ac:dyDescent="0.3">
      <c r="J2425" s="1"/>
      <c r="K2425" s="1"/>
      <c r="L2425" s="51"/>
    </row>
    <row r="2426" spans="10:12" x14ac:dyDescent="0.3">
      <c r="J2426" s="1"/>
      <c r="K2426" s="1"/>
      <c r="L2426" s="51"/>
    </row>
    <row r="2427" spans="10:12" x14ac:dyDescent="0.3">
      <c r="J2427" s="1"/>
      <c r="K2427" s="1"/>
      <c r="L2427" s="51"/>
    </row>
    <row r="2428" spans="10:12" x14ac:dyDescent="0.3">
      <c r="J2428" s="1"/>
      <c r="K2428" s="1"/>
      <c r="L2428" s="51"/>
    </row>
    <row r="2429" spans="10:12" x14ac:dyDescent="0.3">
      <c r="J2429" s="1"/>
      <c r="K2429" s="1"/>
      <c r="L2429" s="51"/>
    </row>
    <row r="2430" spans="10:12" x14ac:dyDescent="0.3">
      <c r="J2430" s="1"/>
      <c r="K2430" s="1"/>
      <c r="L2430" s="51"/>
    </row>
    <row r="2431" spans="10:12" x14ac:dyDescent="0.3">
      <c r="J2431" s="1"/>
      <c r="K2431" s="1"/>
      <c r="L2431" s="51"/>
    </row>
    <row r="2432" spans="10:12" x14ac:dyDescent="0.3">
      <c r="J2432" s="1"/>
      <c r="K2432" s="1"/>
      <c r="L2432" s="51"/>
    </row>
    <row r="2433" spans="10:12" x14ac:dyDescent="0.3">
      <c r="J2433" s="1"/>
      <c r="K2433" s="1"/>
      <c r="L2433" s="51"/>
    </row>
    <row r="2434" spans="10:12" x14ac:dyDescent="0.3">
      <c r="J2434" s="1"/>
      <c r="K2434" s="1"/>
      <c r="L2434" s="51"/>
    </row>
    <row r="2435" spans="10:12" x14ac:dyDescent="0.3">
      <c r="J2435" s="1"/>
      <c r="K2435" s="1"/>
      <c r="L2435" s="51"/>
    </row>
    <row r="2436" spans="10:12" x14ac:dyDescent="0.3">
      <c r="J2436" s="1"/>
      <c r="K2436" s="1"/>
      <c r="L2436" s="51"/>
    </row>
    <row r="2437" spans="10:12" x14ac:dyDescent="0.3">
      <c r="J2437" s="1"/>
      <c r="K2437" s="1"/>
      <c r="L2437" s="51"/>
    </row>
    <row r="2438" spans="10:12" x14ac:dyDescent="0.3">
      <c r="J2438" s="1"/>
      <c r="K2438" s="1"/>
      <c r="L2438" s="51"/>
    </row>
    <row r="2439" spans="10:12" x14ac:dyDescent="0.3">
      <c r="J2439" s="1"/>
      <c r="K2439" s="1"/>
      <c r="L2439" s="51"/>
    </row>
    <row r="2440" spans="10:12" x14ac:dyDescent="0.3">
      <c r="J2440" s="1"/>
      <c r="K2440" s="1"/>
      <c r="L2440" s="51"/>
    </row>
    <row r="2441" spans="10:12" x14ac:dyDescent="0.3">
      <c r="J2441" s="1"/>
      <c r="K2441" s="1"/>
      <c r="L2441" s="51"/>
    </row>
    <row r="2442" spans="10:12" x14ac:dyDescent="0.3">
      <c r="J2442" s="1"/>
      <c r="K2442" s="1"/>
      <c r="L2442" s="51"/>
    </row>
    <row r="2443" spans="10:12" x14ac:dyDescent="0.3">
      <c r="J2443" s="1"/>
      <c r="K2443" s="1"/>
      <c r="L2443" s="51"/>
    </row>
    <row r="2444" spans="10:12" x14ac:dyDescent="0.3">
      <c r="J2444" s="1"/>
      <c r="K2444" s="1"/>
      <c r="L2444" s="51"/>
    </row>
    <row r="2445" spans="10:12" x14ac:dyDescent="0.3">
      <c r="J2445" s="1"/>
      <c r="K2445" s="1"/>
      <c r="L2445" s="51"/>
    </row>
    <row r="2446" spans="10:12" x14ac:dyDescent="0.3">
      <c r="J2446" s="1"/>
      <c r="K2446" s="1"/>
      <c r="L2446" s="51"/>
    </row>
    <row r="2447" spans="10:12" x14ac:dyDescent="0.3">
      <c r="J2447" s="1"/>
      <c r="K2447" s="1"/>
      <c r="L2447" s="51"/>
    </row>
    <row r="2448" spans="10:12" x14ac:dyDescent="0.3">
      <c r="J2448" s="1"/>
      <c r="K2448" s="1"/>
      <c r="L2448" s="51"/>
    </row>
    <row r="2449" spans="10:12" x14ac:dyDescent="0.3">
      <c r="J2449" s="1"/>
      <c r="K2449" s="1"/>
      <c r="L2449" s="51"/>
    </row>
    <row r="2450" spans="10:12" x14ac:dyDescent="0.3">
      <c r="J2450" s="1"/>
      <c r="K2450" s="1"/>
      <c r="L2450" s="51"/>
    </row>
    <row r="2451" spans="10:12" x14ac:dyDescent="0.3">
      <c r="J2451" s="1"/>
      <c r="K2451" s="1"/>
      <c r="L2451" s="51"/>
    </row>
    <row r="2452" spans="10:12" x14ac:dyDescent="0.3">
      <c r="J2452" s="1"/>
      <c r="K2452" s="1"/>
      <c r="L2452" s="51"/>
    </row>
    <row r="2453" spans="10:12" x14ac:dyDescent="0.3">
      <c r="J2453" s="1"/>
      <c r="K2453" s="1"/>
      <c r="L2453" s="51"/>
    </row>
    <row r="2454" spans="10:12" x14ac:dyDescent="0.3">
      <c r="J2454" s="1"/>
      <c r="K2454" s="1"/>
      <c r="L2454" s="51"/>
    </row>
    <row r="2455" spans="10:12" x14ac:dyDescent="0.3">
      <c r="J2455" s="1"/>
      <c r="K2455" s="1"/>
      <c r="L2455" s="51"/>
    </row>
    <row r="2456" spans="10:12" x14ac:dyDescent="0.3">
      <c r="J2456" s="1"/>
      <c r="K2456" s="1"/>
      <c r="L2456" s="51"/>
    </row>
    <row r="2457" spans="10:12" x14ac:dyDescent="0.3">
      <c r="J2457" s="1"/>
      <c r="K2457" s="1"/>
      <c r="L2457" s="51"/>
    </row>
    <row r="2458" spans="10:12" x14ac:dyDescent="0.3">
      <c r="J2458" s="1"/>
      <c r="K2458" s="1"/>
      <c r="L2458" s="51"/>
    </row>
    <row r="2459" spans="10:12" x14ac:dyDescent="0.3">
      <c r="J2459" s="1"/>
      <c r="K2459" s="1"/>
      <c r="L2459" s="51"/>
    </row>
    <row r="2460" spans="10:12" x14ac:dyDescent="0.3">
      <c r="J2460" s="1"/>
      <c r="K2460" s="1"/>
      <c r="L2460" s="51"/>
    </row>
    <row r="2461" spans="10:12" x14ac:dyDescent="0.3">
      <c r="J2461" s="1"/>
      <c r="K2461" s="1"/>
      <c r="L2461" s="51"/>
    </row>
    <row r="2462" spans="10:12" x14ac:dyDescent="0.3">
      <c r="J2462" s="1"/>
      <c r="K2462" s="1"/>
      <c r="L2462" s="51"/>
    </row>
    <row r="2463" spans="10:12" x14ac:dyDescent="0.3">
      <c r="J2463" s="1"/>
      <c r="K2463" s="1"/>
      <c r="L2463" s="51"/>
    </row>
    <row r="2464" spans="10:12" x14ac:dyDescent="0.3">
      <c r="J2464" s="1"/>
      <c r="K2464" s="1"/>
      <c r="L2464" s="51"/>
    </row>
    <row r="2465" spans="10:12" x14ac:dyDescent="0.3">
      <c r="J2465" s="1"/>
      <c r="K2465" s="1"/>
      <c r="L2465" s="51"/>
    </row>
    <row r="2466" spans="10:12" x14ac:dyDescent="0.3">
      <c r="J2466" s="1"/>
      <c r="K2466" s="1"/>
      <c r="L2466" s="51"/>
    </row>
    <row r="2467" spans="10:12" x14ac:dyDescent="0.3">
      <c r="J2467" s="1"/>
      <c r="K2467" s="1"/>
      <c r="L2467" s="51"/>
    </row>
    <row r="2468" spans="10:12" x14ac:dyDescent="0.3">
      <c r="J2468" s="1"/>
      <c r="K2468" s="1"/>
      <c r="L2468" s="51"/>
    </row>
    <row r="2469" spans="10:12" x14ac:dyDescent="0.3">
      <c r="J2469" s="1"/>
      <c r="K2469" s="1"/>
      <c r="L2469" s="51"/>
    </row>
    <row r="2470" spans="10:12" x14ac:dyDescent="0.3">
      <c r="J2470" s="1"/>
      <c r="K2470" s="1"/>
      <c r="L2470" s="51"/>
    </row>
    <row r="2471" spans="10:12" x14ac:dyDescent="0.3">
      <c r="J2471" s="1"/>
      <c r="K2471" s="1"/>
      <c r="L2471" s="51"/>
    </row>
    <row r="2472" spans="10:12" x14ac:dyDescent="0.3">
      <c r="J2472" s="1"/>
      <c r="K2472" s="1"/>
      <c r="L2472" s="51"/>
    </row>
    <row r="2473" spans="10:12" x14ac:dyDescent="0.3">
      <c r="J2473" s="1"/>
      <c r="K2473" s="1"/>
      <c r="L2473" s="51"/>
    </row>
    <row r="2474" spans="10:12" x14ac:dyDescent="0.3">
      <c r="J2474" s="1"/>
      <c r="K2474" s="1"/>
      <c r="L2474" s="51"/>
    </row>
    <row r="2475" spans="10:12" x14ac:dyDescent="0.3">
      <c r="J2475" s="1"/>
      <c r="K2475" s="1"/>
      <c r="L2475" s="51"/>
    </row>
    <row r="2476" spans="10:12" x14ac:dyDescent="0.3">
      <c r="J2476" s="1"/>
      <c r="K2476" s="1"/>
      <c r="L2476" s="51"/>
    </row>
    <row r="2477" spans="10:12" x14ac:dyDescent="0.3">
      <c r="J2477" s="1"/>
      <c r="K2477" s="1"/>
      <c r="L2477" s="51"/>
    </row>
    <row r="2478" spans="10:12" x14ac:dyDescent="0.3">
      <c r="J2478" s="1"/>
      <c r="K2478" s="1"/>
      <c r="L2478" s="51"/>
    </row>
    <row r="2479" spans="10:12" x14ac:dyDescent="0.3">
      <c r="J2479" s="1"/>
      <c r="K2479" s="1"/>
      <c r="L2479" s="51"/>
    </row>
    <row r="2480" spans="10:12" x14ac:dyDescent="0.3">
      <c r="J2480" s="1"/>
      <c r="K2480" s="1"/>
      <c r="L2480" s="51"/>
    </row>
    <row r="2481" spans="10:12" x14ac:dyDescent="0.3">
      <c r="J2481" s="1"/>
      <c r="K2481" s="1"/>
      <c r="L2481" s="51"/>
    </row>
    <row r="2482" spans="10:12" x14ac:dyDescent="0.3">
      <c r="J2482" s="1"/>
      <c r="K2482" s="1"/>
      <c r="L2482" s="51"/>
    </row>
    <row r="2483" spans="10:12" x14ac:dyDescent="0.3">
      <c r="J2483" s="1"/>
      <c r="K2483" s="1"/>
      <c r="L2483" s="51"/>
    </row>
    <row r="2484" spans="10:12" x14ac:dyDescent="0.3">
      <c r="J2484" s="1"/>
      <c r="K2484" s="1"/>
      <c r="L2484" s="51"/>
    </row>
    <row r="2485" spans="10:12" x14ac:dyDescent="0.3">
      <c r="J2485" s="1"/>
      <c r="K2485" s="1"/>
      <c r="L2485" s="51"/>
    </row>
    <row r="2486" spans="10:12" x14ac:dyDescent="0.3">
      <c r="J2486" s="1"/>
      <c r="K2486" s="1"/>
      <c r="L2486" s="51"/>
    </row>
    <row r="2487" spans="10:12" x14ac:dyDescent="0.3">
      <c r="J2487" s="1"/>
      <c r="K2487" s="1"/>
      <c r="L2487" s="51"/>
    </row>
    <row r="2488" spans="10:12" x14ac:dyDescent="0.3">
      <c r="J2488" s="1"/>
      <c r="K2488" s="1"/>
      <c r="L2488" s="51"/>
    </row>
    <row r="2489" spans="10:12" x14ac:dyDescent="0.3">
      <c r="J2489" s="1"/>
      <c r="K2489" s="1"/>
      <c r="L2489" s="51"/>
    </row>
    <row r="2490" spans="10:12" x14ac:dyDescent="0.3">
      <c r="J2490" s="1"/>
      <c r="K2490" s="1"/>
      <c r="L2490" s="51"/>
    </row>
    <row r="2491" spans="10:12" x14ac:dyDescent="0.3">
      <c r="J2491" s="1"/>
      <c r="K2491" s="1"/>
      <c r="L2491" s="51"/>
    </row>
    <row r="2492" spans="10:12" x14ac:dyDescent="0.3">
      <c r="J2492" s="1"/>
      <c r="K2492" s="1"/>
      <c r="L2492" s="51"/>
    </row>
    <row r="2493" spans="10:12" x14ac:dyDescent="0.3">
      <c r="J2493" s="1"/>
      <c r="K2493" s="1"/>
      <c r="L2493" s="51"/>
    </row>
    <row r="2494" spans="10:12" x14ac:dyDescent="0.3">
      <c r="J2494" s="1"/>
      <c r="K2494" s="1"/>
      <c r="L2494" s="51"/>
    </row>
    <row r="2495" spans="10:12" x14ac:dyDescent="0.3">
      <c r="J2495" s="1"/>
      <c r="K2495" s="1"/>
      <c r="L2495" s="51"/>
    </row>
    <row r="2496" spans="10:12" x14ac:dyDescent="0.3">
      <c r="J2496" s="1"/>
      <c r="K2496" s="1"/>
      <c r="L2496" s="51"/>
    </row>
    <row r="2497" spans="10:12" x14ac:dyDescent="0.3">
      <c r="J2497" s="1"/>
      <c r="K2497" s="1"/>
      <c r="L2497" s="51"/>
    </row>
    <row r="2498" spans="10:12" x14ac:dyDescent="0.3">
      <c r="J2498" s="1"/>
      <c r="K2498" s="1"/>
      <c r="L2498" s="51"/>
    </row>
    <row r="2499" spans="10:12" x14ac:dyDescent="0.3">
      <c r="J2499" s="1"/>
      <c r="K2499" s="1"/>
      <c r="L2499" s="51"/>
    </row>
    <row r="2500" spans="10:12" x14ac:dyDescent="0.3">
      <c r="J2500" s="1"/>
      <c r="K2500" s="1"/>
      <c r="L2500" s="51"/>
    </row>
    <row r="2501" spans="10:12" x14ac:dyDescent="0.3">
      <c r="J2501" s="1"/>
      <c r="K2501" s="1"/>
      <c r="L2501" s="51"/>
    </row>
    <row r="2502" spans="10:12" x14ac:dyDescent="0.3">
      <c r="J2502" s="1"/>
      <c r="K2502" s="1"/>
      <c r="L2502" s="51"/>
    </row>
    <row r="2503" spans="10:12" x14ac:dyDescent="0.3">
      <c r="J2503" s="1"/>
      <c r="K2503" s="1"/>
      <c r="L2503" s="51"/>
    </row>
    <row r="2504" spans="10:12" x14ac:dyDescent="0.3">
      <c r="J2504" s="1"/>
      <c r="K2504" s="1"/>
      <c r="L2504" s="51"/>
    </row>
    <row r="2505" spans="10:12" x14ac:dyDescent="0.3">
      <c r="J2505" s="1"/>
      <c r="K2505" s="1"/>
      <c r="L2505" s="51"/>
    </row>
    <row r="2506" spans="10:12" x14ac:dyDescent="0.3">
      <c r="J2506" s="1"/>
      <c r="K2506" s="1"/>
      <c r="L2506" s="51"/>
    </row>
    <row r="2507" spans="10:12" x14ac:dyDescent="0.3">
      <c r="J2507" s="1"/>
      <c r="K2507" s="1"/>
      <c r="L2507" s="51"/>
    </row>
    <row r="2508" spans="10:12" x14ac:dyDescent="0.3">
      <c r="J2508" s="1"/>
      <c r="K2508" s="1"/>
      <c r="L2508" s="51"/>
    </row>
    <row r="2509" spans="10:12" x14ac:dyDescent="0.3">
      <c r="J2509" s="1"/>
      <c r="K2509" s="1"/>
      <c r="L2509" s="51"/>
    </row>
    <row r="2510" spans="10:12" x14ac:dyDescent="0.3">
      <c r="J2510" s="1"/>
      <c r="K2510" s="1"/>
      <c r="L2510" s="51"/>
    </row>
    <row r="2511" spans="10:12" x14ac:dyDescent="0.3">
      <c r="J2511" s="1"/>
      <c r="K2511" s="1"/>
      <c r="L2511" s="51"/>
    </row>
    <row r="2512" spans="10:12" x14ac:dyDescent="0.3">
      <c r="J2512" s="1"/>
      <c r="K2512" s="1"/>
      <c r="L2512" s="51"/>
    </row>
    <row r="2513" spans="10:12" x14ac:dyDescent="0.3">
      <c r="J2513" s="1"/>
      <c r="K2513" s="1"/>
      <c r="L2513" s="51"/>
    </row>
    <row r="2514" spans="10:12" x14ac:dyDescent="0.3">
      <c r="J2514" s="1"/>
      <c r="K2514" s="1"/>
      <c r="L2514" s="51"/>
    </row>
    <row r="2515" spans="10:12" x14ac:dyDescent="0.3">
      <c r="J2515" s="1"/>
      <c r="K2515" s="1"/>
      <c r="L2515" s="51"/>
    </row>
    <row r="2516" spans="10:12" x14ac:dyDescent="0.3">
      <c r="J2516" s="1"/>
      <c r="K2516" s="1"/>
      <c r="L2516" s="51"/>
    </row>
    <row r="2517" spans="10:12" x14ac:dyDescent="0.3">
      <c r="J2517" s="1"/>
      <c r="K2517" s="1"/>
      <c r="L2517" s="51"/>
    </row>
    <row r="2518" spans="10:12" x14ac:dyDescent="0.3">
      <c r="J2518" s="1"/>
      <c r="K2518" s="1"/>
      <c r="L2518" s="51"/>
    </row>
    <row r="2519" spans="10:12" x14ac:dyDescent="0.3">
      <c r="J2519" s="1"/>
      <c r="K2519" s="1"/>
      <c r="L2519" s="51"/>
    </row>
    <row r="2520" spans="10:12" x14ac:dyDescent="0.3">
      <c r="J2520" s="1"/>
      <c r="K2520" s="1"/>
      <c r="L2520" s="51"/>
    </row>
    <row r="2521" spans="10:12" x14ac:dyDescent="0.3">
      <c r="J2521" s="1"/>
      <c r="K2521" s="1"/>
      <c r="L2521" s="51"/>
    </row>
    <row r="2522" spans="10:12" x14ac:dyDescent="0.3">
      <c r="J2522" s="1"/>
      <c r="K2522" s="1"/>
      <c r="L2522" s="51"/>
    </row>
    <row r="2523" spans="10:12" x14ac:dyDescent="0.3">
      <c r="J2523" s="1"/>
      <c r="K2523" s="1"/>
      <c r="L2523" s="51"/>
    </row>
    <row r="2524" spans="10:12" x14ac:dyDescent="0.3">
      <c r="J2524" s="1"/>
      <c r="K2524" s="1"/>
      <c r="L2524" s="51"/>
    </row>
    <row r="2525" spans="10:12" x14ac:dyDescent="0.3">
      <c r="J2525" s="1"/>
      <c r="K2525" s="1"/>
      <c r="L2525" s="51"/>
    </row>
    <row r="2526" spans="10:12" x14ac:dyDescent="0.3">
      <c r="J2526" s="1"/>
      <c r="K2526" s="1"/>
      <c r="L2526" s="51"/>
    </row>
    <row r="2527" spans="10:12" x14ac:dyDescent="0.3">
      <c r="J2527" s="1"/>
      <c r="K2527" s="1"/>
      <c r="L2527" s="51"/>
    </row>
    <row r="2528" spans="10:12" x14ac:dyDescent="0.3">
      <c r="J2528" s="1"/>
      <c r="K2528" s="1"/>
      <c r="L2528" s="51"/>
    </row>
    <row r="2529" spans="10:12" x14ac:dyDescent="0.3">
      <c r="J2529" s="1"/>
      <c r="K2529" s="1"/>
      <c r="L2529" s="51"/>
    </row>
    <row r="2530" spans="10:12" x14ac:dyDescent="0.3">
      <c r="J2530" s="1"/>
      <c r="K2530" s="1"/>
      <c r="L2530" s="51"/>
    </row>
    <row r="2531" spans="10:12" x14ac:dyDescent="0.3">
      <c r="J2531" s="1"/>
      <c r="K2531" s="1"/>
      <c r="L2531" s="51"/>
    </row>
    <row r="2532" spans="10:12" x14ac:dyDescent="0.3">
      <c r="J2532" s="1"/>
      <c r="K2532" s="1"/>
      <c r="L2532" s="51"/>
    </row>
    <row r="2533" spans="10:12" x14ac:dyDescent="0.3">
      <c r="J2533" s="1"/>
      <c r="K2533" s="1"/>
      <c r="L2533" s="51"/>
    </row>
    <row r="2534" spans="10:12" x14ac:dyDescent="0.3">
      <c r="J2534" s="1"/>
      <c r="K2534" s="1"/>
      <c r="L2534" s="51"/>
    </row>
    <row r="2535" spans="10:12" x14ac:dyDescent="0.3">
      <c r="J2535" s="1"/>
      <c r="K2535" s="1"/>
      <c r="L2535" s="51"/>
    </row>
    <row r="2536" spans="10:12" x14ac:dyDescent="0.3">
      <c r="J2536" s="1"/>
      <c r="K2536" s="1"/>
      <c r="L2536" s="51"/>
    </row>
    <row r="2537" spans="10:12" x14ac:dyDescent="0.3">
      <c r="J2537" s="1"/>
      <c r="K2537" s="1"/>
      <c r="L2537" s="51"/>
    </row>
    <row r="2538" spans="10:12" x14ac:dyDescent="0.3">
      <c r="J2538" s="1"/>
      <c r="K2538" s="1"/>
      <c r="L2538" s="51"/>
    </row>
    <row r="2539" spans="10:12" x14ac:dyDescent="0.3">
      <c r="J2539" s="1"/>
      <c r="K2539" s="1"/>
      <c r="L2539" s="51"/>
    </row>
    <row r="2540" spans="10:12" x14ac:dyDescent="0.3">
      <c r="J2540" s="1"/>
      <c r="K2540" s="1"/>
      <c r="L2540" s="51"/>
    </row>
    <row r="2541" spans="10:12" x14ac:dyDescent="0.3">
      <c r="J2541" s="1"/>
      <c r="K2541" s="1"/>
      <c r="L2541" s="51"/>
    </row>
    <row r="2542" spans="10:12" x14ac:dyDescent="0.3">
      <c r="J2542" s="1"/>
      <c r="K2542" s="1"/>
      <c r="L2542" s="51"/>
    </row>
    <row r="2543" spans="10:12" x14ac:dyDescent="0.3">
      <c r="J2543" s="1"/>
      <c r="K2543" s="1"/>
      <c r="L2543" s="51"/>
    </row>
    <row r="2544" spans="10:12" x14ac:dyDescent="0.3">
      <c r="J2544" s="1"/>
      <c r="K2544" s="1"/>
      <c r="L2544" s="51"/>
    </row>
    <row r="2545" spans="10:12" x14ac:dyDescent="0.3">
      <c r="J2545" s="1"/>
      <c r="K2545" s="1"/>
      <c r="L2545" s="51"/>
    </row>
    <row r="2546" spans="10:12" x14ac:dyDescent="0.3">
      <c r="J2546" s="1"/>
      <c r="K2546" s="1"/>
      <c r="L2546" s="51"/>
    </row>
    <row r="2547" spans="10:12" x14ac:dyDescent="0.3">
      <c r="J2547" s="1"/>
      <c r="K2547" s="1"/>
      <c r="L2547" s="51"/>
    </row>
    <row r="2548" spans="10:12" x14ac:dyDescent="0.3">
      <c r="J2548" s="1"/>
      <c r="K2548" s="1"/>
      <c r="L2548" s="51"/>
    </row>
    <row r="2549" spans="10:12" x14ac:dyDescent="0.3">
      <c r="J2549" s="1"/>
      <c r="K2549" s="1"/>
      <c r="L2549" s="51"/>
    </row>
    <row r="2550" spans="10:12" x14ac:dyDescent="0.3">
      <c r="J2550" s="1"/>
      <c r="K2550" s="1"/>
      <c r="L2550" s="51"/>
    </row>
    <row r="2551" spans="10:12" x14ac:dyDescent="0.3">
      <c r="J2551" s="1"/>
      <c r="K2551" s="1"/>
      <c r="L2551" s="51"/>
    </row>
    <row r="2552" spans="10:12" x14ac:dyDescent="0.3">
      <c r="J2552" s="1"/>
      <c r="K2552" s="1"/>
      <c r="L2552" s="51"/>
    </row>
    <row r="2553" spans="10:12" x14ac:dyDescent="0.3">
      <c r="J2553" s="1"/>
      <c r="K2553" s="1"/>
      <c r="L2553" s="51"/>
    </row>
    <row r="2554" spans="10:12" x14ac:dyDescent="0.3">
      <c r="J2554" s="1"/>
      <c r="K2554" s="1"/>
      <c r="L2554" s="51"/>
    </row>
    <row r="2555" spans="10:12" x14ac:dyDescent="0.3">
      <c r="J2555" s="1"/>
      <c r="K2555" s="1"/>
      <c r="L2555" s="51"/>
    </row>
    <row r="2556" spans="10:12" x14ac:dyDescent="0.3">
      <c r="J2556" s="1"/>
      <c r="K2556" s="1"/>
      <c r="L2556" s="51"/>
    </row>
    <row r="2557" spans="10:12" x14ac:dyDescent="0.3">
      <c r="J2557" s="1"/>
      <c r="K2557" s="1"/>
      <c r="L2557" s="51"/>
    </row>
    <row r="2558" spans="10:12" x14ac:dyDescent="0.3">
      <c r="J2558" s="1"/>
      <c r="K2558" s="1"/>
      <c r="L2558" s="51"/>
    </row>
    <row r="2559" spans="10:12" x14ac:dyDescent="0.3">
      <c r="J2559" s="1"/>
      <c r="K2559" s="1"/>
      <c r="L2559" s="51"/>
    </row>
    <row r="2560" spans="10:12" x14ac:dyDescent="0.3">
      <c r="J2560" s="1"/>
      <c r="K2560" s="1"/>
      <c r="L2560" s="51"/>
    </row>
    <row r="2561" spans="10:12" x14ac:dyDescent="0.3">
      <c r="J2561" s="1"/>
      <c r="K2561" s="1"/>
      <c r="L2561" s="51"/>
    </row>
    <row r="2562" spans="10:12" x14ac:dyDescent="0.3">
      <c r="J2562" s="1"/>
      <c r="K2562" s="1"/>
      <c r="L2562" s="51"/>
    </row>
    <row r="2563" spans="10:12" x14ac:dyDescent="0.3">
      <c r="J2563" s="1"/>
      <c r="K2563" s="1"/>
      <c r="L2563" s="51"/>
    </row>
    <row r="2564" spans="10:12" x14ac:dyDescent="0.3">
      <c r="J2564" s="1"/>
      <c r="K2564" s="1"/>
      <c r="L2564" s="51"/>
    </row>
    <row r="2565" spans="10:12" x14ac:dyDescent="0.3">
      <c r="J2565" s="1"/>
      <c r="K2565" s="1"/>
      <c r="L2565" s="51"/>
    </row>
    <row r="2566" spans="10:12" x14ac:dyDescent="0.3">
      <c r="J2566" s="1"/>
      <c r="K2566" s="1"/>
      <c r="L2566" s="51"/>
    </row>
    <row r="2567" spans="10:12" x14ac:dyDescent="0.3">
      <c r="J2567" s="1"/>
      <c r="K2567" s="1"/>
      <c r="L2567" s="51"/>
    </row>
    <row r="2568" spans="10:12" x14ac:dyDescent="0.3">
      <c r="J2568" s="1"/>
      <c r="K2568" s="1"/>
      <c r="L2568" s="51"/>
    </row>
    <row r="2569" spans="10:12" x14ac:dyDescent="0.3">
      <c r="J2569" s="1"/>
      <c r="K2569" s="1"/>
      <c r="L2569" s="51"/>
    </row>
    <row r="2570" spans="10:12" x14ac:dyDescent="0.3">
      <c r="J2570" s="1"/>
      <c r="K2570" s="1"/>
      <c r="L2570" s="51"/>
    </row>
    <row r="2571" spans="10:12" x14ac:dyDescent="0.3">
      <c r="J2571" s="1"/>
      <c r="K2571" s="1"/>
      <c r="L2571" s="51"/>
    </row>
    <row r="2572" spans="10:12" x14ac:dyDescent="0.3">
      <c r="J2572" s="1"/>
      <c r="K2572" s="1"/>
      <c r="L2572" s="51"/>
    </row>
    <row r="2573" spans="10:12" x14ac:dyDescent="0.3">
      <c r="J2573" s="1"/>
      <c r="K2573" s="1"/>
      <c r="L2573" s="51"/>
    </row>
    <row r="2574" spans="10:12" x14ac:dyDescent="0.3">
      <c r="J2574" s="1"/>
      <c r="K2574" s="1"/>
      <c r="L2574" s="51"/>
    </row>
    <row r="2575" spans="10:12" x14ac:dyDescent="0.3">
      <c r="J2575" s="1"/>
      <c r="K2575" s="1"/>
      <c r="L2575" s="51"/>
    </row>
    <row r="2576" spans="10:12" x14ac:dyDescent="0.3">
      <c r="J2576" s="1"/>
      <c r="K2576" s="1"/>
      <c r="L2576" s="51"/>
    </row>
    <row r="2577" spans="10:12" x14ac:dyDescent="0.3">
      <c r="J2577" s="1"/>
      <c r="K2577" s="1"/>
      <c r="L2577" s="51"/>
    </row>
    <row r="2578" spans="10:12" x14ac:dyDescent="0.3">
      <c r="J2578" s="1"/>
      <c r="K2578" s="1"/>
      <c r="L2578" s="51"/>
    </row>
    <row r="2579" spans="10:12" x14ac:dyDescent="0.3">
      <c r="J2579" s="1"/>
      <c r="K2579" s="1"/>
      <c r="L2579" s="51"/>
    </row>
    <row r="2580" spans="10:12" x14ac:dyDescent="0.3">
      <c r="J2580" s="1"/>
      <c r="K2580" s="1"/>
      <c r="L2580" s="51"/>
    </row>
    <row r="2581" spans="10:12" x14ac:dyDescent="0.3">
      <c r="J2581" s="1"/>
      <c r="K2581" s="1"/>
      <c r="L2581" s="51"/>
    </row>
    <row r="2582" spans="10:12" x14ac:dyDescent="0.3">
      <c r="J2582" s="1"/>
      <c r="K2582" s="1"/>
      <c r="L2582" s="51"/>
    </row>
    <row r="2583" spans="10:12" x14ac:dyDescent="0.3">
      <c r="J2583" s="1"/>
      <c r="K2583" s="1"/>
      <c r="L2583" s="51"/>
    </row>
    <row r="2584" spans="10:12" x14ac:dyDescent="0.3">
      <c r="J2584" s="1"/>
      <c r="K2584" s="1"/>
      <c r="L2584" s="51"/>
    </row>
    <row r="2585" spans="10:12" x14ac:dyDescent="0.3">
      <c r="J2585" s="1"/>
      <c r="K2585" s="1"/>
      <c r="L2585" s="51"/>
    </row>
    <row r="2586" spans="10:12" x14ac:dyDescent="0.3">
      <c r="J2586" s="1"/>
      <c r="K2586" s="1"/>
      <c r="L2586" s="51"/>
    </row>
    <row r="2587" spans="10:12" x14ac:dyDescent="0.3">
      <c r="J2587" s="1"/>
      <c r="K2587" s="1"/>
      <c r="L2587" s="51"/>
    </row>
    <row r="2588" spans="10:12" x14ac:dyDescent="0.3">
      <c r="J2588" s="1"/>
      <c r="K2588" s="1"/>
      <c r="L2588" s="51"/>
    </row>
    <row r="2589" spans="10:12" x14ac:dyDescent="0.3">
      <c r="J2589" s="1"/>
      <c r="K2589" s="1"/>
      <c r="L2589" s="51"/>
    </row>
    <row r="2590" spans="10:12" x14ac:dyDescent="0.3">
      <c r="J2590" s="1"/>
      <c r="K2590" s="1"/>
      <c r="L2590" s="51"/>
    </row>
    <row r="2591" spans="10:12" x14ac:dyDescent="0.3">
      <c r="J2591" s="1"/>
      <c r="K2591" s="1"/>
      <c r="L2591" s="51"/>
    </row>
    <row r="2592" spans="10:12" x14ac:dyDescent="0.3">
      <c r="J2592" s="1"/>
      <c r="K2592" s="1"/>
      <c r="L2592" s="51"/>
    </row>
    <row r="2593" spans="10:12" x14ac:dyDescent="0.3">
      <c r="J2593" s="1"/>
      <c r="K2593" s="1"/>
      <c r="L2593" s="51"/>
    </row>
    <row r="2594" spans="10:12" x14ac:dyDescent="0.3">
      <c r="J2594" s="1"/>
      <c r="K2594" s="1"/>
      <c r="L2594" s="51"/>
    </row>
    <row r="2595" spans="10:12" x14ac:dyDescent="0.3">
      <c r="J2595" s="1"/>
      <c r="K2595" s="1"/>
      <c r="L2595" s="51"/>
    </row>
    <row r="2596" spans="10:12" x14ac:dyDescent="0.3">
      <c r="J2596" s="1"/>
      <c r="K2596" s="1"/>
      <c r="L2596" s="51"/>
    </row>
    <row r="2597" spans="10:12" x14ac:dyDescent="0.3">
      <c r="J2597" s="1"/>
      <c r="K2597" s="1"/>
      <c r="L2597" s="51"/>
    </row>
    <row r="2598" spans="10:12" x14ac:dyDescent="0.3">
      <c r="J2598" s="1"/>
      <c r="K2598" s="1"/>
      <c r="L2598" s="51"/>
    </row>
    <row r="2599" spans="10:12" x14ac:dyDescent="0.3">
      <c r="J2599" s="1"/>
      <c r="K2599" s="1"/>
      <c r="L2599" s="51"/>
    </row>
    <row r="2600" spans="10:12" x14ac:dyDescent="0.3">
      <c r="J2600" s="1"/>
      <c r="K2600" s="1"/>
      <c r="L2600" s="51"/>
    </row>
    <row r="2601" spans="10:12" x14ac:dyDescent="0.3">
      <c r="J2601" s="1"/>
      <c r="K2601" s="1"/>
      <c r="L2601" s="51"/>
    </row>
    <row r="2602" spans="10:12" x14ac:dyDescent="0.3">
      <c r="J2602" s="1"/>
      <c r="K2602" s="1"/>
      <c r="L2602" s="51"/>
    </row>
    <row r="2603" spans="10:12" x14ac:dyDescent="0.3">
      <c r="J2603" s="1"/>
      <c r="K2603" s="1"/>
      <c r="L2603" s="51"/>
    </row>
    <row r="2604" spans="10:12" x14ac:dyDescent="0.3">
      <c r="J2604" s="1"/>
      <c r="K2604" s="1"/>
      <c r="L2604" s="51"/>
    </row>
    <row r="2605" spans="10:12" x14ac:dyDescent="0.3">
      <c r="J2605" s="1"/>
      <c r="K2605" s="1"/>
      <c r="L2605" s="51"/>
    </row>
    <row r="2606" spans="10:12" x14ac:dyDescent="0.3">
      <c r="J2606" s="1"/>
      <c r="K2606" s="1"/>
      <c r="L2606" s="51"/>
    </row>
    <row r="2607" spans="10:12" x14ac:dyDescent="0.3">
      <c r="J2607" s="1"/>
      <c r="K2607" s="1"/>
      <c r="L2607" s="51"/>
    </row>
    <row r="2608" spans="10:12" x14ac:dyDescent="0.3">
      <c r="J2608" s="1"/>
      <c r="K2608" s="1"/>
      <c r="L2608" s="51"/>
    </row>
    <row r="2609" spans="10:12" x14ac:dyDescent="0.3">
      <c r="J2609" s="1"/>
      <c r="K2609" s="1"/>
      <c r="L2609" s="51"/>
    </row>
    <row r="2610" spans="10:12" x14ac:dyDescent="0.3">
      <c r="J2610" s="1"/>
      <c r="K2610" s="1"/>
      <c r="L2610" s="51"/>
    </row>
    <row r="2611" spans="10:12" x14ac:dyDescent="0.3">
      <c r="J2611" s="1"/>
      <c r="K2611" s="1"/>
      <c r="L2611" s="51"/>
    </row>
    <row r="2612" spans="10:12" x14ac:dyDescent="0.3">
      <c r="J2612" s="1"/>
      <c r="K2612" s="1"/>
      <c r="L2612" s="51"/>
    </row>
    <row r="2613" spans="10:12" x14ac:dyDescent="0.3">
      <c r="J2613" s="1"/>
      <c r="K2613" s="1"/>
      <c r="L2613" s="51"/>
    </row>
    <row r="2614" spans="10:12" x14ac:dyDescent="0.3">
      <c r="J2614" s="1"/>
      <c r="K2614" s="1"/>
      <c r="L2614" s="51"/>
    </row>
    <row r="2615" spans="10:12" x14ac:dyDescent="0.3">
      <c r="J2615" s="1"/>
      <c r="K2615" s="1"/>
      <c r="L2615" s="51"/>
    </row>
    <row r="2616" spans="10:12" x14ac:dyDescent="0.3">
      <c r="J2616" s="1"/>
      <c r="K2616" s="1"/>
      <c r="L2616" s="51"/>
    </row>
    <row r="2617" spans="10:12" x14ac:dyDescent="0.3">
      <c r="J2617" s="1"/>
      <c r="K2617" s="1"/>
      <c r="L2617" s="51"/>
    </row>
    <row r="2618" spans="10:12" x14ac:dyDescent="0.3">
      <c r="J2618" s="1"/>
      <c r="K2618" s="1"/>
      <c r="L2618" s="51"/>
    </row>
    <row r="2619" spans="10:12" x14ac:dyDescent="0.3">
      <c r="J2619" s="1"/>
      <c r="K2619" s="1"/>
      <c r="L2619" s="51"/>
    </row>
    <row r="2620" spans="10:12" x14ac:dyDescent="0.3">
      <c r="J2620" s="1"/>
      <c r="K2620" s="1"/>
      <c r="L2620" s="51"/>
    </row>
    <row r="2621" spans="10:12" x14ac:dyDescent="0.3">
      <c r="J2621" s="1"/>
      <c r="K2621" s="1"/>
      <c r="L2621" s="51"/>
    </row>
    <row r="2622" spans="10:12" x14ac:dyDescent="0.3">
      <c r="J2622" s="1"/>
      <c r="K2622" s="1"/>
      <c r="L2622" s="51"/>
    </row>
    <row r="2623" spans="10:12" x14ac:dyDescent="0.3">
      <c r="J2623" s="1"/>
      <c r="K2623" s="1"/>
      <c r="L2623" s="51"/>
    </row>
    <row r="2624" spans="10:12" x14ac:dyDescent="0.3">
      <c r="J2624" s="1"/>
      <c r="K2624" s="1"/>
      <c r="L2624" s="51"/>
    </row>
    <row r="2625" spans="10:12" x14ac:dyDescent="0.3">
      <c r="J2625" s="1"/>
      <c r="K2625" s="1"/>
      <c r="L2625" s="51"/>
    </row>
    <row r="2626" spans="10:12" x14ac:dyDescent="0.3">
      <c r="J2626" s="1"/>
      <c r="K2626" s="1"/>
      <c r="L2626" s="51"/>
    </row>
    <row r="2627" spans="10:12" x14ac:dyDescent="0.3">
      <c r="J2627" s="1"/>
      <c r="K2627" s="1"/>
      <c r="L2627" s="51"/>
    </row>
    <row r="2628" spans="10:12" x14ac:dyDescent="0.3">
      <c r="J2628" s="1"/>
      <c r="K2628" s="1"/>
      <c r="L2628" s="51"/>
    </row>
    <row r="2629" spans="10:12" x14ac:dyDescent="0.3">
      <c r="J2629" s="1"/>
      <c r="K2629" s="1"/>
      <c r="L2629" s="51"/>
    </row>
    <row r="2630" spans="10:12" x14ac:dyDescent="0.3">
      <c r="J2630" s="1"/>
      <c r="K2630" s="1"/>
      <c r="L2630" s="51"/>
    </row>
    <row r="2631" spans="10:12" x14ac:dyDescent="0.3">
      <c r="J2631" s="1"/>
      <c r="K2631" s="1"/>
      <c r="L2631" s="51"/>
    </row>
    <row r="2632" spans="10:12" x14ac:dyDescent="0.3">
      <c r="J2632" s="1"/>
      <c r="K2632" s="1"/>
      <c r="L2632" s="51"/>
    </row>
    <row r="2633" spans="10:12" x14ac:dyDescent="0.3">
      <c r="J2633" s="1"/>
      <c r="K2633" s="1"/>
      <c r="L2633" s="51"/>
    </row>
    <row r="2634" spans="10:12" x14ac:dyDescent="0.3">
      <c r="J2634" s="1"/>
      <c r="K2634" s="1"/>
      <c r="L2634" s="51"/>
    </row>
    <row r="2635" spans="10:12" x14ac:dyDescent="0.3">
      <c r="J2635" s="1"/>
      <c r="K2635" s="1"/>
      <c r="L2635" s="51"/>
    </row>
    <row r="2636" spans="10:12" x14ac:dyDescent="0.3">
      <c r="J2636" s="1"/>
      <c r="K2636" s="1"/>
      <c r="L2636" s="51"/>
    </row>
    <row r="2637" spans="10:12" x14ac:dyDescent="0.3">
      <c r="J2637" s="1"/>
      <c r="K2637" s="1"/>
      <c r="L2637" s="51"/>
    </row>
    <row r="2638" spans="10:12" x14ac:dyDescent="0.3">
      <c r="J2638" s="1"/>
      <c r="K2638" s="1"/>
      <c r="L2638" s="51"/>
    </row>
    <row r="2639" spans="10:12" x14ac:dyDescent="0.3">
      <c r="J2639" s="1"/>
      <c r="K2639" s="1"/>
      <c r="L2639" s="51"/>
    </row>
    <row r="2640" spans="10:12" x14ac:dyDescent="0.3">
      <c r="J2640" s="1"/>
      <c r="K2640" s="1"/>
      <c r="L2640" s="51"/>
    </row>
    <row r="2641" spans="10:12" x14ac:dyDescent="0.3">
      <c r="J2641" s="1"/>
      <c r="K2641" s="1"/>
      <c r="L2641" s="51"/>
    </row>
    <row r="2642" spans="10:12" x14ac:dyDescent="0.3">
      <c r="J2642" s="1"/>
      <c r="K2642" s="1"/>
      <c r="L2642" s="51"/>
    </row>
    <row r="2643" spans="10:12" x14ac:dyDescent="0.3">
      <c r="J2643" s="1"/>
      <c r="K2643" s="1"/>
      <c r="L2643" s="51"/>
    </row>
    <row r="2644" spans="10:12" x14ac:dyDescent="0.3">
      <c r="J2644" s="1"/>
      <c r="K2644" s="1"/>
      <c r="L2644" s="51"/>
    </row>
    <row r="2645" spans="10:12" x14ac:dyDescent="0.3">
      <c r="J2645" s="1"/>
      <c r="K2645" s="1"/>
      <c r="L2645" s="51"/>
    </row>
    <row r="2646" spans="10:12" x14ac:dyDescent="0.3">
      <c r="J2646" s="1"/>
      <c r="K2646" s="1"/>
      <c r="L2646" s="51"/>
    </row>
    <row r="2647" spans="10:12" x14ac:dyDescent="0.3">
      <c r="J2647" s="1"/>
      <c r="K2647" s="1"/>
      <c r="L2647" s="51"/>
    </row>
    <row r="2648" spans="10:12" x14ac:dyDescent="0.3">
      <c r="J2648" s="1"/>
      <c r="K2648" s="1"/>
      <c r="L2648" s="51"/>
    </row>
    <row r="2649" spans="10:12" x14ac:dyDescent="0.3">
      <c r="J2649" s="1"/>
      <c r="K2649" s="1"/>
      <c r="L2649" s="51"/>
    </row>
    <row r="2650" spans="10:12" x14ac:dyDescent="0.3">
      <c r="J2650" s="1"/>
      <c r="K2650" s="1"/>
      <c r="L2650" s="51"/>
    </row>
    <row r="2651" spans="10:12" x14ac:dyDescent="0.3">
      <c r="J2651" s="1"/>
      <c r="K2651" s="1"/>
      <c r="L2651" s="51"/>
    </row>
    <row r="2652" spans="10:12" x14ac:dyDescent="0.3">
      <c r="J2652" s="1"/>
      <c r="K2652" s="1"/>
      <c r="L2652" s="51"/>
    </row>
    <row r="2653" spans="10:12" x14ac:dyDescent="0.3">
      <c r="J2653" s="1"/>
      <c r="K2653" s="1"/>
      <c r="L2653" s="51"/>
    </row>
    <row r="2654" spans="10:12" x14ac:dyDescent="0.3">
      <c r="J2654" s="1"/>
      <c r="K2654" s="1"/>
      <c r="L2654" s="51"/>
    </row>
    <row r="2655" spans="10:12" x14ac:dyDescent="0.3">
      <c r="J2655" s="1"/>
      <c r="K2655" s="1"/>
      <c r="L2655" s="51"/>
    </row>
    <row r="2656" spans="10:12" x14ac:dyDescent="0.3">
      <c r="J2656" s="1"/>
      <c r="K2656" s="1"/>
      <c r="L2656" s="51"/>
    </row>
    <row r="2657" spans="10:12" x14ac:dyDescent="0.3">
      <c r="J2657" s="1"/>
      <c r="K2657" s="1"/>
      <c r="L2657" s="51"/>
    </row>
    <row r="2658" spans="10:12" x14ac:dyDescent="0.3">
      <c r="J2658" s="1"/>
      <c r="K2658" s="1"/>
      <c r="L2658" s="51"/>
    </row>
    <row r="2659" spans="10:12" x14ac:dyDescent="0.3">
      <c r="J2659" s="1"/>
      <c r="K2659" s="1"/>
      <c r="L2659" s="51"/>
    </row>
    <row r="2660" spans="10:12" x14ac:dyDescent="0.3">
      <c r="J2660" s="1"/>
      <c r="K2660" s="1"/>
      <c r="L2660" s="51"/>
    </row>
    <row r="2661" spans="10:12" x14ac:dyDescent="0.3">
      <c r="J2661" s="1"/>
      <c r="K2661" s="1"/>
      <c r="L2661" s="51"/>
    </row>
    <row r="2662" spans="10:12" x14ac:dyDescent="0.3">
      <c r="J2662" s="1"/>
      <c r="K2662" s="1"/>
      <c r="L2662" s="51"/>
    </row>
    <row r="2663" spans="10:12" x14ac:dyDescent="0.3">
      <c r="J2663" s="1"/>
      <c r="K2663" s="1"/>
      <c r="L2663" s="51"/>
    </row>
    <row r="2664" spans="10:12" x14ac:dyDescent="0.3">
      <c r="J2664" s="1"/>
      <c r="K2664" s="1"/>
      <c r="L2664" s="51"/>
    </row>
    <row r="2665" spans="10:12" x14ac:dyDescent="0.3">
      <c r="J2665" s="1"/>
      <c r="K2665" s="1"/>
      <c r="L2665" s="51"/>
    </row>
    <row r="2666" spans="10:12" x14ac:dyDescent="0.3">
      <c r="J2666" s="1"/>
      <c r="K2666" s="1"/>
      <c r="L2666" s="51"/>
    </row>
    <row r="2667" spans="10:12" x14ac:dyDescent="0.3">
      <c r="J2667" s="1"/>
      <c r="K2667" s="1"/>
      <c r="L2667" s="51"/>
    </row>
    <row r="2668" spans="10:12" x14ac:dyDescent="0.3">
      <c r="J2668" s="1"/>
      <c r="K2668" s="1"/>
      <c r="L2668" s="51"/>
    </row>
    <row r="2669" spans="10:12" x14ac:dyDescent="0.3">
      <c r="J2669" s="1"/>
      <c r="K2669" s="1"/>
      <c r="L2669" s="51"/>
    </row>
    <row r="2670" spans="10:12" x14ac:dyDescent="0.3">
      <c r="J2670" s="1"/>
      <c r="K2670" s="1"/>
      <c r="L2670" s="51"/>
    </row>
    <row r="2671" spans="10:12" x14ac:dyDescent="0.3">
      <c r="J2671" s="1"/>
      <c r="K2671" s="1"/>
      <c r="L2671" s="51"/>
    </row>
    <row r="2672" spans="10:12" x14ac:dyDescent="0.3">
      <c r="J2672" s="1"/>
      <c r="K2672" s="1"/>
      <c r="L2672" s="51"/>
    </row>
    <row r="2673" spans="10:12" x14ac:dyDescent="0.3">
      <c r="J2673" s="1"/>
      <c r="K2673" s="1"/>
      <c r="L2673" s="51"/>
    </row>
    <row r="2674" spans="10:12" x14ac:dyDescent="0.3">
      <c r="J2674" s="1"/>
      <c r="K2674" s="1"/>
      <c r="L2674" s="51"/>
    </row>
    <row r="2675" spans="10:12" x14ac:dyDescent="0.3">
      <c r="J2675" s="1"/>
      <c r="K2675" s="1"/>
      <c r="L2675" s="51"/>
    </row>
    <row r="2676" spans="10:12" x14ac:dyDescent="0.3">
      <c r="J2676" s="1"/>
      <c r="K2676" s="1"/>
      <c r="L2676" s="51"/>
    </row>
    <row r="2677" spans="10:12" x14ac:dyDescent="0.3">
      <c r="J2677" s="1"/>
      <c r="K2677" s="1"/>
      <c r="L2677" s="51"/>
    </row>
    <row r="2678" spans="10:12" x14ac:dyDescent="0.3">
      <c r="J2678" s="1"/>
      <c r="K2678" s="1"/>
      <c r="L2678" s="51"/>
    </row>
    <row r="2679" spans="10:12" x14ac:dyDescent="0.3">
      <c r="J2679" s="1"/>
      <c r="K2679" s="1"/>
      <c r="L2679" s="51"/>
    </row>
    <row r="2680" spans="10:12" x14ac:dyDescent="0.3">
      <c r="J2680" s="1"/>
      <c r="K2680" s="1"/>
      <c r="L2680" s="51"/>
    </row>
    <row r="2681" spans="10:12" x14ac:dyDescent="0.3">
      <c r="J2681" s="1"/>
      <c r="K2681" s="1"/>
      <c r="L2681" s="51"/>
    </row>
    <row r="2682" spans="10:12" x14ac:dyDescent="0.3">
      <c r="J2682" s="1"/>
      <c r="K2682" s="1"/>
      <c r="L2682" s="51"/>
    </row>
    <row r="2683" spans="10:12" x14ac:dyDescent="0.3">
      <c r="J2683" s="1"/>
      <c r="K2683" s="1"/>
      <c r="L2683" s="51"/>
    </row>
    <row r="2684" spans="10:12" x14ac:dyDescent="0.3">
      <c r="J2684" s="1"/>
      <c r="K2684" s="1"/>
      <c r="L2684" s="51"/>
    </row>
    <row r="2685" spans="10:12" x14ac:dyDescent="0.3">
      <c r="J2685" s="1"/>
      <c r="K2685" s="1"/>
      <c r="L2685" s="51"/>
    </row>
    <row r="2686" spans="10:12" x14ac:dyDescent="0.3">
      <c r="J2686" s="1"/>
      <c r="K2686" s="1"/>
      <c r="L2686" s="51"/>
    </row>
    <row r="2687" spans="10:12" x14ac:dyDescent="0.3">
      <c r="J2687" s="1"/>
      <c r="K2687" s="1"/>
      <c r="L2687" s="51"/>
    </row>
    <row r="2688" spans="10:12" x14ac:dyDescent="0.3">
      <c r="J2688" s="1"/>
      <c r="K2688" s="1"/>
      <c r="L2688" s="51"/>
    </row>
    <row r="2689" spans="10:12" x14ac:dyDescent="0.3">
      <c r="J2689" s="1"/>
      <c r="K2689" s="1"/>
      <c r="L2689" s="51"/>
    </row>
    <row r="2690" spans="10:12" x14ac:dyDescent="0.3">
      <c r="J2690" s="1"/>
      <c r="K2690" s="1"/>
      <c r="L2690" s="51"/>
    </row>
    <row r="2691" spans="10:12" x14ac:dyDescent="0.3">
      <c r="J2691" s="1"/>
      <c r="K2691" s="1"/>
      <c r="L2691" s="51"/>
    </row>
    <row r="2692" spans="10:12" x14ac:dyDescent="0.3">
      <c r="J2692" s="1"/>
      <c r="K2692" s="1"/>
      <c r="L2692" s="51"/>
    </row>
    <row r="2693" spans="10:12" x14ac:dyDescent="0.3">
      <c r="J2693" s="1"/>
      <c r="K2693" s="1"/>
      <c r="L2693" s="51"/>
    </row>
    <row r="2694" spans="10:12" x14ac:dyDescent="0.3">
      <c r="J2694" s="1"/>
      <c r="K2694" s="1"/>
      <c r="L2694" s="51"/>
    </row>
    <row r="2695" spans="10:12" x14ac:dyDescent="0.3">
      <c r="J2695" s="1"/>
      <c r="K2695" s="1"/>
      <c r="L2695" s="51"/>
    </row>
    <row r="2696" spans="10:12" x14ac:dyDescent="0.3">
      <c r="J2696" s="1"/>
      <c r="K2696" s="1"/>
      <c r="L2696" s="51"/>
    </row>
    <row r="2697" spans="10:12" x14ac:dyDescent="0.3">
      <c r="J2697" s="1"/>
      <c r="K2697" s="1"/>
      <c r="L2697" s="51"/>
    </row>
    <row r="2698" spans="10:12" x14ac:dyDescent="0.3">
      <c r="J2698" s="1"/>
      <c r="K2698" s="1"/>
      <c r="L2698" s="51"/>
    </row>
    <row r="2699" spans="10:12" x14ac:dyDescent="0.3">
      <c r="J2699" s="1"/>
      <c r="K2699" s="1"/>
      <c r="L2699" s="51"/>
    </row>
    <row r="2700" spans="10:12" x14ac:dyDescent="0.3">
      <c r="J2700" s="1"/>
      <c r="K2700" s="1"/>
      <c r="L2700" s="51"/>
    </row>
    <row r="2701" spans="10:12" x14ac:dyDescent="0.3">
      <c r="J2701" s="1"/>
      <c r="K2701" s="1"/>
      <c r="L2701" s="51"/>
    </row>
    <row r="2702" spans="10:12" x14ac:dyDescent="0.3">
      <c r="J2702" s="1"/>
      <c r="K2702" s="1"/>
      <c r="L2702" s="51"/>
    </row>
    <row r="2703" spans="10:12" x14ac:dyDescent="0.3">
      <c r="J2703" s="1"/>
      <c r="K2703" s="1"/>
      <c r="L2703" s="51"/>
    </row>
    <row r="2704" spans="10:12" x14ac:dyDescent="0.3">
      <c r="J2704" s="1"/>
      <c r="K2704" s="1"/>
      <c r="L2704" s="51"/>
    </row>
    <row r="2705" spans="10:12" x14ac:dyDescent="0.3">
      <c r="J2705" s="1"/>
      <c r="K2705" s="1"/>
      <c r="L2705" s="51"/>
    </row>
    <row r="2706" spans="10:12" x14ac:dyDescent="0.3">
      <c r="J2706" s="1"/>
      <c r="K2706" s="1"/>
      <c r="L2706" s="51"/>
    </row>
    <row r="2707" spans="10:12" x14ac:dyDescent="0.3">
      <c r="J2707" s="1"/>
      <c r="K2707" s="1"/>
      <c r="L2707" s="51"/>
    </row>
    <row r="2708" spans="10:12" x14ac:dyDescent="0.3">
      <c r="J2708" s="1"/>
      <c r="K2708" s="1"/>
      <c r="L2708" s="51"/>
    </row>
    <row r="2709" spans="10:12" x14ac:dyDescent="0.3">
      <c r="J2709" s="1"/>
      <c r="K2709" s="1"/>
      <c r="L2709" s="51"/>
    </row>
    <row r="2710" spans="10:12" x14ac:dyDescent="0.3">
      <c r="J2710" s="1"/>
      <c r="K2710" s="1"/>
      <c r="L2710" s="51"/>
    </row>
    <row r="2711" spans="10:12" x14ac:dyDescent="0.3">
      <c r="J2711" s="1"/>
      <c r="K2711" s="1"/>
      <c r="L2711" s="51"/>
    </row>
    <row r="2712" spans="10:12" x14ac:dyDescent="0.3">
      <c r="J2712" s="1"/>
      <c r="K2712" s="1"/>
      <c r="L2712" s="51"/>
    </row>
    <row r="2713" spans="10:12" x14ac:dyDescent="0.3">
      <c r="J2713" s="1"/>
      <c r="K2713" s="1"/>
      <c r="L2713" s="51"/>
    </row>
    <row r="2714" spans="10:12" x14ac:dyDescent="0.3">
      <c r="J2714" s="1"/>
      <c r="K2714" s="1"/>
      <c r="L2714" s="51"/>
    </row>
    <row r="2715" spans="10:12" x14ac:dyDescent="0.3">
      <c r="J2715" s="1"/>
      <c r="K2715" s="1"/>
      <c r="L2715" s="51"/>
    </row>
    <row r="2716" spans="10:12" x14ac:dyDescent="0.3">
      <c r="J2716" s="1"/>
      <c r="K2716" s="1"/>
      <c r="L2716" s="51"/>
    </row>
    <row r="2717" spans="10:12" x14ac:dyDescent="0.3">
      <c r="J2717" s="1"/>
      <c r="K2717" s="1"/>
      <c r="L2717" s="51"/>
    </row>
    <row r="2718" spans="10:12" x14ac:dyDescent="0.3">
      <c r="J2718" s="1"/>
      <c r="K2718" s="1"/>
      <c r="L2718" s="51"/>
    </row>
    <row r="2719" spans="10:12" x14ac:dyDescent="0.3">
      <c r="J2719" s="1"/>
      <c r="K2719" s="1"/>
      <c r="L2719" s="51"/>
    </row>
    <row r="2720" spans="10:12" x14ac:dyDescent="0.3">
      <c r="J2720" s="1"/>
      <c r="K2720" s="1"/>
      <c r="L2720" s="51"/>
    </row>
    <row r="2721" spans="10:12" x14ac:dyDescent="0.3">
      <c r="J2721" s="1"/>
      <c r="K2721" s="1"/>
      <c r="L2721" s="51"/>
    </row>
    <row r="2722" spans="10:12" x14ac:dyDescent="0.3">
      <c r="J2722" s="1"/>
      <c r="K2722" s="1"/>
      <c r="L2722" s="51"/>
    </row>
    <row r="2723" spans="10:12" x14ac:dyDescent="0.3">
      <c r="J2723" s="1"/>
      <c r="K2723" s="1"/>
      <c r="L2723" s="51"/>
    </row>
    <row r="2724" spans="10:12" x14ac:dyDescent="0.3">
      <c r="J2724" s="1"/>
      <c r="K2724" s="1"/>
      <c r="L2724" s="51"/>
    </row>
    <row r="2725" spans="10:12" x14ac:dyDescent="0.3">
      <c r="J2725" s="1"/>
      <c r="K2725" s="1"/>
      <c r="L2725" s="51"/>
    </row>
    <row r="2726" spans="10:12" x14ac:dyDescent="0.3">
      <c r="J2726" s="1"/>
      <c r="K2726" s="1"/>
      <c r="L2726" s="51"/>
    </row>
    <row r="2727" spans="10:12" x14ac:dyDescent="0.3">
      <c r="J2727" s="1"/>
      <c r="K2727" s="1"/>
      <c r="L2727" s="51"/>
    </row>
    <row r="2728" spans="10:12" x14ac:dyDescent="0.3">
      <c r="J2728" s="1"/>
      <c r="K2728" s="1"/>
      <c r="L2728" s="51"/>
    </row>
    <row r="2729" spans="10:12" x14ac:dyDescent="0.3">
      <c r="J2729" s="1"/>
      <c r="K2729" s="1"/>
      <c r="L2729" s="51"/>
    </row>
    <row r="2730" spans="10:12" x14ac:dyDescent="0.3">
      <c r="J2730" s="1"/>
      <c r="K2730" s="1"/>
      <c r="L2730" s="51"/>
    </row>
    <row r="2731" spans="10:12" x14ac:dyDescent="0.3">
      <c r="J2731" s="1"/>
      <c r="K2731" s="1"/>
      <c r="L2731" s="51"/>
    </row>
    <row r="2732" spans="10:12" x14ac:dyDescent="0.3">
      <c r="J2732" s="1"/>
      <c r="K2732" s="1"/>
      <c r="L2732" s="51"/>
    </row>
    <row r="2733" spans="10:12" x14ac:dyDescent="0.3">
      <c r="J2733" s="1"/>
      <c r="K2733" s="1"/>
      <c r="L2733" s="51"/>
    </row>
    <row r="2734" spans="10:12" x14ac:dyDescent="0.3">
      <c r="J2734" s="1"/>
      <c r="K2734" s="1"/>
      <c r="L2734" s="51"/>
    </row>
    <row r="2735" spans="10:12" x14ac:dyDescent="0.3">
      <c r="J2735" s="1"/>
      <c r="K2735" s="1"/>
      <c r="L2735" s="51"/>
    </row>
    <row r="2736" spans="10:12" x14ac:dyDescent="0.3">
      <c r="J2736" s="1"/>
      <c r="K2736" s="1"/>
      <c r="L2736" s="51"/>
    </row>
    <row r="2737" spans="10:12" x14ac:dyDescent="0.3">
      <c r="J2737" s="1"/>
      <c r="K2737" s="1"/>
      <c r="L2737" s="51"/>
    </row>
    <row r="2738" spans="10:12" x14ac:dyDescent="0.3">
      <c r="J2738" s="1"/>
      <c r="K2738" s="1"/>
      <c r="L2738" s="51"/>
    </row>
    <row r="2739" spans="10:12" x14ac:dyDescent="0.3">
      <c r="J2739" s="1"/>
      <c r="K2739" s="1"/>
      <c r="L2739" s="51"/>
    </row>
    <row r="2740" spans="10:12" x14ac:dyDescent="0.3">
      <c r="J2740" s="1"/>
      <c r="K2740" s="1"/>
      <c r="L2740" s="51"/>
    </row>
    <row r="2741" spans="10:12" x14ac:dyDescent="0.3">
      <c r="J2741" s="1"/>
      <c r="K2741" s="1"/>
      <c r="L2741" s="51"/>
    </row>
    <row r="2742" spans="10:12" x14ac:dyDescent="0.3">
      <c r="J2742" s="1"/>
      <c r="K2742" s="1"/>
      <c r="L2742" s="51"/>
    </row>
    <row r="2743" spans="10:12" x14ac:dyDescent="0.3">
      <c r="J2743" s="1"/>
      <c r="K2743" s="1"/>
      <c r="L2743" s="51"/>
    </row>
    <row r="2744" spans="10:12" x14ac:dyDescent="0.3">
      <c r="J2744" s="1"/>
      <c r="K2744" s="1"/>
      <c r="L2744" s="51"/>
    </row>
    <row r="2745" spans="10:12" x14ac:dyDescent="0.3">
      <c r="J2745" s="1"/>
      <c r="K2745" s="1"/>
      <c r="L2745" s="51"/>
    </row>
    <row r="2746" spans="10:12" x14ac:dyDescent="0.3">
      <c r="J2746" s="1"/>
      <c r="K2746" s="1"/>
      <c r="L2746" s="51"/>
    </row>
    <row r="2747" spans="10:12" x14ac:dyDescent="0.3">
      <c r="J2747" s="1"/>
      <c r="K2747" s="1"/>
      <c r="L2747" s="51"/>
    </row>
    <row r="2748" spans="10:12" x14ac:dyDescent="0.3">
      <c r="J2748" s="1"/>
      <c r="K2748" s="1"/>
      <c r="L2748" s="51"/>
    </row>
    <row r="2749" spans="10:12" x14ac:dyDescent="0.3">
      <c r="J2749" s="1"/>
      <c r="K2749" s="1"/>
      <c r="L2749" s="51"/>
    </row>
    <row r="2750" spans="10:12" x14ac:dyDescent="0.3">
      <c r="J2750" s="1"/>
      <c r="K2750" s="1"/>
      <c r="L2750" s="51"/>
    </row>
    <row r="2751" spans="10:12" x14ac:dyDescent="0.3">
      <c r="J2751" s="1"/>
      <c r="K2751" s="1"/>
      <c r="L2751" s="51"/>
    </row>
    <row r="2752" spans="10:12" x14ac:dyDescent="0.3">
      <c r="J2752" s="1"/>
      <c r="K2752" s="1"/>
      <c r="L2752" s="51"/>
    </row>
    <row r="2753" spans="10:12" x14ac:dyDescent="0.3">
      <c r="J2753" s="1"/>
      <c r="K2753" s="1"/>
      <c r="L2753" s="51"/>
    </row>
    <row r="2754" spans="10:12" x14ac:dyDescent="0.3">
      <c r="J2754" s="1"/>
      <c r="K2754" s="1"/>
      <c r="L2754" s="51"/>
    </row>
    <row r="2755" spans="10:12" x14ac:dyDescent="0.3">
      <c r="J2755" s="1"/>
      <c r="K2755" s="1"/>
      <c r="L2755" s="51"/>
    </row>
    <row r="2756" spans="10:12" x14ac:dyDescent="0.3">
      <c r="J2756" s="1"/>
      <c r="K2756" s="1"/>
      <c r="L2756" s="51"/>
    </row>
    <row r="2757" spans="10:12" x14ac:dyDescent="0.3">
      <c r="J2757" s="1"/>
      <c r="K2757" s="1"/>
      <c r="L2757" s="51"/>
    </row>
    <row r="2758" spans="10:12" x14ac:dyDescent="0.3">
      <c r="J2758" s="1"/>
      <c r="K2758" s="1"/>
      <c r="L2758" s="51"/>
    </row>
    <row r="2759" spans="10:12" x14ac:dyDescent="0.3">
      <c r="J2759" s="1"/>
      <c r="K2759" s="1"/>
      <c r="L2759" s="51"/>
    </row>
    <row r="2760" spans="10:12" x14ac:dyDescent="0.3">
      <c r="J2760" s="1"/>
      <c r="K2760" s="1"/>
      <c r="L2760" s="51"/>
    </row>
    <row r="2761" spans="10:12" x14ac:dyDescent="0.3">
      <c r="J2761" s="1"/>
      <c r="K2761" s="1"/>
      <c r="L2761" s="51"/>
    </row>
    <row r="2762" spans="10:12" x14ac:dyDescent="0.3">
      <c r="J2762" s="1"/>
      <c r="K2762" s="1"/>
      <c r="L2762" s="51"/>
    </row>
    <row r="2763" spans="10:12" x14ac:dyDescent="0.3">
      <c r="J2763" s="1"/>
      <c r="K2763" s="1"/>
      <c r="L2763" s="51"/>
    </row>
    <row r="2764" spans="10:12" x14ac:dyDescent="0.3">
      <c r="J2764" s="1"/>
      <c r="K2764" s="1"/>
      <c r="L2764" s="51"/>
    </row>
    <row r="2765" spans="10:12" x14ac:dyDescent="0.3">
      <c r="J2765" s="1"/>
      <c r="K2765" s="1"/>
      <c r="L2765" s="51"/>
    </row>
    <row r="2766" spans="10:12" x14ac:dyDescent="0.3">
      <c r="J2766" s="1"/>
      <c r="K2766" s="1"/>
      <c r="L2766" s="51"/>
    </row>
    <row r="2767" spans="10:12" x14ac:dyDescent="0.3">
      <c r="J2767" s="1"/>
      <c r="K2767" s="1"/>
      <c r="L2767" s="51"/>
    </row>
    <row r="2768" spans="10:12" x14ac:dyDescent="0.3">
      <c r="J2768" s="1"/>
      <c r="K2768" s="1"/>
      <c r="L2768" s="51"/>
    </row>
    <row r="2769" spans="10:12" x14ac:dyDescent="0.3">
      <c r="J2769" s="1"/>
      <c r="K2769" s="1"/>
      <c r="L2769" s="51"/>
    </row>
    <row r="2770" spans="10:12" x14ac:dyDescent="0.3">
      <c r="J2770" s="1"/>
      <c r="K2770" s="1"/>
      <c r="L2770" s="51"/>
    </row>
    <row r="2771" spans="10:12" x14ac:dyDescent="0.3">
      <c r="J2771" s="1"/>
      <c r="K2771" s="1"/>
      <c r="L2771" s="51"/>
    </row>
    <row r="2772" spans="10:12" x14ac:dyDescent="0.3">
      <c r="J2772" s="1"/>
      <c r="K2772" s="1"/>
      <c r="L2772" s="51"/>
    </row>
    <row r="2773" spans="10:12" x14ac:dyDescent="0.3">
      <c r="J2773" s="1"/>
      <c r="K2773" s="1"/>
      <c r="L2773" s="51"/>
    </row>
    <row r="2774" spans="10:12" x14ac:dyDescent="0.3">
      <c r="J2774" s="1"/>
      <c r="K2774" s="1"/>
      <c r="L2774" s="51"/>
    </row>
    <row r="2775" spans="10:12" x14ac:dyDescent="0.3">
      <c r="J2775" s="1"/>
      <c r="K2775" s="1"/>
      <c r="L2775" s="51"/>
    </row>
    <row r="2776" spans="10:12" x14ac:dyDescent="0.3">
      <c r="J2776" s="1"/>
      <c r="K2776" s="1"/>
      <c r="L2776" s="51"/>
    </row>
    <row r="2777" spans="10:12" x14ac:dyDescent="0.3">
      <c r="J2777" s="1"/>
      <c r="K2777" s="1"/>
      <c r="L2777" s="51"/>
    </row>
    <row r="2778" spans="10:12" x14ac:dyDescent="0.3">
      <c r="J2778" s="1"/>
      <c r="K2778" s="1"/>
      <c r="L2778" s="51"/>
    </row>
    <row r="2779" spans="10:12" x14ac:dyDescent="0.3">
      <c r="J2779" s="1"/>
      <c r="K2779" s="1"/>
      <c r="L2779" s="51"/>
    </row>
    <row r="2780" spans="10:12" x14ac:dyDescent="0.3">
      <c r="J2780" s="1"/>
      <c r="K2780" s="1"/>
      <c r="L2780" s="51"/>
    </row>
    <row r="2781" spans="10:12" x14ac:dyDescent="0.3">
      <c r="J2781" s="1"/>
      <c r="K2781" s="1"/>
      <c r="L2781" s="51"/>
    </row>
    <row r="2782" spans="10:12" x14ac:dyDescent="0.3">
      <c r="J2782" s="1"/>
      <c r="K2782" s="1"/>
      <c r="L2782" s="51"/>
    </row>
    <row r="2783" spans="10:12" x14ac:dyDescent="0.3">
      <c r="J2783" s="1"/>
      <c r="K2783" s="1"/>
      <c r="L2783" s="51"/>
    </row>
    <row r="2784" spans="10:12" x14ac:dyDescent="0.3">
      <c r="J2784" s="1"/>
      <c r="K2784" s="1"/>
      <c r="L2784" s="51"/>
    </row>
    <row r="2785" spans="10:12" x14ac:dyDescent="0.3">
      <c r="J2785" s="1"/>
      <c r="K2785" s="1"/>
      <c r="L2785" s="51"/>
    </row>
    <row r="2786" spans="10:12" x14ac:dyDescent="0.3">
      <c r="J2786" s="1"/>
      <c r="K2786" s="1"/>
      <c r="L2786" s="51"/>
    </row>
    <row r="2787" spans="10:12" x14ac:dyDescent="0.3">
      <c r="J2787" s="1"/>
      <c r="K2787" s="1"/>
      <c r="L2787" s="51"/>
    </row>
    <row r="2788" spans="10:12" x14ac:dyDescent="0.3">
      <c r="J2788" s="1"/>
      <c r="K2788" s="1"/>
      <c r="L2788" s="51"/>
    </row>
    <row r="2789" spans="10:12" x14ac:dyDescent="0.3">
      <c r="J2789" s="1"/>
      <c r="K2789" s="1"/>
      <c r="L2789" s="51"/>
    </row>
    <row r="2790" spans="10:12" x14ac:dyDescent="0.3">
      <c r="J2790" s="1"/>
      <c r="K2790" s="1"/>
      <c r="L2790" s="51"/>
    </row>
    <row r="2791" spans="10:12" x14ac:dyDescent="0.3">
      <c r="J2791" s="1"/>
      <c r="K2791" s="1"/>
      <c r="L2791" s="51"/>
    </row>
    <row r="2792" spans="10:12" x14ac:dyDescent="0.3">
      <c r="J2792" s="1"/>
      <c r="K2792" s="1"/>
      <c r="L2792" s="51"/>
    </row>
    <row r="2793" spans="10:12" x14ac:dyDescent="0.3">
      <c r="J2793" s="1"/>
      <c r="K2793" s="1"/>
      <c r="L2793" s="51"/>
    </row>
    <row r="2794" spans="10:12" x14ac:dyDescent="0.3">
      <c r="J2794" s="1"/>
      <c r="K2794" s="1"/>
      <c r="L2794" s="51"/>
    </row>
    <row r="2795" spans="10:12" x14ac:dyDescent="0.3">
      <c r="J2795" s="1"/>
      <c r="K2795" s="1"/>
      <c r="L2795" s="51"/>
    </row>
    <row r="2796" spans="10:12" x14ac:dyDescent="0.3">
      <c r="J2796" s="1"/>
      <c r="K2796" s="1"/>
      <c r="L2796" s="51"/>
    </row>
    <row r="2797" spans="10:12" x14ac:dyDescent="0.3">
      <c r="J2797" s="1"/>
      <c r="K2797" s="1"/>
      <c r="L2797" s="51"/>
    </row>
    <row r="2798" spans="10:12" x14ac:dyDescent="0.3">
      <c r="J2798" s="1"/>
      <c r="K2798" s="1"/>
      <c r="L2798" s="51"/>
    </row>
    <row r="2799" spans="10:12" x14ac:dyDescent="0.3">
      <c r="J2799" s="1"/>
      <c r="K2799" s="1"/>
      <c r="L2799" s="51"/>
    </row>
    <row r="2800" spans="10:12" x14ac:dyDescent="0.3">
      <c r="J2800" s="1"/>
      <c r="K2800" s="1"/>
      <c r="L2800" s="51"/>
    </row>
    <row r="2801" spans="10:12" x14ac:dyDescent="0.3">
      <c r="J2801" s="1"/>
      <c r="K2801" s="1"/>
      <c r="L2801" s="51"/>
    </row>
    <row r="2802" spans="10:12" x14ac:dyDescent="0.3">
      <c r="J2802" s="1"/>
      <c r="K2802" s="1"/>
      <c r="L2802" s="51"/>
    </row>
    <row r="2803" spans="10:12" x14ac:dyDescent="0.3">
      <c r="J2803" s="1"/>
      <c r="K2803" s="1"/>
      <c r="L2803" s="51"/>
    </row>
    <row r="2804" spans="10:12" x14ac:dyDescent="0.3">
      <c r="J2804" s="1"/>
      <c r="K2804" s="1"/>
      <c r="L2804" s="51"/>
    </row>
    <row r="2805" spans="10:12" x14ac:dyDescent="0.3">
      <c r="J2805" s="1"/>
      <c r="K2805" s="1"/>
      <c r="L2805" s="51"/>
    </row>
    <row r="2806" spans="10:12" x14ac:dyDescent="0.3">
      <c r="J2806" s="1"/>
      <c r="K2806" s="1"/>
      <c r="L2806" s="51"/>
    </row>
    <row r="2807" spans="10:12" x14ac:dyDescent="0.3">
      <c r="J2807" s="1"/>
      <c r="K2807" s="1"/>
      <c r="L2807" s="51"/>
    </row>
    <row r="2808" spans="10:12" x14ac:dyDescent="0.3">
      <c r="J2808" s="1"/>
      <c r="K2808" s="1"/>
      <c r="L2808" s="51"/>
    </row>
    <row r="2809" spans="10:12" x14ac:dyDescent="0.3">
      <c r="J2809" s="1"/>
      <c r="K2809" s="1"/>
      <c r="L2809" s="51"/>
    </row>
    <row r="2810" spans="10:12" x14ac:dyDescent="0.3">
      <c r="J2810" s="1"/>
      <c r="K2810" s="1"/>
      <c r="L2810" s="51"/>
    </row>
    <row r="2811" spans="10:12" x14ac:dyDescent="0.3">
      <c r="J2811" s="1"/>
      <c r="K2811" s="1"/>
      <c r="L2811" s="51"/>
    </row>
    <row r="2812" spans="10:12" x14ac:dyDescent="0.3">
      <c r="J2812" s="1"/>
      <c r="K2812" s="1"/>
      <c r="L2812" s="51"/>
    </row>
    <row r="2813" spans="10:12" x14ac:dyDescent="0.3">
      <c r="J2813" s="1"/>
      <c r="K2813" s="1"/>
      <c r="L2813" s="51"/>
    </row>
    <row r="2814" spans="10:12" x14ac:dyDescent="0.3">
      <c r="J2814" s="1"/>
      <c r="K2814" s="1"/>
      <c r="L2814" s="51"/>
    </row>
    <row r="2815" spans="10:12" x14ac:dyDescent="0.3">
      <c r="J2815" s="1"/>
      <c r="K2815" s="1"/>
      <c r="L2815" s="51"/>
    </row>
    <row r="2816" spans="10:12" x14ac:dyDescent="0.3">
      <c r="J2816" s="1"/>
      <c r="K2816" s="1"/>
      <c r="L2816" s="51"/>
    </row>
    <row r="2817" spans="10:12" x14ac:dyDescent="0.3">
      <c r="J2817" s="1"/>
      <c r="K2817" s="1"/>
      <c r="L2817" s="51"/>
    </row>
    <row r="2818" spans="10:12" x14ac:dyDescent="0.3">
      <c r="J2818" s="1"/>
      <c r="K2818" s="1"/>
      <c r="L2818" s="51"/>
    </row>
    <row r="2819" spans="10:12" x14ac:dyDescent="0.3">
      <c r="J2819" s="1"/>
      <c r="K2819" s="1"/>
      <c r="L2819" s="51"/>
    </row>
    <row r="2820" spans="10:12" x14ac:dyDescent="0.3">
      <c r="J2820" s="1"/>
      <c r="K2820" s="1"/>
      <c r="L2820" s="51"/>
    </row>
    <row r="2821" spans="10:12" x14ac:dyDescent="0.3">
      <c r="J2821" s="1"/>
      <c r="K2821" s="1"/>
      <c r="L2821" s="51"/>
    </row>
    <row r="2822" spans="10:12" x14ac:dyDescent="0.3">
      <c r="J2822" s="1"/>
      <c r="K2822" s="1"/>
      <c r="L2822" s="51"/>
    </row>
    <row r="2823" spans="10:12" x14ac:dyDescent="0.3">
      <c r="J2823" s="1"/>
      <c r="K2823" s="1"/>
      <c r="L2823" s="51"/>
    </row>
    <row r="2824" spans="10:12" x14ac:dyDescent="0.3">
      <c r="J2824" s="1"/>
      <c r="K2824" s="1"/>
      <c r="L2824" s="51"/>
    </row>
    <row r="2825" spans="10:12" x14ac:dyDescent="0.3">
      <c r="J2825" s="1"/>
      <c r="K2825" s="1"/>
      <c r="L2825" s="51"/>
    </row>
    <row r="2826" spans="10:12" x14ac:dyDescent="0.3">
      <c r="J2826" s="1"/>
      <c r="K2826" s="1"/>
      <c r="L2826" s="51"/>
    </row>
    <row r="2827" spans="10:12" x14ac:dyDescent="0.3">
      <c r="J2827" s="1"/>
      <c r="K2827" s="1"/>
      <c r="L2827" s="51"/>
    </row>
    <row r="2828" spans="10:12" x14ac:dyDescent="0.3">
      <c r="J2828" s="1"/>
      <c r="K2828" s="1"/>
      <c r="L2828" s="51"/>
    </row>
    <row r="2829" spans="10:12" x14ac:dyDescent="0.3">
      <c r="J2829" s="1"/>
      <c r="K2829" s="1"/>
      <c r="L2829" s="51"/>
    </row>
    <row r="2830" spans="10:12" x14ac:dyDescent="0.3">
      <c r="J2830" s="1"/>
      <c r="K2830" s="1"/>
      <c r="L2830" s="51"/>
    </row>
    <row r="2831" spans="10:12" x14ac:dyDescent="0.3">
      <c r="J2831" s="1"/>
      <c r="K2831" s="1"/>
      <c r="L2831" s="51"/>
    </row>
    <row r="2832" spans="10:12" x14ac:dyDescent="0.3">
      <c r="J2832" s="1"/>
      <c r="K2832" s="1"/>
      <c r="L2832" s="51"/>
    </row>
    <row r="2833" spans="10:12" x14ac:dyDescent="0.3">
      <c r="J2833" s="1"/>
      <c r="K2833" s="1"/>
      <c r="L2833" s="51"/>
    </row>
    <row r="2834" spans="10:12" x14ac:dyDescent="0.3">
      <c r="J2834" s="1"/>
      <c r="K2834" s="1"/>
      <c r="L2834" s="51"/>
    </row>
    <row r="2835" spans="10:12" x14ac:dyDescent="0.3">
      <c r="J2835" s="1"/>
      <c r="K2835" s="1"/>
      <c r="L2835" s="51"/>
    </row>
    <row r="2836" spans="10:12" x14ac:dyDescent="0.3">
      <c r="J2836" s="1"/>
      <c r="K2836" s="1"/>
      <c r="L2836" s="51"/>
    </row>
    <row r="2837" spans="10:12" x14ac:dyDescent="0.3">
      <c r="J2837" s="1"/>
      <c r="K2837" s="1"/>
      <c r="L2837" s="51"/>
    </row>
    <row r="2838" spans="10:12" x14ac:dyDescent="0.3">
      <c r="J2838" s="1"/>
      <c r="K2838" s="1"/>
      <c r="L2838" s="51"/>
    </row>
    <row r="2839" spans="10:12" x14ac:dyDescent="0.3">
      <c r="J2839" s="1"/>
      <c r="K2839" s="1"/>
      <c r="L2839" s="51"/>
    </row>
    <row r="2840" spans="10:12" x14ac:dyDescent="0.3">
      <c r="J2840" s="1"/>
      <c r="K2840" s="1"/>
      <c r="L2840" s="51"/>
    </row>
    <row r="2841" spans="10:12" x14ac:dyDescent="0.3">
      <c r="J2841" s="1"/>
      <c r="K2841" s="1"/>
      <c r="L2841" s="51"/>
    </row>
    <row r="2842" spans="10:12" x14ac:dyDescent="0.3">
      <c r="J2842" s="1"/>
      <c r="K2842" s="1"/>
      <c r="L2842" s="51"/>
    </row>
    <row r="2843" spans="10:12" x14ac:dyDescent="0.3">
      <c r="J2843" s="1"/>
      <c r="K2843" s="1"/>
      <c r="L2843" s="51"/>
    </row>
    <row r="2844" spans="10:12" x14ac:dyDescent="0.3">
      <c r="J2844" s="1"/>
      <c r="K2844" s="1"/>
      <c r="L2844" s="51"/>
    </row>
    <row r="2845" spans="10:12" x14ac:dyDescent="0.3">
      <c r="J2845" s="1"/>
      <c r="K2845" s="1"/>
      <c r="L2845" s="51"/>
    </row>
    <row r="2846" spans="10:12" x14ac:dyDescent="0.3">
      <c r="J2846" s="1"/>
      <c r="K2846" s="1"/>
      <c r="L2846" s="51"/>
    </row>
    <row r="2847" spans="10:12" x14ac:dyDescent="0.3">
      <c r="J2847" s="1"/>
      <c r="K2847" s="1"/>
      <c r="L2847" s="51"/>
    </row>
    <row r="2848" spans="10:12" x14ac:dyDescent="0.3">
      <c r="J2848" s="1"/>
      <c r="K2848" s="1"/>
      <c r="L2848" s="51"/>
    </row>
    <row r="2849" spans="10:12" x14ac:dyDescent="0.3">
      <c r="J2849" s="1"/>
      <c r="K2849" s="1"/>
      <c r="L2849" s="51"/>
    </row>
    <row r="2850" spans="10:12" x14ac:dyDescent="0.3">
      <c r="J2850" s="1"/>
      <c r="K2850" s="1"/>
      <c r="L2850" s="51"/>
    </row>
    <row r="2851" spans="10:12" x14ac:dyDescent="0.3">
      <c r="J2851" s="1"/>
      <c r="K2851" s="1"/>
      <c r="L2851" s="51"/>
    </row>
    <row r="2852" spans="10:12" x14ac:dyDescent="0.3">
      <c r="J2852" s="1"/>
      <c r="K2852" s="1"/>
      <c r="L2852" s="51"/>
    </row>
    <row r="2853" spans="10:12" x14ac:dyDescent="0.3">
      <c r="J2853" s="1"/>
      <c r="K2853" s="1"/>
      <c r="L2853" s="51"/>
    </row>
    <row r="2854" spans="10:12" x14ac:dyDescent="0.3">
      <c r="J2854" s="1"/>
      <c r="K2854" s="1"/>
      <c r="L2854" s="51"/>
    </row>
    <row r="2855" spans="10:12" x14ac:dyDescent="0.3">
      <c r="J2855" s="1"/>
      <c r="K2855" s="1"/>
      <c r="L2855" s="51"/>
    </row>
    <row r="2856" spans="10:12" x14ac:dyDescent="0.3">
      <c r="J2856" s="1"/>
      <c r="K2856" s="1"/>
      <c r="L2856" s="51"/>
    </row>
    <row r="2857" spans="10:12" x14ac:dyDescent="0.3">
      <c r="J2857" s="1"/>
      <c r="K2857" s="1"/>
      <c r="L2857" s="51"/>
    </row>
    <row r="2858" spans="10:12" x14ac:dyDescent="0.3">
      <c r="J2858" s="1"/>
      <c r="K2858" s="1"/>
      <c r="L2858" s="51"/>
    </row>
    <row r="2859" spans="10:12" x14ac:dyDescent="0.3">
      <c r="J2859" s="1"/>
      <c r="K2859" s="1"/>
      <c r="L2859" s="51"/>
    </row>
    <row r="2860" spans="10:12" x14ac:dyDescent="0.3">
      <c r="J2860" s="1"/>
      <c r="K2860" s="1"/>
      <c r="L2860" s="51"/>
    </row>
    <row r="2861" spans="10:12" x14ac:dyDescent="0.3">
      <c r="J2861" s="1"/>
      <c r="K2861" s="1"/>
      <c r="L2861" s="51"/>
    </row>
    <row r="2862" spans="10:12" x14ac:dyDescent="0.3">
      <c r="J2862" s="1"/>
      <c r="K2862" s="1"/>
      <c r="L2862" s="51"/>
    </row>
    <row r="2863" spans="10:12" x14ac:dyDescent="0.3">
      <c r="J2863" s="1"/>
      <c r="K2863" s="1"/>
      <c r="L2863" s="51"/>
    </row>
    <row r="2864" spans="10:12" x14ac:dyDescent="0.3">
      <c r="J2864" s="1"/>
      <c r="K2864" s="1"/>
      <c r="L2864" s="51"/>
    </row>
    <row r="2865" spans="10:12" x14ac:dyDescent="0.3">
      <c r="J2865" s="1"/>
      <c r="K2865" s="1"/>
      <c r="L2865" s="51"/>
    </row>
    <row r="2866" spans="10:12" x14ac:dyDescent="0.3">
      <c r="J2866" s="1"/>
      <c r="K2866" s="1"/>
      <c r="L2866" s="51"/>
    </row>
    <row r="2867" spans="10:12" x14ac:dyDescent="0.3">
      <c r="J2867" s="1"/>
      <c r="K2867" s="1"/>
      <c r="L2867" s="51"/>
    </row>
    <row r="2868" spans="10:12" x14ac:dyDescent="0.3">
      <c r="J2868" s="1"/>
      <c r="K2868" s="1"/>
      <c r="L2868" s="51"/>
    </row>
    <row r="2869" spans="10:12" x14ac:dyDescent="0.3">
      <c r="J2869" s="1"/>
      <c r="K2869" s="1"/>
      <c r="L2869" s="51"/>
    </row>
    <row r="2870" spans="10:12" x14ac:dyDescent="0.3">
      <c r="J2870" s="1"/>
      <c r="K2870" s="1"/>
      <c r="L2870" s="51"/>
    </row>
    <row r="2871" spans="10:12" x14ac:dyDescent="0.3">
      <c r="J2871" s="1"/>
      <c r="K2871" s="1"/>
      <c r="L2871" s="51"/>
    </row>
    <row r="2872" spans="10:12" x14ac:dyDescent="0.3">
      <c r="J2872" s="1"/>
      <c r="K2872" s="1"/>
      <c r="L2872" s="51"/>
    </row>
    <row r="2873" spans="10:12" x14ac:dyDescent="0.3">
      <c r="J2873" s="1"/>
      <c r="K2873" s="1"/>
      <c r="L2873" s="51"/>
    </row>
    <row r="2874" spans="10:12" x14ac:dyDescent="0.3">
      <c r="J2874" s="1"/>
      <c r="K2874" s="1"/>
      <c r="L2874" s="51"/>
    </row>
    <row r="2875" spans="10:12" x14ac:dyDescent="0.3">
      <c r="J2875" s="1"/>
      <c r="K2875" s="1"/>
      <c r="L2875" s="51"/>
    </row>
    <row r="2876" spans="10:12" x14ac:dyDescent="0.3">
      <c r="J2876" s="1"/>
      <c r="K2876" s="1"/>
      <c r="L2876" s="51"/>
    </row>
    <row r="2877" spans="10:12" x14ac:dyDescent="0.3">
      <c r="J2877" s="1"/>
      <c r="K2877" s="1"/>
      <c r="L2877" s="51"/>
    </row>
    <row r="2878" spans="10:12" x14ac:dyDescent="0.3">
      <c r="J2878" s="1"/>
      <c r="K2878" s="1"/>
      <c r="L2878" s="51"/>
    </row>
    <row r="2879" spans="10:12" x14ac:dyDescent="0.3">
      <c r="J2879" s="1"/>
      <c r="K2879" s="1"/>
      <c r="L2879" s="51"/>
    </row>
    <row r="2880" spans="10:12" x14ac:dyDescent="0.3">
      <c r="J2880" s="1"/>
      <c r="K2880" s="1"/>
      <c r="L2880" s="51"/>
    </row>
    <row r="2881" spans="10:12" x14ac:dyDescent="0.3">
      <c r="J2881" s="1"/>
      <c r="K2881" s="1"/>
      <c r="L2881" s="51"/>
    </row>
    <row r="2882" spans="10:12" x14ac:dyDescent="0.3">
      <c r="J2882" s="1"/>
      <c r="K2882" s="1"/>
      <c r="L2882" s="51"/>
    </row>
    <row r="2883" spans="10:12" x14ac:dyDescent="0.3">
      <c r="J2883" s="1"/>
      <c r="K2883" s="1"/>
      <c r="L2883" s="51"/>
    </row>
    <row r="2884" spans="10:12" x14ac:dyDescent="0.3">
      <c r="J2884" s="1"/>
      <c r="K2884" s="1"/>
      <c r="L2884" s="51"/>
    </row>
    <row r="2885" spans="10:12" x14ac:dyDescent="0.3">
      <c r="J2885" s="1"/>
      <c r="K2885" s="1"/>
      <c r="L2885" s="51"/>
    </row>
    <row r="2886" spans="10:12" x14ac:dyDescent="0.3">
      <c r="J2886" s="1"/>
      <c r="K2886" s="1"/>
      <c r="L2886" s="51"/>
    </row>
    <row r="2887" spans="10:12" x14ac:dyDescent="0.3">
      <c r="J2887" s="1"/>
      <c r="K2887" s="1"/>
      <c r="L2887" s="51"/>
    </row>
    <row r="2888" spans="10:12" x14ac:dyDescent="0.3">
      <c r="J2888" s="1"/>
      <c r="K2888" s="1"/>
      <c r="L2888" s="51"/>
    </row>
    <row r="2889" spans="10:12" x14ac:dyDescent="0.3">
      <c r="J2889" s="1"/>
      <c r="K2889" s="1"/>
      <c r="L2889" s="51"/>
    </row>
    <row r="2890" spans="10:12" x14ac:dyDescent="0.3">
      <c r="J2890" s="1"/>
      <c r="K2890" s="1"/>
      <c r="L2890" s="51"/>
    </row>
    <row r="2891" spans="10:12" x14ac:dyDescent="0.3">
      <c r="J2891" s="1"/>
      <c r="K2891" s="1"/>
      <c r="L2891" s="51"/>
    </row>
    <row r="2892" spans="10:12" x14ac:dyDescent="0.3">
      <c r="J2892" s="1"/>
      <c r="K2892" s="1"/>
      <c r="L2892" s="51"/>
    </row>
    <row r="2893" spans="10:12" x14ac:dyDescent="0.3">
      <c r="J2893" s="1"/>
      <c r="K2893" s="1"/>
      <c r="L2893" s="51"/>
    </row>
    <row r="2894" spans="10:12" x14ac:dyDescent="0.3">
      <c r="J2894" s="1"/>
      <c r="K2894" s="1"/>
      <c r="L2894" s="51"/>
    </row>
    <row r="2895" spans="10:12" x14ac:dyDescent="0.3">
      <c r="J2895" s="1"/>
      <c r="K2895" s="1"/>
      <c r="L2895" s="51"/>
    </row>
    <row r="2896" spans="10:12" x14ac:dyDescent="0.3">
      <c r="J2896" s="1"/>
      <c r="K2896" s="1"/>
      <c r="L2896" s="51"/>
    </row>
    <row r="2897" spans="10:12" x14ac:dyDescent="0.3">
      <c r="J2897" s="1"/>
      <c r="K2897" s="1"/>
      <c r="L2897" s="51"/>
    </row>
    <row r="2898" spans="10:12" x14ac:dyDescent="0.3">
      <c r="J2898" s="1"/>
      <c r="K2898" s="1"/>
      <c r="L2898" s="51"/>
    </row>
    <row r="2899" spans="10:12" x14ac:dyDescent="0.3">
      <c r="J2899" s="1"/>
      <c r="K2899" s="1"/>
      <c r="L2899" s="51"/>
    </row>
    <row r="2900" spans="10:12" x14ac:dyDescent="0.3">
      <c r="J2900" s="1"/>
      <c r="K2900" s="1"/>
      <c r="L2900" s="51"/>
    </row>
    <row r="2901" spans="10:12" x14ac:dyDescent="0.3">
      <c r="J2901" s="1"/>
      <c r="K2901" s="1"/>
      <c r="L2901" s="51"/>
    </row>
    <row r="2902" spans="10:12" x14ac:dyDescent="0.3">
      <c r="J2902" s="1"/>
      <c r="K2902" s="1"/>
      <c r="L2902" s="51"/>
    </row>
    <row r="2903" spans="10:12" x14ac:dyDescent="0.3">
      <c r="J2903" s="1"/>
      <c r="K2903" s="1"/>
      <c r="L2903" s="51"/>
    </row>
    <row r="2904" spans="10:12" x14ac:dyDescent="0.3">
      <c r="J2904" s="1"/>
      <c r="K2904" s="1"/>
      <c r="L2904" s="51"/>
    </row>
    <row r="2905" spans="10:12" x14ac:dyDescent="0.3">
      <c r="J2905" s="1"/>
      <c r="K2905" s="1"/>
      <c r="L2905" s="51"/>
    </row>
    <row r="2906" spans="10:12" x14ac:dyDescent="0.3">
      <c r="J2906" s="1"/>
      <c r="K2906" s="1"/>
      <c r="L2906" s="51"/>
    </row>
    <row r="2907" spans="10:12" x14ac:dyDescent="0.3">
      <c r="J2907" s="1"/>
      <c r="K2907" s="1"/>
      <c r="L2907" s="51"/>
    </row>
    <row r="2908" spans="10:12" x14ac:dyDescent="0.3">
      <c r="J2908" s="1"/>
      <c r="K2908" s="1"/>
      <c r="L2908" s="51"/>
    </row>
    <row r="2909" spans="10:12" x14ac:dyDescent="0.3">
      <c r="J2909" s="1"/>
      <c r="K2909" s="1"/>
      <c r="L2909" s="51"/>
    </row>
    <row r="2910" spans="10:12" x14ac:dyDescent="0.3">
      <c r="J2910" s="1"/>
      <c r="K2910" s="1"/>
      <c r="L2910" s="51"/>
    </row>
    <row r="2911" spans="10:12" x14ac:dyDescent="0.3">
      <c r="J2911" s="1"/>
      <c r="K2911" s="1"/>
      <c r="L2911" s="51"/>
    </row>
    <row r="2912" spans="10:12" x14ac:dyDescent="0.3">
      <c r="J2912" s="1"/>
      <c r="K2912" s="1"/>
      <c r="L2912" s="51"/>
    </row>
    <row r="2913" spans="10:12" x14ac:dyDescent="0.3">
      <c r="J2913" s="1"/>
      <c r="K2913" s="1"/>
      <c r="L2913" s="51"/>
    </row>
    <row r="2914" spans="10:12" x14ac:dyDescent="0.3">
      <c r="J2914" s="1"/>
      <c r="K2914" s="1"/>
      <c r="L2914" s="51"/>
    </row>
    <row r="2915" spans="10:12" x14ac:dyDescent="0.3">
      <c r="J2915" s="1"/>
      <c r="K2915" s="1"/>
      <c r="L2915" s="51"/>
    </row>
    <row r="2916" spans="10:12" x14ac:dyDescent="0.3">
      <c r="J2916" s="1"/>
      <c r="K2916" s="1"/>
      <c r="L2916" s="51"/>
    </row>
    <row r="2917" spans="10:12" x14ac:dyDescent="0.3">
      <c r="J2917" s="1"/>
      <c r="K2917" s="1"/>
      <c r="L2917" s="51"/>
    </row>
    <row r="2918" spans="10:12" x14ac:dyDescent="0.3">
      <c r="J2918" s="1"/>
      <c r="K2918" s="1"/>
      <c r="L2918" s="51"/>
    </row>
    <row r="2919" spans="10:12" x14ac:dyDescent="0.3">
      <c r="J2919" s="1"/>
      <c r="K2919" s="1"/>
      <c r="L2919" s="51"/>
    </row>
    <row r="2920" spans="10:12" x14ac:dyDescent="0.3">
      <c r="J2920" s="1"/>
      <c r="K2920" s="1"/>
      <c r="L2920" s="51"/>
    </row>
    <row r="2921" spans="10:12" x14ac:dyDescent="0.3">
      <c r="J2921" s="1"/>
      <c r="K2921" s="1"/>
      <c r="L2921" s="51"/>
    </row>
    <row r="2922" spans="10:12" x14ac:dyDescent="0.3">
      <c r="J2922" s="1"/>
      <c r="K2922" s="1"/>
      <c r="L2922" s="51"/>
    </row>
    <row r="2923" spans="10:12" x14ac:dyDescent="0.3">
      <c r="J2923" s="1"/>
      <c r="K2923" s="1"/>
      <c r="L2923" s="51"/>
    </row>
    <row r="2924" spans="10:12" x14ac:dyDescent="0.3">
      <c r="J2924" s="1"/>
      <c r="K2924" s="1"/>
      <c r="L2924" s="51"/>
    </row>
    <row r="2925" spans="10:12" x14ac:dyDescent="0.3">
      <c r="J2925" s="1"/>
      <c r="K2925" s="1"/>
      <c r="L2925" s="51"/>
    </row>
    <row r="2926" spans="10:12" x14ac:dyDescent="0.3">
      <c r="J2926" s="1"/>
      <c r="K2926" s="1"/>
      <c r="L2926" s="51"/>
    </row>
    <row r="2927" spans="10:12" x14ac:dyDescent="0.3">
      <c r="J2927" s="1"/>
      <c r="K2927" s="1"/>
      <c r="L2927" s="51"/>
    </row>
    <row r="2928" spans="10:12" x14ac:dyDescent="0.3">
      <c r="J2928" s="1"/>
      <c r="K2928" s="1"/>
      <c r="L2928" s="51"/>
    </row>
    <row r="2929" spans="10:12" x14ac:dyDescent="0.3">
      <c r="J2929" s="1"/>
      <c r="K2929" s="1"/>
      <c r="L2929" s="51"/>
    </row>
    <row r="2930" spans="10:12" x14ac:dyDescent="0.3">
      <c r="J2930" s="1"/>
      <c r="K2930" s="1"/>
      <c r="L2930" s="51"/>
    </row>
    <row r="2931" spans="10:12" x14ac:dyDescent="0.3">
      <c r="J2931" s="1"/>
      <c r="K2931" s="1"/>
      <c r="L2931" s="51"/>
    </row>
    <row r="2932" spans="10:12" x14ac:dyDescent="0.3">
      <c r="J2932" s="1"/>
      <c r="K2932" s="1"/>
      <c r="L2932" s="51"/>
    </row>
    <row r="2933" spans="10:12" x14ac:dyDescent="0.3">
      <c r="J2933" s="1"/>
      <c r="K2933" s="1"/>
      <c r="L2933" s="51"/>
    </row>
    <row r="2934" spans="10:12" x14ac:dyDescent="0.3">
      <c r="J2934" s="1"/>
      <c r="K2934" s="1"/>
      <c r="L2934" s="51"/>
    </row>
    <row r="2935" spans="10:12" x14ac:dyDescent="0.3">
      <c r="J2935" s="1"/>
      <c r="K2935" s="1"/>
      <c r="L2935" s="51"/>
    </row>
    <row r="2936" spans="10:12" x14ac:dyDescent="0.3">
      <c r="J2936" s="1"/>
      <c r="K2936" s="1"/>
      <c r="L2936" s="51"/>
    </row>
    <row r="2937" spans="10:12" x14ac:dyDescent="0.3">
      <c r="J2937" s="1"/>
      <c r="K2937" s="1"/>
      <c r="L2937" s="51"/>
    </row>
    <row r="2938" spans="10:12" x14ac:dyDescent="0.3">
      <c r="J2938" s="1"/>
      <c r="K2938" s="1"/>
      <c r="L2938" s="51"/>
    </row>
    <row r="2939" spans="10:12" x14ac:dyDescent="0.3">
      <c r="J2939" s="1"/>
      <c r="K2939" s="1"/>
      <c r="L2939" s="51"/>
    </row>
    <row r="2940" spans="10:12" x14ac:dyDescent="0.3">
      <c r="J2940" s="1"/>
      <c r="K2940" s="1"/>
      <c r="L2940" s="51"/>
    </row>
    <row r="2941" spans="10:12" x14ac:dyDescent="0.3">
      <c r="J2941" s="1"/>
      <c r="K2941" s="1"/>
      <c r="L2941" s="51"/>
    </row>
    <row r="2942" spans="10:12" x14ac:dyDescent="0.3">
      <c r="J2942" s="1"/>
      <c r="K2942" s="1"/>
      <c r="L2942" s="51"/>
    </row>
    <row r="2943" spans="10:12" x14ac:dyDescent="0.3">
      <c r="J2943" s="1"/>
      <c r="K2943" s="1"/>
      <c r="L2943" s="51"/>
    </row>
    <row r="2944" spans="10:12" x14ac:dyDescent="0.3">
      <c r="J2944" s="1"/>
      <c r="K2944" s="1"/>
      <c r="L2944" s="51"/>
    </row>
    <row r="2945" spans="10:12" x14ac:dyDescent="0.3">
      <c r="J2945" s="1"/>
      <c r="K2945" s="1"/>
      <c r="L2945" s="51"/>
    </row>
    <row r="2946" spans="10:12" x14ac:dyDescent="0.3">
      <c r="J2946" s="1"/>
      <c r="K2946" s="1"/>
      <c r="L2946" s="51"/>
    </row>
    <row r="2947" spans="10:12" x14ac:dyDescent="0.3">
      <c r="J2947" s="1"/>
      <c r="K2947" s="1"/>
      <c r="L2947" s="51"/>
    </row>
    <row r="2948" spans="10:12" x14ac:dyDescent="0.3">
      <c r="J2948" s="1"/>
      <c r="K2948" s="1"/>
      <c r="L2948" s="51"/>
    </row>
    <row r="2949" spans="10:12" x14ac:dyDescent="0.3">
      <c r="J2949" s="1"/>
      <c r="K2949" s="1"/>
      <c r="L2949" s="51"/>
    </row>
    <row r="2950" spans="10:12" x14ac:dyDescent="0.3">
      <c r="J2950" s="1"/>
      <c r="K2950" s="1"/>
      <c r="L2950" s="51"/>
    </row>
    <row r="2951" spans="10:12" x14ac:dyDescent="0.3">
      <c r="J2951" s="1"/>
      <c r="K2951" s="1"/>
      <c r="L2951" s="51"/>
    </row>
    <row r="2952" spans="10:12" x14ac:dyDescent="0.3">
      <c r="J2952" s="1"/>
      <c r="K2952" s="1"/>
      <c r="L2952" s="51"/>
    </row>
    <row r="2953" spans="10:12" x14ac:dyDescent="0.3">
      <c r="J2953" s="1"/>
      <c r="K2953" s="1"/>
      <c r="L2953" s="51"/>
    </row>
    <row r="2954" spans="10:12" x14ac:dyDescent="0.3">
      <c r="J2954" s="1"/>
      <c r="K2954" s="1"/>
      <c r="L2954" s="51"/>
    </row>
    <row r="2955" spans="10:12" x14ac:dyDescent="0.3">
      <c r="J2955" s="1"/>
      <c r="K2955" s="1"/>
      <c r="L2955" s="51"/>
    </row>
    <row r="2956" spans="10:12" x14ac:dyDescent="0.3">
      <c r="J2956" s="1"/>
      <c r="K2956" s="1"/>
      <c r="L2956" s="51"/>
    </row>
    <row r="2957" spans="10:12" x14ac:dyDescent="0.3">
      <c r="J2957" s="1"/>
      <c r="K2957" s="1"/>
      <c r="L2957" s="51"/>
    </row>
    <row r="2958" spans="10:12" x14ac:dyDescent="0.3">
      <c r="J2958" s="1"/>
      <c r="K2958" s="1"/>
      <c r="L2958" s="51"/>
    </row>
    <row r="2959" spans="10:12" x14ac:dyDescent="0.3">
      <c r="J2959" s="1"/>
      <c r="K2959" s="1"/>
      <c r="L2959" s="51"/>
    </row>
    <row r="2960" spans="10:12" x14ac:dyDescent="0.3">
      <c r="J2960" s="1"/>
      <c r="K2960" s="1"/>
      <c r="L2960" s="51"/>
    </row>
    <row r="2961" spans="10:12" x14ac:dyDescent="0.3">
      <c r="J2961" s="1"/>
      <c r="K2961" s="1"/>
      <c r="L2961" s="51"/>
    </row>
    <row r="2962" spans="10:12" x14ac:dyDescent="0.3">
      <c r="J2962" s="1"/>
      <c r="K2962" s="1"/>
      <c r="L2962" s="51"/>
    </row>
    <row r="2963" spans="10:12" x14ac:dyDescent="0.3">
      <c r="J2963" s="1"/>
      <c r="K2963" s="1"/>
      <c r="L2963" s="51"/>
    </row>
    <row r="2964" spans="10:12" x14ac:dyDescent="0.3">
      <c r="J2964" s="1"/>
      <c r="K2964" s="1"/>
      <c r="L2964" s="51"/>
    </row>
    <row r="2965" spans="10:12" x14ac:dyDescent="0.3">
      <c r="J2965" s="1"/>
      <c r="K2965" s="1"/>
      <c r="L2965" s="51"/>
    </row>
    <row r="2966" spans="10:12" x14ac:dyDescent="0.3">
      <c r="J2966" s="1"/>
      <c r="K2966" s="1"/>
      <c r="L2966" s="51"/>
    </row>
    <row r="2967" spans="10:12" x14ac:dyDescent="0.3">
      <c r="J2967" s="1"/>
      <c r="K2967" s="1"/>
      <c r="L2967" s="51"/>
    </row>
    <row r="2968" spans="10:12" x14ac:dyDescent="0.3">
      <c r="J2968" s="1"/>
      <c r="K2968" s="1"/>
      <c r="L2968" s="51"/>
    </row>
    <row r="2969" spans="10:12" x14ac:dyDescent="0.3">
      <c r="J2969" s="1"/>
      <c r="K2969" s="1"/>
      <c r="L2969" s="51"/>
    </row>
    <row r="2970" spans="10:12" x14ac:dyDescent="0.3">
      <c r="J2970" s="1"/>
      <c r="K2970" s="1"/>
      <c r="L2970" s="51"/>
    </row>
    <row r="2971" spans="10:12" x14ac:dyDescent="0.3">
      <c r="J2971" s="1"/>
      <c r="K2971" s="1"/>
      <c r="L2971" s="51"/>
    </row>
    <row r="2972" spans="10:12" x14ac:dyDescent="0.3">
      <c r="J2972" s="1"/>
      <c r="K2972" s="1"/>
      <c r="L2972" s="51"/>
    </row>
    <row r="2973" spans="10:12" x14ac:dyDescent="0.3">
      <c r="J2973" s="1"/>
      <c r="K2973" s="1"/>
      <c r="L2973" s="51"/>
    </row>
    <row r="2974" spans="10:12" x14ac:dyDescent="0.3">
      <c r="J2974" s="1"/>
      <c r="K2974" s="1"/>
      <c r="L2974" s="51"/>
    </row>
    <row r="2975" spans="10:12" x14ac:dyDescent="0.3">
      <c r="J2975" s="1"/>
      <c r="K2975" s="1"/>
      <c r="L2975" s="51"/>
    </row>
    <row r="2976" spans="10:12" x14ac:dyDescent="0.3">
      <c r="J2976" s="1"/>
      <c r="K2976" s="1"/>
      <c r="L2976" s="51"/>
    </row>
    <row r="2977" spans="10:12" x14ac:dyDescent="0.3">
      <c r="J2977" s="1"/>
      <c r="K2977" s="1"/>
      <c r="L2977" s="51"/>
    </row>
    <row r="2978" spans="10:12" x14ac:dyDescent="0.3">
      <c r="J2978" s="1"/>
      <c r="K2978" s="1"/>
      <c r="L2978" s="51"/>
    </row>
    <row r="2979" spans="10:12" x14ac:dyDescent="0.3">
      <c r="J2979" s="1"/>
      <c r="K2979" s="1"/>
      <c r="L2979" s="51"/>
    </row>
    <row r="2980" spans="10:12" x14ac:dyDescent="0.3">
      <c r="J2980" s="1"/>
      <c r="K2980" s="1"/>
      <c r="L2980" s="51"/>
    </row>
    <row r="2981" spans="10:12" x14ac:dyDescent="0.3">
      <c r="J2981" s="1"/>
      <c r="K2981" s="1"/>
      <c r="L2981" s="51"/>
    </row>
    <row r="2982" spans="10:12" x14ac:dyDescent="0.3">
      <c r="J2982" s="1"/>
      <c r="K2982" s="1"/>
      <c r="L2982" s="51"/>
    </row>
    <row r="2983" spans="10:12" x14ac:dyDescent="0.3">
      <c r="J2983" s="1"/>
      <c r="K2983" s="1"/>
      <c r="L2983" s="51"/>
    </row>
    <row r="2984" spans="10:12" x14ac:dyDescent="0.3">
      <c r="J2984" s="1"/>
      <c r="K2984" s="1"/>
      <c r="L2984" s="51"/>
    </row>
    <row r="2985" spans="10:12" x14ac:dyDescent="0.3">
      <c r="J2985" s="1"/>
      <c r="K2985" s="1"/>
      <c r="L2985" s="51"/>
    </row>
    <row r="2986" spans="10:12" x14ac:dyDescent="0.3">
      <c r="J2986" s="1"/>
      <c r="K2986" s="1"/>
      <c r="L2986" s="51"/>
    </row>
    <row r="2987" spans="10:12" x14ac:dyDescent="0.3">
      <c r="J2987" s="1"/>
      <c r="K2987" s="1"/>
      <c r="L2987" s="51"/>
    </row>
    <row r="2988" spans="10:12" x14ac:dyDescent="0.3">
      <c r="J2988" s="1"/>
      <c r="K2988" s="1"/>
      <c r="L2988" s="51"/>
    </row>
    <row r="2989" spans="10:12" x14ac:dyDescent="0.3">
      <c r="J2989" s="1"/>
      <c r="K2989" s="1"/>
      <c r="L2989" s="51"/>
    </row>
    <row r="2990" spans="10:12" x14ac:dyDescent="0.3">
      <c r="J2990" s="1"/>
      <c r="K2990" s="1"/>
      <c r="L2990" s="51"/>
    </row>
    <row r="2991" spans="10:12" x14ac:dyDescent="0.3">
      <c r="J2991" s="1"/>
      <c r="K2991" s="1"/>
      <c r="L2991" s="51"/>
    </row>
    <row r="2992" spans="10:12" x14ac:dyDescent="0.3">
      <c r="J2992" s="1"/>
      <c r="K2992" s="1"/>
      <c r="L2992" s="51"/>
    </row>
    <row r="2993" spans="10:12" x14ac:dyDescent="0.3">
      <c r="J2993" s="1"/>
      <c r="K2993" s="1"/>
      <c r="L2993" s="51"/>
    </row>
    <row r="2994" spans="10:12" x14ac:dyDescent="0.3">
      <c r="J2994" s="1"/>
      <c r="K2994" s="1"/>
      <c r="L2994" s="51"/>
    </row>
    <row r="2995" spans="10:12" x14ac:dyDescent="0.3">
      <c r="J2995" s="1"/>
      <c r="K2995" s="1"/>
      <c r="L2995" s="51"/>
    </row>
    <row r="2996" spans="10:12" x14ac:dyDescent="0.3">
      <c r="J2996" s="1"/>
      <c r="K2996" s="1"/>
      <c r="L2996" s="51"/>
    </row>
    <row r="2997" spans="10:12" x14ac:dyDescent="0.3">
      <c r="J2997" s="1"/>
      <c r="K2997" s="1"/>
      <c r="L2997" s="51"/>
    </row>
    <row r="2998" spans="10:12" x14ac:dyDescent="0.3">
      <c r="J2998" s="1"/>
      <c r="K2998" s="1"/>
      <c r="L2998" s="51"/>
    </row>
    <row r="2999" spans="10:12" x14ac:dyDescent="0.3">
      <c r="J2999" s="1"/>
      <c r="K2999" s="1"/>
      <c r="L2999" s="51"/>
    </row>
    <row r="3000" spans="10:12" x14ac:dyDescent="0.3">
      <c r="J3000" s="1"/>
      <c r="K3000" s="1"/>
      <c r="L3000" s="51"/>
    </row>
    <row r="3001" spans="10:12" x14ac:dyDescent="0.3">
      <c r="J3001" s="1"/>
      <c r="K3001" s="1"/>
      <c r="L3001" s="51"/>
    </row>
    <row r="3002" spans="10:12" x14ac:dyDescent="0.3">
      <c r="J3002" s="1"/>
      <c r="K3002" s="1"/>
      <c r="L3002" s="51"/>
    </row>
    <row r="3003" spans="10:12" x14ac:dyDescent="0.3">
      <c r="J3003" s="1"/>
      <c r="K3003" s="1"/>
      <c r="L3003" s="51"/>
    </row>
    <row r="3004" spans="10:12" x14ac:dyDescent="0.3">
      <c r="J3004" s="1"/>
      <c r="K3004" s="1"/>
      <c r="L3004" s="51"/>
    </row>
    <row r="3005" spans="10:12" x14ac:dyDescent="0.3">
      <c r="J3005" s="1"/>
      <c r="K3005" s="1"/>
      <c r="L3005" s="51"/>
    </row>
    <row r="3006" spans="10:12" x14ac:dyDescent="0.3">
      <c r="J3006" s="1"/>
      <c r="K3006" s="1"/>
      <c r="L3006" s="51"/>
    </row>
    <row r="3007" spans="10:12" x14ac:dyDescent="0.3">
      <c r="J3007" s="1"/>
      <c r="K3007" s="1"/>
      <c r="L3007" s="51"/>
    </row>
    <row r="3008" spans="10:12" x14ac:dyDescent="0.3">
      <c r="J3008" s="1"/>
      <c r="K3008" s="1"/>
      <c r="L3008" s="51"/>
    </row>
    <row r="3009" spans="10:12" x14ac:dyDescent="0.3">
      <c r="J3009" s="1"/>
      <c r="K3009" s="1"/>
      <c r="L3009" s="51"/>
    </row>
    <row r="3010" spans="10:12" x14ac:dyDescent="0.3">
      <c r="J3010" s="1"/>
      <c r="K3010" s="1"/>
      <c r="L3010" s="51"/>
    </row>
    <row r="3011" spans="10:12" x14ac:dyDescent="0.3">
      <c r="J3011" s="1"/>
      <c r="K3011" s="1"/>
      <c r="L3011" s="51"/>
    </row>
    <row r="3012" spans="10:12" x14ac:dyDescent="0.3">
      <c r="J3012" s="1"/>
      <c r="K3012" s="1"/>
      <c r="L3012" s="51"/>
    </row>
    <row r="3013" spans="10:12" x14ac:dyDescent="0.3">
      <c r="J3013" s="1"/>
      <c r="K3013" s="1"/>
      <c r="L3013" s="51"/>
    </row>
    <row r="3014" spans="10:12" x14ac:dyDescent="0.3">
      <c r="J3014" s="1"/>
      <c r="K3014" s="1"/>
      <c r="L3014" s="51"/>
    </row>
    <row r="3015" spans="10:12" x14ac:dyDescent="0.3">
      <c r="J3015" s="1"/>
      <c r="K3015" s="1"/>
      <c r="L3015" s="51"/>
    </row>
    <row r="3016" spans="10:12" x14ac:dyDescent="0.3">
      <c r="J3016" s="1"/>
      <c r="K3016" s="1"/>
      <c r="L3016" s="51"/>
    </row>
    <row r="3017" spans="10:12" x14ac:dyDescent="0.3">
      <c r="J3017" s="1"/>
      <c r="K3017" s="1"/>
      <c r="L3017" s="51"/>
    </row>
    <row r="3018" spans="10:12" x14ac:dyDescent="0.3">
      <c r="J3018" s="1"/>
      <c r="K3018" s="1"/>
      <c r="L3018" s="51"/>
    </row>
    <row r="3019" spans="10:12" x14ac:dyDescent="0.3">
      <c r="J3019" s="1"/>
      <c r="K3019" s="1"/>
      <c r="L3019" s="51"/>
    </row>
    <row r="3020" spans="10:12" x14ac:dyDescent="0.3">
      <c r="J3020" s="1"/>
      <c r="K3020" s="1"/>
      <c r="L3020" s="51"/>
    </row>
    <row r="3021" spans="10:12" x14ac:dyDescent="0.3">
      <c r="J3021" s="1"/>
      <c r="K3021" s="1"/>
      <c r="L3021" s="51"/>
    </row>
    <row r="3022" spans="10:12" x14ac:dyDescent="0.3">
      <c r="J3022" s="1"/>
      <c r="K3022" s="1"/>
      <c r="L3022" s="51"/>
    </row>
    <row r="3023" spans="10:12" x14ac:dyDescent="0.3">
      <c r="J3023" s="1"/>
      <c r="K3023" s="1"/>
      <c r="L3023" s="51"/>
    </row>
    <row r="3024" spans="10:12" x14ac:dyDescent="0.3">
      <c r="J3024" s="1"/>
      <c r="K3024" s="1"/>
      <c r="L3024" s="51"/>
    </row>
    <row r="3025" spans="10:12" x14ac:dyDescent="0.3">
      <c r="J3025" s="1"/>
      <c r="K3025" s="1"/>
      <c r="L3025" s="51"/>
    </row>
    <row r="3026" spans="10:12" x14ac:dyDescent="0.3">
      <c r="J3026" s="1"/>
      <c r="K3026" s="1"/>
      <c r="L3026" s="51"/>
    </row>
    <row r="3027" spans="10:12" x14ac:dyDescent="0.3">
      <c r="J3027" s="1"/>
      <c r="K3027" s="1"/>
      <c r="L3027" s="51"/>
    </row>
    <row r="3028" spans="10:12" x14ac:dyDescent="0.3">
      <c r="J3028" s="1"/>
      <c r="K3028" s="1"/>
      <c r="L3028" s="51"/>
    </row>
    <row r="3029" spans="10:12" x14ac:dyDescent="0.3">
      <c r="J3029" s="1"/>
      <c r="K3029" s="1"/>
      <c r="L3029" s="51"/>
    </row>
    <row r="3030" spans="10:12" x14ac:dyDescent="0.3">
      <c r="J3030" s="1"/>
      <c r="K3030" s="1"/>
      <c r="L3030" s="51"/>
    </row>
    <row r="3031" spans="10:12" x14ac:dyDescent="0.3">
      <c r="J3031" s="1"/>
      <c r="K3031" s="1"/>
      <c r="L3031" s="51"/>
    </row>
    <row r="3032" spans="10:12" x14ac:dyDescent="0.3">
      <c r="J3032" s="1"/>
      <c r="K3032" s="1"/>
      <c r="L3032" s="51"/>
    </row>
    <row r="3033" spans="10:12" x14ac:dyDescent="0.3">
      <c r="J3033" s="1"/>
      <c r="K3033" s="1"/>
      <c r="L3033" s="51"/>
    </row>
    <row r="3034" spans="10:12" x14ac:dyDescent="0.3">
      <c r="J3034" s="1"/>
      <c r="K3034" s="1"/>
      <c r="L3034" s="51"/>
    </row>
    <row r="3035" spans="10:12" x14ac:dyDescent="0.3">
      <c r="J3035" s="1"/>
      <c r="K3035" s="1"/>
      <c r="L3035" s="51"/>
    </row>
    <row r="3036" spans="10:12" x14ac:dyDescent="0.3">
      <c r="J3036" s="1"/>
      <c r="K3036" s="1"/>
      <c r="L3036" s="51"/>
    </row>
    <row r="3037" spans="10:12" x14ac:dyDescent="0.3">
      <c r="J3037" s="1"/>
      <c r="K3037" s="1"/>
      <c r="L3037" s="51"/>
    </row>
    <row r="3038" spans="10:12" x14ac:dyDescent="0.3">
      <c r="J3038" s="1"/>
      <c r="K3038" s="1"/>
      <c r="L3038" s="51"/>
    </row>
    <row r="3039" spans="10:12" x14ac:dyDescent="0.3">
      <c r="J3039" s="1"/>
      <c r="K3039" s="1"/>
      <c r="L3039" s="51"/>
    </row>
    <row r="3040" spans="10:12" x14ac:dyDescent="0.3">
      <c r="J3040" s="1"/>
      <c r="K3040" s="1"/>
      <c r="L3040" s="51"/>
    </row>
    <row r="3041" spans="10:12" x14ac:dyDescent="0.3">
      <c r="J3041" s="1"/>
      <c r="K3041" s="1"/>
      <c r="L3041" s="51"/>
    </row>
    <row r="3042" spans="10:12" x14ac:dyDescent="0.3">
      <c r="J3042" s="1"/>
      <c r="K3042" s="1"/>
      <c r="L3042" s="51"/>
    </row>
    <row r="3043" spans="10:12" x14ac:dyDescent="0.3">
      <c r="J3043" s="1"/>
      <c r="K3043" s="1"/>
      <c r="L3043" s="51"/>
    </row>
    <row r="3044" spans="10:12" x14ac:dyDescent="0.3">
      <c r="J3044" s="1"/>
      <c r="K3044" s="1"/>
      <c r="L3044" s="51"/>
    </row>
    <row r="3045" spans="10:12" x14ac:dyDescent="0.3">
      <c r="J3045" s="1"/>
      <c r="K3045" s="1"/>
      <c r="L3045" s="51"/>
    </row>
    <row r="3046" spans="10:12" x14ac:dyDescent="0.3">
      <c r="J3046" s="1"/>
      <c r="K3046" s="1"/>
      <c r="L3046" s="51"/>
    </row>
    <row r="3047" spans="10:12" x14ac:dyDescent="0.3">
      <c r="J3047" s="1"/>
      <c r="K3047" s="1"/>
      <c r="L3047" s="51"/>
    </row>
    <row r="3048" spans="10:12" x14ac:dyDescent="0.3">
      <c r="J3048" s="1"/>
      <c r="K3048" s="1"/>
      <c r="L3048" s="51"/>
    </row>
    <row r="3049" spans="10:12" x14ac:dyDescent="0.3">
      <c r="J3049" s="1"/>
      <c r="K3049" s="1"/>
      <c r="L3049" s="51"/>
    </row>
    <row r="3050" spans="10:12" x14ac:dyDescent="0.3">
      <c r="J3050" s="1"/>
      <c r="K3050" s="1"/>
      <c r="L3050" s="51"/>
    </row>
    <row r="3051" spans="10:12" x14ac:dyDescent="0.3">
      <c r="J3051" s="1"/>
      <c r="K3051" s="1"/>
      <c r="L3051" s="51"/>
    </row>
    <row r="3052" spans="10:12" x14ac:dyDescent="0.3">
      <c r="J3052" s="1"/>
      <c r="K3052" s="1"/>
      <c r="L3052" s="51"/>
    </row>
    <row r="3053" spans="10:12" x14ac:dyDescent="0.3">
      <c r="J3053" s="1"/>
      <c r="K3053" s="1"/>
      <c r="L3053" s="51"/>
    </row>
    <row r="3054" spans="10:12" x14ac:dyDescent="0.3">
      <c r="J3054" s="1"/>
      <c r="K3054" s="1"/>
      <c r="L3054" s="51"/>
    </row>
    <row r="3055" spans="10:12" x14ac:dyDescent="0.3">
      <c r="J3055" s="1"/>
      <c r="K3055" s="1"/>
      <c r="L3055" s="51"/>
    </row>
    <row r="3056" spans="10:12" x14ac:dyDescent="0.3">
      <c r="J3056" s="1"/>
      <c r="K3056" s="1"/>
      <c r="L3056" s="51"/>
    </row>
    <row r="3057" spans="10:12" x14ac:dyDescent="0.3">
      <c r="J3057" s="1"/>
      <c r="K3057" s="1"/>
      <c r="L3057" s="51"/>
    </row>
    <row r="3058" spans="10:12" x14ac:dyDescent="0.3">
      <c r="J3058" s="1"/>
      <c r="K3058" s="1"/>
      <c r="L3058" s="51"/>
    </row>
    <row r="3059" spans="10:12" x14ac:dyDescent="0.3">
      <c r="J3059" s="1"/>
      <c r="K3059" s="1"/>
      <c r="L3059" s="51"/>
    </row>
    <row r="3060" spans="10:12" x14ac:dyDescent="0.3">
      <c r="J3060" s="1"/>
      <c r="K3060" s="1"/>
      <c r="L3060" s="51"/>
    </row>
    <row r="3061" spans="10:12" x14ac:dyDescent="0.3">
      <c r="J3061" s="1"/>
      <c r="K3061" s="1"/>
      <c r="L3061" s="51"/>
    </row>
    <row r="3062" spans="10:12" x14ac:dyDescent="0.3">
      <c r="J3062" s="1"/>
      <c r="K3062" s="1"/>
      <c r="L3062" s="51"/>
    </row>
    <row r="3063" spans="10:12" x14ac:dyDescent="0.3">
      <c r="J3063" s="1"/>
      <c r="K3063" s="1"/>
      <c r="L3063" s="51"/>
    </row>
    <row r="3064" spans="10:12" x14ac:dyDescent="0.3">
      <c r="J3064" s="1"/>
      <c r="K3064" s="1"/>
      <c r="L3064" s="51"/>
    </row>
    <row r="3065" spans="10:12" x14ac:dyDescent="0.3">
      <c r="J3065" s="1"/>
      <c r="K3065" s="1"/>
      <c r="L3065" s="51"/>
    </row>
    <row r="3066" spans="10:12" x14ac:dyDescent="0.3">
      <c r="J3066" s="1"/>
      <c r="K3066" s="1"/>
      <c r="L3066" s="51"/>
    </row>
    <row r="3067" spans="10:12" x14ac:dyDescent="0.3">
      <c r="J3067" s="1"/>
      <c r="K3067" s="1"/>
      <c r="L3067" s="51"/>
    </row>
    <row r="3068" spans="10:12" x14ac:dyDescent="0.3">
      <c r="J3068" s="1"/>
      <c r="K3068" s="1"/>
      <c r="L3068" s="51"/>
    </row>
    <row r="3069" spans="10:12" x14ac:dyDescent="0.3">
      <c r="J3069" s="1"/>
      <c r="K3069" s="1"/>
      <c r="L3069" s="51"/>
    </row>
    <row r="3070" spans="10:12" x14ac:dyDescent="0.3">
      <c r="J3070" s="1"/>
      <c r="K3070" s="1"/>
      <c r="L3070" s="51"/>
    </row>
    <row r="3071" spans="10:12" x14ac:dyDescent="0.3">
      <c r="J3071" s="1"/>
      <c r="K3071" s="1"/>
      <c r="L3071" s="51"/>
    </row>
    <row r="3072" spans="10:12" x14ac:dyDescent="0.3">
      <c r="J3072" s="1"/>
      <c r="K3072" s="1"/>
      <c r="L3072" s="51"/>
    </row>
    <row r="3073" spans="10:12" x14ac:dyDescent="0.3">
      <c r="J3073" s="1"/>
      <c r="K3073" s="1"/>
      <c r="L3073" s="51"/>
    </row>
    <row r="3074" spans="10:12" x14ac:dyDescent="0.3">
      <c r="J3074" s="1"/>
      <c r="K3074" s="1"/>
      <c r="L3074" s="51"/>
    </row>
    <row r="3075" spans="10:12" x14ac:dyDescent="0.3">
      <c r="J3075" s="1"/>
      <c r="K3075" s="1"/>
      <c r="L3075" s="51"/>
    </row>
    <row r="3076" spans="10:12" x14ac:dyDescent="0.3">
      <c r="J3076" s="1"/>
      <c r="K3076" s="1"/>
      <c r="L3076" s="51"/>
    </row>
    <row r="3077" spans="10:12" x14ac:dyDescent="0.3">
      <c r="J3077" s="1"/>
      <c r="K3077" s="1"/>
      <c r="L3077" s="51"/>
    </row>
    <row r="3078" spans="10:12" x14ac:dyDescent="0.3">
      <c r="J3078" s="1"/>
      <c r="K3078" s="1"/>
      <c r="L3078" s="51"/>
    </row>
    <row r="3079" spans="10:12" x14ac:dyDescent="0.3">
      <c r="J3079" s="1"/>
      <c r="K3079" s="1"/>
      <c r="L3079" s="51"/>
    </row>
    <row r="3080" spans="10:12" x14ac:dyDescent="0.3">
      <c r="J3080" s="1"/>
      <c r="K3080" s="1"/>
      <c r="L3080" s="51"/>
    </row>
    <row r="3081" spans="10:12" x14ac:dyDescent="0.3">
      <c r="J3081" s="1"/>
      <c r="K3081" s="1"/>
      <c r="L3081" s="51"/>
    </row>
    <row r="3082" spans="10:12" x14ac:dyDescent="0.3">
      <c r="J3082" s="1"/>
      <c r="K3082" s="1"/>
      <c r="L3082" s="51"/>
    </row>
    <row r="3083" spans="10:12" x14ac:dyDescent="0.3">
      <c r="J3083" s="1"/>
      <c r="K3083" s="1"/>
      <c r="L3083" s="51"/>
    </row>
    <row r="3084" spans="10:12" x14ac:dyDescent="0.3">
      <c r="J3084" s="1"/>
      <c r="K3084" s="1"/>
      <c r="L3084" s="51"/>
    </row>
    <row r="3085" spans="10:12" x14ac:dyDescent="0.3">
      <c r="J3085" s="1"/>
      <c r="K3085" s="1"/>
      <c r="L3085" s="51"/>
    </row>
    <row r="3086" spans="10:12" x14ac:dyDescent="0.3">
      <c r="J3086" s="1"/>
      <c r="K3086" s="1"/>
      <c r="L3086" s="51"/>
    </row>
    <row r="3087" spans="10:12" x14ac:dyDescent="0.3">
      <c r="J3087" s="1"/>
      <c r="K3087" s="1"/>
      <c r="L3087" s="51"/>
    </row>
    <row r="3088" spans="10:12" x14ac:dyDescent="0.3">
      <c r="J3088" s="1"/>
      <c r="K3088" s="1"/>
      <c r="L3088" s="51"/>
    </row>
    <row r="3089" spans="10:12" x14ac:dyDescent="0.3">
      <c r="J3089" s="1"/>
      <c r="K3089" s="1"/>
      <c r="L3089" s="51"/>
    </row>
    <row r="3090" spans="10:12" x14ac:dyDescent="0.3">
      <c r="J3090" s="1"/>
      <c r="K3090" s="1"/>
      <c r="L3090" s="51"/>
    </row>
    <row r="3091" spans="10:12" x14ac:dyDescent="0.3">
      <c r="J3091" s="1"/>
      <c r="K3091" s="1"/>
      <c r="L3091" s="51"/>
    </row>
    <row r="3092" spans="10:12" x14ac:dyDescent="0.3">
      <c r="J3092" s="1"/>
      <c r="K3092" s="1"/>
      <c r="L3092" s="51"/>
    </row>
    <row r="3093" spans="10:12" x14ac:dyDescent="0.3">
      <c r="J3093" s="1"/>
      <c r="K3093" s="1"/>
      <c r="L3093" s="51"/>
    </row>
    <row r="3094" spans="10:12" x14ac:dyDescent="0.3">
      <c r="J3094" s="1"/>
      <c r="K3094" s="1"/>
      <c r="L3094" s="51"/>
    </row>
    <row r="3095" spans="10:12" x14ac:dyDescent="0.3">
      <c r="J3095" s="1"/>
      <c r="K3095" s="1"/>
      <c r="L3095" s="51"/>
    </row>
    <row r="3096" spans="10:12" x14ac:dyDescent="0.3">
      <c r="J3096" s="1"/>
      <c r="K3096" s="1"/>
      <c r="L3096" s="51"/>
    </row>
    <row r="3097" spans="10:12" x14ac:dyDescent="0.3">
      <c r="J3097" s="1"/>
      <c r="K3097" s="1"/>
      <c r="L3097" s="51"/>
    </row>
    <row r="3098" spans="10:12" x14ac:dyDescent="0.3">
      <c r="J3098" s="1"/>
      <c r="K3098" s="1"/>
      <c r="L3098" s="51"/>
    </row>
    <row r="3099" spans="10:12" x14ac:dyDescent="0.3">
      <c r="J3099" s="1"/>
      <c r="K3099" s="1"/>
      <c r="L3099" s="51"/>
    </row>
    <row r="3100" spans="10:12" x14ac:dyDescent="0.3">
      <c r="J3100" s="1"/>
      <c r="K3100" s="1"/>
      <c r="L3100" s="51"/>
    </row>
    <row r="3101" spans="10:12" x14ac:dyDescent="0.3">
      <c r="J3101" s="1"/>
      <c r="K3101" s="1"/>
      <c r="L3101" s="51"/>
    </row>
    <row r="3102" spans="10:12" x14ac:dyDescent="0.3">
      <c r="J3102" s="1"/>
      <c r="K3102" s="1"/>
      <c r="L3102" s="51"/>
    </row>
    <row r="3103" spans="10:12" x14ac:dyDescent="0.3">
      <c r="J3103" s="1"/>
      <c r="K3103" s="1"/>
      <c r="L3103" s="51"/>
    </row>
    <row r="3104" spans="10:12" x14ac:dyDescent="0.3">
      <c r="J3104" s="1"/>
      <c r="K3104" s="1"/>
      <c r="L3104" s="51"/>
    </row>
    <row r="3105" spans="10:12" x14ac:dyDescent="0.3">
      <c r="J3105" s="1"/>
      <c r="K3105" s="1"/>
      <c r="L3105" s="51"/>
    </row>
    <row r="3106" spans="10:12" x14ac:dyDescent="0.3">
      <c r="J3106" s="1"/>
      <c r="K3106" s="1"/>
      <c r="L3106" s="51"/>
    </row>
    <row r="3107" spans="10:12" x14ac:dyDescent="0.3">
      <c r="J3107" s="1"/>
      <c r="K3107" s="1"/>
      <c r="L3107" s="51"/>
    </row>
    <row r="3108" spans="10:12" x14ac:dyDescent="0.3">
      <c r="J3108" s="1"/>
      <c r="K3108" s="1"/>
      <c r="L3108" s="51"/>
    </row>
    <row r="3109" spans="10:12" x14ac:dyDescent="0.3">
      <c r="J3109" s="1"/>
      <c r="K3109" s="1"/>
      <c r="L3109" s="51"/>
    </row>
    <row r="3110" spans="10:12" x14ac:dyDescent="0.3">
      <c r="J3110" s="1"/>
      <c r="K3110" s="1"/>
      <c r="L3110" s="51"/>
    </row>
    <row r="3111" spans="10:12" x14ac:dyDescent="0.3">
      <c r="J3111" s="1"/>
      <c r="K3111" s="1"/>
      <c r="L3111" s="51"/>
    </row>
    <row r="3112" spans="10:12" x14ac:dyDescent="0.3">
      <c r="J3112" s="1"/>
      <c r="K3112" s="1"/>
      <c r="L3112" s="51"/>
    </row>
    <row r="3113" spans="10:12" x14ac:dyDescent="0.3">
      <c r="J3113" s="1"/>
      <c r="K3113" s="1"/>
      <c r="L3113" s="51"/>
    </row>
    <row r="3114" spans="10:12" x14ac:dyDescent="0.3">
      <c r="J3114" s="1"/>
      <c r="K3114" s="1"/>
      <c r="L3114" s="51"/>
    </row>
    <row r="3115" spans="10:12" x14ac:dyDescent="0.3">
      <c r="J3115" s="1"/>
      <c r="K3115" s="1"/>
      <c r="L3115" s="51"/>
    </row>
    <row r="3116" spans="10:12" x14ac:dyDescent="0.3">
      <c r="J3116" s="1"/>
      <c r="K3116" s="1"/>
      <c r="L3116" s="51"/>
    </row>
    <row r="3117" spans="10:12" x14ac:dyDescent="0.3">
      <c r="J3117" s="1"/>
      <c r="K3117" s="1"/>
      <c r="L3117" s="51"/>
    </row>
    <row r="3118" spans="10:12" x14ac:dyDescent="0.3">
      <c r="J3118" s="1"/>
      <c r="K3118" s="1"/>
      <c r="L3118" s="51"/>
    </row>
    <row r="3119" spans="10:12" x14ac:dyDescent="0.3">
      <c r="J3119" s="1"/>
      <c r="K3119" s="1"/>
      <c r="L3119" s="51"/>
    </row>
    <row r="3120" spans="10:12" x14ac:dyDescent="0.3">
      <c r="J3120" s="1"/>
      <c r="K3120" s="1"/>
      <c r="L3120" s="51"/>
    </row>
    <row r="3121" spans="10:12" x14ac:dyDescent="0.3">
      <c r="J3121" s="1"/>
      <c r="K3121" s="1"/>
      <c r="L3121" s="51"/>
    </row>
    <row r="3122" spans="10:12" x14ac:dyDescent="0.3">
      <c r="J3122" s="1"/>
      <c r="K3122" s="1"/>
      <c r="L3122" s="51"/>
    </row>
    <row r="3123" spans="10:12" x14ac:dyDescent="0.3">
      <c r="J3123" s="1"/>
      <c r="K3123" s="1"/>
      <c r="L3123" s="51"/>
    </row>
    <row r="3124" spans="10:12" x14ac:dyDescent="0.3">
      <c r="J3124" s="1"/>
      <c r="K3124" s="1"/>
      <c r="L3124" s="51"/>
    </row>
    <row r="3125" spans="10:12" x14ac:dyDescent="0.3">
      <c r="J3125" s="1"/>
      <c r="K3125" s="1"/>
      <c r="L3125" s="51"/>
    </row>
    <row r="3126" spans="10:12" x14ac:dyDescent="0.3">
      <c r="J3126" s="1"/>
      <c r="K3126" s="1"/>
      <c r="L3126" s="51"/>
    </row>
    <row r="3127" spans="10:12" x14ac:dyDescent="0.3">
      <c r="J3127" s="1"/>
      <c r="K3127" s="1"/>
      <c r="L3127" s="51"/>
    </row>
    <row r="3128" spans="10:12" x14ac:dyDescent="0.3">
      <c r="J3128" s="1"/>
      <c r="K3128" s="1"/>
      <c r="L3128" s="51"/>
    </row>
    <row r="3129" spans="10:12" x14ac:dyDescent="0.3">
      <c r="J3129" s="1"/>
      <c r="K3129" s="1"/>
      <c r="L3129" s="51"/>
    </row>
    <row r="3130" spans="10:12" x14ac:dyDescent="0.3">
      <c r="J3130" s="1"/>
      <c r="K3130" s="1"/>
      <c r="L3130" s="51"/>
    </row>
    <row r="3131" spans="10:12" x14ac:dyDescent="0.3">
      <c r="J3131" s="1"/>
      <c r="K3131" s="1"/>
      <c r="L3131" s="51"/>
    </row>
    <row r="3132" spans="10:12" x14ac:dyDescent="0.3">
      <c r="J3132" s="1"/>
      <c r="K3132" s="1"/>
      <c r="L3132" s="51"/>
    </row>
    <row r="3133" spans="10:12" x14ac:dyDescent="0.3">
      <c r="J3133" s="1"/>
      <c r="K3133" s="1"/>
      <c r="L3133" s="51"/>
    </row>
    <row r="3134" spans="10:12" x14ac:dyDescent="0.3">
      <c r="J3134" s="1"/>
      <c r="K3134" s="1"/>
      <c r="L3134" s="51"/>
    </row>
    <row r="3135" spans="10:12" x14ac:dyDescent="0.3">
      <c r="J3135" s="1"/>
      <c r="K3135" s="1"/>
      <c r="L3135" s="51"/>
    </row>
    <row r="3136" spans="10:12" x14ac:dyDescent="0.3">
      <c r="J3136" s="1"/>
      <c r="K3136" s="1"/>
      <c r="L3136" s="51"/>
    </row>
    <row r="3137" spans="10:12" x14ac:dyDescent="0.3">
      <c r="J3137" s="1"/>
      <c r="K3137" s="1"/>
      <c r="L3137" s="51"/>
    </row>
    <row r="3138" spans="10:12" x14ac:dyDescent="0.3">
      <c r="J3138" s="1"/>
      <c r="K3138" s="1"/>
      <c r="L3138" s="51"/>
    </row>
    <row r="3139" spans="10:12" x14ac:dyDescent="0.3">
      <c r="J3139" s="1"/>
      <c r="K3139" s="1"/>
      <c r="L3139" s="51"/>
    </row>
    <row r="3140" spans="10:12" x14ac:dyDescent="0.3">
      <c r="J3140" s="1"/>
      <c r="K3140" s="1"/>
      <c r="L3140" s="51"/>
    </row>
    <row r="3141" spans="10:12" x14ac:dyDescent="0.3">
      <c r="J3141" s="1"/>
      <c r="K3141" s="1"/>
      <c r="L3141" s="51"/>
    </row>
    <row r="3142" spans="10:12" x14ac:dyDescent="0.3">
      <c r="J3142" s="1"/>
      <c r="K3142" s="1"/>
      <c r="L3142" s="51"/>
    </row>
    <row r="3143" spans="10:12" x14ac:dyDescent="0.3">
      <c r="J3143" s="1"/>
      <c r="K3143" s="1"/>
      <c r="L3143" s="51"/>
    </row>
    <row r="3144" spans="10:12" x14ac:dyDescent="0.3">
      <c r="J3144" s="1"/>
      <c r="K3144" s="1"/>
      <c r="L3144" s="51"/>
    </row>
    <row r="3145" spans="10:12" x14ac:dyDescent="0.3">
      <c r="J3145" s="1"/>
      <c r="K3145" s="1"/>
      <c r="L3145" s="51"/>
    </row>
    <row r="3146" spans="10:12" x14ac:dyDescent="0.3">
      <c r="J3146" s="1"/>
      <c r="K3146" s="1"/>
      <c r="L3146" s="51"/>
    </row>
    <row r="3147" spans="10:12" x14ac:dyDescent="0.3">
      <c r="J3147" s="1"/>
      <c r="K3147" s="1"/>
      <c r="L3147" s="51"/>
    </row>
    <row r="3148" spans="10:12" x14ac:dyDescent="0.3">
      <c r="J3148" s="1"/>
      <c r="K3148" s="1"/>
      <c r="L3148" s="51"/>
    </row>
    <row r="3149" spans="10:12" x14ac:dyDescent="0.3">
      <c r="J3149" s="1"/>
      <c r="K3149" s="1"/>
      <c r="L3149" s="51"/>
    </row>
    <row r="3150" spans="10:12" x14ac:dyDescent="0.3">
      <c r="J3150" s="1"/>
      <c r="K3150" s="1"/>
      <c r="L3150" s="51"/>
    </row>
    <row r="3151" spans="10:12" x14ac:dyDescent="0.3">
      <c r="J3151" s="1"/>
      <c r="K3151" s="1"/>
      <c r="L3151" s="51"/>
    </row>
    <row r="3152" spans="10:12" x14ac:dyDescent="0.3">
      <c r="J3152" s="1"/>
      <c r="K3152" s="1"/>
      <c r="L3152" s="51"/>
    </row>
    <row r="3153" spans="10:12" x14ac:dyDescent="0.3">
      <c r="J3153" s="1"/>
      <c r="K3153" s="1"/>
      <c r="L3153" s="51"/>
    </row>
    <row r="3154" spans="10:12" x14ac:dyDescent="0.3">
      <c r="J3154" s="1"/>
      <c r="K3154" s="1"/>
      <c r="L3154" s="51"/>
    </row>
    <row r="3155" spans="10:12" x14ac:dyDescent="0.3">
      <c r="J3155" s="1"/>
      <c r="K3155" s="1"/>
      <c r="L3155" s="51"/>
    </row>
    <row r="3156" spans="10:12" x14ac:dyDescent="0.3">
      <c r="J3156" s="1"/>
      <c r="K3156" s="1"/>
      <c r="L3156" s="51"/>
    </row>
    <row r="3157" spans="10:12" x14ac:dyDescent="0.3">
      <c r="J3157" s="1"/>
      <c r="K3157" s="1"/>
      <c r="L3157" s="51"/>
    </row>
    <row r="3158" spans="10:12" x14ac:dyDescent="0.3">
      <c r="J3158" s="1"/>
      <c r="K3158" s="1"/>
      <c r="L3158" s="51"/>
    </row>
    <row r="3159" spans="10:12" x14ac:dyDescent="0.3">
      <c r="J3159" s="1"/>
      <c r="K3159" s="1"/>
      <c r="L3159" s="51"/>
    </row>
    <row r="3160" spans="10:12" x14ac:dyDescent="0.3">
      <c r="J3160" s="1"/>
      <c r="K3160" s="1"/>
      <c r="L3160" s="51"/>
    </row>
    <row r="3161" spans="10:12" x14ac:dyDescent="0.3">
      <c r="J3161" s="1"/>
      <c r="K3161" s="1"/>
      <c r="L3161" s="51"/>
    </row>
    <row r="3162" spans="10:12" x14ac:dyDescent="0.3">
      <c r="J3162" s="1"/>
      <c r="K3162" s="1"/>
      <c r="L3162" s="51"/>
    </row>
    <row r="3163" spans="10:12" x14ac:dyDescent="0.3">
      <c r="J3163" s="1"/>
      <c r="K3163" s="1"/>
      <c r="L3163" s="51"/>
    </row>
    <row r="3164" spans="10:12" x14ac:dyDescent="0.3">
      <c r="J3164" s="1"/>
      <c r="K3164" s="1"/>
      <c r="L3164" s="51"/>
    </row>
    <row r="3165" spans="10:12" x14ac:dyDescent="0.3">
      <c r="J3165" s="1"/>
      <c r="K3165" s="1"/>
      <c r="L3165" s="51"/>
    </row>
    <row r="3166" spans="10:12" x14ac:dyDescent="0.3">
      <c r="J3166" s="1"/>
      <c r="K3166" s="1"/>
      <c r="L3166" s="51"/>
    </row>
    <row r="3167" spans="10:12" x14ac:dyDescent="0.3">
      <c r="J3167" s="1"/>
      <c r="K3167" s="1"/>
      <c r="L3167" s="51"/>
    </row>
    <row r="3168" spans="10:12" x14ac:dyDescent="0.3">
      <c r="J3168" s="1"/>
      <c r="K3168" s="1"/>
      <c r="L3168" s="51"/>
    </row>
    <row r="3169" spans="10:12" x14ac:dyDescent="0.3">
      <c r="J3169" s="1"/>
      <c r="K3169" s="1"/>
      <c r="L3169" s="51"/>
    </row>
    <row r="3170" spans="10:12" x14ac:dyDescent="0.3">
      <c r="J3170" s="1"/>
      <c r="K3170" s="1"/>
      <c r="L3170" s="51"/>
    </row>
    <row r="3171" spans="10:12" x14ac:dyDescent="0.3">
      <c r="J3171" s="1"/>
      <c r="K3171" s="1"/>
      <c r="L3171" s="51"/>
    </row>
    <row r="3172" spans="10:12" x14ac:dyDescent="0.3">
      <c r="J3172" s="1"/>
      <c r="K3172" s="1"/>
      <c r="L3172" s="51"/>
    </row>
    <row r="3173" spans="10:12" x14ac:dyDescent="0.3">
      <c r="J3173" s="1"/>
      <c r="K3173" s="1"/>
      <c r="L3173" s="51"/>
    </row>
    <row r="3174" spans="10:12" x14ac:dyDescent="0.3">
      <c r="J3174" s="1"/>
      <c r="K3174" s="1"/>
      <c r="L3174" s="51"/>
    </row>
    <row r="3175" spans="10:12" x14ac:dyDescent="0.3">
      <c r="J3175" s="1"/>
      <c r="K3175" s="1"/>
      <c r="L3175" s="51"/>
    </row>
    <row r="3176" spans="10:12" x14ac:dyDescent="0.3">
      <c r="J3176" s="1"/>
      <c r="K3176" s="1"/>
      <c r="L3176" s="51"/>
    </row>
    <row r="3177" spans="10:12" x14ac:dyDescent="0.3">
      <c r="J3177" s="1"/>
      <c r="K3177" s="1"/>
      <c r="L3177" s="51"/>
    </row>
    <row r="3178" spans="10:12" x14ac:dyDescent="0.3">
      <c r="J3178" s="1"/>
      <c r="K3178" s="1"/>
      <c r="L3178" s="51"/>
    </row>
    <row r="3179" spans="10:12" x14ac:dyDescent="0.3">
      <c r="J3179" s="1"/>
      <c r="K3179" s="1"/>
      <c r="L3179" s="51"/>
    </row>
    <row r="3180" spans="10:12" x14ac:dyDescent="0.3">
      <c r="J3180" s="1"/>
      <c r="K3180" s="1"/>
      <c r="L3180" s="51"/>
    </row>
    <row r="3181" spans="10:12" x14ac:dyDescent="0.3">
      <c r="J3181" s="1"/>
      <c r="K3181" s="1"/>
      <c r="L3181" s="51"/>
    </row>
    <row r="3182" spans="10:12" x14ac:dyDescent="0.3">
      <c r="J3182" s="1"/>
      <c r="K3182" s="1"/>
      <c r="L3182" s="51"/>
    </row>
    <row r="3183" spans="10:12" x14ac:dyDescent="0.3">
      <c r="J3183" s="1"/>
      <c r="K3183" s="1"/>
      <c r="L3183" s="51"/>
    </row>
    <row r="3184" spans="10:12" x14ac:dyDescent="0.3">
      <c r="J3184" s="1"/>
      <c r="K3184" s="1"/>
      <c r="L3184" s="51"/>
    </row>
    <row r="3185" spans="10:12" x14ac:dyDescent="0.3">
      <c r="J3185" s="1"/>
      <c r="K3185" s="1"/>
      <c r="L3185" s="51"/>
    </row>
    <row r="3186" spans="10:12" x14ac:dyDescent="0.3">
      <c r="J3186" s="1"/>
      <c r="K3186" s="1"/>
      <c r="L3186" s="51"/>
    </row>
    <row r="3187" spans="10:12" x14ac:dyDescent="0.3">
      <c r="J3187" s="1"/>
      <c r="K3187" s="1"/>
      <c r="L3187" s="51"/>
    </row>
    <row r="3188" spans="10:12" x14ac:dyDescent="0.3">
      <c r="J3188" s="1"/>
      <c r="K3188" s="1"/>
      <c r="L3188" s="51"/>
    </row>
    <row r="3189" spans="10:12" x14ac:dyDescent="0.3">
      <c r="J3189" s="1"/>
      <c r="K3189" s="1"/>
      <c r="L3189" s="51"/>
    </row>
    <row r="3190" spans="10:12" x14ac:dyDescent="0.3">
      <c r="J3190" s="1"/>
      <c r="K3190" s="1"/>
      <c r="L3190" s="51"/>
    </row>
    <row r="3191" spans="10:12" x14ac:dyDescent="0.3">
      <c r="J3191" s="1"/>
      <c r="K3191" s="1"/>
      <c r="L3191" s="51"/>
    </row>
    <row r="3192" spans="10:12" x14ac:dyDescent="0.3">
      <c r="J3192" s="1"/>
      <c r="K3192" s="1"/>
      <c r="L3192" s="51"/>
    </row>
    <row r="3193" spans="10:12" x14ac:dyDescent="0.3">
      <c r="J3193" s="1"/>
      <c r="K3193" s="1"/>
      <c r="L3193" s="51"/>
    </row>
    <row r="3194" spans="10:12" x14ac:dyDescent="0.3">
      <c r="J3194" s="1"/>
      <c r="K3194" s="1"/>
      <c r="L3194" s="51"/>
    </row>
    <row r="3195" spans="10:12" x14ac:dyDescent="0.3">
      <c r="J3195" s="1"/>
      <c r="K3195" s="1"/>
      <c r="L3195" s="51"/>
    </row>
    <row r="3196" spans="10:12" x14ac:dyDescent="0.3">
      <c r="J3196" s="1"/>
      <c r="K3196" s="1"/>
      <c r="L3196" s="51"/>
    </row>
    <row r="3197" spans="10:12" x14ac:dyDescent="0.3">
      <c r="J3197" s="1"/>
      <c r="K3197" s="1"/>
      <c r="L3197" s="51"/>
    </row>
    <row r="3198" spans="10:12" x14ac:dyDescent="0.3">
      <c r="J3198" s="1"/>
      <c r="K3198" s="1"/>
      <c r="L3198" s="51"/>
    </row>
    <row r="3199" spans="10:12" x14ac:dyDescent="0.3">
      <c r="J3199" s="1"/>
      <c r="K3199" s="1"/>
      <c r="L3199" s="51"/>
    </row>
    <row r="3200" spans="10:12" x14ac:dyDescent="0.3">
      <c r="J3200" s="1"/>
      <c r="K3200" s="1"/>
      <c r="L3200" s="51"/>
    </row>
    <row r="3201" spans="10:12" x14ac:dyDescent="0.3">
      <c r="J3201" s="1"/>
      <c r="K3201" s="1"/>
      <c r="L3201" s="51"/>
    </row>
    <row r="3202" spans="10:12" x14ac:dyDescent="0.3">
      <c r="J3202" s="1"/>
      <c r="K3202" s="1"/>
      <c r="L3202" s="51"/>
    </row>
    <row r="3203" spans="10:12" x14ac:dyDescent="0.3">
      <c r="J3203" s="1"/>
      <c r="K3203" s="1"/>
      <c r="L3203" s="51"/>
    </row>
    <row r="3204" spans="10:12" x14ac:dyDescent="0.3">
      <c r="J3204" s="1"/>
      <c r="K3204" s="1"/>
      <c r="L3204" s="51"/>
    </row>
    <row r="3205" spans="10:12" x14ac:dyDescent="0.3">
      <c r="J3205" s="1"/>
      <c r="K3205" s="1"/>
      <c r="L3205" s="51"/>
    </row>
    <row r="3206" spans="10:12" x14ac:dyDescent="0.3">
      <c r="J3206" s="1"/>
      <c r="K3206" s="1"/>
      <c r="L3206" s="51"/>
    </row>
    <row r="3207" spans="10:12" x14ac:dyDescent="0.3">
      <c r="J3207" s="1"/>
      <c r="K3207" s="1"/>
      <c r="L3207" s="51"/>
    </row>
    <row r="3208" spans="10:12" x14ac:dyDescent="0.3">
      <c r="J3208" s="1"/>
      <c r="K3208" s="1"/>
      <c r="L3208" s="51"/>
    </row>
    <row r="3209" spans="10:12" x14ac:dyDescent="0.3">
      <c r="J3209" s="1"/>
      <c r="K3209" s="1"/>
      <c r="L3209" s="51"/>
    </row>
    <row r="3210" spans="10:12" x14ac:dyDescent="0.3">
      <c r="J3210" s="1"/>
      <c r="K3210" s="1"/>
      <c r="L3210" s="51"/>
    </row>
    <row r="3211" spans="10:12" x14ac:dyDescent="0.3">
      <c r="J3211" s="1"/>
      <c r="K3211" s="1"/>
      <c r="L3211" s="51"/>
    </row>
    <row r="3212" spans="10:12" x14ac:dyDescent="0.3">
      <c r="J3212" s="1"/>
      <c r="K3212" s="1"/>
      <c r="L3212" s="51"/>
    </row>
    <row r="3213" spans="10:12" x14ac:dyDescent="0.3">
      <c r="J3213" s="1"/>
      <c r="K3213" s="1"/>
      <c r="L3213" s="51"/>
    </row>
    <row r="3214" spans="10:12" x14ac:dyDescent="0.3">
      <c r="J3214" s="1"/>
      <c r="K3214" s="1"/>
      <c r="L3214" s="51"/>
    </row>
    <row r="3215" spans="10:12" x14ac:dyDescent="0.3">
      <c r="J3215" s="1"/>
      <c r="K3215" s="1"/>
      <c r="L3215" s="51"/>
    </row>
    <row r="3216" spans="10:12" x14ac:dyDescent="0.3">
      <c r="J3216" s="1"/>
      <c r="K3216" s="1"/>
      <c r="L3216" s="51"/>
    </row>
    <row r="3217" spans="10:12" x14ac:dyDescent="0.3">
      <c r="J3217" s="1"/>
      <c r="K3217" s="1"/>
      <c r="L3217" s="51"/>
    </row>
    <row r="3218" spans="10:12" x14ac:dyDescent="0.3">
      <c r="J3218" s="1"/>
      <c r="K3218" s="1"/>
      <c r="L3218" s="51"/>
    </row>
    <row r="3219" spans="10:12" x14ac:dyDescent="0.3">
      <c r="J3219" s="1"/>
      <c r="K3219" s="1"/>
      <c r="L3219" s="51"/>
    </row>
    <row r="3220" spans="10:12" x14ac:dyDescent="0.3">
      <c r="J3220" s="1"/>
      <c r="K3220" s="1"/>
      <c r="L3220" s="51"/>
    </row>
    <row r="3221" spans="10:12" x14ac:dyDescent="0.3">
      <c r="J3221" s="1"/>
      <c r="K3221" s="1"/>
      <c r="L3221" s="51"/>
    </row>
    <row r="3222" spans="10:12" x14ac:dyDescent="0.3">
      <c r="J3222" s="1"/>
      <c r="K3222" s="1"/>
      <c r="L3222" s="51"/>
    </row>
    <row r="3223" spans="10:12" x14ac:dyDescent="0.3">
      <c r="J3223" s="1"/>
      <c r="K3223" s="1"/>
      <c r="L3223" s="51"/>
    </row>
    <row r="3224" spans="10:12" x14ac:dyDescent="0.3">
      <c r="J3224" s="1"/>
      <c r="K3224" s="1"/>
      <c r="L3224" s="51"/>
    </row>
    <row r="3225" spans="10:12" x14ac:dyDescent="0.3">
      <c r="J3225" s="1"/>
      <c r="K3225" s="1"/>
      <c r="L3225" s="51"/>
    </row>
    <row r="3226" spans="10:12" x14ac:dyDescent="0.3">
      <c r="J3226" s="1"/>
      <c r="K3226" s="1"/>
      <c r="L3226" s="51"/>
    </row>
    <row r="3227" spans="10:12" x14ac:dyDescent="0.3">
      <c r="J3227" s="1"/>
      <c r="K3227" s="1"/>
      <c r="L3227" s="51"/>
    </row>
    <row r="3228" spans="10:12" x14ac:dyDescent="0.3">
      <c r="J3228" s="1"/>
      <c r="K3228" s="1"/>
      <c r="L3228" s="51"/>
    </row>
    <row r="3229" spans="10:12" x14ac:dyDescent="0.3">
      <c r="J3229" s="1"/>
      <c r="K3229" s="1"/>
      <c r="L3229" s="51"/>
    </row>
    <row r="3230" spans="10:12" x14ac:dyDescent="0.3">
      <c r="J3230" s="1"/>
      <c r="K3230" s="1"/>
      <c r="L3230" s="51"/>
    </row>
    <row r="3231" spans="10:12" x14ac:dyDescent="0.3">
      <c r="J3231" s="1"/>
      <c r="K3231" s="1"/>
      <c r="L3231" s="51"/>
    </row>
    <row r="3232" spans="10:12" x14ac:dyDescent="0.3">
      <c r="J3232" s="1"/>
      <c r="K3232" s="1"/>
      <c r="L3232" s="51"/>
    </row>
    <row r="3233" spans="10:12" x14ac:dyDescent="0.3">
      <c r="J3233" s="1"/>
      <c r="K3233" s="1"/>
      <c r="L3233" s="51"/>
    </row>
    <row r="3234" spans="10:12" x14ac:dyDescent="0.3">
      <c r="J3234" s="1"/>
      <c r="K3234" s="1"/>
      <c r="L3234" s="51"/>
    </row>
    <row r="3235" spans="10:12" x14ac:dyDescent="0.3">
      <c r="J3235" s="1"/>
      <c r="K3235" s="1"/>
      <c r="L3235" s="51"/>
    </row>
    <row r="3236" spans="10:12" x14ac:dyDescent="0.3">
      <c r="J3236" s="1"/>
      <c r="K3236" s="1"/>
      <c r="L3236" s="51"/>
    </row>
    <row r="3237" spans="10:12" x14ac:dyDescent="0.3">
      <c r="J3237" s="1"/>
      <c r="K3237" s="1"/>
      <c r="L3237" s="51"/>
    </row>
    <row r="3238" spans="10:12" x14ac:dyDescent="0.3">
      <c r="J3238" s="1"/>
      <c r="K3238" s="1"/>
      <c r="L3238" s="51"/>
    </row>
    <row r="3239" spans="10:12" x14ac:dyDescent="0.3">
      <c r="J3239" s="1"/>
      <c r="K3239" s="1"/>
      <c r="L3239" s="51"/>
    </row>
    <row r="3240" spans="10:12" x14ac:dyDescent="0.3">
      <c r="J3240" s="1"/>
      <c r="K3240" s="1"/>
      <c r="L3240" s="51"/>
    </row>
    <row r="3241" spans="10:12" x14ac:dyDescent="0.3">
      <c r="J3241" s="1"/>
      <c r="K3241" s="1"/>
      <c r="L3241" s="51"/>
    </row>
    <row r="3242" spans="10:12" x14ac:dyDescent="0.3">
      <c r="J3242" s="1"/>
      <c r="K3242" s="1"/>
      <c r="L3242" s="51"/>
    </row>
    <row r="3243" spans="10:12" x14ac:dyDescent="0.3">
      <c r="J3243" s="1"/>
      <c r="K3243" s="1"/>
      <c r="L3243" s="51"/>
    </row>
    <row r="3244" spans="10:12" x14ac:dyDescent="0.3">
      <c r="J3244" s="1"/>
      <c r="K3244" s="1"/>
      <c r="L3244" s="51"/>
    </row>
    <row r="3245" spans="10:12" x14ac:dyDescent="0.3">
      <c r="J3245" s="1"/>
      <c r="K3245" s="1"/>
      <c r="L3245" s="51"/>
    </row>
    <row r="3246" spans="10:12" x14ac:dyDescent="0.3">
      <c r="J3246" s="1"/>
      <c r="K3246" s="1"/>
      <c r="L3246" s="51"/>
    </row>
    <row r="3247" spans="10:12" x14ac:dyDescent="0.3">
      <c r="J3247" s="1"/>
      <c r="K3247" s="1"/>
      <c r="L3247" s="51"/>
    </row>
    <row r="3248" spans="10:12" x14ac:dyDescent="0.3">
      <c r="J3248" s="1"/>
      <c r="K3248" s="1"/>
      <c r="L3248" s="51"/>
    </row>
    <row r="3249" spans="10:12" x14ac:dyDescent="0.3">
      <c r="J3249" s="1"/>
      <c r="K3249" s="1"/>
      <c r="L3249" s="51"/>
    </row>
    <row r="3250" spans="10:12" x14ac:dyDescent="0.3">
      <c r="J3250" s="1"/>
      <c r="K3250" s="1"/>
      <c r="L3250" s="51"/>
    </row>
    <row r="3251" spans="10:12" x14ac:dyDescent="0.3">
      <c r="J3251" s="1"/>
      <c r="K3251" s="1"/>
      <c r="L3251" s="51"/>
    </row>
    <row r="3252" spans="10:12" x14ac:dyDescent="0.3">
      <c r="J3252" s="1"/>
      <c r="K3252" s="1"/>
      <c r="L3252" s="51"/>
    </row>
    <row r="3253" spans="10:12" x14ac:dyDescent="0.3">
      <c r="J3253" s="1"/>
      <c r="K3253" s="1"/>
      <c r="L3253" s="51"/>
    </row>
    <row r="3254" spans="10:12" x14ac:dyDescent="0.3">
      <c r="J3254" s="1"/>
      <c r="K3254" s="1"/>
      <c r="L3254" s="51"/>
    </row>
    <row r="3255" spans="10:12" x14ac:dyDescent="0.3">
      <c r="J3255" s="1"/>
      <c r="K3255" s="1"/>
      <c r="L3255" s="51"/>
    </row>
    <row r="3256" spans="10:12" x14ac:dyDescent="0.3">
      <c r="J3256" s="1"/>
      <c r="K3256" s="1"/>
      <c r="L3256" s="51"/>
    </row>
    <row r="3257" spans="10:12" x14ac:dyDescent="0.3">
      <c r="J3257" s="1"/>
      <c r="K3257" s="1"/>
      <c r="L3257" s="51"/>
    </row>
    <row r="3258" spans="10:12" x14ac:dyDescent="0.3">
      <c r="J3258" s="1"/>
      <c r="K3258" s="1"/>
      <c r="L3258" s="51"/>
    </row>
    <row r="3259" spans="10:12" x14ac:dyDescent="0.3">
      <c r="J3259" s="1"/>
      <c r="K3259" s="1"/>
      <c r="L3259" s="51"/>
    </row>
    <row r="3260" spans="10:12" x14ac:dyDescent="0.3">
      <c r="J3260" s="1"/>
      <c r="K3260" s="1"/>
      <c r="L3260" s="51"/>
    </row>
    <row r="3261" spans="10:12" x14ac:dyDescent="0.3">
      <c r="J3261" s="1"/>
      <c r="K3261" s="1"/>
      <c r="L3261" s="51"/>
    </row>
    <row r="3262" spans="10:12" x14ac:dyDescent="0.3">
      <c r="J3262" s="1"/>
      <c r="K3262" s="1"/>
      <c r="L3262" s="51"/>
    </row>
    <row r="3263" spans="10:12" x14ac:dyDescent="0.3">
      <c r="J3263" s="1"/>
      <c r="K3263" s="1"/>
      <c r="L3263" s="51"/>
    </row>
    <row r="3264" spans="10:12" x14ac:dyDescent="0.3">
      <c r="J3264" s="1"/>
      <c r="K3264" s="1"/>
      <c r="L3264" s="51"/>
    </row>
    <row r="3265" spans="10:12" x14ac:dyDescent="0.3">
      <c r="J3265" s="1"/>
      <c r="K3265" s="1"/>
      <c r="L3265" s="51"/>
    </row>
    <row r="3266" spans="10:12" x14ac:dyDescent="0.3">
      <c r="J3266" s="1"/>
      <c r="K3266" s="1"/>
      <c r="L3266" s="51"/>
    </row>
    <row r="3267" spans="10:12" x14ac:dyDescent="0.3">
      <c r="J3267" s="1"/>
      <c r="K3267" s="1"/>
      <c r="L3267" s="51"/>
    </row>
    <row r="3268" spans="10:12" x14ac:dyDescent="0.3">
      <c r="J3268" s="1"/>
      <c r="K3268" s="1"/>
      <c r="L3268" s="51"/>
    </row>
    <row r="3269" spans="10:12" x14ac:dyDescent="0.3">
      <c r="J3269" s="1"/>
      <c r="K3269" s="1"/>
      <c r="L3269" s="51"/>
    </row>
    <row r="3270" spans="10:12" x14ac:dyDescent="0.3">
      <c r="J3270" s="1"/>
      <c r="K3270" s="1"/>
      <c r="L3270" s="51"/>
    </row>
    <row r="3271" spans="10:12" x14ac:dyDescent="0.3">
      <c r="J3271" s="1"/>
      <c r="K3271" s="1"/>
      <c r="L3271" s="51"/>
    </row>
    <row r="3272" spans="10:12" x14ac:dyDescent="0.3">
      <c r="J3272" s="1"/>
      <c r="K3272" s="1"/>
      <c r="L3272" s="51"/>
    </row>
    <row r="3273" spans="10:12" x14ac:dyDescent="0.3">
      <c r="J3273" s="1"/>
      <c r="K3273" s="1"/>
      <c r="L3273" s="51"/>
    </row>
    <row r="3274" spans="10:12" x14ac:dyDescent="0.3">
      <c r="J3274" s="1"/>
      <c r="K3274" s="1"/>
      <c r="L3274" s="51"/>
    </row>
    <row r="3275" spans="10:12" x14ac:dyDescent="0.3">
      <c r="J3275" s="1"/>
      <c r="K3275" s="1"/>
      <c r="L3275" s="51"/>
    </row>
    <row r="3276" spans="10:12" x14ac:dyDescent="0.3">
      <c r="J3276" s="1"/>
      <c r="K3276" s="1"/>
      <c r="L3276" s="51"/>
    </row>
    <row r="3277" spans="10:12" x14ac:dyDescent="0.3">
      <c r="J3277" s="1"/>
      <c r="K3277" s="1"/>
      <c r="L3277" s="51"/>
    </row>
    <row r="3278" spans="10:12" x14ac:dyDescent="0.3">
      <c r="J3278" s="1"/>
      <c r="K3278" s="1"/>
      <c r="L3278" s="51"/>
    </row>
    <row r="3279" spans="10:12" x14ac:dyDescent="0.3">
      <c r="J3279" s="1"/>
      <c r="K3279" s="1"/>
      <c r="L3279" s="51"/>
    </row>
    <row r="3280" spans="10:12" x14ac:dyDescent="0.3">
      <c r="J3280" s="1"/>
      <c r="K3280" s="1"/>
      <c r="L3280" s="51"/>
    </row>
    <row r="3281" spans="10:12" x14ac:dyDescent="0.3">
      <c r="J3281" s="1"/>
      <c r="K3281" s="1"/>
      <c r="L3281" s="51"/>
    </row>
    <row r="3282" spans="10:12" x14ac:dyDescent="0.3">
      <c r="J3282" s="1"/>
      <c r="K3282" s="1"/>
      <c r="L3282" s="51"/>
    </row>
    <row r="3283" spans="10:12" x14ac:dyDescent="0.3">
      <c r="J3283" s="1"/>
      <c r="K3283" s="1"/>
      <c r="L3283" s="51"/>
    </row>
    <row r="3284" spans="10:12" x14ac:dyDescent="0.3">
      <c r="J3284" s="1"/>
      <c r="K3284" s="1"/>
      <c r="L3284" s="51"/>
    </row>
    <row r="3285" spans="10:12" x14ac:dyDescent="0.3">
      <c r="J3285" s="1"/>
      <c r="K3285" s="1"/>
      <c r="L3285" s="51"/>
    </row>
    <row r="3286" spans="10:12" x14ac:dyDescent="0.3">
      <c r="J3286" s="1"/>
      <c r="K3286" s="1"/>
      <c r="L3286" s="51"/>
    </row>
    <row r="3287" spans="10:12" x14ac:dyDescent="0.3">
      <c r="J3287" s="1"/>
      <c r="K3287" s="1"/>
      <c r="L3287" s="51"/>
    </row>
    <row r="3288" spans="10:12" x14ac:dyDescent="0.3">
      <c r="J3288" s="1"/>
      <c r="K3288" s="1"/>
      <c r="L3288" s="51"/>
    </row>
    <row r="3289" spans="10:12" x14ac:dyDescent="0.3">
      <c r="J3289" s="1"/>
      <c r="K3289" s="1"/>
      <c r="L3289" s="51"/>
    </row>
    <row r="3290" spans="10:12" x14ac:dyDescent="0.3">
      <c r="J3290" s="1"/>
      <c r="K3290" s="1"/>
      <c r="L3290" s="51"/>
    </row>
    <row r="3291" spans="10:12" x14ac:dyDescent="0.3">
      <c r="J3291" s="1"/>
      <c r="K3291" s="1"/>
      <c r="L3291" s="51"/>
    </row>
    <row r="3292" spans="10:12" x14ac:dyDescent="0.3">
      <c r="J3292" s="1"/>
      <c r="K3292" s="1"/>
      <c r="L3292" s="51"/>
    </row>
    <row r="3293" spans="10:12" x14ac:dyDescent="0.3">
      <c r="J3293" s="1"/>
      <c r="K3293" s="1"/>
      <c r="L3293" s="51"/>
    </row>
    <row r="3294" spans="10:12" x14ac:dyDescent="0.3">
      <c r="J3294" s="1"/>
      <c r="K3294" s="1"/>
      <c r="L3294" s="51"/>
    </row>
    <row r="3295" spans="10:12" x14ac:dyDescent="0.3">
      <c r="J3295" s="1"/>
      <c r="K3295" s="1"/>
      <c r="L3295" s="51"/>
    </row>
    <row r="3296" spans="10:12" x14ac:dyDescent="0.3">
      <c r="J3296" s="1"/>
      <c r="K3296" s="1"/>
      <c r="L3296" s="51"/>
    </row>
    <row r="3297" spans="10:12" x14ac:dyDescent="0.3">
      <c r="J3297" s="1"/>
      <c r="K3297" s="1"/>
      <c r="L3297" s="51"/>
    </row>
    <row r="3298" spans="10:12" x14ac:dyDescent="0.3">
      <c r="J3298" s="1"/>
      <c r="K3298" s="1"/>
      <c r="L3298" s="51"/>
    </row>
    <row r="3299" spans="10:12" x14ac:dyDescent="0.3">
      <c r="J3299" s="1"/>
      <c r="K3299" s="1"/>
      <c r="L3299" s="51"/>
    </row>
    <row r="3300" spans="10:12" x14ac:dyDescent="0.3">
      <c r="J3300" s="1"/>
      <c r="K3300" s="1"/>
      <c r="L3300" s="51"/>
    </row>
    <row r="3301" spans="10:12" x14ac:dyDescent="0.3">
      <c r="J3301" s="1"/>
      <c r="K3301" s="1"/>
      <c r="L3301" s="51"/>
    </row>
    <row r="3302" spans="10:12" x14ac:dyDescent="0.3">
      <c r="J3302" s="1"/>
      <c r="K3302" s="1"/>
      <c r="L3302" s="51"/>
    </row>
    <row r="3303" spans="10:12" x14ac:dyDescent="0.3">
      <c r="J3303" s="1"/>
      <c r="K3303" s="1"/>
      <c r="L3303" s="51"/>
    </row>
    <row r="3304" spans="10:12" x14ac:dyDescent="0.3">
      <c r="J3304" s="1"/>
      <c r="K3304" s="1"/>
      <c r="L3304" s="51"/>
    </row>
    <row r="3305" spans="10:12" x14ac:dyDescent="0.3">
      <c r="J3305" s="1"/>
      <c r="K3305" s="1"/>
      <c r="L3305" s="51"/>
    </row>
    <row r="3306" spans="10:12" x14ac:dyDescent="0.3">
      <c r="J3306" s="1"/>
      <c r="K3306" s="1"/>
      <c r="L3306" s="51"/>
    </row>
    <row r="3307" spans="10:12" x14ac:dyDescent="0.3">
      <c r="J3307" s="1"/>
      <c r="K3307" s="1"/>
      <c r="L3307" s="51"/>
    </row>
    <row r="3308" spans="10:12" x14ac:dyDescent="0.3">
      <c r="J3308" s="1"/>
      <c r="K3308" s="1"/>
      <c r="L3308" s="51"/>
    </row>
    <row r="3309" spans="10:12" x14ac:dyDescent="0.3">
      <c r="J3309" s="1"/>
      <c r="K3309" s="1"/>
      <c r="L3309" s="51"/>
    </row>
    <row r="3310" spans="10:12" x14ac:dyDescent="0.3">
      <c r="J3310" s="1"/>
      <c r="K3310" s="1"/>
      <c r="L3310" s="51"/>
    </row>
    <row r="3311" spans="10:12" x14ac:dyDescent="0.3">
      <c r="J3311" s="1"/>
      <c r="K3311" s="1"/>
      <c r="L3311" s="51"/>
    </row>
    <row r="3312" spans="10:12" x14ac:dyDescent="0.3">
      <c r="J3312" s="1"/>
      <c r="K3312" s="1"/>
      <c r="L3312" s="51"/>
    </row>
    <row r="3313" spans="10:12" x14ac:dyDescent="0.3">
      <c r="J3313" s="1"/>
      <c r="K3313" s="1"/>
      <c r="L3313" s="51"/>
    </row>
    <row r="3314" spans="10:12" x14ac:dyDescent="0.3">
      <c r="J3314" s="1"/>
      <c r="K3314" s="1"/>
      <c r="L3314" s="51"/>
    </row>
    <row r="3315" spans="10:12" x14ac:dyDescent="0.3">
      <c r="J3315" s="1"/>
      <c r="K3315" s="1"/>
      <c r="L3315" s="51"/>
    </row>
    <row r="3316" spans="10:12" x14ac:dyDescent="0.3">
      <c r="J3316" s="1"/>
      <c r="K3316" s="1"/>
      <c r="L3316" s="51"/>
    </row>
    <row r="3317" spans="10:12" x14ac:dyDescent="0.3">
      <c r="J3317" s="1"/>
      <c r="K3317" s="1"/>
      <c r="L3317" s="51"/>
    </row>
    <row r="3318" spans="10:12" x14ac:dyDescent="0.3">
      <c r="J3318" s="1"/>
      <c r="K3318" s="1"/>
      <c r="L3318" s="51"/>
    </row>
    <row r="3319" spans="10:12" x14ac:dyDescent="0.3">
      <c r="J3319" s="1"/>
      <c r="K3319" s="1"/>
      <c r="L3319" s="51"/>
    </row>
    <row r="3320" spans="10:12" x14ac:dyDescent="0.3">
      <c r="J3320" s="1"/>
      <c r="K3320" s="1"/>
      <c r="L3320" s="51"/>
    </row>
    <row r="3321" spans="10:12" x14ac:dyDescent="0.3">
      <c r="J3321" s="1"/>
      <c r="K3321" s="1"/>
      <c r="L3321" s="51"/>
    </row>
    <row r="3322" spans="10:12" x14ac:dyDescent="0.3">
      <c r="J3322" s="1"/>
      <c r="K3322" s="1"/>
      <c r="L3322" s="51"/>
    </row>
    <row r="3323" spans="10:12" x14ac:dyDescent="0.3">
      <c r="J3323" s="1"/>
      <c r="K3323" s="1"/>
      <c r="L3323" s="51"/>
    </row>
    <row r="3324" spans="10:12" x14ac:dyDescent="0.3">
      <c r="J3324" s="1"/>
      <c r="K3324" s="1"/>
      <c r="L3324" s="51"/>
    </row>
    <row r="3325" spans="10:12" x14ac:dyDescent="0.3">
      <c r="J3325" s="1"/>
      <c r="K3325" s="1"/>
      <c r="L3325" s="51"/>
    </row>
    <row r="3326" spans="10:12" x14ac:dyDescent="0.3">
      <c r="J3326" s="1"/>
      <c r="K3326" s="1"/>
      <c r="L3326" s="51"/>
    </row>
    <row r="3327" spans="10:12" x14ac:dyDescent="0.3">
      <c r="J3327" s="1"/>
      <c r="K3327" s="1"/>
      <c r="L3327" s="51"/>
    </row>
    <row r="3328" spans="10:12" x14ac:dyDescent="0.3">
      <c r="J3328" s="1"/>
      <c r="K3328" s="1"/>
      <c r="L3328" s="51"/>
    </row>
    <row r="3329" spans="10:12" x14ac:dyDescent="0.3">
      <c r="J3329" s="1"/>
      <c r="K3329" s="1"/>
      <c r="L3329" s="51"/>
    </row>
    <row r="3330" spans="10:12" x14ac:dyDescent="0.3">
      <c r="J3330" s="1"/>
      <c r="K3330" s="1"/>
      <c r="L3330" s="51"/>
    </row>
    <row r="3331" spans="10:12" x14ac:dyDescent="0.3">
      <c r="J3331" s="1"/>
      <c r="K3331" s="1"/>
      <c r="L3331" s="51"/>
    </row>
    <row r="3332" spans="10:12" x14ac:dyDescent="0.3">
      <c r="J3332" s="1"/>
      <c r="K3332" s="1"/>
      <c r="L3332" s="51"/>
    </row>
    <row r="3333" spans="10:12" x14ac:dyDescent="0.3">
      <c r="J3333" s="1"/>
      <c r="K3333" s="1"/>
      <c r="L3333" s="51"/>
    </row>
    <row r="3334" spans="10:12" x14ac:dyDescent="0.3">
      <c r="J3334" s="1"/>
      <c r="K3334" s="1"/>
      <c r="L3334" s="51"/>
    </row>
    <row r="3335" spans="10:12" x14ac:dyDescent="0.3">
      <c r="J3335" s="1"/>
      <c r="K3335" s="1"/>
      <c r="L3335" s="51"/>
    </row>
    <row r="3336" spans="10:12" x14ac:dyDescent="0.3">
      <c r="J3336" s="1"/>
      <c r="K3336" s="1"/>
      <c r="L3336" s="51"/>
    </row>
    <row r="3337" spans="10:12" x14ac:dyDescent="0.3">
      <c r="J3337" s="1"/>
      <c r="K3337" s="1"/>
      <c r="L3337" s="51"/>
    </row>
    <row r="3338" spans="10:12" x14ac:dyDescent="0.3">
      <c r="J3338" s="1"/>
      <c r="K3338" s="1"/>
      <c r="L3338" s="51"/>
    </row>
    <row r="3339" spans="10:12" x14ac:dyDescent="0.3">
      <c r="J3339" s="1"/>
      <c r="K3339" s="1"/>
      <c r="L3339" s="51"/>
    </row>
    <row r="3340" spans="10:12" x14ac:dyDescent="0.3">
      <c r="J3340" s="1"/>
      <c r="K3340" s="1"/>
      <c r="L3340" s="51"/>
    </row>
    <row r="3341" spans="10:12" x14ac:dyDescent="0.3">
      <c r="J3341" s="1"/>
      <c r="K3341" s="1"/>
      <c r="L3341" s="51"/>
    </row>
    <row r="3342" spans="10:12" x14ac:dyDescent="0.3">
      <c r="J3342" s="1"/>
      <c r="K3342" s="1"/>
      <c r="L3342" s="51"/>
    </row>
    <row r="3343" spans="10:12" x14ac:dyDescent="0.3">
      <c r="J3343" s="1"/>
      <c r="K3343" s="1"/>
      <c r="L3343" s="51"/>
    </row>
    <row r="3344" spans="10:12" x14ac:dyDescent="0.3">
      <c r="J3344" s="1"/>
      <c r="K3344" s="1"/>
      <c r="L3344" s="51"/>
    </row>
    <row r="3345" spans="10:12" x14ac:dyDescent="0.3">
      <c r="J3345" s="1"/>
      <c r="K3345" s="1"/>
      <c r="L3345" s="51"/>
    </row>
    <row r="3346" spans="10:12" x14ac:dyDescent="0.3">
      <c r="J3346" s="1"/>
      <c r="K3346" s="1"/>
      <c r="L3346" s="51"/>
    </row>
    <row r="3347" spans="10:12" x14ac:dyDescent="0.3">
      <c r="J3347" s="1"/>
      <c r="K3347" s="1"/>
      <c r="L3347" s="51"/>
    </row>
    <row r="3348" spans="10:12" x14ac:dyDescent="0.3">
      <c r="J3348" s="1"/>
      <c r="K3348" s="1"/>
      <c r="L3348" s="51"/>
    </row>
    <row r="3349" spans="10:12" x14ac:dyDescent="0.3">
      <c r="J3349" s="1"/>
      <c r="K3349" s="1"/>
      <c r="L3349" s="51"/>
    </row>
    <row r="3350" spans="10:12" x14ac:dyDescent="0.3">
      <c r="J3350" s="1"/>
      <c r="K3350" s="1"/>
      <c r="L3350" s="51"/>
    </row>
    <row r="3351" spans="10:12" x14ac:dyDescent="0.3">
      <c r="J3351" s="1"/>
      <c r="K3351" s="1"/>
      <c r="L3351" s="51"/>
    </row>
    <row r="3352" spans="10:12" x14ac:dyDescent="0.3">
      <c r="J3352" s="1"/>
      <c r="K3352" s="1"/>
      <c r="L3352" s="51"/>
    </row>
    <row r="3353" spans="10:12" x14ac:dyDescent="0.3">
      <c r="J3353" s="1"/>
      <c r="K3353" s="1"/>
      <c r="L3353" s="51"/>
    </row>
    <row r="3354" spans="10:12" x14ac:dyDescent="0.3">
      <c r="J3354" s="1"/>
      <c r="K3354" s="1"/>
      <c r="L3354" s="51"/>
    </row>
    <row r="3355" spans="10:12" x14ac:dyDescent="0.3">
      <c r="J3355" s="1"/>
      <c r="K3355" s="1"/>
      <c r="L3355" s="51"/>
    </row>
    <row r="3356" spans="10:12" x14ac:dyDescent="0.3">
      <c r="J3356" s="1"/>
      <c r="K3356" s="1"/>
      <c r="L3356" s="51"/>
    </row>
    <row r="3357" spans="10:12" x14ac:dyDescent="0.3">
      <c r="J3357" s="1"/>
      <c r="K3357" s="1"/>
      <c r="L3357" s="51"/>
    </row>
    <row r="3358" spans="10:12" x14ac:dyDescent="0.3">
      <c r="J3358" s="1"/>
      <c r="K3358" s="1"/>
      <c r="L3358" s="51"/>
    </row>
    <row r="3359" spans="10:12" x14ac:dyDescent="0.3">
      <c r="J3359" s="1"/>
      <c r="K3359" s="1"/>
      <c r="L3359" s="51"/>
    </row>
    <row r="3360" spans="10:12" x14ac:dyDescent="0.3">
      <c r="J3360" s="1"/>
      <c r="K3360" s="1"/>
      <c r="L3360" s="51"/>
    </row>
    <row r="3361" spans="10:12" x14ac:dyDescent="0.3">
      <c r="J3361" s="1"/>
      <c r="K3361" s="1"/>
      <c r="L3361" s="51"/>
    </row>
    <row r="3362" spans="10:12" x14ac:dyDescent="0.3">
      <c r="J3362" s="1"/>
      <c r="K3362" s="1"/>
      <c r="L3362" s="51"/>
    </row>
    <row r="3363" spans="10:12" x14ac:dyDescent="0.3">
      <c r="J3363" s="1"/>
      <c r="K3363" s="1"/>
      <c r="L3363" s="51"/>
    </row>
    <row r="3364" spans="10:12" x14ac:dyDescent="0.3">
      <c r="J3364" s="1"/>
      <c r="K3364" s="1"/>
      <c r="L3364" s="51"/>
    </row>
    <row r="3365" spans="10:12" x14ac:dyDescent="0.3">
      <c r="J3365" s="1"/>
      <c r="K3365" s="1"/>
      <c r="L3365" s="51"/>
    </row>
    <row r="3366" spans="10:12" x14ac:dyDescent="0.3">
      <c r="J3366" s="1"/>
      <c r="K3366" s="1"/>
      <c r="L3366" s="51"/>
    </row>
    <row r="3367" spans="10:12" x14ac:dyDescent="0.3">
      <c r="J3367" s="1"/>
      <c r="K3367" s="1"/>
      <c r="L3367" s="51"/>
    </row>
    <row r="3368" spans="10:12" x14ac:dyDescent="0.3">
      <c r="J3368" s="1"/>
      <c r="K3368" s="1"/>
      <c r="L3368" s="51"/>
    </row>
    <row r="3369" spans="10:12" x14ac:dyDescent="0.3">
      <c r="J3369" s="1"/>
      <c r="K3369" s="1"/>
      <c r="L3369" s="51"/>
    </row>
    <row r="3370" spans="10:12" x14ac:dyDescent="0.3">
      <c r="J3370" s="1"/>
      <c r="K3370" s="1"/>
      <c r="L3370" s="51"/>
    </row>
    <row r="3371" spans="10:12" x14ac:dyDescent="0.3">
      <c r="J3371" s="1"/>
      <c r="K3371" s="1"/>
      <c r="L3371" s="51"/>
    </row>
    <row r="3372" spans="10:12" x14ac:dyDescent="0.3">
      <c r="J3372" s="1"/>
      <c r="K3372" s="1"/>
      <c r="L3372" s="51"/>
    </row>
    <row r="3373" spans="10:12" x14ac:dyDescent="0.3">
      <c r="J3373" s="1"/>
      <c r="K3373" s="1"/>
      <c r="L3373" s="51"/>
    </row>
    <row r="3374" spans="10:12" x14ac:dyDescent="0.3">
      <c r="J3374" s="1"/>
      <c r="K3374" s="1"/>
      <c r="L3374" s="51"/>
    </row>
    <row r="3375" spans="10:12" x14ac:dyDescent="0.3">
      <c r="J3375" s="1"/>
      <c r="K3375" s="1"/>
      <c r="L3375" s="51"/>
    </row>
    <row r="3376" spans="10:12" x14ac:dyDescent="0.3">
      <c r="J3376" s="1"/>
      <c r="K3376" s="1"/>
      <c r="L3376" s="51"/>
    </row>
    <row r="3377" spans="10:12" x14ac:dyDescent="0.3">
      <c r="J3377" s="1"/>
      <c r="K3377" s="1"/>
      <c r="L3377" s="51"/>
    </row>
    <row r="3378" spans="10:12" x14ac:dyDescent="0.3">
      <c r="J3378" s="1"/>
      <c r="K3378" s="1"/>
      <c r="L3378" s="51"/>
    </row>
    <row r="3379" spans="10:12" x14ac:dyDescent="0.3">
      <c r="J3379" s="1"/>
      <c r="K3379" s="1"/>
      <c r="L3379" s="51"/>
    </row>
    <row r="3380" spans="10:12" x14ac:dyDescent="0.3">
      <c r="J3380" s="1"/>
      <c r="K3380" s="1"/>
      <c r="L3380" s="51"/>
    </row>
    <row r="3381" spans="10:12" x14ac:dyDescent="0.3">
      <c r="J3381" s="1"/>
      <c r="K3381" s="1"/>
      <c r="L3381" s="51"/>
    </row>
    <row r="3382" spans="10:12" x14ac:dyDescent="0.3">
      <c r="J3382" s="1"/>
      <c r="K3382" s="1"/>
      <c r="L3382" s="51"/>
    </row>
    <row r="3383" spans="10:12" x14ac:dyDescent="0.3">
      <c r="J3383" s="1"/>
      <c r="K3383" s="1"/>
      <c r="L3383" s="51"/>
    </row>
    <row r="3384" spans="10:12" x14ac:dyDescent="0.3">
      <c r="J3384" s="1"/>
      <c r="K3384" s="1"/>
      <c r="L3384" s="51"/>
    </row>
    <row r="3385" spans="10:12" x14ac:dyDescent="0.3">
      <c r="J3385" s="1"/>
      <c r="K3385" s="1"/>
      <c r="L3385" s="51"/>
    </row>
    <row r="3386" spans="10:12" x14ac:dyDescent="0.3">
      <c r="J3386" s="1"/>
      <c r="K3386" s="1"/>
      <c r="L3386" s="51"/>
    </row>
    <row r="3387" spans="10:12" x14ac:dyDescent="0.3">
      <c r="J3387" s="1"/>
      <c r="K3387" s="1"/>
      <c r="L3387" s="51"/>
    </row>
    <row r="3388" spans="10:12" x14ac:dyDescent="0.3">
      <c r="J3388" s="1"/>
      <c r="K3388" s="1"/>
      <c r="L3388" s="51"/>
    </row>
    <row r="3389" spans="10:12" x14ac:dyDescent="0.3">
      <c r="J3389" s="1"/>
      <c r="K3389" s="1"/>
      <c r="L3389" s="51"/>
    </row>
    <row r="3390" spans="10:12" x14ac:dyDescent="0.3">
      <c r="J3390" s="1"/>
      <c r="K3390" s="1"/>
      <c r="L3390" s="51"/>
    </row>
    <row r="3391" spans="10:12" x14ac:dyDescent="0.3">
      <c r="J3391" s="1"/>
      <c r="K3391" s="1"/>
      <c r="L3391" s="51"/>
    </row>
    <row r="3392" spans="10:12" x14ac:dyDescent="0.3">
      <c r="J3392" s="1"/>
      <c r="K3392" s="1"/>
      <c r="L3392" s="51"/>
    </row>
    <row r="3393" spans="10:12" x14ac:dyDescent="0.3">
      <c r="J3393" s="1"/>
      <c r="K3393" s="1"/>
      <c r="L3393" s="51"/>
    </row>
    <row r="3394" spans="10:12" x14ac:dyDescent="0.3">
      <c r="J3394" s="1"/>
      <c r="K3394" s="1"/>
      <c r="L3394" s="51"/>
    </row>
    <row r="3395" spans="10:12" x14ac:dyDescent="0.3">
      <c r="J3395" s="1"/>
      <c r="K3395" s="1"/>
      <c r="L3395" s="51"/>
    </row>
    <row r="3396" spans="10:12" x14ac:dyDescent="0.3">
      <c r="J3396" s="1"/>
      <c r="K3396" s="1"/>
      <c r="L3396" s="51"/>
    </row>
    <row r="3397" spans="10:12" x14ac:dyDescent="0.3">
      <c r="J3397" s="1"/>
      <c r="K3397" s="1"/>
      <c r="L3397" s="51"/>
    </row>
    <row r="3398" spans="10:12" x14ac:dyDescent="0.3">
      <c r="J3398" s="1"/>
      <c r="K3398" s="1"/>
      <c r="L3398" s="51"/>
    </row>
    <row r="3399" spans="10:12" x14ac:dyDescent="0.3">
      <c r="J3399" s="1"/>
      <c r="K3399" s="1"/>
      <c r="L3399" s="51"/>
    </row>
    <row r="3400" spans="10:12" x14ac:dyDescent="0.3">
      <c r="J3400" s="1"/>
      <c r="K3400" s="1"/>
      <c r="L3400" s="51"/>
    </row>
    <row r="3401" spans="10:12" x14ac:dyDescent="0.3">
      <c r="J3401" s="1"/>
      <c r="K3401" s="1"/>
      <c r="L3401" s="51"/>
    </row>
    <row r="3402" spans="10:12" x14ac:dyDescent="0.3">
      <c r="J3402" s="1"/>
      <c r="K3402" s="1"/>
      <c r="L3402" s="51"/>
    </row>
    <row r="3403" spans="10:12" x14ac:dyDescent="0.3">
      <c r="J3403" s="1"/>
      <c r="K3403" s="1"/>
      <c r="L3403" s="51"/>
    </row>
    <row r="3404" spans="10:12" x14ac:dyDescent="0.3">
      <c r="J3404" s="1"/>
      <c r="K3404" s="1"/>
      <c r="L3404" s="51"/>
    </row>
    <row r="3405" spans="10:12" x14ac:dyDescent="0.3">
      <c r="J3405" s="1"/>
      <c r="K3405" s="1"/>
      <c r="L3405" s="51"/>
    </row>
    <row r="3406" spans="10:12" x14ac:dyDescent="0.3">
      <c r="J3406" s="1"/>
      <c r="K3406" s="1"/>
      <c r="L3406" s="51"/>
    </row>
    <row r="3407" spans="10:12" x14ac:dyDescent="0.3">
      <c r="J3407" s="1"/>
      <c r="K3407" s="1"/>
      <c r="L3407" s="51"/>
    </row>
    <row r="3408" spans="10:12" x14ac:dyDescent="0.3">
      <c r="J3408" s="1"/>
      <c r="K3408" s="1"/>
      <c r="L3408" s="51"/>
    </row>
    <row r="3409" spans="10:12" x14ac:dyDescent="0.3">
      <c r="J3409" s="1"/>
      <c r="K3409" s="1"/>
      <c r="L3409" s="51"/>
    </row>
    <row r="3410" spans="10:12" x14ac:dyDescent="0.3">
      <c r="J3410" s="1"/>
      <c r="K3410" s="1"/>
      <c r="L3410" s="51"/>
    </row>
    <row r="3411" spans="10:12" x14ac:dyDescent="0.3">
      <c r="J3411" s="1"/>
      <c r="K3411" s="1"/>
      <c r="L3411" s="51"/>
    </row>
    <row r="3412" spans="10:12" x14ac:dyDescent="0.3">
      <c r="J3412" s="1"/>
      <c r="K3412" s="1"/>
      <c r="L3412" s="51"/>
    </row>
    <row r="3413" spans="10:12" x14ac:dyDescent="0.3">
      <c r="J3413" s="1"/>
      <c r="K3413" s="1"/>
      <c r="L3413" s="51"/>
    </row>
    <row r="3414" spans="10:12" x14ac:dyDescent="0.3">
      <c r="J3414" s="1"/>
      <c r="K3414" s="1"/>
      <c r="L3414" s="51"/>
    </row>
    <row r="3415" spans="10:12" x14ac:dyDescent="0.3">
      <c r="J3415" s="1"/>
      <c r="K3415" s="1"/>
      <c r="L3415" s="51"/>
    </row>
    <row r="3416" spans="10:12" x14ac:dyDescent="0.3">
      <c r="J3416" s="1"/>
      <c r="K3416" s="1"/>
      <c r="L3416" s="51"/>
    </row>
    <row r="3417" spans="10:12" x14ac:dyDescent="0.3">
      <c r="J3417" s="1"/>
      <c r="K3417" s="1"/>
      <c r="L3417" s="51"/>
    </row>
    <row r="3418" spans="10:12" x14ac:dyDescent="0.3">
      <c r="J3418" s="1"/>
      <c r="K3418" s="1"/>
      <c r="L3418" s="51"/>
    </row>
    <row r="3419" spans="10:12" x14ac:dyDescent="0.3">
      <c r="J3419" s="1"/>
      <c r="K3419" s="1"/>
      <c r="L3419" s="51"/>
    </row>
    <row r="3420" spans="10:12" x14ac:dyDescent="0.3">
      <c r="J3420" s="1"/>
      <c r="K3420" s="1"/>
      <c r="L3420" s="51"/>
    </row>
    <row r="3421" spans="10:12" x14ac:dyDescent="0.3">
      <c r="J3421" s="1"/>
      <c r="K3421" s="1"/>
      <c r="L3421" s="51"/>
    </row>
    <row r="3422" spans="10:12" x14ac:dyDescent="0.3">
      <c r="J3422" s="1"/>
      <c r="K3422" s="1"/>
      <c r="L3422" s="51"/>
    </row>
    <row r="3423" spans="10:12" x14ac:dyDescent="0.3">
      <c r="J3423" s="1"/>
      <c r="K3423" s="1"/>
      <c r="L3423" s="51"/>
    </row>
    <row r="3424" spans="10:12" x14ac:dyDescent="0.3">
      <c r="J3424" s="1"/>
      <c r="K3424" s="1"/>
      <c r="L3424" s="51"/>
    </row>
    <row r="3425" spans="10:12" x14ac:dyDescent="0.3">
      <c r="J3425" s="1"/>
      <c r="K3425" s="1"/>
      <c r="L3425" s="51"/>
    </row>
    <row r="3426" spans="10:12" x14ac:dyDescent="0.3">
      <c r="J3426" s="1"/>
      <c r="K3426" s="1"/>
      <c r="L3426" s="51"/>
    </row>
    <row r="3427" spans="10:12" x14ac:dyDescent="0.3">
      <c r="J3427" s="1"/>
      <c r="K3427" s="1"/>
      <c r="L3427" s="51"/>
    </row>
    <row r="3428" spans="10:12" x14ac:dyDescent="0.3">
      <c r="J3428" s="1"/>
      <c r="K3428" s="1"/>
      <c r="L3428" s="51"/>
    </row>
    <row r="3429" spans="10:12" x14ac:dyDescent="0.3">
      <c r="J3429" s="1"/>
      <c r="K3429" s="1"/>
      <c r="L3429" s="51"/>
    </row>
    <row r="3430" spans="10:12" x14ac:dyDescent="0.3">
      <c r="J3430" s="1"/>
      <c r="K3430" s="1"/>
      <c r="L3430" s="51"/>
    </row>
    <row r="3431" spans="10:12" x14ac:dyDescent="0.3">
      <c r="J3431" s="1"/>
      <c r="K3431" s="1"/>
      <c r="L3431" s="51"/>
    </row>
    <row r="3432" spans="10:12" x14ac:dyDescent="0.3">
      <c r="J3432" s="1"/>
      <c r="K3432" s="1"/>
      <c r="L3432" s="51"/>
    </row>
    <row r="3433" spans="10:12" x14ac:dyDescent="0.3">
      <c r="J3433" s="1"/>
      <c r="K3433" s="1"/>
      <c r="L3433" s="51"/>
    </row>
    <row r="3434" spans="10:12" x14ac:dyDescent="0.3">
      <c r="J3434" s="1"/>
      <c r="K3434" s="1"/>
      <c r="L3434" s="51"/>
    </row>
    <row r="3435" spans="10:12" x14ac:dyDescent="0.3">
      <c r="J3435" s="1"/>
      <c r="K3435" s="1"/>
      <c r="L3435" s="51"/>
    </row>
    <row r="3436" spans="10:12" x14ac:dyDescent="0.3">
      <c r="J3436" s="1"/>
      <c r="K3436" s="1"/>
      <c r="L3436" s="51"/>
    </row>
    <row r="3437" spans="10:12" x14ac:dyDescent="0.3">
      <c r="J3437" s="1"/>
      <c r="K3437" s="1"/>
      <c r="L3437" s="51"/>
    </row>
    <row r="3438" spans="10:12" x14ac:dyDescent="0.3">
      <c r="J3438" s="1"/>
      <c r="K3438" s="1"/>
      <c r="L3438" s="51"/>
    </row>
    <row r="3439" spans="10:12" x14ac:dyDescent="0.3">
      <c r="J3439" s="1"/>
      <c r="K3439" s="1"/>
      <c r="L3439" s="51"/>
    </row>
    <row r="3440" spans="10:12" x14ac:dyDescent="0.3">
      <c r="J3440" s="1"/>
      <c r="K3440" s="1"/>
      <c r="L3440" s="51"/>
    </row>
    <row r="3441" spans="10:12" x14ac:dyDescent="0.3">
      <c r="J3441" s="1"/>
      <c r="K3441" s="1"/>
      <c r="L3441" s="51"/>
    </row>
    <row r="3442" spans="10:12" x14ac:dyDescent="0.3">
      <c r="J3442" s="1"/>
      <c r="K3442" s="1"/>
      <c r="L3442" s="51"/>
    </row>
    <row r="3443" spans="10:12" x14ac:dyDescent="0.3">
      <c r="J3443" s="1"/>
      <c r="K3443" s="1"/>
      <c r="L3443" s="51"/>
    </row>
    <row r="3444" spans="10:12" x14ac:dyDescent="0.3">
      <c r="J3444" s="1"/>
      <c r="K3444" s="1"/>
      <c r="L3444" s="51"/>
    </row>
    <row r="3445" spans="10:12" x14ac:dyDescent="0.3">
      <c r="J3445" s="1"/>
      <c r="K3445" s="1"/>
      <c r="L3445" s="51"/>
    </row>
    <row r="3446" spans="10:12" x14ac:dyDescent="0.3">
      <c r="J3446" s="1"/>
      <c r="K3446" s="1"/>
      <c r="L3446" s="51"/>
    </row>
    <row r="3447" spans="10:12" x14ac:dyDescent="0.3">
      <c r="J3447" s="1"/>
      <c r="K3447" s="1"/>
      <c r="L3447" s="51"/>
    </row>
    <row r="3448" spans="10:12" x14ac:dyDescent="0.3">
      <c r="J3448" s="1"/>
      <c r="K3448" s="1"/>
      <c r="L3448" s="51"/>
    </row>
    <row r="3449" spans="10:12" x14ac:dyDescent="0.3">
      <c r="J3449" s="1"/>
      <c r="K3449" s="1"/>
      <c r="L3449" s="51"/>
    </row>
    <row r="3450" spans="10:12" x14ac:dyDescent="0.3">
      <c r="J3450" s="1"/>
      <c r="K3450" s="1"/>
      <c r="L3450" s="51"/>
    </row>
    <row r="3451" spans="10:12" x14ac:dyDescent="0.3">
      <c r="J3451" s="1"/>
      <c r="K3451" s="1"/>
      <c r="L3451" s="51"/>
    </row>
    <row r="3452" spans="10:12" x14ac:dyDescent="0.3">
      <c r="J3452" s="1"/>
      <c r="K3452" s="1"/>
      <c r="L3452" s="51"/>
    </row>
    <row r="3453" spans="10:12" x14ac:dyDescent="0.3">
      <c r="J3453" s="1"/>
      <c r="K3453" s="1"/>
      <c r="L3453" s="51"/>
    </row>
    <row r="3454" spans="10:12" x14ac:dyDescent="0.3">
      <c r="J3454" s="1"/>
      <c r="K3454" s="1"/>
      <c r="L3454" s="51"/>
    </row>
    <row r="3455" spans="10:12" x14ac:dyDescent="0.3">
      <c r="J3455" s="1"/>
      <c r="K3455" s="1"/>
      <c r="L3455" s="51"/>
    </row>
    <row r="3456" spans="10:12" x14ac:dyDescent="0.3">
      <c r="J3456" s="1"/>
      <c r="K3456" s="1"/>
      <c r="L3456" s="51"/>
    </row>
    <row r="3457" spans="10:12" x14ac:dyDescent="0.3">
      <c r="J3457" s="1"/>
      <c r="K3457" s="1"/>
      <c r="L3457" s="51"/>
    </row>
    <row r="3458" spans="10:12" x14ac:dyDescent="0.3">
      <c r="J3458" s="1"/>
      <c r="K3458" s="1"/>
      <c r="L3458" s="51"/>
    </row>
    <row r="3459" spans="10:12" x14ac:dyDescent="0.3">
      <c r="J3459" s="1"/>
      <c r="K3459" s="1"/>
      <c r="L3459" s="51"/>
    </row>
    <row r="3460" spans="10:12" x14ac:dyDescent="0.3">
      <c r="J3460" s="1"/>
      <c r="K3460" s="1"/>
      <c r="L3460" s="51"/>
    </row>
    <row r="3461" spans="10:12" x14ac:dyDescent="0.3">
      <c r="J3461" s="1"/>
      <c r="K3461" s="1"/>
      <c r="L3461" s="51"/>
    </row>
    <row r="3462" spans="10:12" x14ac:dyDescent="0.3">
      <c r="J3462" s="1"/>
      <c r="K3462" s="1"/>
      <c r="L3462" s="51"/>
    </row>
    <row r="3463" spans="10:12" x14ac:dyDescent="0.3">
      <c r="J3463" s="1"/>
      <c r="K3463" s="1"/>
      <c r="L3463" s="51"/>
    </row>
    <row r="3464" spans="10:12" x14ac:dyDescent="0.3">
      <c r="J3464" s="1"/>
      <c r="K3464" s="1"/>
      <c r="L3464" s="51"/>
    </row>
    <row r="3465" spans="10:12" x14ac:dyDescent="0.3">
      <c r="J3465" s="1"/>
      <c r="K3465" s="1"/>
      <c r="L3465" s="51"/>
    </row>
    <row r="3466" spans="10:12" x14ac:dyDescent="0.3">
      <c r="J3466" s="1"/>
      <c r="K3466" s="1"/>
      <c r="L3466" s="51"/>
    </row>
    <row r="3467" spans="10:12" x14ac:dyDescent="0.3">
      <c r="J3467" s="1"/>
      <c r="K3467" s="1"/>
      <c r="L3467" s="51"/>
    </row>
    <row r="3468" spans="10:12" x14ac:dyDescent="0.3">
      <c r="J3468" s="1"/>
      <c r="K3468" s="1"/>
      <c r="L3468" s="51"/>
    </row>
    <row r="3469" spans="10:12" x14ac:dyDescent="0.3">
      <c r="J3469" s="1"/>
      <c r="K3469" s="1"/>
      <c r="L3469" s="51"/>
    </row>
    <row r="3470" spans="10:12" x14ac:dyDescent="0.3">
      <c r="J3470" s="1"/>
      <c r="K3470" s="1"/>
      <c r="L3470" s="51"/>
    </row>
    <row r="3471" spans="10:12" x14ac:dyDescent="0.3">
      <c r="J3471" s="1"/>
      <c r="K3471" s="1"/>
      <c r="L3471" s="51"/>
    </row>
    <row r="3472" spans="10:12" x14ac:dyDescent="0.3">
      <c r="J3472" s="1"/>
      <c r="K3472" s="1"/>
      <c r="L3472" s="51"/>
    </row>
    <row r="3473" spans="10:12" x14ac:dyDescent="0.3">
      <c r="J3473" s="1"/>
      <c r="K3473" s="1"/>
      <c r="L3473" s="51"/>
    </row>
    <row r="3474" spans="10:12" x14ac:dyDescent="0.3">
      <c r="J3474" s="1"/>
      <c r="K3474" s="1"/>
      <c r="L3474" s="51"/>
    </row>
    <row r="3475" spans="10:12" x14ac:dyDescent="0.3">
      <c r="J3475" s="1"/>
      <c r="K3475" s="1"/>
      <c r="L3475" s="51"/>
    </row>
    <row r="3476" spans="10:12" x14ac:dyDescent="0.3">
      <c r="J3476" s="1"/>
      <c r="K3476" s="1"/>
      <c r="L3476" s="51"/>
    </row>
    <row r="3477" spans="10:12" x14ac:dyDescent="0.3">
      <c r="J3477" s="1"/>
      <c r="K3477" s="1"/>
      <c r="L3477" s="51"/>
    </row>
    <row r="3478" spans="10:12" x14ac:dyDescent="0.3">
      <c r="J3478" s="1"/>
      <c r="K3478" s="1"/>
      <c r="L3478" s="51"/>
    </row>
    <row r="3479" spans="10:12" x14ac:dyDescent="0.3">
      <c r="J3479" s="1"/>
      <c r="K3479" s="1"/>
      <c r="L3479" s="51"/>
    </row>
    <row r="3480" spans="10:12" x14ac:dyDescent="0.3">
      <c r="J3480" s="1"/>
      <c r="K3480" s="1"/>
      <c r="L3480" s="51"/>
    </row>
    <row r="3481" spans="10:12" x14ac:dyDescent="0.3">
      <c r="J3481" s="1"/>
      <c r="K3481" s="1"/>
      <c r="L3481" s="51"/>
    </row>
    <row r="3482" spans="10:12" x14ac:dyDescent="0.3">
      <c r="J3482" s="1"/>
      <c r="K3482" s="1"/>
      <c r="L3482" s="51"/>
    </row>
    <row r="3483" spans="10:12" x14ac:dyDescent="0.3">
      <c r="J3483" s="1"/>
      <c r="K3483" s="1"/>
      <c r="L3483" s="51"/>
    </row>
    <row r="3484" spans="10:12" x14ac:dyDescent="0.3">
      <c r="J3484" s="1"/>
      <c r="K3484" s="1"/>
      <c r="L3484" s="51"/>
    </row>
    <row r="3485" spans="10:12" x14ac:dyDescent="0.3">
      <c r="J3485" s="1"/>
      <c r="K3485" s="1"/>
      <c r="L3485" s="51"/>
    </row>
    <row r="3486" spans="10:12" x14ac:dyDescent="0.3">
      <c r="J3486" s="1"/>
      <c r="K3486" s="1"/>
      <c r="L3486" s="51"/>
    </row>
    <row r="3487" spans="10:12" x14ac:dyDescent="0.3">
      <c r="J3487" s="1"/>
      <c r="K3487" s="1"/>
      <c r="L3487" s="51"/>
    </row>
    <row r="3488" spans="10:12" x14ac:dyDescent="0.3">
      <c r="J3488" s="1"/>
      <c r="K3488" s="1"/>
      <c r="L3488" s="51"/>
    </row>
    <row r="3489" spans="10:12" x14ac:dyDescent="0.3">
      <c r="J3489" s="1"/>
      <c r="K3489" s="1"/>
      <c r="L3489" s="51"/>
    </row>
    <row r="3490" spans="10:12" x14ac:dyDescent="0.3">
      <c r="J3490" s="1"/>
      <c r="K3490" s="1"/>
      <c r="L3490" s="51"/>
    </row>
    <row r="3491" spans="10:12" x14ac:dyDescent="0.3">
      <c r="J3491" s="1"/>
      <c r="K3491" s="1"/>
      <c r="L3491" s="51"/>
    </row>
    <row r="3492" spans="10:12" x14ac:dyDescent="0.3">
      <c r="J3492" s="1"/>
      <c r="K3492" s="1"/>
      <c r="L3492" s="51"/>
    </row>
    <row r="3493" spans="10:12" x14ac:dyDescent="0.3">
      <c r="J3493" s="1"/>
      <c r="K3493" s="1"/>
      <c r="L3493" s="51"/>
    </row>
    <row r="3494" spans="10:12" x14ac:dyDescent="0.3">
      <c r="J3494" s="1"/>
      <c r="K3494" s="1"/>
      <c r="L3494" s="51"/>
    </row>
    <row r="3495" spans="10:12" x14ac:dyDescent="0.3">
      <c r="J3495" s="1"/>
      <c r="K3495" s="1"/>
      <c r="L3495" s="51"/>
    </row>
    <row r="3496" spans="10:12" x14ac:dyDescent="0.3">
      <c r="J3496" s="1"/>
      <c r="K3496" s="1"/>
      <c r="L3496" s="51"/>
    </row>
    <row r="3497" spans="10:12" x14ac:dyDescent="0.3">
      <c r="J3497" s="1"/>
      <c r="K3497" s="1"/>
      <c r="L3497" s="51"/>
    </row>
    <row r="3498" spans="10:12" x14ac:dyDescent="0.3">
      <c r="J3498" s="1"/>
      <c r="K3498" s="1"/>
      <c r="L3498" s="51"/>
    </row>
    <row r="3499" spans="10:12" x14ac:dyDescent="0.3">
      <c r="J3499" s="1"/>
      <c r="K3499" s="1"/>
      <c r="L3499" s="51"/>
    </row>
    <row r="3500" spans="10:12" x14ac:dyDescent="0.3">
      <c r="J3500" s="1"/>
      <c r="K3500" s="1"/>
      <c r="L3500" s="51"/>
    </row>
    <row r="3501" spans="10:12" x14ac:dyDescent="0.3">
      <c r="J3501" s="1"/>
      <c r="K3501" s="1"/>
      <c r="L3501" s="51"/>
    </row>
    <row r="3502" spans="10:12" x14ac:dyDescent="0.3">
      <c r="J3502" s="1"/>
      <c r="K3502" s="1"/>
      <c r="L3502" s="51"/>
    </row>
    <row r="3503" spans="10:12" x14ac:dyDescent="0.3">
      <c r="J3503" s="1"/>
      <c r="K3503" s="1"/>
      <c r="L3503" s="51"/>
    </row>
    <row r="3504" spans="10:12" x14ac:dyDescent="0.3">
      <c r="J3504" s="1"/>
      <c r="K3504" s="1"/>
      <c r="L3504" s="51"/>
    </row>
    <row r="3505" spans="10:12" x14ac:dyDescent="0.3">
      <c r="J3505" s="1"/>
      <c r="K3505" s="1"/>
      <c r="L3505" s="51"/>
    </row>
    <row r="3506" spans="10:12" x14ac:dyDescent="0.3">
      <c r="J3506" s="1"/>
      <c r="K3506" s="1"/>
      <c r="L3506" s="51"/>
    </row>
    <row r="3507" spans="10:12" x14ac:dyDescent="0.3">
      <c r="J3507" s="1"/>
      <c r="K3507" s="1"/>
      <c r="L3507" s="51"/>
    </row>
    <row r="3508" spans="10:12" x14ac:dyDescent="0.3">
      <c r="J3508" s="1"/>
      <c r="K3508" s="1"/>
      <c r="L3508" s="51"/>
    </row>
    <row r="3509" spans="10:12" x14ac:dyDescent="0.3">
      <c r="J3509" s="1"/>
      <c r="K3509" s="1"/>
      <c r="L3509" s="51"/>
    </row>
    <row r="3510" spans="10:12" x14ac:dyDescent="0.3">
      <c r="J3510" s="1"/>
      <c r="K3510" s="1"/>
      <c r="L3510" s="51"/>
    </row>
    <row r="3511" spans="10:12" x14ac:dyDescent="0.3">
      <c r="J3511" s="1"/>
      <c r="K3511" s="1"/>
      <c r="L3511" s="51"/>
    </row>
  </sheetData>
  <pageMargins left="0.25" right="0.25" top="0.75" bottom="0.75" header="0.3" footer="0.3"/>
  <pageSetup orientation="portrait" r:id="rId1"/>
  <rowBreaks count="3" manualBreakCount="3">
    <brk id="17" max="16383" man="1"/>
    <brk id="45" max="16383" man="1"/>
    <brk id="128" max="16383"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715B-E893-4524-BCEB-96958DC58F88}">
  <dimension ref="B1:AU289"/>
  <sheetViews>
    <sheetView showWhiteSpace="0" topLeftCell="A215" zoomScaleNormal="100" zoomScalePageLayoutView="85" workbookViewId="0">
      <selection activeCell="B288" sqref="B288"/>
    </sheetView>
  </sheetViews>
  <sheetFormatPr defaultColWidth="8.88671875" defaultRowHeight="10.199999999999999" x14ac:dyDescent="0.3"/>
  <cols>
    <col min="1" max="1" width="6.33203125" style="131" customWidth="1"/>
    <col min="2" max="2" width="71.33203125" style="131" customWidth="1"/>
    <col min="3" max="3" width="6.5546875" style="131" bestFit="1" customWidth="1"/>
    <col min="4" max="4" width="14" style="131" customWidth="1"/>
    <col min="5" max="5" width="13" style="131" customWidth="1"/>
    <col min="6" max="6" width="9.88671875" style="131" bestFit="1" customWidth="1"/>
    <col min="7" max="7" width="10.5546875" style="131" customWidth="1"/>
    <col min="8" max="9" width="9.6640625" style="131" customWidth="1"/>
    <col min="10" max="10" width="12.44140625" style="131" customWidth="1"/>
    <col min="11" max="11" width="11.5546875" style="131" customWidth="1"/>
    <col min="12" max="12" width="11.5546875" style="131" bestFit="1" customWidth="1"/>
    <col min="13" max="13" width="10.109375" style="131" customWidth="1"/>
    <col min="14" max="14" width="12.109375" style="131" customWidth="1"/>
    <col min="15" max="15" width="12" style="131" customWidth="1"/>
    <col min="16" max="16" width="13.5546875" style="131" customWidth="1"/>
    <col min="17" max="17" width="12.109375" style="131" customWidth="1"/>
    <col min="18" max="22" width="8.88671875" style="131"/>
    <col min="23" max="23" width="10.88671875" style="131" bestFit="1" customWidth="1"/>
    <col min="24" max="24" width="19.6640625" style="131" bestFit="1" customWidth="1"/>
    <col min="25" max="25" width="20.6640625" style="131" bestFit="1" customWidth="1"/>
    <col min="26" max="26" width="30.44140625" style="131" bestFit="1" customWidth="1"/>
    <col min="27" max="27" width="13.109375" style="202" customWidth="1"/>
    <col min="28" max="28" width="12.88671875" style="131" customWidth="1"/>
    <col min="29" max="29" width="22.6640625" style="131" customWidth="1"/>
    <col min="30" max="31" width="13.5546875" style="131" bestFit="1" customWidth="1"/>
    <col min="32" max="32" width="11" style="131" customWidth="1"/>
    <col min="33" max="35" width="14" style="131" bestFit="1" customWidth="1"/>
    <col min="36" max="36" width="14.5546875" style="131" bestFit="1" customWidth="1"/>
    <col min="37" max="37" width="13.5546875" style="131" bestFit="1" customWidth="1"/>
    <col min="38" max="38" width="12" style="131" bestFit="1" customWidth="1"/>
    <col min="39" max="39" width="10.33203125" style="131" bestFit="1" customWidth="1"/>
    <col min="40" max="42" width="9" style="131" bestFit="1" customWidth="1"/>
    <col min="43" max="49" width="8.88671875" style="131"/>
    <col min="50" max="50" width="12.6640625" style="131" bestFit="1" customWidth="1"/>
    <col min="51" max="51" width="10" style="131" bestFit="1" customWidth="1"/>
    <col min="52" max="52" width="8.88671875" style="131"/>
    <col min="53" max="53" width="17.109375" style="131" bestFit="1" customWidth="1"/>
    <col min="54" max="56" width="8.88671875" style="131"/>
    <col min="57" max="57" width="13.6640625" style="131" bestFit="1" customWidth="1"/>
    <col min="58" max="58" width="8.88671875" style="131"/>
    <col min="59" max="59" width="10.44140625" style="131" bestFit="1" customWidth="1"/>
    <col min="60" max="61" width="8.88671875" style="131"/>
    <col min="62" max="62" width="10.109375" style="131" bestFit="1" customWidth="1"/>
    <col min="63" max="63" width="10" style="131" customWidth="1"/>
    <col min="64" max="64" width="8.88671875" style="131"/>
    <col min="65" max="65" width="10.6640625" style="131" customWidth="1"/>
    <col min="66" max="66" width="11.6640625" style="131" customWidth="1"/>
    <col min="67" max="69" width="8.88671875" style="131"/>
    <col min="70" max="70" width="14" style="131" customWidth="1"/>
    <col min="71" max="16384" width="8.88671875" style="131"/>
  </cols>
  <sheetData>
    <row r="1" spans="2:12" x14ac:dyDescent="0.3">
      <c r="G1" s="272" t="s">
        <v>1101</v>
      </c>
      <c r="H1" s="272" t="s">
        <v>5</v>
      </c>
      <c r="I1" s="272" t="s">
        <v>890</v>
      </c>
      <c r="J1" s="272" t="s">
        <v>1102</v>
      </c>
      <c r="K1" s="272" t="s">
        <v>1103</v>
      </c>
      <c r="L1" s="272" t="s">
        <v>1104</v>
      </c>
    </row>
    <row r="2" spans="2:12" ht="10.199999999999999" customHeight="1" x14ac:dyDescent="0.3">
      <c r="B2" s="502" t="s">
        <v>1048</v>
      </c>
      <c r="C2" s="131">
        <v>0</v>
      </c>
      <c r="D2" s="131">
        <v>101250</v>
      </c>
      <c r="F2" s="131">
        <v>0</v>
      </c>
      <c r="G2" s="272"/>
      <c r="H2" s="272"/>
      <c r="I2" s="272"/>
      <c r="J2" s="272"/>
      <c r="K2" s="272"/>
      <c r="L2" s="272">
        <f>+E13-0.02*E6</f>
        <v>847768.85121796886</v>
      </c>
    </row>
    <row r="3" spans="2:12" ht="10.199999999999999" customHeight="1" x14ac:dyDescent="0.3">
      <c r="B3" s="502"/>
      <c r="C3" s="131">
        <v>1</v>
      </c>
      <c r="D3" s="131">
        <v>101250</v>
      </c>
      <c r="F3" s="131">
        <v>1</v>
      </c>
      <c r="G3" s="272">
        <f>+E13</f>
        <v>874768.85121796886</v>
      </c>
      <c r="H3" s="272">
        <f>+G3*0.55</f>
        <v>481122.86816988292</v>
      </c>
      <c r="I3" s="272">
        <f>+J3-H3</f>
        <v>176631.77207833796</v>
      </c>
      <c r="J3" s="272">
        <f>+PMT(0.55, 3, -$G$3)</f>
        <v>657754.64024822088</v>
      </c>
      <c r="K3" s="272">
        <f>0.01*G3</f>
        <v>8747.6885121796895</v>
      </c>
      <c r="L3" s="272"/>
    </row>
    <row r="4" spans="2:12" ht="10.199999999999999" customHeight="1" x14ac:dyDescent="0.3">
      <c r="B4" s="502"/>
      <c r="C4" s="131">
        <v>2</v>
      </c>
      <c r="D4" s="131">
        <v>101250</v>
      </c>
      <c r="F4" s="131">
        <v>2</v>
      </c>
      <c r="G4" s="272">
        <f>+G3-I3</f>
        <v>698137.07913963089</v>
      </c>
      <c r="H4" s="272">
        <f t="shared" ref="H4:H5" si="0">+G4*0.55</f>
        <v>383975.39352679701</v>
      </c>
      <c r="I4" s="272">
        <f t="shared" ref="I4:I5" si="1">+J4-H4</f>
        <v>273779.24672142387</v>
      </c>
      <c r="J4" s="272">
        <f t="shared" ref="J4:J5" si="2">+PMT(0.55, 3, -$G$3)</f>
        <v>657754.64024822088</v>
      </c>
      <c r="K4" s="272">
        <f t="shared" ref="K4:K5" si="3">0.01*G4</f>
        <v>6981.370791396309</v>
      </c>
      <c r="L4" s="272"/>
    </row>
    <row r="5" spans="2:12" ht="10.199999999999999" customHeight="1" x14ac:dyDescent="0.3">
      <c r="B5" s="502"/>
      <c r="C5" s="131">
        <v>3</v>
      </c>
      <c r="D5" s="131">
        <v>101250</v>
      </c>
      <c r="F5" s="131">
        <v>3</v>
      </c>
      <c r="G5" s="272">
        <f t="shared" ref="G5" si="4">+G4-I4</f>
        <v>424357.83241820702</v>
      </c>
      <c r="H5" s="272">
        <f t="shared" si="0"/>
        <v>233396.80783001389</v>
      </c>
      <c r="I5" s="272">
        <f t="shared" si="1"/>
        <v>424357.83241820696</v>
      </c>
      <c r="J5" s="272">
        <f t="shared" si="2"/>
        <v>657754.64024822088</v>
      </c>
      <c r="K5" s="272">
        <f t="shared" si="3"/>
        <v>4243.57832418207</v>
      </c>
      <c r="L5" s="272"/>
    </row>
    <row r="6" spans="2:12" x14ac:dyDescent="0.3">
      <c r="B6" s="502"/>
      <c r="C6" s="131">
        <v>4</v>
      </c>
      <c r="E6" s="131">
        <v>1350000</v>
      </c>
    </row>
    <row r="7" spans="2:12" x14ac:dyDescent="0.3">
      <c r="B7" s="502"/>
      <c r="D7" s="131" t="s">
        <v>1098</v>
      </c>
    </row>
    <row r="8" spans="2:12" x14ac:dyDescent="0.3">
      <c r="B8" s="502"/>
      <c r="D8" s="131">
        <f>+D2*(1+0.26/4)^(4-C2)</f>
        <v>130254.71800078121</v>
      </c>
    </row>
    <row r="9" spans="2:12" x14ac:dyDescent="0.3">
      <c r="B9" s="502"/>
      <c r="D9" s="131">
        <f t="shared" ref="D9:D11" si="5">+D3*(1+0.26/4)^(4-C3)</f>
        <v>122304.89953124998</v>
      </c>
    </row>
    <row r="10" spans="2:12" x14ac:dyDescent="0.3">
      <c r="B10" s="502" t="s">
        <v>1049</v>
      </c>
      <c r="D10" s="131">
        <f t="shared" si="5"/>
        <v>114840.28124999999</v>
      </c>
    </row>
    <row r="11" spans="2:12" x14ac:dyDescent="0.3">
      <c r="B11" s="502"/>
      <c r="D11" s="131">
        <f t="shared" si="5"/>
        <v>107831.25</v>
      </c>
    </row>
    <row r="12" spans="2:12" x14ac:dyDescent="0.3">
      <c r="B12" s="502"/>
      <c r="D12" s="131" t="s">
        <v>1099</v>
      </c>
      <c r="E12" s="131">
        <f>SUM(D8:D13)</f>
        <v>475231.1487820312</v>
      </c>
    </row>
    <row r="13" spans="2:12" x14ac:dyDescent="0.3">
      <c r="B13" s="502"/>
      <c r="D13" s="131" t="s">
        <v>1100</v>
      </c>
      <c r="E13" s="131">
        <f>+E6-E12</f>
        <v>874768.85121796886</v>
      </c>
    </row>
    <row r="14" spans="2:12" x14ac:dyDescent="0.3">
      <c r="B14" s="502" t="s">
        <v>1050</v>
      </c>
    </row>
    <row r="15" spans="2:12" x14ac:dyDescent="0.3">
      <c r="B15" s="502"/>
    </row>
    <row r="16" spans="2:12" x14ac:dyDescent="0.3">
      <c r="B16" s="502"/>
    </row>
    <row r="17" spans="2:27" x14ac:dyDescent="0.3">
      <c r="B17" s="502"/>
    </row>
    <row r="18" spans="2:27" x14ac:dyDescent="0.3">
      <c r="B18" s="502"/>
    </row>
    <row r="19" spans="2:27" x14ac:dyDescent="0.3">
      <c r="B19" s="502"/>
    </row>
    <row r="21" spans="2:27" s="269" customFormat="1" x14ac:dyDescent="0.3">
      <c r="AA21" s="202"/>
    </row>
    <row r="22" spans="2:27" ht="10.199999999999999" customHeight="1" x14ac:dyDescent="0.3">
      <c r="B22" s="502" t="s">
        <v>1051</v>
      </c>
      <c r="C22" s="131" t="s">
        <v>57</v>
      </c>
      <c r="D22" s="131" t="s">
        <v>1053</v>
      </c>
      <c r="H22" s="131" t="s">
        <v>149</v>
      </c>
      <c r="I22" s="131">
        <v>100</v>
      </c>
    </row>
    <row r="23" spans="2:27" ht="10.199999999999999" customHeight="1" x14ac:dyDescent="0.3">
      <c r="B23" s="502"/>
      <c r="C23" s="131" t="s">
        <v>1054</v>
      </c>
      <c r="H23" s="131" t="s">
        <v>1056</v>
      </c>
      <c r="I23" s="131">
        <v>0.06</v>
      </c>
      <c r="J23" s="131">
        <f>+I23/2</f>
        <v>0.03</v>
      </c>
    </row>
    <row r="24" spans="2:27" ht="10.199999999999999" customHeight="1" x14ac:dyDescent="0.3">
      <c r="B24" s="502"/>
      <c r="H24" s="131" t="s">
        <v>654</v>
      </c>
      <c r="I24" s="131">
        <v>98</v>
      </c>
    </row>
    <row r="25" spans="2:27" x14ac:dyDescent="0.3">
      <c r="B25" s="502"/>
    </row>
    <row r="26" spans="2:27" x14ac:dyDescent="0.3">
      <c r="B26" s="502" t="s">
        <v>1052</v>
      </c>
      <c r="D26" s="272" t="s">
        <v>1055</v>
      </c>
      <c r="E26" s="272" t="s">
        <v>979</v>
      </c>
      <c r="F26" s="272" t="s">
        <v>709</v>
      </c>
      <c r="G26" s="272" t="s">
        <v>1057</v>
      </c>
      <c r="H26" s="272" t="s">
        <v>710</v>
      </c>
      <c r="I26" s="272"/>
    </row>
    <row r="27" spans="2:27" ht="10.199999999999999" customHeight="1" x14ac:dyDescent="0.3">
      <c r="B27" s="502"/>
      <c r="D27" s="272">
        <v>0</v>
      </c>
      <c r="E27" s="272">
        <v>44469</v>
      </c>
      <c r="F27" s="272">
        <v>-98</v>
      </c>
      <c r="G27" s="272"/>
      <c r="H27" s="272"/>
      <c r="I27" s="272"/>
    </row>
    <row r="28" spans="2:27" ht="10.199999999999999" customHeight="1" x14ac:dyDescent="0.3">
      <c r="B28" s="502"/>
      <c r="D28" s="272">
        <v>1</v>
      </c>
      <c r="E28" s="272">
        <v>44650</v>
      </c>
      <c r="F28" s="272">
        <f>+J23*I22</f>
        <v>3</v>
      </c>
      <c r="G28" s="272" t="s">
        <v>1058</v>
      </c>
      <c r="H28" s="276">
        <f>+F28/(1+I28)^D28</f>
        <v>2.9324999999999997</v>
      </c>
      <c r="I28" s="272">
        <v>2.3017902813299296E-2</v>
      </c>
    </row>
    <row r="29" spans="2:27" ht="10.199999999999999" customHeight="1" x14ac:dyDescent="0.3">
      <c r="B29" s="502"/>
      <c r="D29" s="272">
        <v>2</v>
      </c>
      <c r="E29" s="272">
        <v>44834</v>
      </c>
      <c r="F29" s="272">
        <v>3</v>
      </c>
      <c r="G29" s="272" t="s">
        <v>1059</v>
      </c>
      <c r="H29" s="276">
        <f t="shared" ref="H29:H31" si="6">+F29/(1+I29)^D29</f>
        <v>2.8554000000000008</v>
      </c>
      <c r="I29" s="272">
        <v>2.5007751650432786E-2</v>
      </c>
    </row>
    <row r="30" spans="2:27" ht="10.199999999999999" customHeight="1" x14ac:dyDescent="0.3">
      <c r="B30" s="502"/>
      <c r="D30" s="272">
        <v>3</v>
      </c>
      <c r="E30" s="272">
        <v>45015</v>
      </c>
      <c r="F30" s="272">
        <v>3</v>
      </c>
      <c r="G30" s="272" t="s">
        <v>1060</v>
      </c>
      <c r="H30" s="276">
        <f t="shared" si="6"/>
        <v>2.7653999999999943</v>
      </c>
      <c r="I30" s="272">
        <v>2.7514041407799672E-2</v>
      </c>
    </row>
    <row r="31" spans="2:27" x14ac:dyDescent="0.3">
      <c r="D31" s="272">
        <v>4</v>
      </c>
      <c r="E31" s="272">
        <v>45199</v>
      </c>
      <c r="F31" s="272">
        <f>+F30+I22</f>
        <v>103</v>
      </c>
      <c r="G31" s="272" t="s">
        <v>1061</v>
      </c>
      <c r="H31" s="276">
        <f t="shared" si="6"/>
        <v>91.515499999969634</v>
      </c>
      <c r="I31" s="272">
        <v>2.9996246280398209E-2</v>
      </c>
    </row>
    <row r="32" spans="2:27" x14ac:dyDescent="0.3">
      <c r="G32" s="131" t="s">
        <v>971</v>
      </c>
      <c r="H32" s="131">
        <f>SUM(H28:H31)</f>
        <v>100.06879999996963</v>
      </c>
    </row>
    <row r="33" spans="2:27" x14ac:dyDescent="0.3">
      <c r="G33" s="131" t="s">
        <v>57</v>
      </c>
      <c r="H33" s="131">
        <f>+H32+F27</f>
        <v>2.0687999999696274</v>
      </c>
    </row>
    <row r="34" spans="2:27" x14ac:dyDescent="0.3">
      <c r="D34" s="131" t="s">
        <v>1062</v>
      </c>
      <c r="E34" s="131" t="s">
        <v>1063</v>
      </c>
      <c r="F34" s="131" t="s">
        <v>1064</v>
      </c>
      <c r="G34" s="131" t="s">
        <v>1065</v>
      </c>
    </row>
    <row r="35" spans="2:27" x14ac:dyDescent="0.3">
      <c r="C35" s="131">
        <v>0</v>
      </c>
      <c r="D35" s="131">
        <v>-97.75</v>
      </c>
      <c r="E35" s="131">
        <v>-95.18</v>
      </c>
      <c r="F35" s="131">
        <v>-92.18</v>
      </c>
      <c r="G35" s="131">
        <v>-88.85</v>
      </c>
    </row>
    <row r="36" spans="2:27" x14ac:dyDescent="0.3">
      <c r="C36" s="131">
        <v>1</v>
      </c>
      <c r="D36" s="131">
        <v>100</v>
      </c>
      <c r="E36" s="131">
        <v>0</v>
      </c>
      <c r="F36" s="131">
        <v>0</v>
      </c>
      <c r="G36" s="131">
        <v>0</v>
      </c>
    </row>
    <row r="37" spans="2:27" x14ac:dyDescent="0.3">
      <c r="C37" s="131">
        <v>2</v>
      </c>
      <c r="E37" s="131">
        <v>100</v>
      </c>
      <c r="F37" s="131">
        <v>0</v>
      </c>
      <c r="G37" s="131">
        <v>0</v>
      </c>
    </row>
    <row r="38" spans="2:27" x14ac:dyDescent="0.3">
      <c r="C38" s="131">
        <v>3</v>
      </c>
      <c r="F38" s="131">
        <v>100</v>
      </c>
      <c r="G38" s="131">
        <v>0</v>
      </c>
    </row>
    <row r="39" spans="2:27" x14ac:dyDescent="0.3">
      <c r="C39" s="131">
        <v>4</v>
      </c>
      <c r="G39" s="131">
        <v>100</v>
      </c>
    </row>
    <row r="40" spans="2:27" x14ac:dyDescent="0.3">
      <c r="C40" s="131" t="s">
        <v>819</v>
      </c>
      <c r="D40" s="131">
        <f>+IRR(D35:D39)</f>
        <v>2.3017902813299296E-2</v>
      </c>
      <c r="E40" s="131">
        <f t="shared" ref="E40:G40" si="7">+IRR(E35:E39)</f>
        <v>2.5007751650432786E-2</v>
      </c>
      <c r="F40" s="131">
        <f t="shared" si="7"/>
        <v>2.7514041407799672E-2</v>
      </c>
      <c r="G40" s="131">
        <f t="shared" si="7"/>
        <v>2.9996246280398209E-2</v>
      </c>
    </row>
    <row r="44" spans="2:27" s="269" customFormat="1" x14ac:dyDescent="0.3">
      <c r="AA44" s="202"/>
    </row>
    <row r="45" spans="2:27" x14ac:dyDescent="0.3">
      <c r="B45" s="502" t="s">
        <v>1066</v>
      </c>
    </row>
    <row r="46" spans="2:27" x14ac:dyDescent="0.3">
      <c r="B46" s="502"/>
      <c r="C46" s="131" t="s">
        <v>1083</v>
      </c>
      <c r="D46" s="131">
        <f>60*10*(1-0.075)</f>
        <v>555</v>
      </c>
      <c r="E46" s="131" t="s">
        <v>1084</v>
      </c>
      <c r="F46" s="131">
        <v>388.5</v>
      </c>
    </row>
    <row r="47" spans="2:27" ht="13.2" x14ac:dyDescent="0.3">
      <c r="B47" s="277" t="s">
        <v>1067</v>
      </c>
      <c r="C47" s="131" t="s">
        <v>1085</v>
      </c>
      <c r="D47" s="131" t="s">
        <v>1086</v>
      </c>
      <c r="F47" s="131" t="s">
        <v>1083</v>
      </c>
      <c r="G47" s="131" t="s">
        <v>1087</v>
      </c>
    </row>
    <row r="48" spans="2:27" x14ac:dyDescent="0.3">
      <c r="B48" s="502" t="s">
        <v>1068</v>
      </c>
    </row>
    <row r="49" spans="2:42" x14ac:dyDescent="0.3">
      <c r="B49" s="502"/>
      <c r="C49" s="131" t="s">
        <v>223</v>
      </c>
      <c r="D49" s="131">
        <v>0.12</v>
      </c>
      <c r="E49" s="131" t="s">
        <v>1088</v>
      </c>
    </row>
    <row r="50" spans="2:42" x14ac:dyDescent="0.3">
      <c r="B50" s="502"/>
      <c r="C50" s="131" t="s">
        <v>223</v>
      </c>
      <c r="D50" s="131">
        <v>0.18</v>
      </c>
      <c r="E50" s="131" t="s">
        <v>1088</v>
      </c>
    </row>
    <row r="51" spans="2:42" ht="13.2" x14ac:dyDescent="0.3">
      <c r="B51" s="277" t="s">
        <v>1069</v>
      </c>
    </row>
    <row r="52" spans="2:42" x14ac:dyDescent="0.3">
      <c r="B52" s="502" t="s">
        <v>1070</v>
      </c>
      <c r="D52" s="131" t="s">
        <v>1096</v>
      </c>
      <c r="H52" s="131" t="s">
        <v>1116</v>
      </c>
    </row>
    <row r="53" spans="2:42" ht="12" customHeight="1" x14ac:dyDescent="0.3">
      <c r="B53" s="502"/>
      <c r="C53" s="272"/>
      <c r="D53" s="272" t="s">
        <v>1089</v>
      </c>
      <c r="E53" s="272" t="s">
        <v>1090</v>
      </c>
      <c r="F53" s="272" t="s">
        <v>1092</v>
      </c>
      <c r="G53" s="272" t="s">
        <v>1091</v>
      </c>
      <c r="H53" s="272" t="s">
        <v>1093</v>
      </c>
      <c r="I53" s="272" t="s">
        <v>1094</v>
      </c>
      <c r="J53" s="272" t="s">
        <v>1095</v>
      </c>
    </row>
    <row r="54" spans="2:42" ht="10.199999999999999" customHeight="1" x14ac:dyDescent="0.3">
      <c r="B54" s="277" t="s">
        <v>1071</v>
      </c>
      <c r="C54" s="272">
        <v>0</v>
      </c>
      <c r="D54" s="272"/>
      <c r="E54" s="272"/>
      <c r="F54" s="272"/>
      <c r="G54" s="272"/>
      <c r="H54" s="272"/>
      <c r="I54" s="272"/>
      <c r="J54" s="272"/>
    </row>
    <row r="55" spans="2:42" ht="10.199999999999999" customHeight="1" x14ac:dyDescent="0.3">
      <c r="B55" s="502" t="s">
        <v>1072</v>
      </c>
      <c r="C55" s="272">
        <v>1</v>
      </c>
      <c r="D55" s="272">
        <f>+F46</f>
        <v>388.5</v>
      </c>
      <c r="E55" s="272">
        <f>+D55*$D$49/2</f>
        <v>23.31</v>
      </c>
      <c r="F55" s="272">
        <f>+G55-E55</f>
        <v>23.029125914387837</v>
      </c>
      <c r="G55" s="272">
        <f>+PMT($D$49/2, 12, -$F$46)</f>
        <v>46.339125914387836</v>
      </c>
      <c r="H55" s="272">
        <f>+E55*0.35</f>
        <v>8.1584999999999983</v>
      </c>
      <c r="I55" s="272">
        <f>-G55</f>
        <v>-46.339125914387836</v>
      </c>
      <c r="J55" s="272">
        <f>+H55+I55</f>
        <v>-38.180625914387839</v>
      </c>
    </row>
    <row r="56" spans="2:42" x14ac:dyDescent="0.3">
      <c r="B56" s="502"/>
      <c r="C56" s="272">
        <v>2</v>
      </c>
      <c r="D56" s="272">
        <f>+D55-F55</f>
        <v>365.47087408561214</v>
      </c>
      <c r="E56" s="272">
        <f t="shared" ref="E56:E76" si="8">+D56*$D$49/2</f>
        <v>21.928252445136728</v>
      </c>
      <c r="F56" s="272">
        <f t="shared" ref="F56:F66" si="9">+G56-E56</f>
        <v>24.410873469251108</v>
      </c>
      <c r="G56" s="272">
        <f t="shared" ref="G56:G60" si="10">+PMT($D$49/2, 12, -$F$46)</f>
        <v>46.339125914387836</v>
      </c>
      <c r="H56" s="272">
        <f t="shared" ref="H56:H66" si="11">+E56*0.35</f>
        <v>7.6748883557978544</v>
      </c>
      <c r="I56" s="272">
        <f t="shared" ref="I56:I66" si="12">-G56</f>
        <v>-46.339125914387836</v>
      </c>
      <c r="J56" s="272">
        <f t="shared" ref="J56:J66" si="13">+H56+I56</f>
        <v>-38.664237558589981</v>
      </c>
    </row>
    <row r="57" spans="2:42" x14ac:dyDescent="0.3">
      <c r="B57" s="502"/>
      <c r="C57" s="272">
        <v>3</v>
      </c>
      <c r="D57" s="272">
        <f t="shared" ref="D57:D66" si="14">+D56-F56</f>
        <v>341.06000061636104</v>
      </c>
      <c r="E57" s="272">
        <f t="shared" si="8"/>
        <v>20.46360003698166</v>
      </c>
      <c r="F57" s="272">
        <f t="shared" si="9"/>
        <v>25.875525877406176</v>
      </c>
      <c r="G57" s="272">
        <f t="shared" si="10"/>
        <v>46.339125914387836</v>
      </c>
      <c r="H57" s="272">
        <f t="shared" si="11"/>
        <v>7.1622600129435803</v>
      </c>
      <c r="I57" s="272">
        <f t="shared" si="12"/>
        <v>-46.339125914387836</v>
      </c>
      <c r="J57" s="272">
        <f t="shared" si="13"/>
        <v>-39.176865901444259</v>
      </c>
    </row>
    <row r="58" spans="2:42" ht="13.2" x14ac:dyDescent="0.3">
      <c r="B58" s="277" t="s">
        <v>1073</v>
      </c>
      <c r="C58" s="272">
        <v>4</v>
      </c>
      <c r="D58" s="272">
        <f t="shared" si="14"/>
        <v>315.18447473895486</v>
      </c>
      <c r="E58" s="272">
        <f t="shared" si="8"/>
        <v>18.911068484337292</v>
      </c>
      <c r="F58" s="272">
        <f t="shared" si="9"/>
        <v>27.428057430050544</v>
      </c>
      <c r="G58" s="272">
        <f t="shared" si="10"/>
        <v>46.339125914387836</v>
      </c>
      <c r="H58" s="272">
        <f t="shared" si="11"/>
        <v>6.6188739695180523</v>
      </c>
      <c r="I58" s="272">
        <f t="shared" si="12"/>
        <v>-46.339125914387836</v>
      </c>
      <c r="J58" s="272">
        <f t="shared" si="13"/>
        <v>-39.720251944869787</v>
      </c>
    </row>
    <row r="59" spans="2:42" ht="13.2" x14ac:dyDescent="0.3">
      <c r="B59" s="277" t="s">
        <v>1074</v>
      </c>
      <c r="C59" s="272">
        <v>5</v>
      </c>
      <c r="D59" s="272">
        <f t="shared" si="14"/>
        <v>287.7564173089043</v>
      </c>
      <c r="E59" s="272">
        <f t="shared" si="8"/>
        <v>17.265385038534259</v>
      </c>
      <c r="F59" s="272">
        <f t="shared" si="9"/>
        <v>29.073740875853577</v>
      </c>
      <c r="G59" s="272">
        <f t="shared" si="10"/>
        <v>46.339125914387836</v>
      </c>
      <c r="H59" s="272">
        <f t="shared" si="11"/>
        <v>6.04288476348699</v>
      </c>
      <c r="I59" s="272">
        <f t="shared" si="12"/>
        <v>-46.339125914387836</v>
      </c>
      <c r="J59" s="272">
        <f t="shared" si="13"/>
        <v>-40.296241150900848</v>
      </c>
    </row>
    <row r="60" spans="2:42" ht="13.2" x14ac:dyDescent="0.3">
      <c r="B60" s="277" t="s">
        <v>1075</v>
      </c>
      <c r="C60" s="272">
        <v>6</v>
      </c>
      <c r="D60" s="272">
        <f t="shared" si="14"/>
        <v>258.68267643305074</v>
      </c>
      <c r="E60" s="272">
        <f>+$D$60*$D$49/2</f>
        <v>15.520960585983044</v>
      </c>
      <c r="F60" s="272">
        <f t="shared" si="9"/>
        <v>30.818165328404792</v>
      </c>
      <c r="G60" s="272">
        <f t="shared" si="10"/>
        <v>46.339125914387836</v>
      </c>
      <c r="H60" s="272">
        <f t="shared" si="11"/>
        <v>5.4323362050940647</v>
      </c>
      <c r="I60" s="272">
        <f t="shared" si="12"/>
        <v>-46.339125914387836</v>
      </c>
      <c r="J60" s="272">
        <f t="shared" si="13"/>
        <v>-40.906789709293768</v>
      </c>
    </row>
    <row r="61" spans="2:42" ht="13.2" x14ac:dyDescent="0.3">
      <c r="B61" s="277" t="s">
        <v>1076</v>
      </c>
      <c r="C61" s="272">
        <v>7</v>
      </c>
      <c r="D61" s="272">
        <f t="shared" si="14"/>
        <v>227.86451110464594</v>
      </c>
      <c r="E61" s="272">
        <f>+D61*$D$50/2</f>
        <v>20.507805999418135</v>
      </c>
      <c r="F61" s="272">
        <f t="shared" si="9"/>
        <v>30.287701435975496</v>
      </c>
      <c r="G61" s="272">
        <f>+PMT($D$50/2, 6, -$D$61)</f>
        <v>50.795507435393631</v>
      </c>
      <c r="H61" s="272">
        <f t="shared" si="11"/>
        <v>7.177732099796347</v>
      </c>
      <c r="I61" s="272">
        <f t="shared" si="12"/>
        <v>-50.795507435393631</v>
      </c>
      <c r="J61" s="272">
        <f t="shared" si="13"/>
        <v>-43.617775335597287</v>
      </c>
    </row>
    <row r="62" spans="2:42" x14ac:dyDescent="0.3">
      <c r="B62" s="502" t="s">
        <v>1077</v>
      </c>
      <c r="C62" s="272">
        <v>8</v>
      </c>
      <c r="D62" s="272">
        <f t="shared" si="14"/>
        <v>197.57680966867045</v>
      </c>
      <c r="E62" s="272">
        <f t="shared" ref="E62:E66" si="15">+D62*$D$50/2</f>
        <v>17.781912870180339</v>
      </c>
      <c r="F62" s="272">
        <f t="shared" si="9"/>
        <v>33.013594565213296</v>
      </c>
      <c r="G62" s="272">
        <f t="shared" ref="G62:G66" si="16">+PMT($D$50/2, 6, -$D$61)</f>
        <v>50.795507435393631</v>
      </c>
      <c r="H62" s="272">
        <f t="shared" si="11"/>
        <v>6.2236695045631185</v>
      </c>
      <c r="I62" s="272">
        <f t="shared" si="12"/>
        <v>-50.795507435393631</v>
      </c>
      <c r="J62" s="272">
        <f t="shared" si="13"/>
        <v>-44.571837930830512</v>
      </c>
    </row>
    <row r="63" spans="2:42" x14ac:dyDescent="0.3">
      <c r="B63" s="502"/>
      <c r="C63" s="272">
        <v>9</v>
      </c>
      <c r="D63" s="272">
        <f t="shared" si="14"/>
        <v>164.56321510345714</v>
      </c>
      <c r="E63" s="272">
        <f t="shared" si="15"/>
        <v>14.810689359311143</v>
      </c>
      <c r="F63" s="272">
        <f t="shared" si="9"/>
        <v>35.98481807608249</v>
      </c>
      <c r="G63" s="272">
        <f t="shared" si="16"/>
        <v>50.795507435393631</v>
      </c>
      <c r="H63" s="272">
        <f t="shared" si="11"/>
        <v>5.1837412757588996</v>
      </c>
      <c r="I63" s="272">
        <f t="shared" si="12"/>
        <v>-50.795507435393631</v>
      </c>
      <c r="J63" s="272">
        <f t="shared" si="13"/>
        <v>-45.611766159634733</v>
      </c>
    </row>
    <row r="64" spans="2:42" x14ac:dyDescent="0.3">
      <c r="B64" s="502"/>
      <c r="C64" s="272">
        <v>10</v>
      </c>
      <c r="D64" s="272">
        <f t="shared" si="14"/>
        <v>128.57839702737465</v>
      </c>
      <c r="E64" s="272">
        <f t="shared" si="15"/>
        <v>11.572055732463719</v>
      </c>
      <c r="F64" s="272">
        <f t="shared" si="9"/>
        <v>39.223451702929914</v>
      </c>
      <c r="G64" s="272">
        <f t="shared" si="16"/>
        <v>50.795507435393631</v>
      </c>
      <c r="H64" s="272">
        <f t="shared" si="11"/>
        <v>4.0502195063623017</v>
      </c>
      <c r="I64" s="272">
        <f t="shared" si="12"/>
        <v>-50.795507435393631</v>
      </c>
      <c r="J64" s="272">
        <f t="shared" si="13"/>
        <v>-46.745287929031328</v>
      </c>
    </row>
    <row r="65" spans="2:10" ht="13.2" x14ac:dyDescent="0.3">
      <c r="B65" s="277" t="s">
        <v>1078</v>
      </c>
      <c r="C65" s="272">
        <v>11</v>
      </c>
      <c r="D65" s="272">
        <f t="shared" si="14"/>
        <v>89.354945324444742</v>
      </c>
      <c r="E65" s="272">
        <f t="shared" si="15"/>
        <v>8.0419450792000262</v>
      </c>
      <c r="F65" s="272">
        <f t="shared" si="9"/>
        <v>42.753562356193605</v>
      </c>
      <c r="G65" s="272">
        <f t="shared" si="16"/>
        <v>50.795507435393631</v>
      </c>
      <c r="H65" s="272">
        <f t="shared" si="11"/>
        <v>2.8146807777200089</v>
      </c>
      <c r="I65" s="272">
        <f t="shared" si="12"/>
        <v>-50.795507435393631</v>
      </c>
      <c r="J65" s="272">
        <f t="shared" si="13"/>
        <v>-47.980826657673624</v>
      </c>
    </row>
    <row r="66" spans="2:10" ht="13.2" x14ac:dyDescent="0.3">
      <c r="B66" s="278" t="s">
        <v>1079</v>
      </c>
      <c r="C66" s="272">
        <v>12</v>
      </c>
      <c r="D66" s="272">
        <f t="shared" si="14"/>
        <v>46.601382968251137</v>
      </c>
      <c r="E66" s="272">
        <f t="shared" si="15"/>
        <v>4.1941244671426023</v>
      </c>
      <c r="F66" s="272">
        <f t="shared" si="9"/>
        <v>46.601382968251031</v>
      </c>
      <c r="G66" s="272">
        <f t="shared" si="16"/>
        <v>50.795507435393631</v>
      </c>
      <c r="H66" s="272">
        <f t="shared" si="11"/>
        <v>1.4679435634999107</v>
      </c>
      <c r="I66" s="272">
        <f t="shared" si="12"/>
        <v>-50.795507435393631</v>
      </c>
      <c r="J66" s="272">
        <f t="shared" si="13"/>
        <v>-49.327563871893723</v>
      </c>
    </row>
    <row r="67" spans="2:10" ht="14.4" customHeight="1" x14ac:dyDescent="0.3">
      <c r="B67" s="503" t="s">
        <v>1080</v>
      </c>
    </row>
    <row r="68" spans="2:10" x14ac:dyDescent="0.3">
      <c r="B68" s="503"/>
    </row>
    <row r="69" spans="2:10" x14ac:dyDescent="0.3">
      <c r="B69" s="503" t="s">
        <v>1081</v>
      </c>
      <c r="D69" s="131" t="s">
        <v>1097</v>
      </c>
    </row>
    <row r="70" spans="2:10" x14ac:dyDescent="0.3">
      <c r="B70" s="503"/>
      <c r="D70" s="131" t="s">
        <v>1089</v>
      </c>
      <c r="E70" s="131" t="s">
        <v>1090</v>
      </c>
      <c r="F70" s="131" t="s">
        <v>1092</v>
      </c>
      <c r="G70" s="131" t="s">
        <v>1091</v>
      </c>
      <c r="H70" s="131" t="s">
        <v>1093</v>
      </c>
      <c r="I70" s="131" t="s">
        <v>1094</v>
      </c>
      <c r="J70" s="131" t="s">
        <v>1095</v>
      </c>
    </row>
    <row r="71" spans="2:10" x14ac:dyDescent="0.3">
      <c r="B71" s="503"/>
      <c r="C71" s="131">
        <v>0</v>
      </c>
    </row>
    <row r="72" spans="2:10" x14ac:dyDescent="0.3">
      <c r="B72" s="503"/>
      <c r="C72" s="131">
        <v>1</v>
      </c>
      <c r="D72" s="131">
        <f>+F46</f>
        <v>388.5</v>
      </c>
      <c r="E72" s="131">
        <f>+D72*$D$49/2</f>
        <v>23.31</v>
      </c>
      <c r="F72" s="131">
        <f>+D72/12</f>
        <v>32.375</v>
      </c>
      <c r="G72" s="131">
        <f>+F72+E72</f>
        <v>55.685000000000002</v>
      </c>
      <c r="H72" s="272">
        <f>+E72*0.35</f>
        <v>8.1584999999999983</v>
      </c>
      <c r="I72" s="272">
        <f>-G72</f>
        <v>-55.685000000000002</v>
      </c>
      <c r="J72" s="272">
        <f>+H72+I72</f>
        <v>-47.526500000000006</v>
      </c>
    </row>
    <row r="73" spans="2:10" x14ac:dyDescent="0.3">
      <c r="B73" s="503"/>
      <c r="C73" s="131">
        <v>2</v>
      </c>
      <c r="D73" s="131">
        <f>+D72-F72</f>
        <v>356.125</v>
      </c>
      <c r="E73" s="131">
        <f t="shared" si="8"/>
        <v>21.3675</v>
      </c>
      <c r="F73" s="131">
        <v>32.375</v>
      </c>
      <c r="G73" s="131">
        <f t="shared" ref="G73:G83" si="17">+F73+E73</f>
        <v>53.7425</v>
      </c>
      <c r="H73" s="272">
        <f t="shared" ref="H73:H83" si="18">+E73*0.35</f>
        <v>7.4786249999999992</v>
      </c>
      <c r="I73" s="272">
        <f t="shared" ref="I73:I83" si="19">-G73</f>
        <v>-53.7425</v>
      </c>
      <c r="J73" s="272">
        <f t="shared" ref="J73:J83" si="20">+H73+I73</f>
        <v>-46.263874999999999</v>
      </c>
    </row>
    <row r="74" spans="2:10" x14ac:dyDescent="0.3">
      <c r="B74" s="503"/>
      <c r="C74" s="131">
        <v>3</v>
      </c>
      <c r="D74" s="131">
        <f t="shared" ref="D74:D83" si="21">+D73-F73</f>
        <v>323.75</v>
      </c>
      <c r="E74" s="131">
        <f t="shared" si="8"/>
        <v>19.425000000000001</v>
      </c>
      <c r="F74" s="131">
        <v>32.375</v>
      </c>
      <c r="G74" s="131">
        <f t="shared" si="17"/>
        <v>51.8</v>
      </c>
      <c r="H74" s="272">
        <f t="shared" si="18"/>
        <v>6.7987500000000001</v>
      </c>
      <c r="I74" s="272">
        <f t="shared" si="19"/>
        <v>-51.8</v>
      </c>
      <c r="J74" s="272">
        <f t="shared" si="20"/>
        <v>-45.001249999999999</v>
      </c>
    </row>
    <row r="75" spans="2:10" ht="13.2" x14ac:dyDescent="0.3">
      <c r="B75" s="279" t="s">
        <v>1082</v>
      </c>
      <c r="C75" s="131">
        <v>4</v>
      </c>
      <c r="D75" s="131">
        <f t="shared" si="21"/>
        <v>291.375</v>
      </c>
      <c r="E75" s="131">
        <f t="shared" si="8"/>
        <v>17.482499999999998</v>
      </c>
      <c r="F75" s="131">
        <v>32.375</v>
      </c>
      <c r="G75" s="131">
        <f t="shared" si="17"/>
        <v>49.857500000000002</v>
      </c>
      <c r="H75" s="272">
        <f t="shared" si="18"/>
        <v>6.1188749999999992</v>
      </c>
      <c r="I75" s="272">
        <f t="shared" si="19"/>
        <v>-49.857500000000002</v>
      </c>
      <c r="J75" s="272">
        <f t="shared" si="20"/>
        <v>-43.738624999999999</v>
      </c>
    </row>
    <row r="76" spans="2:10" x14ac:dyDescent="0.3">
      <c r="C76" s="131">
        <v>5</v>
      </c>
      <c r="D76" s="131">
        <f t="shared" si="21"/>
        <v>259</v>
      </c>
      <c r="E76" s="131">
        <f t="shared" si="8"/>
        <v>15.54</v>
      </c>
      <c r="F76" s="131">
        <v>32.375</v>
      </c>
      <c r="G76" s="131">
        <f t="shared" si="17"/>
        <v>47.914999999999999</v>
      </c>
      <c r="H76" s="272">
        <f t="shared" si="18"/>
        <v>5.4389999999999992</v>
      </c>
      <c r="I76" s="272">
        <f t="shared" si="19"/>
        <v>-47.914999999999999</v>
      </c>
      <c r="J76" s="272">
        <f t="shared" si="20"/>
        <v>-42.475999999999999</v>
      </c>
    </row>
    <row r="77" spans="2:10" x14ac:dyDescent="0.3">
      <c r="C77" s="131">
        <v>6</v>
      </c>
      <c r="D77" s="131">
        <f t="shared" si="21"/>
        <v>226.625</v>
      </c>
      <c r="E77" s="131">
        <f>+D77*$D$50/2</f>
        <v>20.396249999999998</v>
      </c>
      <c r="F77" s="131">
        <v>32.375</v>
      </c>
      <c r="G77" s="131">
        <f t="shared" si="17"/>
        <v>52.771249999999995</v>
      </c>
      <c r="H77" s="272">
        <f t="shared" si="18"/>
        <v>7.1386874999999987</v>
      </c>
      <c r="I77" s="272">
        <f t="shared" si="19"/>
        <v>-52.771249999999995</v>
      </c>
      <c r="J77" s="272">
        <f t="shared" si="20"/>
        <v>-45.632562499999999</v>
      </c>
    </row>
    <row r="78" spans="2:10" x14ac:dyDescent="0.3">
      <c r="C78" s="131">
        <v>7</v>
      </c>
      <c r="D78" s="131">
        <f t="shared" si="21"/>
        <v>194.25</v>
      </c>
      <c r="E78" s="131">
        <f t="shared" ref="E78:E83" si="22">+D78*$D$50/2</f>
        <v>17.482499999999998</v>
      </c>
      <c r="F78" s="131">
        <v>32.375</v>
      </c>
      <c r="G78" s="131">
        <f t="shared" si="17"/>
        <v>49.857500000000002</v>
      </c>
      <c r="H78" s="272">
        <f t="shared" si="18"/>
        <v>6.1188749999999992</v>
      </c>
      <c r="I78" s="272">
        <f t="shared" si="19"/>
        <v>-49.857500000000002</v>
      </c>
      <c r="J78" s="272">
        <f t="shared" si="20"/>
        <v>-43.738624999999999</v>
      </c>
    </row>
    <row r="79" spans="2:10" x14ac:dyDescent="0.3">
      <c r="C79" s="131">
        <v>8</v>
      </c>
      <c r="D79" s="131">
        <f t="shared" si="21"/>
        <v>161.875</v>
      </c>
      <c r="E79" s="131">
        <f t="shared" si="22"/>
        <v>14.56875</v>
      </c>
      <c r="F79" s="131">
        <v>32.375</v>
      </c>
      <c r="G79" s="131">
        <f t="shared" si="17"/>
        <v>46.943750000000001</v>
      </c>
      <c r="H79" s="272">
        <f t="shared" si="18"/>
        <v>5.0990624999999996</v>
      </c>
      <c r="I79" s="272">
        <f t="shared" si="19"/>
        <v>-46.943750000000001</v>
      </c>
      <c r="J79" s="272">
        <f t="shared" si="20"/>
        <v>-41.844687499999999</v>
      </c>
    </row>
    <row r="80" spans="2:10" x14ac:dyDescent="0.3">
      <c r="C80" s="131">
        <v>9</v>
      </c>
      <c r="D80" s="131">
        <f t="shared" si="21"/>
        <v>129.5</v>
      </c>
      <c r="E80" s="131">
        <f t="shared" si="22"/>
        <v>11.654999999999999</v>
      </c>
      <c r="F80" s="131">
        <v>32.375</v>
      </c>
      <c r="G80" s="131">
        <f t="shared" si="17"/>
        <v>44.03</v>
      </c>
      <c r="H80" s="272">
        <f t="shared" si="18"/>
        <v>4.0792499999999992</v>
      </c>
      <c r="I80" s="272">
        <f t="shared" si="19"/>
        <v>-44.03</v>
      </c>
      <c r="J80" s="272">
        <f t="shared" si="20"/>
        <v>-39.950749999999999</v>
      </c>
    </row>
    <row r="81" spans="2:44" x14ac:dyDescent="0.3">
      <c r="C81" s="131">
        <v>10</v>
      </c>
      <c r="D81" s="131">
        <f t="shared" si="21"/>
        <v>97.125</v>
      </c>
      <c r="E81" s="131">
        <f t="shared" si="22"/>
        <v>8.7412499999999991</v>
      </c>
      <c r="F81" s="131">
        <v>32.375</v>
      </c>
      <c r="G81" s="131">
        <f t="shared" si="17"/>
        <v>41.116250000000001</v>
      </c>
      <c r="H81" s="272">
        <f t="shared" si="18"/>
        <v>3.0594374999999996</v>
      </c>
      <c r="I81" s="272">
        <f t="shared" si="19"/>
        <v>-41.116250000000001</v>
      </c>
      <c r="J81" s="272">
        <f t="shared" si="20"/>
        <v>-38.056812499999999</v>
      </c>
    </row>
    <row r="82" spans="2:44" x14ac:dyDescent="0.3">
      <c r="C82" s="131">
        <v>11</v>
      </c>
      <c r="D82" s="131">
        <f t="shared" si="21"/>
        <v>64.75</v>
      </c>
      <c r="E82" s="131">
        <f t="shared" si="22"/>
        <v>5.8274999999999997</v>
      </c>
      <c r="F82" s="131">
        <v>32.375</v>
      </c>
      <c r="G82" s="131">
        <f t="shared" si="17"/>
        <v>38.202500000000001</v>
      </c>
      <c r="H82" s="272">
        <f t="shared" si="18"/>
        <v>2.0396249999999996</v>
      </c>
      <c r="I82" s="272">
        <f t="shared" si="19"/>
        <v>-38.202500000000001</v>
      </c>
      <c r="J82" s="272">
        <f t="shared" si="20"/>
        <v>-36.162875</v>
      </c>
    </row>
    <row r="83" spans="2:44" x14ac:dyDescent="0.3">
      <c r="C83" s="131">
        <v>12</v>
      </c>
      <c r="D83" s="131">
        <f t="shared" si="21"/>
        <v>32.375</v>
      </c>
      <c r="E83" s="131">
        <f t="shared" si="22"/>
        <v>2.9137499999999998</v>
      </c>
      <c r="F83" s="131">
        <v>32.375</v>
      </c>
      <c r="G83" s="131">
        <f t="shared" si="17"/>
        <v>35.28875</v>
      </c>
      <c r="H83" s="272">
        <f t="shared" si="18"/>
        <v>1.0198124999999998</v>
      </c>
      <c r="I83" s="272">
        <f t="shared" si="19"/>
        <v>-35.28875</v>
      </c>
      <c r="J83" s="272">
        <f t="shared" si="20"/>
        <v>-34.2689375</v>
      </c>
    </row>
    <row r="84" spans="2:44" s="269" customFormat="1" ht="20.399999999999999" x14ac:dyDescent="0.3">
      <c r="B84" s="501" t="s">
        <v>1117</v>
      </c>
      <c r="C84" s="501"/>
      <c r="D84" s="501"/>
      <c r="E84" s="501"/>
      <c r="F84" s="501"/>
      <c r="G84" s="501"/>
      <c r="H84" s="501"/>
      <c r="I84" s="501"/>
      <c r="J84" s="501"/>
      <c r="K84" s="501"/>
      <c r="L84" s="501"/>
      <c r="M84" s="501"/>
      <c r="N84" s="501"/>
      <c r="O84" s="501"/>
      <c r="P84" s="501"/>
      <c r="Q84" s="501"/>
      <c r="R84" s="501"/>
      <c r="S84" s="501"/>
      <c r="T84" s="501"/>
      <c r="U84" s="501"/>
      <c r="V84" s="501"/>
      <c r="W84" s="501"/>
      <c r="X84" s="501"/>
      <c r="Y84" s="501"/>
      <c r="Z84" s="501"/>
      <c r="AA84" s="202"/>
    </row>
    <row r="85" spans="2:44" ht="12" x14ac:dyDescent="0.25">
      <c r="G85" s="273" t="s">
        <v>261</v>
      </c>
      <c r="H85" s="131">
        <v>0.02</v>
      </c>
      <c r="AB85" s="280"/>
      <c r="AC85" s="280"/>
      <c r="AD85" s="280"/>
      <c r="AE85" s="280"/>
      <c r="AF85" s="280"/>
      <c r="AG85" s="280"/>
      <c r="AH85" s="280"/>
      <c r="AI85" s="280"/>
      <c r="AJ85" s="280"/>
      <c r="AK85" s="280"/>
      <c r="AL85" s="280"/>
      <c r="AM85" s="280"/>
      <c r="AN85" s="280"/>
      <c r="AO85" s="280"/>
      <c r="AP85" s="280"/>
      <c r="AQ85" s="280"/>
      <c r="AR85" s="280"/>
    </row>
    <row r="86" spans="2:44" ht="9.6" customHeight="1" x14ac:dyDescent="0.25">
      <c r="G86" s="273" t="s">
        <v>1118</v>
      </c>
      <c r="H86" s="131">
        <v>0.48</v>
      </c>
      <c r="AB86" s="280"/>
      <c r="AC86" s="280"/>
      <c r="AD86" s="280"/>
      <c r="AE86" s="280"/>
      <c r="AF86" s="280"/>
      <c r="AG86" s="280"/>
      <c r="AH86" s="280"/>
      <c r="AI86" s="280"/>
      <c r="AJ86" s="280"/>
      <c r="AK86" s="280"/>
      <c r="AL86" s="280"/>
      <c r="AM86" s="280"/>
      <c r="AN86" s="280"/>
      <c r="AO86" s="280"/>
      <c r="AP86" s="280"/>
      <c r="AQ86" s="280"/>
      <c r="AR86" s="280"/>
    </row>
    <row r="87" spans="2:44" ht="12.6" thickBot="1" x14ac:dyDescent="0.3">
      <c r="D87" s="131" t="s">
        <v>874</v>
      </c>
      <c r="G87" s="273"/>
      <c r="AB87" s="280"/>
      <c r="AC87" s="280"/>
      <c r="AD87" s="280"/>
      <c r="AE87" s="280"/>
      <c r="AF87" s="280"/>
      <c r="AG87" s="280"/>
      <c r="AH87" s="280"/>
      <c r="AI87" s="280"/>
      <c r="AJ87" s="280"/>
      <c r="AK87" s="280"/>
      <c r="AL87" s="280"/>
      <c r="AM87" s="280"/>
      <c r="AN87" s="280"/>
      <c r="AO87" s="280"/>
      <c r="AP87" s="280"/>
      <c r="AQ87" s="280"/>
      <c r="AR87" s="280"/>
    </row>
    <row r="88" spans="2:44" ht="12.6" thickBot="1" x14ac:dyDescent="0.3">
      <c r="D88" s="131">
        <v>0</v>
      </c>
      <c r="G88" s="273" t="s">
        <v>1120</v>
      </c>
      <c r="H88" s="131">
        <v>0.01</v>
      </c>
      <c r="AB88" s="280"/>
      <c r="AC88" s="280"/>
      <c r="AD88" s="280"/>
      <c r="AE88" s="281" t="s">
        <v>1121</v>
      </c>
      <c r="AF88" s="282"/>
      <c r="AG88" s="282"/>
      <c r="AH88" s="282"/>
      <c r="AI88" s="282"/>
      <c r="AJ88" s="282"/>
      <c r="AK88" s="282"/>
      <c r="AL88" s="283">
        <f>FV(0.02,4,-85000)*(1+0.02)</f>
        <v>357343.41359999985</v>
      </c>
      <c r="AM88" s="280" t="s">
        <v>1122</v>
      </c>
      <c r="AN88" s="280"/>
      <c r="AO88" s="280"/>
      <c r="AP88" s="280"/>
      <c r="AQ88" s="280"/>
      <c r="AR88" s="280"/>
    </row>
    <row r="89" spans="2:44" ht="12.6" thickBot="1" x14ac:dyDescent="0.3">
      <c r="D89" s="131">
        <v>1</v>
      </c>
      <c r="E89" s="131">
        <v>85000</v>
      </c>
      <c r="F89" s="131">
        <f>+(E89)*(1+0.02)^D89</f>
        <v>86700</v>
      </c>
      <c r="G89" s="280" t="s">
        <v>1133</v>
      </c>
      <c r="H89" s="280" t="s">
        <v>1134</v>
      </c>
      <c r="AB89" s="280"/>
      <c r="AC89" s="280"/>
      <c r="AD89" s="280"/>
      <c r="AE89" s="280"/>
      <c r="AF89" s="280"/>
      <c r="AG89" s="280"/>
      <c r="AH89" s="280"/>
      <c r="AI89" s="280"/>
      <c r="AJ89" s="280"/>
      <c r="AK89" s="280"/>
      <c r="AL89" s="280"/>
      <c r="AM89" s="280"/>
      <c r="AN89" s="280"/>
      <c r="AO89" s="280"/>
      <c r="AP89" s="280"/>
      <c r="AQ89" s="280"/>
      <c r="AR89" s="280"/>
    </row>
    <row r="90" spans="2:44" ht="12.6" thickBot="1" x14ac:dyDescent="0.3">
      <c r="D90" s="131">
        <v>2</v>
      </c>
      <c r="E90" s="131">
        <v>85000</v>
      </c>
      <c r="F90" s="131">
        <f t="shared" ref="F90:F92" si="23">+(E90)*(1+0.02)^D90</f>
        <v>88434</v>
      </c>
      <c r="G90" s="273"/>
      <c r="AB90" s="280"/>
      <c r="AC90" s="280"/>
      <c r="AD90" s="280"/>
      <c r="AE90" s="281" t="s">
        <v>1123</v>
      </c>
      <c r="AF90" s="282"/>
      <c r="AG90" s="282"/>
      <c r="AH90" s="282"/>
      <c r="AI90" s="282"/>
      <c r="AJ90" s="282"/>
      <c r="AK90" s="282"/>
      <c r="AL90" s="283">
        <f>760000-AL88</f>
        <v>402656.58640000015</v>
      </c>
      <c r="AM90" s="280"/>
      <c r="AN90" s="280"/>
      <c r="AO90" s="280"/>
      <c r="AP90" s="280"/>
      <c r="AQ90" s="280"/>
      <c r="AR90" s="280"/>
    </row>
    <row r="91" spans="2:44" ht="12" x14ac:dyDescent="0.25">
      <c r="D91" s="131">
        <v>3</v>
      </c>
      <c r="E91" s="131">
        <v>85000</v>
      </c>
      <c r="F91" s="131">
        <f t="shared" si="23"/>
        <v>90202.68</v>
      </c>
      <c r="G91" s="273"/>
      <c r="AB91" s="280"/>
      <c r="AC91" s="280" t="s">
        <v>1124</v>
      </c>
      <c r="AD91" s="280"/>
      <c r="AE91" s="280"/>
      <c r="AF91" s="280" t="s">
        <v>1125</v>
      </c>
      <c r="AG91" s="280"/>
      <c r="AH91" s="280"/>
      <c r="AI91" s="280"/>
      <c r="AJ91" s="280"/>
      <c r="AK91" s="280"/>
      <c r="AL91" s="280"/>
      <c r="AM91" s="280"/>
      <c r="AN91" s="280"/>
      <c r="AO91" s="280"/>
      <c r="AP91" s="280"/>
      <c r="AQ91" s="280"/>
      <c r="AR91" s="280"/>
    </row>
    <row r="92" spans="2:44" ht="12" x14ac:dyDescent="0.25">
      <c r="D92" s="131">
        <v>4</v>
      </c>
      <c r="E92" s="131">
        <v>85000</v>
      </c>
      <c r="F92" s="131">
        <f t="shared" si="23"/>
        <v>92006.733599999992</v>
      </c>
      <c r="G92" s="273"/>
      <c r="AB92" s="280"/>
      <c r="AC92" s="284"/>
      <c r="AD92" s="285" t="s">
        <v>1126</v>
      </c>
      <c r="AE92" s="285" t="s">
        <v>1127</v>
      </c>
      <c r="AF92" s="285" t="s">
        <v>190</v>
      </c>
      <c r="AG92" s="285" t="s">
        <v>1128</v>
      </c>
      <c r="AH92" s="285" t="s">
        <v>1129</v>
      </c>
      <c r="AI92" s="285" t="s">
        <v>1130</v>
      </c>
      <c r="AJ92" s="285"/>
      <c r="AK92" s="285" t="s">
        <v>1131</v>
      </c>
      <c r="AL92" s="285" t="s">
        <v>1132</v>
      </c>
      <c r="AM92" s="280"/>
      <c r="AN92" s="280"/>
      <c r="AO92" s="280"/>
      <c r="AP92" s="280"/>
      <c r="AQ92" s="280"/>
      <c r="AR92" s="280"/>
    </row>
    <row r="93" spans="2:44" ht="12" x14ac:dyDescent="0.25">
      <c r="D93" s="131" t="s">
        <v>1114</v>
      </c>
      <c r="E93" s="131">
        <v>760000</v>
      </c>
      <c r="G93" s="273"/>
      <c r="AB93" s="280"/>
      <c r="AC93" s="280"/>
      <c r="AD93" s="286"/>
      <c r="AE93" s="286"/>
      <c r="AF93" s="286"/>
      <c r="AG93" s="286"/>
      <c r="AH93" s="286"/>
      <c r="AI93" s="286"/>
      <c r="AJ93" s="286"/>
      <c r="AK93" s="286"/>
      <c r="AL93" s="287">
        <f>+AL90-0.01*760000-0.21*0.01*760000</f>
        <v>393460.58640000015</v>
      </c>
      <c r="AM93" s="280" t="s">
        <v>1133</v>
      </c>
      <c r="AN93" s="280" t="s">
        <v>1134</v>
      </c>
      <c r="AO93" s="280"/>
      <c r="AP93" s="280"/>
      <c r="AQ93" s="280"/>
      <c r="AR93" s="280"/>
    </row>
    <row r="94" spans="2:44" ht="12" x14ac:dyDescent="0.25">
      <c r="D94" s="131" t="s">
        <v>1115</v>
      </c>
      <c r="E94" s="131">
        <f>+SUM(E89:E92)</f>
        <v>340000</v>
      </c>
      <c r="F94" s="131">
        <f>+SUM(F89:F92)</f>
        <v>357343.41359999997</v>
      </c>
      <c r="G94" s="273"/>
      <c r="AB94" s="280"/>
      <c r="AC94" s="280"/>
      <c r="AD94" s="286">
        <v>1</v>
      </c>
      <c r="AE94" s="286">
        <f>+AL90</f>
        <v>402656.58640000015</v>
      </c>
      <c r="AF94" s="286">
        <f>(0.48/12)*AE94</f>
        <v>16106.263456000006</v>
      </c>
      <c r="AG94" s="287">
        <f>+AH94-AF94</f>
        <v>60705.27302302239</v>
      </c>
      <c r="AH94" s="287">
        <f>+PMT(0.48/12,6,-$AL$90)</f>
        <v>76811.536479022398</v>
      </c>
      <c r="AI94" s="287">
        <f>0.21*AF94</f>
        <v>3382.3153257600011</v>
      </c>
      <c r="AJ94" s="287"/>
      <c r="AK94" s="287">
        <f>+AF94+AG94+AI94+AJ94</f>
        <v>80193.851804782404</v>
      </c>
      <c r="AL94" s="287">
        <f>-AK94</f>
        <v>-80193.851804782404</v>
      </c>
      <c r="AM94" s="280"/>
      <c r="AN94" s="280"/>
      <c r="AO94" s="280"/>
      <c r="AP94" s="280"/>
      <c r="AQ94" s="280"/>
      <c r="AR94" s="280"/>
    </row>
    <row r="95" spans="2:44" ht="12" x14ac:dyDescent="0.25">
      <c r="D95" s="131" t="s">
        <v>1112</v>
      </c>
      <c r="E95" s="269">
        <f>+E93-E94</f>
        <v>420000</v>
      </c>
      <c r="F95" s="131">
        <f>+E93-F94</f>
        <v>402656.58640000003</v>
      </c>
      <c r="G95" s="273"/>
      <c r="AB95" s="280"/>
      <c r="AC95" s="280"/>
      <c r="AD95" s="286">
        <v>2</v>
      </c>
      <c r="AE95" s="286">
        <f>+AE94-AG94</f>
        <v>341951.31337697775</v>
      </c>
      <c r="AF95" s="286">
        <f t="shared" ref="AF95:AF99" si="24">(0.48/12)*AE95</f>
        <v>13678.05253507911</v>
      </c>
      <c r="AG95" s="287">
        <f t="shared" ref="AG95:AG98" si="25">+AH95-AF95</f>
        <v>63133.483943943284</v>
      </c>
      <c r="AH95" s="287">
        <f t="shared" ref="AH95:AH99" si="26">+PMT(0.48/12,6,-$AL$90)</f>
        <v>76811.536479022398</v>
      </c>
      <c r="AI95" s="287">
        <f t="shared" ref="AI95:AI99" si="27">0.21*AF95</f>
        <v>2872.3910323666132</v>
      </c>
      <c r="AJ95" s="287"/>
      <c r="AK95" s="287">
        <f t="shared" ref="AK95:AK99" si="28">+AF95+AG95+AI95+AJ95</f>
        <v>79683.927511389018</v>
      </c>
      <c r="AL95" s="287">
        <f t="shared" ref="AL95:AL99" si="29">-AK95</f>
        <v>-79683.927511389018</v>
      </c>
      <c r="AM95" s="280"/>
      <c r="AN95" s="280"/>
      <c r="AO95" s="280"/>
      <c r="AP95" s="280"/>
      <c r="AQ95" s="280"/>
      <c r="AR95" s="280"/>
    </row>
    <row r="96" spans="2:44" ht="12" x14ac:dyDescent="0.25">
      <c r="D96" s="131" t="s">
        <v>1113</v>
      </c>
      <c r="G96" s="273"/>
      <c r="AB96" s="280"/>
      <c r="AC96" s="280"/>
      <c r="AD96" s="286">
        <v>3</v>
      </c>
      <c r="AE96" s="286">
        <f t="shared" ref="AE96:AE99" si="30">+AE95-AG95</f>
        <v>278817.82943303447</v>
      </c>
      <c r="AF96" s="286">
        <f t="shared" si="24"/>
        <v>11152.713177321379</v>
      </c>
      <c r="AG96" s="287">
        <f t="shared" si="25"/>
        <v>65658.823301701021</v>
      </c>
      <c r="AH96" s="287">
        <f t="shared" si="26"/>
        <v>76811.536479022398</v>
      </c>
      <c r="AI96" s="287">
        <f t="shared" si="27"/>
        <v>2342.0697672374895</v>
      </c>
      <c r="AJ96" s="287"/>
      <c r="AK96" s="287">
        <f t="shared" si="28"/>
        <v>79153.606246259893</v>
      </c>
      <c r="AL96" s="287">
        <f t="shared" si="29"/>
        <v>-79153.606246259893</v>
      </c>
      <c r="AM96" s="280"/>
      <c r="AN96" s="280"/>
      <c r="AO96" s="280"/>
      <c r="AP96" s="280"/>
      <c r="AQ96" s="280"/>
      <c r="AR96" s="280"/>
    </row>
    <row r="97" spans="3:44" ht="12" x14ac:dyDescent="0.25">
      <c r="D97" s="272"/>
      <c r="E97" s="272" t="s">
        <v>1101</v>
      </c>
      <c r="F97" s="272" t="s">
        <v>1090</v>
      </c>
      <c r="G97" s="272" t="s">
        <v>1092</v>
      </c>
      <c r="H97" s="272" t="s">
        <v>1091</v>
      </c>
      <c r="I97" s="272" t="s">
        <v>1196</v>
      </c>
      <c r="M97" s="131" t="s">
        <v>1197</v>
      </c>
      <c r="N97" s="131">
        <f>+F95-0.01*E93-0.21*E93*0.01</f>
        <v>393460.58640000003</v>
      </c>
      <c r="AB97" s="280"/>
      <c r="AC97" s="280"/>
      <c r="AD97" s="286">
        <v>4</v>
      </c>
      <c r="AE97" s="286">
        <f t="shared" si="30"/>
        <v>213159.00613133344</v>
      </c>
      <c r="AF97" s="286">
        <f t="shared" si="24"/>
        <v>8526.3602452533378</v>
      </c>
      <c r="AG97" s="287">
        <f t="shared" si="25"/>
        <v>68285.17623376906</v>
      </c>
      <c r="AH97" s="287">
        <f t="shared" si="26"/>
        <v>76811.536479022398</v>
      </c>
      <c r="AI97" s="287">
        <f t="shared" si="27"/>
        <v>1790.5356515032008</v>
      </c>
      <c r="AJ97" s="287"/>
      <c r="AK97" s="287">
        <f t="shared" si="28"/>
        <v>78602.072130525601</v>
      </c>
      <c r="AL97" s="287">
        <f t="shared" si="29"/>
        <v>-78602.072130525601</v>
      </c>
      <c r="AM97" s="280"/>
      <c r="AN97" s="280"/>
      <c r="AO97" s="280"/>
      <c r="AP97" s="280"/>
      <c r="AQ97" s="280"/>
      <c r="AR97" s="280"/>
    </row>
    <row r="98" spans="3:44" ht="12" x14ac:dyDescent="0.25">
      <c r="D98" s="272">
        <v>6</v>
      </c>
      <c r="E98" s="272">
        <f>+F95</f>
        <v>402656.58640000003</v>
      </c>
      <c r="F98" s="272">
        <f>+$E$98*$H$86/12</f>
        <v>16106.263456000001</v>
      </c>
      <c r="G98" s="272">
        <f>+H98-F98</f>
        <v>60705.273023022368</v>
      </c>
      <c r="H98" s="272">
        <f>+PMT($H$86/12, 6, -$E$98)</f>
        <v>76811.536479022368</v>
      </c>
      <c r="I98" s="272">
        <f>0.21*F98</f>
        <v>3382.3153257600002</v>
      </c>
      <c r="J98" s="306"/>
      <c r="K98" s="272"/>
      <c r="L98" s="272"/>
      <c r="M98" s="131">
        <f>+H98+I98</f>
        <v>80193.851804782375</v>
      </c>
      <c r="N98" s="131">
        <f>-M98</f>
        <v>-80193.851804782375</v>
      </c>
      <c r="AB98" s="280"/>
      <c r="AC98" s="280"/>
      <c r="AD98" s="286">
        <v>5</v>
      </c>
      <c r="AE98" s="286">
        <f t="shared" si="30"/>
        <v>144873.82989756437</v>
      </c>
      <c r="AF98" s="286">
        <f t="shared" si="24"/>
        <v>5794.9531959025753</v>
      </c>
      <c r="AG98" s="287">
        <f t="shared" si="25"/>
        <v>71016.58328311982</v>
      </c>
      <c r="AH98" s="287">
        <f t="shared" si="26"/>
        <v>76811.536479022398</v>
      </c>
      <c r="AI98" s="287">
        <f t="shared" si="27"/>
        <v>1216.9401711395408</v>
      </c>
      <c r="AJ98" s="287"/>
      <c r="AK98" s="287">
        <f t="shared" si="28"/>
        <v>78028.476650161945</v>
      </c>
      <c r="AL98" s="287">
        <f t="shared" si="29"/>
        <v>-78028.476650161945</v>
      </c>
      <c r="AM98" s="280"/>
      <c r="AN98" s="280"/>
      <c r="AO98" s="280"/>
      <c r="AP98" s="280"/>
      <c r="AQ98" s="280"/>
      <c r="AR98" s="280"/>
    </row>
    <row r="99" spans="3:44" ht="12" x14ac:dyDescent="0.25">
      <c r="D99" s="272">
        <v>7</v>
      </c>
      <c r="E99" s="272">
        <f>+E98-G98</f>
        <v>341951.31337697769</v>
      </c>
      <c r="F99" s="272">
        <f>+E99*$H$86/12</f>
        <v>13678.052535079107</v>
      </c>
      <c r="G99" s="272">
        <f t="shared" ref="G99:G104" si="31">+H99-F99</f>
        <v>63133.483943943262</v>
      </c>
      <c r="H99" s="272">
        <f t="shared" ref="H99:H104" si="32">+PMT($H$86/12, 6, -$E$98)</f>
        <v>76811.536479022368</v>
      </c>
      <c r="I99" s="272">
        <f t="shared" ref="I99:I104" si="33">0.21*F99</f>
        <v>2872.3910323666123</v>
      </c>
      <c r="J99" s="306"/>
      <c r="K99" s="272"/>
      <c r="L99" s="272"/>
      <c r="M99" s="131">
        <f t="shared" ref="M99:M103" si="34">+H99+I99</f>
        <v>79683.927511388974</v>
      </c>
      <c r="N99" s="131">
        <f t="shared" ref="N99:N103" si="35">-M99</f>
        <v>-79683.927511388974</v>
      </c>
      <c r="AB99" s="280"/>
      <c r="AC99" s="280"/>
      <c r="AD99" s="286">
        <v>6</v>
      </c>
      <c r="AE99" s="286">
        <f t="shared" si="30"/>
        <v>73857.24661444455</v>
      </c>
      <c r="AF99" s="286">
        <f t="shared" si="24"/>
        <v>2954.2898645777818</v>
      </c>
      <c r="AG99" s="287">
        <f>+AH99-AF99</f>
        <v>73857.246614444623</v>
      </c>
      <c r="AH99" s="287">
        <f t="shared" si="26"/>
        <v>76811.536479022398</v>
      </c>
      <c r="AI99" s="287">
        <f t="shared" si="27"/>
        <v>620.40087156133416</v>
      </c>
      <c r="AJ99" s="287"/>
      <c r="AK99" s="287">
        <f t="shared" si="28"/>
        <v>77431.937350583728</v>
      </c>
      <c r="AL99" s="287">
        <f t="shared" si="29"/>
        <v>-77431.937350583728</v>
      </c>
      <c r="AM99" s="280"/>
      <c r="AN99" s="280"/>
      <c r="AO99" s="280"/>
      <c r="AP99" s="280"/>
      <c r="AQ99" s="280"/>
      <c r="AR99" s="280"/>
    </row>
    <row r="100" spans="3:44" ht="12.6" thickBot="1" x14ac:dyDescent="0.3">
      <c r="D100" s="272">
        <v>8</v>
      </c>
      <c r="E100" s="272">
        <f t="shared" ref="E100:E104" si="36">+E99-G99</f>
        <v>278817.82943303441</v>
      </c>
      <c r="F100" s="272">
        <f t="shared" ref="F100:F104" si="37">+E100*$H$86/12</f>
        <v>11152.713177321377</v>
      </c>
      <c r="G100" s="272">
        <f t="shared" si="31"/>
        <v>65658.823301700992</v>
      </c>
      <c r="H100" s="272">
        <f t="shared" si="32"/>
        <v>76811.536479022368</v>
      </c>
      <c r="I100" s="272">
        <f t="shared" si="33"/>
        <v>2342.069767237489</v>
      </c>
      <c r="J100" s="306"/>
      <c r="K100" s="272"/>
      <c r="L100" s="272"/>
      <c r="M100" s="131">
        <f t="shared" si="34"/>
        <v>79153.606246259864</v>
      </c>
      <c r="N100" s="131">
        <f t="shared" si="35"/>
        <v>-79153.606246259864</v>
      </c>
      <c r="AB100" s="280"/>
      <c r="AC100" s="280"/>
      <c r="AD100" s="280"/>
      <c r="AE100" s="280"/>
      <c r="AF100" s="280"/>
      <c r="AG100" s="280"/>
      <c r="AH100" s="280"/>
      <c r="AI100" s="280"/>
      <c r="AJ100" s="280"/>
      <c r="AK100" s="280" t="s">
        <v>1135</v>
      </c>
      <c r="AL100" s="442">
        <f>+IRR(AL93:AL99)</f>
        <v>5.5694568889760543E-2</v>
      </c>
      <c r="AM100" s="280"/>
      <c r="AN100" s="280"/>
      <c r="AO100" s="280"/>
      <c r="AP100" s="280"/>
      <c r="AQ100" s="280"/>
      <c r="AR100" s="280"/>
    </row>
    <row r="101" spans="3:44" ht="12.6" thickBot="1" x14ac:dyDescent="0.3">
      <c r="D101" s="272">
        <v>9</v>
      </c>
      <c r="E101" s="272">
        <f t="shared" si="36"/>
        <v>213159.00613133342</v>
      </c>
      <c r="F101" s="272">
        <f t="shared" si="37"/>
        <v>8526.360245253336</v>
      </c>
      <c r="G101" s="272">
        <f t="shared" si="31"/>
        <v>68285.176233769031</v>
      </c>
      <c r="H101" s="272">
        <f t="shared" si="32"/>
        <v>76811.536479022368</v>
      </c>
      <c r="I101" s="272">
        <f t="shared" si="33"/>
        <v>1790.5356515032006</v>
      </c>
      <c r="J101" s="306"/>
      <c r="K101" s="272"/>
      <c r="L101" s="272"/>
      <c r="M101" s="131">
        <f t="shared" si="34"/>
        <v>78602.072130525572</v>
      </c>
      <c r="N101" s="131">
        <f t="shared" si="35"/>
        <v>-78602.072130525572</v>
      </c>
      <c r="AB101" s="280"/>
      <c r="AC101" s="280"/>
      <c r="AD101" s="280"/>
      <c r="AE101" s="280"/>
      <c r="AF101" s="280"/>
      <c r="AG101" s="280"/>
      <c r="AH101" s="280"/>
      <c r="AI101" s="280"/>
      <c r="AJ101" s="280" t="s">
        <v>1136</v>
      </c>
      <c r="AK101" s="281" t="s">
        <v>1137</v>
      </c>
      <c r="AL101" s="443">
        <f>+((1+AL100)^12)-1</f>
        <v>0.91628212064214076</v>
      </c>
      <c r="AM101" s="280"/>
      <c r="AN101" s="280"/>
      <c r="AO101" s="280"/>
      <c r="AP101" s="280"/>
      <c r="AQ101" s="280"/>
      <c r="AR101" s="280"/>
    </row>
    <row r="102" spans="3:44" ht="12" x14ac:dyDescent="0.25">
      <c r="D102" s="272">
        <v>10</v>
      </c>
      <c r="E102" s="272">
        <f t="shared" si="36"/>
        <v>144873.82989756437</v>
      </c>
      <c r="F102" s="272">
        <f t="shared" si="37"/>
        <v>5794.9531959025744</v>
      </c>
      <c r="G102" s="272">
        <f t="shared" si="31"/>
        <v>71016.583283119791</v>
      </c>
      <c r="H102" s="272">
        <f t="shared" si="32"/>
        <v>76811.536479022368</v>
      </c>
      <c r="I102" s="272">
        <f t="shared" si="33"/>
        <v>1216.9401711395406</v>
      </c>
      <c r="J102" s="306"/>
      <c r="K102" s="272"/>
      <c r="L102" s="272"/>
      <c r="M102" s="131">
        <f t="shared" si="34"/>
        <v>78028.476650161916</v>
      </c>
      <c r="N102" s="131">
        <f t="shared" si="35"/>
        <v>-78028.476650161916</v>
      </c>
      <c r="AB102" s="280"/>
      <c r="AC102" s="280"/>
      <c r="AD102" s="280"/>
      <c r="AE102" s="280"/>
      <c r="AF102" s="280"/>
      <c r="AG102" s="280"/>
      <c r="AH102" s="280"/>
      <c r="AI102" s="280"/>
      <c r="AJ102" s="280"/>
      <c r="AK102" s="280" t="s">
        <v>1138</v>
      </c>
      <c r="AL102" s="442">
        <f>+AL100*12</f>
        <v>0.66833482667712651</v>
      </c>
      <c r="AM102" s="280"/>
      <c r="AN102" s="280"/>
      <c r="AO102" s="280"/>
      <c r="AP102" s="280"/>
      <c r="AQ102" s="280"/>
      <c r="AR102" s="280"/>
    </row>
    <row r="103" spans="3:44" ht="12" x14ac:dyDescent="0.25">
      <c r="C103" s="131" t="s">
        <v>1119</v>
      </c>
      <c r="D103" s="272">
        <v>11</v>
      </c>
      <c r="E103" s="272">
        <f t="shared" si="36"/>
        <v>73857.246614444579</v>
      </c>
      <c r="F103" s="272">
        <f t="shared" si="37"/>
        <v>2954.2898645777827</v>
      </c>
      <c r="G103" s="272">
        <f t="shared" si="31"/>
        <v>73857.246614444579</v>
      </c>
      <c r="H103" s="272">
        <f t="shared" si="32"/>
        <v>76811.536479022368</v>
      </c>
      <c r="I103" s="272">
        <f t="shared" si="33"/>
        <v>620.40087156133438</v>
      </c>
      <c r="J103" s="306"/>
      <c r="K103" s="272"/>
      <c r="L103" s="272"/>
      <c r="M103" s="131">
        <f t="shared" si="34"/>
        <v>77431.937350583699</v>
      </c>
      <c r="N103" s="131">
        <f t="shared" si="35"/>
        <v>-77431.937350583699</v>
      </c>
      <c r="AB103" s="280" t="s">
        <v>1139</v>
      </c>
      <c r="AC103" s="280"/>
      <c r="AD103" s="280"/>
      <c r="AE103" s="280"/>
      <c r="AF103" s="280"/>
      <c r="AG103" s="280"/>
      <c r="AH103" s="280"/>
      <c r="AI103" s="280"/>
      <c r="AJ103" s="280"/>
      <c r="AK103" s="280"/>
      <c r="AL103" s="280"/>
      <c r="AM103" s="280"/>
      <c r="AN103" s="280"/>
      <c r="AO103" s="280"/>
      <c r="AP103" s="280"/>
      <c r="AQ103" s="280"/>
      <c r="AR103" s="280"/>
    </row>
    <row r="104" spans="3:44" ht="12.6" thickBot="1" x14ac:dyDescent="0.3">
      <c r="D104" s="272">
        <v>12</v>
      </c>
      <c r="E104" s="272">
        <f t="shared" si="36"/>
        <v>0</v>
      </c>
      <c r="F104" s="272">
        <f t="shared" si="37"/>
        <v>0</v>
      </c>
      <c r="G104" s="272">
        <f t="shared" si="31"/>
        <v>76811.536479022368</v>
      </c>
      <c r="H104" s="272">
        <f t="shared" si="32"/>
        <v>76811.536479022368</v>
      </c>
      <c r="I104" s="272">
        <f t="shared" si="33"/>
        <v>0</v>
      </c>
      <c r="J104" s="306"/>
      <c r="K104" s="272"/>
      <c r="L104" s="272"/>
      <c r="AB104" s="280"/>
      <c r="AC104" s="280"/>
      <c r="AD104" s="280"/>
      <c r="AE104" s="280"/>
      <c r="AF104" s="280"/>
      <c r="AG104" s="280"/>
      <c r="AH104" s="280"/>
      <c r="AI104" s="280"/>
      <c r="AJ104" s="280"/>
      <c r="AK104" s="280"/>
      <c r="AL104" s="280"/>
      <c r="AM104" s="280"/>
      <c r="AN104" s="280"/>
      <c r="AO104" s="280"/>
      <c r="AP104" s="280"/>
      <c r="AQ104" s="280"/>
      <c r="AR104" s="280"/>
    </row>
    <row r="105" spans="3:44" ht="12.6" thickBot="1" x14ac:dyDescent="0.3">
      <c r="N105" s="288">
        <f>+IRR(N97:N103)</f>
        <v>5.5694568889760543E-2</v>
      </c>
      <c r="O105" s="131" t="s">
        <v>1198</v>
      </c>
      <c r="AB105" s="280"/>
      <c r="AC105" s="289" t="s">
        <v>1140</v>
      </c>
      <c r="AD105" s="290">
        <f>+NPV(0.04,AL94:AL99)+AL93</f>
        <v>-20207.110058415215</v>
      </c>
      <c r="AE105" s="280" t="s">
        <v>1141</v>
      </c>
      <c r="AF105" s="280"/>
      <c r="AG105" s="280"/>
      <c r="AH105" s="280"/>
      <c r="AI105" s="280"/>
      <c r="AJ105" s="280"/>
      <c r="AK105" s="280"/>
      <c r="AL105" s="280"/>
      <c r="AM105" s="280"/>
      <c r="AN105" s="280"/>
      <c r="AO105" s="280"/>
      <c r="AP105" s="280"/>
      <c r="AQ105" s="280"/>
      <c r="AR105" s="280"/>
    </row>
    <row r="106" spans="3:44" ht="12" x14ac:dyDescent="0.25">
      <c r="N106" s="288">
        <f>+(1+N105)^12-1</f>
        <v>0.91628212064214076</v>
      </c>
      <c r="O106" s="131" t="s">
        <v>1200</v>
      </c>
      <c r="AB106" s="280"/>
      <c r="AC106" s="280"/>
      <c r="AD106" s="280"/>
      <c r="AE106" s="280"/>
      <c r="AF106" s="280"/>
      <c r="AG106" s="280"/>
      <c r="AH106" s="280"/>
      <c r="AI106" s="280"/>
      <c r="AJ106" s="280"/>
      <c r="AK106" s="280"/>
      <c r="AL106" s="280"/>
      <c r="AM106" s="280"/>
      <c r="AN106" s="280"/>
      <c r="AO106" s="280"/>
      <c r="AP106" s="280"/>
      <c r="AQ106" s="280"/>
      <c r="AR106" s="280"/>
    </row>
    <row r="107" spans="3:44" ht="12" x14ac:dyDescent="0.25">
      <c r="N107" s="288">
        <f>+N105*12</f>
        <v>0.66833482667712651</v>
      </c>
      <c r="O107" s="131" t="s">
        <v>1199</v>
      </c>
      <c r="AB107" s="280"/>
      <c r="AC107" s="280"/>
      <c r="AD107" s="280"/>
      <c r="AE107" s="280"/>
      <c r="AF107" s="280"/>
      <c r="AG107" s="280"/>
      <c r="AH107" s="280"/>
      <c r="AI107" s="280"/>
      <c r="AJ107" s="280"/>
      <c r="AK107" s="280"/>
      <c r="AL107" s="280"/>
      <c r="AM107" s="280"/>
      <c r="AN107" s="280"/>
      <c r="AO107" s="280"/>
      <c r="AP107" s="280"/>
      <c r="AQ107" s="280"/>
      <c r="AR107" s="280"/>
    </row>
    <row r="108" spans="3:44" ht="12" x14ac:dyDescent="0.25">
      <c r="D108" s="131" t="s">
        <v>1201</v>
      </c>
      <c r="E108" s="131">
        <f>+NPV(0.04, N98:N103)+N97</f>
        <v>-20207.110058415157</v>
      </c>
      <c r="AB108" s="280"/>
      <c r="AC108" s="280"/>
      <c r="AD108" s="280"/>
      <c r="AE108" s="280"/>
      <c r="AF108" s="280"/>
      <c r="AG108" s="280"/>
      <c r="AH108" s="280"/>
      <c r="AI108" s="280"/>
      <c r="AJ108" s="280"/>
      <c r="AK108" s="280"/>
      <c r="AL108" s="280"/>
      <c r="AM108" s="280"/>
      <c r="AN108" s="280"/>
      <c r="AO108" s="280"/>
      <c r="AP108" s="280"/>
      <c r="AQ108" s="280"/>
      <c r="AR108" s="280"/>
    </row>
    <row r="118" spans="3:44" s="202" customFormat="1" x14ac:dyDescent="0.3"/>
    <row r="119" spans="3:44" ht="12" x14ac:dyDescent="0.25">
      <c r="H119" s="131" t="s">
        <v>1214</v>
      </c>
      <c r="AB119" s="280"/>
      <c r="AC119" s="280"/>
      <c r="AD119" s="280"/>
      <c r="AE119" s="280"/>
      <c r="AF119" s="280"/>
      <c r="AG119" s="280"/>
      <c r="AH119" s="280"/>
      <c r="AI119" s="280"/>
      <c r="AJ119" s="280"/>
      <c r="AK119" s="280"/>
      <c r="AL119" s="280"/>
      <c r="AM119" s="280"/>
      <c r="AN119" s="280"/>
      <c r="AO119" s="280"/>
      <c r="AP119" s="280"/>
      <c r="AQ119" s="280"/>
      <c r="AR119" s="280"/>
    </row>
    <row r="120" spans="3:44" ht="12.6" thickBot="1" x14ac:dyDescent="0.3">
      <c r="C120" s="131">
        <v>0</v>
      </c>
      <c r="H120" s="131" t="s">
        <v>1215</v>
      </c>
      <c r="AB120" s="280"/>
      <c r="AC120" s="280"/>
      <c r="AD120" s="280"/>
      <c r="AE120" s="280"/>
      <c r="AF120" s="280"/>
      <c r="AG120" s="280"/>
      <c r="AH120" s="280"/>
      <c r="AI120" s="280"/>
      <c r="AJ120" s="280"/>
      <c r="AK120" s="280"/>
      <c r="AL120" s="280"/>
      <c r="AM120" s="280"/>
      <c r="AN120" s="280"/>
      <c r="AO120" s="280"/>
      <c r="AP120" s="280"/>
      <c r="AQ120" s="280"/>
      <c r="AR120" s="280"/>
    </row>
    <row r="121" spans="3:44" ht="12.6" thickBot="1" x14ac:dyDescent="0.3">
      <c r="C121" s="131">
        <v>1</v>
      </c>
      <c r="D121" s="131">
        <v>15000</v>
      </c>
      <c r="H121" s="131">
        <f t="shared" ref="H121:H131" si="38">+D121*(1+0.01)^C121</f>
        <v>15150</v>
      </c>
      <c r="AB121" s="280"/>
      <c r="AC121" s="280"/>
      <c r="AD121" s="280"/>
      <c r="AE121" s="281" t="s">
        <v>1142</v>
      </c>
      <c r="AF121" s="282"/>
      <c r="AG121" s="282"/>
      <c r="AH121" s="282"/>
      <c r="AI121" s="282"/>
      <c r="AJ121" s="282"/>
      <c r="AK121" s="282"/>
      <c r="AL121" s="283">
        <f>FV(0.01,12,-15000)</f>
        <v>190237.54519795463</v>
      </c>
      <c r="AM121" s="280" t="s">
        <v>1143</v>
      </c>
      <c r="AN121" s="280"/>
      <c r="AO121" s="280"/>
      <c r="AP121" s="280"/>
      <c r="AQ121" s="280"/>
      <c r="AR121" s="280"/>
    </row>
    <row r="122" spans="3:44" ht="12.6" thickBot="1" x14ac:dyDescent="0.3">
      <c r="C122" s="131">
        <v>2</v>
      </c>
      <c r="D122" s="131">
        <v>15000</v>
      </c>
      <c r="H122" s="131">
        <f t="shared" si="38"/>
        <v>15301.5</v>
      </c>
      <c r="AB122" s="280"/>
      <c r="AC122" s="280"/>
      <c r="AD122" s="280"/>
      <c r="AE122" s="280"/>
      <c r="AF122" s="280"/>
      <c r="AG122" s="280"/>
      <c r="AH122" s="280"/>
      <c r="AI122" s="280"/>
      <c r="AJ122" s="280"/>
      <c r="AK122" s="280"/>
      <c r="AL122" s="280"/>
      <c r="AM122" s="280"/>
      <c r="AN122" s="280"/>
      <c r="AO122" s="280"/>
      <c r="AP122" s="280"/>
      <c r="AQ122" s="280"/>
      <c r="AR122" s="280"/>
    </row>
    <row r="123" spans="3:44" ht="12.6" thickBot="1" x14ac:dyDescent="0.3">
      <c r="C123" s="131">
        <v>3</v>
      </c>
      <c r="D123" s="131">
        <v>15000</v>
      </c>
      <c r="H123" s="131">
        <f t="shared" si="38"/>
        <v>15454.514999999999</v>
      </c>
      <c r="AB123" s="280"/>
      <c r="AC123" s="280"/>
      <c r="AD123" s="280"/>
      <c r="AE123" s="281" t="s">
        <v>1123</v>
      </c>
      <c r="AF123" s="282"/>
      <c r="AG123" s="282"/>
      <c r="AH123" s="282"/>
      <c r="AI123" s="282"/>
      <c r="AJ123" s="282"/>
      <c r="AK123" s="282"/>
      <c r="AL123" s="283">
        <f>400000-AL121</f>
        <v>209762.45480204537</v>
      </c>
      <c r="AM123" s="280"/>
      <c r="AN123" s="280"/>
      <c r="AO123" s="280"/>
      <c r="AP123" s="280"/>
      <c r="AQ123" s="280"/>
      <c r="AR123" s="280"/>
    </row>
    <row r="124" spans="3:44" ht="12" x14ac:dyDescent="0.25">
      <c r="C124" s="131">
        <v>4</v>
      </c>
      <c r="D124" s="131">
        <v>15000</v>
      </c>
      <c r="H124" s="131">
        <f t="shared" si="38"/>
        <v>15609.060150000001</v>
      </c>
      <c r="AB124" s="280"/>
      <c r="AC124" s="280" t="s">
        <v>1144</v>
      </c>
      <c r="AD124" s="280"/>
      <c r="AE124" s="280"/>
      <c r="AF124" s="280" t="s">
        <v>1125</v>
      </c>
      <c r="AG124" s="280"/>
      <c r="AH124" s="280"/>
      <c r="AI124" s="280"/>
      <c r="AJ124" s="280"/>
      <c r="AK124" s="280"/>
      <c r="AL124" s="280"/>
      <c r="AM124" s="280"/>
      <c r="AN124" s="280"/>
      <c r="AO124" s="280"/>
      <c r="AP124" s="280"/>
      <c r="AQ124" s="280"/>
      <c r="AR124" s="280"/>
    </row>
    <row r="125" spans="3:44" ht="12" x14ac:dyDescent="0.25">
      <c r="C125" s="131">
        <v>5</v>
      </c>
      <c r="D125" s="131">
        <v>15000</v>
      </c>
      <c r="H125" s="131">
        <f t="shared" si="38"/>
        <v>15765.150751499999</v>
      </c>
      <c r="AB125" s="280"/>
      <c r="AC125" s="284"/>
      <c r="AD125" s="285" t="s">
        <v>1126</v>
      </c>
      <c r="AE125" s="285" t="s">
        <v>1127</v>
      </c>
      <c r="AF125" s="285" t="s">
        <v>190</v>
      </c>
      <c r="AG125" s="285" t="s">
        <v>1128</v>
      </c>
      <c r="AH125" s="285" t="s">
        <v>1129</v>
      </c>
      <c r="AI125" s="285" t="s">
        <v>1130</v>
      </c>
      <c r="AJ125" s="285" t="s">
        <v>1145</v>
      </c>
      <c r="AK125" s="285" t="s">
        <v>1131</v>
      </c>
      <c r="AL125" s="285" t="s">
        <v>1132</v>
      </c>
      <c r="AM125" s="280"/>
      <c r="AN125" s="280"/>
      <c r="AO125" s="280"/>
      <c r="AP125" s="280"/>
      <c r="AQ125" s="280"/>
      <c r="AR125" s="280"/>
    </row>
    <row r="126" spans="3:44" ht="12" x14ac:dyDescent="0.25">
      <c r="C126" s="131">
        <v>6</v>
      </c>
      <c r="D126" s="131">
        <v>15000</v>
      </c>
      <c r="H126" s="131">
        <f t="shared" si="38"/>
        <v>15922.802259015001</v>
      </c>
      <c r="AB126" s="280"/>
      <c r="AC126" s="280"/>
      <c r="AD126" s="286"/>
      <c r="AE126" s="286"/>
      <c r="AF126" s="286"/>
      <c r="AG126" s="286"/>
      <c r="AH126" s="286"/>
      <c r="AI126" s="286"/>
      <c r="AJ126" s="286"/>
      <c r="AK126" s="286"/>
      <c r="AL126" s="287">
        <f>+AL123-0.01*400000-0.21*0.01*400000</f>
        <v>204922.45480204537</v>
      </c>
      <c r="AM126" s="280" t="s">
        <v>1133</v>
      </c>
      <c r="AN126" s="280" t="s">
        <v>1134</v>
      </c>
      <c r="AO126" s="280"/>
      <c r="AP126" s="280"/>
      <c r="AQ126" s="280"/>
      <c r="AR126" s="280"/>
    </row>
    <row r="127" spans="3:44" ht="12" x14ac:dyDescent="0.25">
      <c r="C127" s="131">
        <v>7</v>
      </c>
      <c r="D127" s="131">
        <v>15000</v>
      </c>
      <c r="H127" s="131">
        <f t="shared" si="38"/>
        <v>16082.030281605148</v>
      </c>
      <c r="AB127" s="280"/>
      <c r="AC127" s="280"/>
      <c r="AD127" s="286">
        <v>1</v>
      </c>
      <c r="AE127" s="286">
        <f>+AL123</f>
        <v>209762.45480204537</v>
      </c>
      <c r="AF127" s="286">
        <f>0.02*AE127</f>
        <v>4195.2490960409077</v>
      </c>
      <c r="AG127" s="287">
        <f>+$AE$127/4</f>
        <v>52440.613700511341</v>
      </c>
      <c r="AH127" s="287">
        <f>+AF127+AG127</f>
        <v>56635.862796552246</v>
      </c>
      <c r="AI127" s="287">
        <f>0.21*AF127</f>
        <v>881.00231016859061</v>
      </c>
      <c r="AJ127" s="287">
        <f>+(0.03/100)*AE127</f>
        <v>62.928736440613605</v>
      </c>
      <c r="AK127" s="287">
        <f>+AF127+AG127+AI127+AJ127</f>
        <v>57579.793843161446</v>
      </c>
      <c r="AL127" s="287">
        <f>-AK127</f>
        <v>-57579.793843161446</v>
      </c>
      <c r="AM127" s="280"/>
      <c r="AN127" s="280"/>
      <c r="AO127" s="280"/>
      <c r="AP127" s="280"/>
      <c r="AQ127" s="280"/>
      <c r="AR127" s="280"/>
    </row>
    <row r="128" spans="3:44" ht="12" x14ac:dyDescent="0.25">
      <c r="C128" s="131">
        <v>8</v>
      </c>
      <c r="D128" s="131">
        <v>15000</v>
      </c>
      <c r="H128" s="131">
        <f t="shared" si="38"/>
        <v>16242.850584421203</v>
      </c>
      <c r="AB128" s="280"/>
      <c r="AC128" s="280"/>
      <c r="AD128" s="286">
        <v>2</v>
      </c>
      <c r="AE128" s="286">
        <f>+AE127-AG127</f>
        <v>157321.84110153402</v>
      </c>
      <c r="AF128" s="286">
        <f t="shared" ref="AF128:AF130" si="39">0.02*AE128</f>
        <v>3146.4368220306806</v>
      </c>
      <c r="AG128" s="287">
        <f t="shared" ref="AG128:AG130" si="40">+$AE$127/4</f>
        <v>52440.613700511341</v>
      </c>
      <c r="AH128" s="287">
        <f t="shared" ref="AH128:AH130" si="41">+AF128+AG128</f>
        <v>55587.05052254202</v>
      </c>
      <c r="AI128" s="287">
        <f t="shared" ref="AI128:AI130" si="42">0.21*AF128</f>
        <v>660.75173262644284</v>
      </c>
      <c r="AJ128" s="287">
        <f t="shared" ref="AJ128:AJ130" si="43">+(0.03/100)*AE128</f>
        <v>47.1965523304602</v>
      </c>
      <c r="AK128" s="287">
        <f t="shared" ref="AK128:AK130" si="44">+AH128+AI128+AJ128</f>
        <v>56294.998807498923</v>
      </c>
      <c r="AL128" s="287">
        <f t="shared" ref="AL128:AL130" si="45">-AK128</f>
        <v>-56294.998807498923</v>
      </c>
      <c r="AM128" s="280"/>
      <c r="AN128" s="280"/>
      <c r="AO128" s="280"/>
      <c r="AP128" s="280"/>
      <c r="AQ128" s="280"/>
      <c r="AR128" s="280"/>
    </row>
    <row r="129" spans="3:44" ht="12" x14ac:dyDescent="0.25">
      <c r="C129" s="131">
        <v>9</v>
      </c>
      <c r="D129" s="131">
        <v>15000</v>
      </c>
      <c r="H129" s="131">
        <f t="shared" si="38"/>
        <v>16405.279090265416</v>
      </c>
      <c r="AB129" s="280"/>
      <c r="AC129" s="280"/>
      <c r="AD129" s="286">
        <v>3</v>
      </c>
      <c r="AE129" s="286">
        <f t="shared" ref="AE129:AE130" si="46">+AE128-AG128</f>
        <v>104881.22740102268</v>
      </c>
      <c r="AF129" s="286">
        <f t="shared" si="39"/>
        <v>2097.6245480204539</v>
      </c>
      <c r="AG129" s="287">
        <f t="shared" si="40"/>
        <v>52440.613700511341</v>
      </c>
      <c r="AH129" s="287">
        <f t="shared" si="41"/>
        <v>54538.238248531794</v>
      </c>
      <c r="AI129" s="287">
        <f t="shared" si="42"/>
        <v>440.50115508429531</v>
      </c>
      <c r="AJ129" s="287">
        <f t="shared" si="43"/>
        <v>31.464368220306802</v>
      </c>
      <c r="AK129" s="287">
        <f t="shared" si="44"/>
        <v>55010.203771836401</v>
      </c>
      <c r="AL129" s="287">
        <f t="shared" si="45"/>
        <v>-55010.203771836401</v>
      </c>
      <c r="AM129" s="280"/>
      <c r="AN129" s="280"/>
      <c r="AO129" s="280"/>
      <c r="AP129" s="280"/>
      <c r="AQ129" s="280"/>
      <c r="AR129" s="280"/>
    </row>
    <row r="130" spans="3:44" ht="12" x14ac:dyDescent="0.25">
      <c r="C130" s="131">
        <v>10</v>
      </c>
      <c r="D130" s="131">
        <v>15000</v>
      </c>
      <c r="H130" s="131">
        <f t="shared" si="38"/>
        <v>16569.331881168073</v>
      </c>
      <c r="AB130" s="280"/>
      <c r="AC130" s="280"/>
      <c r="AD130" s="286">
        <v>4</v>
      </c>
      <c r="AE130" s="286">
        <f t="shared" si="46"/>
        <v>52440.613700511341</v>
      </c>
      <c r="AF130" s="286">
        <f t="shared" si="39"/>
        <v>1048.8122740102269</v>
      </c>
      <c r="AG130" s="287">
        <f t="shared" si="40"/>
        <v>52440.613700511341</v>
      </c>
      <c r="AH130" s="287">
        <f t="shared" si="41"/>
        <v>53489.425974521568</v>
      </c>
      <c r="AI130" s="287">
        <f t="shared" si="42"/>
        <v>220.25057754214765</v>
      </c>
      <c r="AJ130" s="287">
        <f t="shared" si="43"/>
        <v>15.732184110153401</v>
      </c>
      <c r="AK130" s="287">
        <f t="shared" si="44"/>
        <v>53725.408736173864</v>
      </c>
      <c r="AL130" s="287">
        <f t="shared" si="45"/>
        <v>-53725.408736173864</v>
      </c>
      <c r="AM130" s="280"/>
      <c r="AN130" s="280"/>
      <c r="AO130" s="280"/>
      <c r="AP130" s="280"/>
      <c r="AQ130" s="280"/>
      <c r="AR130" s="280"/>
    </row>
    <row r="131" spans="3:44" ht="12.6" thickBot="1" x14ac:dyDescent="0.3">
      <c r="C131" s="131">
        <v>11</v>
      </c>
      <c r="D131" s="131">
        <v>15000</v>
      </c>
      <c r="H131" s="131">
        <f t="shared" si="38"/>
        <v>16735.025199979747</v>
      </c>
      <c r="I131" s="274" t="s">
        <v>1112</v>
      </c>
      <c r="AB131" s="280"/>
      <c r="AC131" s="280"/>
      <c r="AD131" s="280"/>
      <c r="AE131" s="280"/>
      <c r="AF131" s="280"/>
      <c r="AG131" s="280"/>
      <c r="AH131" s="280"/>
      <c r="AI131" s="280"/>
      <c r="AJ131" s="280"/>
      <c r="AK131" s="280" t="s">
        <v>1135</v>
      </c>
      <c r="AL131" s="440">
        <f>+IRR(AL126:AL130)</f>
        <v>3.4369212594574705E-2</v>
      </c>
      <c r="AM131" s="280"/>
      <c r="AN131" s="280"/>
      <c r="AO131" s="280"/>
      <c r="AP131" s="280"/>
      <c r="AQ131" s="280"/>
      <c r="AR131" s="280"/>
    </row>
    <row r="132" spans="3:44" ht="30.75" customHeight="1" thickBot="1" x14ac:dyDescent="0.3">
      <c r="C132" s="131">
        <v>12</v>
      </c>
      <c r="D132" s="131">
        <v>15000</v>
      </c>
      <c r="E132" s="291" t="s">
        <v>1209</v>
      </c>
      <c r="F132" s="131">
        <v>400000</v>
      </c>
      <c r="H132" s="131">
        <f>+SUM(H121:H131)+D132</f>
        <v>190237.54519795458</v>
      </c>
      <c r="I132" s="274">
        <f>400000-H132</f>
        <v>209762.45480204542</v>
      </c>
      <c r="AB132" s="280"/>
      <c r="AC132" s="280"/>
      <c r="AD132" s="280"/>
      <c r="AE132" s="280"/>
      <c r="AF132" s="280"/>
      <c r="AG132" s="280"/>
      <c r="AH132" s="280"/>
      <c r="AI132" s="280"/>
      <c r="AJ132" s="280" t="s">
        <v>1146</v>
      </c>
      <c r="AK132" s="281" t="s">
        <v>1137</v>
      </c>
      <c r="AL132" s="441">
        <f>+((1+AL131)^12)-1</f>
        <v>0.50005445969867135</v>
      </c>
      <c r="AM132" s="280"/>
      <c r="AN132" s="280"/>
      <c r="AO132" s="280"/>
      <c r="AP132" s="280"/>
      <c r="AQ132" s="280"/>
      <c r="AR132" s="280"/>
    </row>
    <row r="133" spans="3:44" ht="12" x14ac:dyDescent="0.25">
      <c r="AB133" s="280"/>
      <c r="AC133" s="280"/>
      <c r="AD133" s="280"/>
      <c r="AE133" s="280"/>
      <c r="AF133" s="280"/>
      <c r="AG133" s="280"/>
      <c r="AH133" s="280"/>
      <c r="AI133" s="280"/>
      <c r="AJ133" s="280"/>
      <c r="AK133" s="280" t="s">
        <v>1138</v>
      </c>
      <c r="AL133" s="440">
        <f>+AL131*12</f>
        <v>0.41243055113489646</v>
      </c>
      <c r="AM133" s="280"/>
      <c r="AN133" s="280"/>
      <c r="AO133" s="280"/>
      <c r="AP133" s="280"/>
      <c r="AQ133" s="280"/>
      <c r="AR133" s="280"/>
    </row>
    <row r="134" spans="3:44" ht="12" x14ac:dyDescent="0.25">
      <c r="C134" s="131" t="s">
        <v>1205</v>
      </c>
      <c r="D134" s="131">
        <v>0.21</v>
      </c>
      <c r="E134" s="131" t="s">
        <v>1207</v>
      </c>
      <c r="AB134" s="280"/>
      <c r="AC134" s="280"/>
      <c r="AD134" s="280"/>
      <c r="AE134" s="280"/>
      <c r="AF134" s="280"/>
      <c r="AG134" s="280"/>
      <c r="AH134" s="280"/>
      <c r="AI134" s="280"/>
      <c r="AJ134" s="280"/>
      <c r="AK134" s="280"/>
      <c r="AL134" s="280"/>
      <c r="AM134" s="280"/>
      <c r="AN134" s="280"/>
      <c r="AO134" s="280"/>
      <c r="AP134" s="280"/>
      <c r="AQ134" s="280"/>
      <c r="AR134" s="280"/>
    </row>
    <row r="135" spans="3:44" ht="12.6" thickBot="1" x14ac:dyDescent="0.3">
      <c r="C135" s="131" t="s">
        <v>1103</v>
      </c>
      <c r="D135" s="131">
        <v>2.9999999999999997E-4</v>
      </c>
      <c r="E135" s="131" t="s">
        <v>1206</v>
      </c>
      <c r="AB135" s="280"/>
      <c r="AC135" s="280"/>
      <c r="AD135" s="280"/>
      <c r="AE135" s="280"/>
      <c r="AF135" s="280"/>
      <c r="AG135" s="280"/>
      <c r="AH135" s="280"/>
      <c r="AI135" s="280"/>
      <c r="AJ135" s="280"/>
      <c r="AK135" s="280"/>
      <c r="AL135" s="280"/>
      <c r="AM135" s="280"/>
      <c r="AN135" s="280"/>
      <c r="AO135" s="280"/>
      <c r="AP135" s="280"/>
      <c r="AQ135" s="280"/>
      <c r="AR135" s="280"/>
    </row>
    <row r="136" spans="3:44" ht="12.6" thickBot="1" x14ac:dyDescent="0.3">
      <c r="C136" s="131" t="s">
        <v>1208</v>
      </c>
      <c r="D136" s="131">
        <f>+F132*0.01</f>
        <v>4000</v>
      </c>
      <c r="AB136" s="280" t="s">
        <v>1147</v>
      </c>
      <c r="AC136" s="289" t="s">
        <v>1140</v>
      </c>
      <c r="AD136" s="290">
        <f>+NPV(0.04,AL127:AL130)+AL126</f>
        <v>2680.8021097160527</v>
      </c>
      <c r="AE136" s="280" t="s">
        <v>1148</v>
      </c>
      <c r="AF136" s="280"/>
      <c r="AG136" s="280"/>
      <c r="AH136" s="280"/>
      <c r="AI136" s="280"/>
      <c r="AJ136" s="280"/>
      <c r="AK136" s="280"/>
      <c r="AL136" s="280"/>
      <c r="AM136" s="280"/>
      <c r="AN136" s="280"/>
      <c r="AO136" s="280"/>
      <c r="AP136" s="280"/>
      <c r="AQ136" s="280"/>
      <c r="AR136" s="280"/>
    </row>
    <row r="137" spans="3:44" ht="12" x14ac:dyDescent="0.25">
      <c r="C137" s="131" t="s">
        <v>161</v>
      </c>
      <c r="D137" s="131">
        <v>0.24</v>
      </c>
      <c r="K137" s="131" t="s">
        <v>709</v>
      </c>
      <c r="M137" s="275" t="s">
        <v>1213</v>
      </c>
      <c r="AB137" s="280"/>
      <c r="AC137" s="280"/>
      <c r="AD137" s="280"/>
      <c r="AE137" s="280"/>
      <c r="AF137" s="280"/>
      <c r="AG137" s="280"/>
      <c r="AH137" s="280"/>
      <c r="AI137" s="280"/>
      <c r="AJ137" s="280"/>
      <c r="AK137" s="280"/>
      <c r="AL137" s="280"/>
      <c r="AM137" s="280"/>
      <c r="AN137" s="280"/>
      <c r="AO137" s="280"/>
      <c r="AP137" s="280"/>
      <c r="AQ137" s="280"/>
      <c r="AR137" s="280"/>
    </row>
    <row r="138" spans="3:44" ht="12" x14ac:dyDescent="0.25">
      <c r="C138" s="272" t="s">
        <v>913</v>
      </c>
      <c r="L138" s="131" t="s">
        <v>1212</v>
      </c>
      <c r="M138" s="131" t="s">
        <v>1210</v>
      </c>
      <c r="N138" s="131" t="s">
        <v>1211</v>
      </c>
      <c r="AB138" s="280"/>
      <c r="AC138" s="280"/>
      <c r="AD138" s="280"/>
      <c r="AE138" s="280"/>
      <c r="AF138" s="280"/>
      <c r="AG138" s="280"/>
      <c r="AH138" s="280"/>
      <c r="AI138" s="280"/>
      <c r="AJ138" s="280"/>
      <c r="AK138" s="280"/>
      <c r="AL138" s="280"/>
      <c r="AM138" s="280"/>
      <c r="AN138" s="280"/>
      <c r="AO138" s="280"/>
      <c r="AP138" s="280"/>
      <c r="AQ138" s="280"/>
      <c r="AR138" s="280"/>
    </row>
    <row r="139" spans="3:44" ht="12" x14ac:dyDescent="0.25">
      <c r="D139" s="272" t="s">
        <v>1101</v>
      </c>
      <c r="E139" s="272" t="s">
        <v>151</v>
      </c>
      <c r="F139" s="272" t="s">
        <v>890</v>
      </c>
      <c r="G139" s="272" t="s">
        <v>1202</v>
      </c>
      <c r="H139" s="272" t="s">
        <v>1203</v>
      </c>
      <c r="I139" s="272" t="s">
        <v>1103</v>
      </c>
      <c r="J139" s="272" t="s">
        <v>1204</v>
      </c>
      <c r="K139" s="131">
        <f>+I132-D136-0.21*D136</f>
        <v>204922.45480204542</v>
      </c>
      <c r="N139" s="131">
        <v>204922.45480204542</v>
      </c>
      <c r="AB139" s="280"/>
      <c r="AC139" s="280"/>
      <c r="AD139" s="280"/>
      <c r="AE139" s="280"/>
      <c r="AF139" s="280"/>
      <c r="AG139" s="280"/>
      <c r="AH139" s="280"/>
      <c r="AI139" s="280"/>
      <c r="AJ139" s="280"/>
      <c r="AK139" s="280"/>
      <c r="AL139" s="280"/>
      <c r="AM139" s="280"/>
      <c r="AN139" s="280"/>
      <c r="AO139" s="280"/>
      <c r="AP139" s="280"/>
      <c r="AQ139" s="280"/>
      <c r="AR139" s="280"/>
    </row>
    <row r="140" spans="3:44" ht="12" x14ac:dyDescent="0.25">
      <c r="C140" s="272">
        <v>13</v>
      </c>
      <c r="D140" s="272">
        <f>+I132</f>
        <v>209762.45480204542</v>
      </c>
      <c r="E140" s="272">
        <f>+$D$140*$D$137/12</f>
        <v>4195.2490960409086</v>
      </c>
      <c r="F140" s="272">
        <f>+$D$140/4</f>
        <v>52440.613700511356</v>
      </c>
      <c r="G140" s="272">
        <f>+F140+E140</f>
        <v>56635.862796552261</v>
      </c>
      <c r="H140" s="272">
        <f>+E140*0.21</f>
        <v>881.00231016859072</v>
      </c>
      <c r="I140" s="272">
        <f>0.0003*D140</f>
        <v>62.928736440613619</v>
      </c>
      <c r="J140" s="272">
        <f>+I140+H140+G140</f>
        <v>57579.793843161468</v>
      </c>
      <c r="K140" s="131">
        <f>-J140</f>
        <v>-57579.793843161468</v>
      </c>
      <c r="L140" s="272">
        <f>+E140*0.35</f>
        <v>1468.3371836143178</v>
      </c>
      <c r="M140" s="272">
        <f>-J140</f>
        <v>-57579.793843161468</v>
      </c>
      <c r="N140" s="272">
        <f>+L140+M140</f>
        <v>-56111.456659547148</v>
      </c>
      <c r="AB140" s="280"/>
      <c r="AC140" s="280"/>
      <c r="AD140" s="280"/>
      <c r="AE140" s="280"/>
      <c r="AF140" s="280"/>
      <c r="AG140" s="280"/>
      <c r="AH140" s="280"/>
      <c r="AI140" s="280"/>
      <c r="AJ140" s="280"/>
      <c r="AK140" s="280"/>
      <c r="AL140" s="280"/>
      <c r="AM140" s="280"/>
      <c r="AN140" s="280"/>
      <c r="AO140" s="280"/>
      <c r="AP140" s="280"/>
      <c r="AQ140" s="280"/>
      <c r="AR140" s="280"/>
    </row>
    <row r="141" spans="3:44" ht="12" x14ac:dyDescent="0.25">
      <c r="C141" s="272">
        <v>14</v>
      </c>
      <c r="D141" s="272">
        <f>+D140+E140-G140</f>
        <v>157321.84110153408</v>
      </c>
      <c r="E141" s="272">
        <f>+D141*$D$137/12</f>
        <v>3146.4368220306819</v>
      </c>
      <c r="F141" s="272">
        <f>+$D$140/4</f>
        <v>52440.613700511356</v>
      </c>
      <c r="G141" s="272">
        <f t="shared" ref="G141:G143" si="47">+F141+E141</f>
        <v>55587.050522542035</v>
      </c>
      <c r="H141" s="272">
        <f>+E141*0.21</f>
        <v>660.75173262644319</v>
      </c>
      <c r="I141" s="272">
        <f>0.0003*D141</f>
        <v>47.196552330460221</v>
      </c>
      <c r="J141" s="272">
        <f>+I141+H141+G141</f>
        <v>56294.998807498938</v>
      </c>
      <c r="K141" s="131">
        <f t="shared" ref="K141:K143" si="48">-J141</f>
        <v>-56294.998807498938</v>
      </c>
      <c r="L141" s="272">
        <f>+E141*0.35</f>
        <v>1101.2528877107386</v>
      </c>
      <c r="M141" s="272">
        <f t="shared" ref="M141:M143" si="49">-J141</f>
        <v>-56294.998807498938</v>
      </c>
      <c r="N141" s="272">
        <f t="shared" ref="N141:N143" si="50">+L141+M141</f>
        <v>-55193.745919788198</v>
      </c>
      <c r="AB141" s="280"/>
      <c r="AC141" s="280"/>
      <c r="AD141" s="280"/>
      <c r="AE141" s="280"/>
      <c r="AF141" s="280"/>
      <c r="AG141" s="280"/>
      <c r="AH141" s="280"/>
      <c r="AI141" s="280"/>
      <c r="AJ141" s="280"/>
      <c r="AK141" s="280"/>
      <c r="AL141" s="280"/>
      <c r="AM141" s="280"/>
      <c r="AN141" s="280"/>
      <c r="AO141" s="280"/>
      <c r="AP141" s="280"/>
      <c r="AQ141" s="280"/>
      <c r="AR141" s="280"/>
    </row>
    <row r="142" spans="3:44" ht="12" x14ac:dyDescent="0.25">
      <c r="C142" s="272">
        <v>15</v>
      </c>
      <c r="D142" s="272">
        <f t="shared" ref="D142:D143" si="51">+D141+E141-G141</f>
        <v>104881.22740102274</v>
      </c>
      <c r="E142" s="272">
        <f t="shared" ref="E142:E143" si="52">+D142*$D$137/12</f>
        <v>2097.6245480204548</v>
      </c>
      <c r="F142" s="272">
        <f>+$D$140/4</f>
        <v>52440.613700511356</v>
      </c>
      <c r="G142" s="272">
        <f t="shared" si="47"/>
        <v>54538.238248531808</v>
      </c>
      <c r="H142" s="272">
        <f>+E142*0.21</f>
        <v>440.50115508429548</v>
      </c>
      <c r="I142" s="272">
        <f>0.0003*D142</f>
        <v>31.46436822030682</v>
      </c>
      <c r="J142" s="272">
        <f>+I142+H142+G142</f>
        <v>55010.203771836408</v>
      </c>
      <c r="K142" s="131">
        <f t="shared" si="48"/>
        <v>-55010.203771836408</v>
      </c>
      <c r="L142" s="272">
        <f>+E142*0.35</f>
        <v>734.16859180715915</v>
      </c>
      <c r="M142" s="272">
        <f t="shared" si="49"/>
        <v>-55010.203771836408</v>
      </c>
      <c r="N142" s="272">
        <f t="shared" si="50"/>
        <v>-54276.035180029248</v>
      </c>
      <c r="AB142" s="280"/>
      <c r="AC142" s="280"/>
      <c r="AD142" s="280"/>
      <c r="AE142" s="280"/>
      <c r="AF142" s="280"/>
      <c r="AG142" s="280"/>
      <c r="AH142" s="280"/>
      <c r="AI142" s="280"/>
      <c r="AJ142" s="280"/>
      <c r="AK142" s="280"/>
      <c r="AL142" s="280"/>
      <c r="AM142" s="280"/>
      <c r="AN142" s="280"/>
      <c r="AO142" s="280"/>
      <c r="AP142" s="280"/>
      <c r="AQ142" s="280"/>
      <c r="AR142" s="280"/>
    </row>
    <row r="143" spans="3:44" ht="12" x14ac:dyDescent="0.25">
      <c r="C143" s="272">
        <v>16</v>
      </c>
      <c r="D143" s="272">
        <f t="shared" si="51"/>
        <v>52440.613700511385</v>
      </c>
      <c r="E143" s="272">
        <f t="shared" si="52"/>
        <v>1048.8122740102276</v>
      </c>
      <c r="F143" s="272">
        <f>+$D$140/4</f>
        <v>52440.613700511356</v>
      </c>
      <c r="G143" s="272">
        <f t="shared" si="47"/>
        <v>53489.425974521582</v>
      </c>
      <c r="H143" s="272">
        <f>+E143*0.21</f>
        <v>220.25057754214779</v>
      </c>
      <c r="I143" s="272">
        <f>0.0003*D143</f>
        <v>15.732184110153414</v>
      </c>
      <c r="J143" s="272">
        <f>+I143+H143+G143</f>
        <v>53725.408736173886</v>
      </c>
      <c r="K143" s="131">
        <f t="shared" si="48"/>
        <v>-53725.408736173886</v>
      </c>
      <c r="L143" s="272">
        <f>+E143*0.35</f>
        <v>367.08429590357963</v>
      </c>
      <c r="M143" s="272">
        <f t="shared" si="49"/>
        <v>-53725.408736173886</v>
      </c>
      <c r="N143" s="272">
        <f t="shared" si="50"/>
        <v>-53358.324440270306</v>
      </c>
      <c r="AB143" s="280"/>
      <c r="AC143" s="280"/>
      <c r="AD143" s="280"/>
      <c r="AE143" s="280"/>
      <c r="AF143" s="280"/>
      <c r="AG143" s="280"/>
      <c r="AH143" s="280"/>
      <c r="AI143" s="280"/>
      <c r="AJ143" s="280"/>
      <c r="AK143" s="280"/>
      <c r="AL143" s="280"/>
      <c r="AM143" s="280"/>
      <c r="AN143" s="280"/>
      <c r="AO143" s="280"/>
      <c r="AP143" s="280"/>
      <c r="AQ143" s="280"/>
      <c r="AR143" s="280"/>
    </row>
    <row r="144" spans="3:44" ht="12" x14ac:dyDescent="0.25">
      <c r="J144" s="131" t="s">
        <v>819</v>
      </c>
      <c r="K144" s="288">
        <f>+IRR(K139:K143)</f>
        <v>3.4369212594574705E-2</v>
      </c>
      <c r="N144" s="288"/>
      <c r="AB144" s="280"/>
      <c r="AC144" s="280"/>
      <c r="AD144" s="280"/>
      <c r="AE144" s="280"/>
      <c r="AF144" s="280"/>
      <c r="AG144" s="280"/>
      <c r="AH144" s="280"/>
      <c r="AI144" s="280"/>
      <c r="AJ144" s="280"/>
      <c r="AK144" s="280"/>
      <c r="AL144" s="280"/>
      <c r="AM144" s="280"/>
      <c r="AN144" s="280"/>
      <c r="AO144" s="280"/>
      <c r="AP144" s="280"/>
      <c r="AQ144" s="280"/>
      <c r="AR144" s="280"/>
    </row>
    <row r="145" spans="3:47" ht="12" x14ac:dyDescent="0.25">
      <c r="J145" s="131" t="s">
        <v>1160</v>
      </c>
      <c r="K145" s="288">
        <f>+(1+K144)^12-1</f>
        <v>0.50005445969867135</v>
      </c>
      <c r="N145" s="288"/>
      <c r="AB145" s="280"/>
      <c r="AC145" s="280"/>
      <c r="AD145" s="280"/>
      <c r="AE145" s="280"/>
      <c r="AF145" s="280"/>
      <c r="AG145" s="280"/>
      <c r="AH145" s="280"/>
      <c r="AI145" s="280"/>
      <c r="AJ145" s="280"/>
      <c r="AK145" s="280"/>
      <c r="AL145" s="280"/>
      <c r="AM145" s="280"/>
      <c r="AN145" s="280"/>
      <c r="AO145" s="280"/>
      <c r="AP145" s="280"/>
      <c r="AQ145" s="280"/>
      <c r="AR145" s="280"/>
    </row>
    <row r="146" spans="3:47" ht="12" x14ac:dyDescent="0.25">
      <c r="J146" s="131" t="s">
        <v>1163</v>
      </c>
      <c r="K146" s="288">
        <f>+K144*12</f>
        <v>0.41243055113489646</v>
      </c>
      <c r="N146" s="288"/>
      <c r="AB146" s="280"/>
      <c r="AC146" s="280"/>
      <c r="AD146" s="280"/>
      <c r="AE146" s="280"/>
      <c r="AF146" s="280"/>
      <c r="AG146" s="280"/>
      <c r="AH146" s="280"/>
      <c r="AI146" s="280"/>
      <c r="AJ146" s="280"/>
      <c r="AK146" s="280"/>
      <c r="AL146" s="280"/>
      <c r="AM146" s="280"/>
      <c r="AN146" s="280"/>
      <c r="AO146" s="280"/>
      <c r="AP146" s="280"/>
      <c r="AQ146" s="280"/>
      <c r="AR146" s="280"/>
    </row>
    <row r="147" spans="3:47" ht="12" x14ac:dyDescent="0.25">
      <c r="J147" s="131" t="s">
        <v>57</v>
      </c>
      <c r="K147" s="131">
        <f>+NPV(0.04, K140:K143)+K139</f>
        <v>2680.8021097160527</v>
      </c>
      <c r="AB147" s="280"/>
      <c r="AC147" s="280"/>
      <c r="AD147" s="280"/>
      <c r="AE147" s="280"/>
      <c r="AF147" s="280"/>
      <c r="AG147" s="280"/>
      <c r="AH147" s="280"/>
      <c r="AI147" s="280"/>
      <c r="AJ147" s="280"/>
      <c r="AK147" s="280"/>
      <c r="AL147" s="280"/>
      <c r="AM147" s="280"/>
      <c r="AN147" s="280"/>
      <c r="AO147" s="280"/>
      <c r="AP147" s="280"/>
      <c r="AQ147" s="280"/>
      <c r="AR147" s="280"/>
    </row>
    <row r="148" spans="3:47" ht="12" x14ac:dyDescent="0.25">
      <c r="J148" s="131" t="s">
        <v>1252</v>
      </c>
      <c r="AB148" s="280"/>
      <c r="AC148" s="280"/>
      <c r="AD148" s="280"/>
      <c r="AE148" s="280"/>
      <c r="AF148" s="280"/>
      <c r="AG148" s="280"/>
      <c r="AH148" s="280"/>
      <c r="AI148" s="280"/>
      <c r="AJ148" s="280"/>
      <c r="AK148" s="280"/>
      <c r="AL148" s="280"/>
      <c r="AM148" s="280"/>
      <c r="AN148" s="280"/>
      <c r="AO148" s="280"/>
      <c r="AP148" s="280"/>
      <c r="AQ148" s="280"/>
      <c r="AR148" s="280"/>
    </row>
    <row r="150" spans="3:47" s="202" customFormat="1" x14ac:dyDescent="0.3"/>
    <row r="151" spans="3:47" x14ac:dyDescent="0.2">
      <c r="I151" s="131" t="s">
        <v>1232</v>
      </c>
      <c r="M151" s="131" t="s">
        <v>408</v>
      </c>
      <c r="AB151" s="25"/>
      <c r="AC151" s="25"/>
      <c r="AD151" s="25"/>
      <c r="AE151" s="25"/>
      <c r="AF151" s="25"/>
      <c r="AG151" s="25"/>
      <c r="AH151" s="25"/>
      <c r="AI151" s="25"/>
      <c r="AJ151" s="25"/>
      <c r="AK151" s="25"/>
      <c r="AL151" s="25"/>
      <c r="AM151" s="25"/>
      <c r="AN151" s="25"/>
      <c r="AO151" s="25"/>
      <c r="AP151" s="25"/>
      <c r="AQ151" s="25"/>
      <c r="AR151" s="25"/>
      <c r="AS151" s="25"/>
      <c r="AT151" s="25"/>
      <c r="AU151" s="25"/>
    </row>
    <row r="152" spans="3:47" x14ac:dyDescent="0.2">
      <c r="D152" s="131" t="s">
        <v>654</v>
      </c>
      <c r="E152" s="131">
        <v>10000000</v>
      </c>
      <c r="J152" s="272" t="s">
        <v>1101</v>
      </c>
      <c r="K152" s="272" t="s">
        <v>151</v>
      </c>
      <c r="L152" s="272" t="s">
        <v>890</v>
      </c>
      <c r="M152" s="272" t="s">
        <v>1202</v>
      </c>
      <c r="N152" s="272" t="s">
        <v>1389</v>
      </c>
      <c r="O152" s="272" t="s">
        <v>1391</v>
      </c>
      <c r="P152" s="272" t="s">
        <v>1390</v>
      </c>
      <c r="AB152" s="25"/>
      <c r="AC152" s="25"/>
      <c r="AD152" s="25"/>
      <c r="AE152" s="25"/>
      <c r="AF152" s="25"/>
      <c r="AG152" s="25"/>
      <c r="AH152" s="25"/>
      <c r="AI152" s="25"/>
      <c r="AJ152" s="25"/>
      <c r="AK152" s="25"/>
      <c r="AL152" s="25"/>
      <c r="AM152" s="25"/>
      <c r="AN152" s="25"/>
      <c r="AO152" s="25"/>
      <c r="AP152" s="25"/>
      <c r="AQ152" s="25"/>
      <c r="AR152" s="25"/>
      <c r="AS152" s="25"/>
      <c r="AT152" s="25"/>
      <c r="AU152" s="25"/>
    </row>
    <row r="153" spans="3:47" x14ac:dyDescent="0.2">
      <c r="D153" s="131" t="s">
        <v>1219</v>
      </c>
      <c r="E153" s="131">
        <f>+E152*0.95</f>
        <v>9500000</v>
      </c>
      <c r="I153" s="131">
        <v>0</v>
      </c>
      <c r="O153" s="131">
        <f>9500000-E155</f>
        <v>8000000</v>
      </c>
      <c r="P153" s="131">
        <f>9500000-E155</f>
        <v>8000000</v>
      </c>
      <c r="AB153" s="25"/>
      <c r="AC153" s="292" t="s">
        <v>1149</v>
      </c>
      <c r="AD153" s="292"/>
      <c r="AE153" s="292"/>
      <c r="AF153" s="292" t="s">
        <v>1150</v>
      </c>
      <c r="AG153" s="292"/>
      <c r="AH153" s="25"/>
      <c r="AI153" s="25"/>
      <c r="AJ153" s="25">
        <f>-1500000-(-9500000)</f>
        <v>8000000</v>
      </c>
      <c r="AK153" s="25"/>
      <c r="AL153" s="25"/>
      <c r="AM153" s="25"/>
      <c r="AN153" s="25"/>
      <c r="AO153" s="25"/>
      <c r="AP153" s="25"/>
      <c r="AQ153" s="25"/>
      <c r="AR153" s="25"/>
      <c r="AS153" s="25"/>
      <c r="AT153" s="25"/>
      <c r="AU153" s="25"/>
    </row>
    <row r="154" spans="3:47" x14ac:dyDescent="0.2">
      <c r="C154" s="131" t="s">
        <v>1220</v>
      </c>
      <c r="I154" s="131">
        <v>1</v>
      </c>
      <c r="J154" s="131">
        <f>+E152-E155</f>
        <v>8500000</v>
      </c>
      <c r="K154" s="131">
        <f>+J154*0.16/12</f>
        <v>113333.33333333333</v>
      </c>
      <c r="L154" s="131">
        <f>+M154-K154</f>
        <v>302853.10606635205</v>
      </c>
      <c r="M154" s="131">
        <f>+PMT(0.16/12, 24, -$J$154)</f>
        <v>416186.43939968536</v>
      </c>
      <c r="N154" s="131">
        <f>+K154*0.35</f>
        <v>39666.666666666664</v>
      </c>
      <c r="O154" s="131">
        <f t="shared" ref="O154:O177" si="53">-M154</f>
        <v>-416186.43939968536</v>
      </c>
      <c r="P154" s="131">
        <f>-M154+N154</f>
        <v>-376519.77273301868</v>
      </c>
      <c r="AB154" s="25"/>
      <c r="AC154" s="25"/>
      <c r="AD154" s="25"/>
      <c r="AE154" s="25"/>
      <c r="AF154" s="25"/>
      <c r="AG154" s="25"/>
      <c r="AH154" s="25"/>
      <c r="AI154" s="25"/>
      <c r="AJ154" s="25" t="s">
        <v>1151</v>
      </c>
      <c r="AK154" s="25"/>
      <c r="AL154" s="25"/>
      <c r="AM154" s="25"/>
      <c r="AN154" s="25"/>
      <c r="AO154" s="25"/>
      <c r="AP154" s="25"/>
      <c r="AQ154" s="25"/>
      <c r="AR154" s="25"/>
      <c r="AS154" s="25"/>
      <c r="AT154" s="25"/>
      <c r="AU154" s="25"/>
    </row>
    <row r="155" spans="3:47" x14ac:dyDescent="0.2">
      <c r="D155" s="131" t="s">
        <v>1216</v>
      </c>
      <c r="E155" s="131">
        <v>1500000</v>
      </c>
      <c r="I155" s="131">
        <v>2</v>
      </c>
      <c r="J155" s="131">
        <f>+J154-L154</f>
        <v>8197146.8939336482</v>
      </c>
      <c r="K155" s="131">
        <f t="shared" ref="K155:K177" si="54">+J155*0.16/12</f>
        <v>109295.29191911531</v>
      </c>
      <c r="L155" s="131">
        <f t="shared" ref="L155:L177" si="55">+M155-K155</f>
        <v>306891.14748057007</v>
      </c>
      <c r="M155" s="131">
        <f t="shared" ref="M155:M177" si="56">+PMT(0.16/12, 24, -$J$154)</f>
        <v>416186.43939968536</v>
      </c>
      <c r="N155" s="131">
        <f t="shared" ref="N155:N177" si="57">+K155*0.35</f>
        <v>38253.352171690356</v>
      </c>
      <c r="O155" s="131">
        <f t="shared" si="53"/>
        <v>-416186.43939968536</v>
      </c>
      <c r="P155" s="131">
        <f t="shared" ref="P155:P177" si="58">-M155+N155</f>
        <v>-377933.08722799498</v>
      </c>
      <c r="AB155" s="25"/>
      <c r="AC155" s="25"/>
      <c r="AD155" s="25"/>
      <c r="AE155" s="25"/>
      <c r="AF155" s="25"/>
      <c r="AG155" s="25" t="s">
        <v>1152</v>
      </c>
      <c r="AH155" s="25"/>
      <c r="AI155" s="25"/>
      <c r="AJ155" s="25" t="s">
        <v>1153</v>
      </c>
      <c r="AK155" s="25"/>
      <c r="AL155" s="25"/>
      <c r="AM155" s="25"/>
      <c r="AN155" s="25"/>
      <c r="AO155" s="25"/>
      <c r="AP155" s="25"/>
      <c r="AQ155" s="25"/>
      <c r="AR155" s="25"/>
      <c r="AS155" s="25"/>
      <c r="AT155" s="25"/>
      <c r="AU155" s="25"/>
    </row>
    <row r="156" spans="3:47" x14ac:dyDescent="0.2">
      <c r="D156" s="131" t="s">
        <v>1217</v>
      </c>
      <c r="E156" s="131" t="s">
        <v>1218</v>
      </c>
      <c r="F156" s="131" t="s">
        <v>1225</v>
      </c>
      <c r="I156" s="131">
        <v>3</v>
      </c>
      <c r="J156" s="131">
        <f t="shared" ref="J156:J177" si="59">+J155-L155</f>
        <v>7890255.7464530785</v>
      </c>
      <c r="K156" s="131">
        <f t="shared" si="54"/>
        <v>105203.40995270772</v>
      </c>
      <c r="L156" s="131">
        <f t="shared" si="55"/>
        <v>310983.02944697766</v>
      </c>
      <c r="M156" s="131">
        <f t="shared" si="56"/>
        <v>416186.43939968536</v>
      </c>
      <c r="N156" s="131">
        <f t="shared" si="57"/>
        <v>36821.1934834477</v>
      </c>
      <c r="O156" s="131">
        <f t="shared" si="53"/>
        <v>-416186.43939968536</v>
      </c>
      <c r="P156" s="131">
        <f t="shared" si="58"/>
        <v>-379365.24591623765</v>
      </c>
      <c r="AB156" s="25"/>
      <c r="AC156" s="293" t="s">
        <v>1126</v>
      </c>
      <c r="AD156" s="293" t="s">
        <v>1127</v>
      </c>
      <c r="AE156" s="293" t="s">
        <v>1154</v>
      </c>
      <c r="AF156" s="293" t="s">
        <v>1128</v>
      </c>
      <c r="AG156" s="293" t="s">
        <v>1129</v>
      </c>
      <c r="AH156" s="293" t="s">
        <v>1130</v>
      </c>
      <c r="AI156" s="293" t="s">
        <v>1155</v>
      </c>
      <c r="AJ156" s="293" t="s">
        <v>1156</v>
      </c>
      <c r="AK156" s="293" t="s">
        <v>1157</v>
      </c>
      <c r="AL156" s="25"/>
      <c r="AM156" s="25"/>
      <c r="AN156" s="25"/>
      <c r="AO156" s="25"/>
      <c r="AP156" s="25"/>
      <c r="AQ156" s="25"/>
      <c r="AR156" s="25"/>
      <c r="AS156" s="25"/>
      <c r="AT156" s="25"/>
      <c r="AU156" s="25"/>
    </row>
    <row r="157" spans="3:47" x14ac:dyDescent="0.2">
      <c r="I157" s="131">
        <v>4</v>
      </c>
      <c r="J157" s="131">
        <f t="shared" si="59"/>
        <v>7579272.7170061003</v>
      </c>
      <c r="K157" s="131">
        <f t="shared" si="54"/>
        <v>101056.96956008133</v>
      </c>
      <c r="L157" s="131">
        <f t="shared" si="55"/>
        <v>315129.46983960405</v>
      </c>
      <c r="M157" s="131">
        <f t="shared" si="56"/>
        <v>416186.43939968536</v>
      </c>
      <c r="N157" s="131">
        <f t="shared" si="57"/>
        <v>35369.939346028463</v>
      </c>
      <c r="O157" s="131">
        <f t="shared" si="53"/>
        <v>-416186.43939968536</v>
      </c>
      <c r="P157" s="131">
        <f t="shared" si="58"/>
        <v>-380816.50005365687</v>
      </c>
      <c r="AB157" s="25"/>
      <c r="AC157" s="294">
        <v>0</v>
      </c>
      <c r="AD157" s="294"/>
      <c r="AE157" s="294"/>
      <c r="AF157" s="294"/>
      <c r="AG157" s="294"/>
      <c r="AH157" s="295"/>
      <c r="AI157" s="295"/>
      <c r="AJ157" s="295">
        <v>8000000</v>
      </c>
      <c r="AK157" s="295">
        <v>8000000</v>
      </c>
      <c r="AL157" s="25"/>
      <c r="AM157" s="25"/>
      <c r="AN157" s="25"/>
      <c r="AO157" s="25"/>
      <c r="AP157" s="25"/>
      <c r="AQ157" s="25"/>
      <c r="AR157" s="25"/>
      <c r="AS157" s="25"/>
      <c r="AT157" s="25"/>
      <c r="AU157" s="25"/>
    </row>
    <row r="158" spans="3:47" x14ac:dyDescent="0.2">
      <c r="I158" s="131">
        <v>5</v>
      </c>
      <c r="J158" s="131">
        <f t="shared" si="59"/>
        <v>7264143.2471664967</v>
      </c>
      <c r="K158" s="131">
        <f t="shared" si="54"/>
        <v>96855.2432955533</v>
      </c>
      <c r="L158" s="131">
        <f t="shared" si="55"/>
        <v>319331.19610413205</v>
      </c>
      <c r="M158" s="131">
        <f t="shared" si="56"/>
        <v>416186.43939968536</v>
      </c>
      <c r="N158" s="131">
        <f t="shared" si="57"/>
        <v>33899.335153443652</v>
      </c>
      <c r="O158" s="131">
        <f t="shared" si="53"/>
        <v>-416186.43939968536</v>
      </c>
      <c r="P158" s="131">
        <f t="shared" si="58"/>
        <v>-382287.10424624174</v>
      </c>
      <c r="AB158" s="25"/>
      <c r="AC158" s="294">
        <v>1</v>
      </c>
      <c r="AD158" s="295">
        <v>8500000</v>
      </c>
      <c r="AE158" s="295">
        <f>+AD158*0.16/12</f>
        <v>113333.33333333333</v>
      </c>
      <c r="AF158" s="295">
        <f>+AG158-AE158</f>
        <v>302853.10606635205</v>
      </c>
      <c r="AG158" s="294">
        <f>PMT(0.16/12,24,-8500000)</f>
        <v>416186.43939968536</v>
      </c>
      <c r="AH158" s="295"/>
      <c r="AI158" s="295">
        <f>0.35*AE158</f>
        <v>39666.666666666664</v>
      </c>
      <c r="AJ158" s="295">
        <f>-AH158-AG158</f>
        <v>-416186.43939968536</v>
      </c>
      <c r="AK158" s="295">
        <f>+AI158+AJ158</f>
        <v>-376519.77273301868</v>
      </c>
      <c r="AL158" s="25"/>
      <c r="AM158" s="25"/>
      <c r="AN158" s="25"/>
      <c r="AO158" s="25"/>
      <c r="AP158" s="25"/>
      <c r="AQ158" s="25"/>
      <c r="AR158" s="25"/>
      <c r="AS158" s="25"/>
      <c r="AT158" s="25"/>
      <c r="AU158" s="25"/>
    </row>
    <row r="159" spans="3:47" x14ac:dyDescent="0.2">
      <c r="I159" s="131">
        <v>6</v>
      </c>
      <c r="J159" s="131">
        <f t="shared" si="59"/>
        <v>6944812.0510623651</v>
      </c>
      <c r="K159" s="131">
        <f t="shared" si="54"/>
        <v>92597.494014164855</v>
      </c>
      <c r="L159" s="131">
        <f t="shared" si="55"/>
        <v>323588.94538552052</v>
      </c>
      <c r="M159" s="131">
        <f t="shared" si="56"/>
        <v>416186.43939968536</v>
      </c>
      <c r="N159" s="131">
        <f t="shared" si="57"/>
        <v>32409.122904957698</v>
      </c>
      <c r="O159" s="131">
        <f t="shared" si="53"/>
        <v>-416186.43939968536</v>
      </c>
      <c r="P159" s="131">
        <f t="shared" si="58"/>
        <v>-383777.31649472768</v>
      </c>
      <c r="AB159" s="25"/>
      <c r="AC159" s="294">
        <v>2</v>
      </c>
      <c r="AD159" s="295">
        <f>+AD158-AF158</f>
        <v>8197146.8939336482</v>
      </c>
      <c r="AE159" s="295">
        <f>+AD159*0.16/12</f>
        <v>109295.29191911531</v>
      </c>
      <c r="AF159" s="295">
        <f t="shared" ref="AF159:AF181" si="60">+AG159-AE159</f>
        <v>306891.14748057007</v>
      </c>
      <c r="AG159" s="294">
        <f t="shared" ref="AG159:AG181" si="61">PMT(0.16/12,24,-8500000)</f>
        <v>416186.43939968536</v>
      </c>
      <c r="AH159" s="295"/>
      <c r="AI159" s="295">
        <f t="shared" ref="AI159:AI181" si="62">0.35*AE159</f>
        <v>38253.352171690356</v>
      </c>
      <c r="AJ159" s="295">
        <f t="shared" ref="AJ159:AJ181" si="63">-AH159-AG159</f>
        <v>-416186.43939968536</v>
      </c>
      <c r="AK159" s="295">
        <f t="shared" ref="AK159:AK181" si="64">+AI159+AJ159</f>
        <v>-377933.08722799498</v>
      </c>
      <c r="AL159" s="25"/>
      <c r="AM159" s="25"/>
      <c r="AN159" s="25"/>
      <c r="AO159" s="25"/>
      <c r="AP159" s="25"/>
      <c r="AQ159" s="25"/>
      <c r="AR159" s="25"/>
      <c r="AS159" s="25"/>
      <c r="AT159" s="25"/>
      <c r="AU159" s="25"/>
    </row>
    <row r="160" spans="3:47" x14ac:dyDescent="0.2">
      <c r="D160" s="131" t="s">
        <v>819</v>
      </c>
      <c r="E160" s="420">
        <f>+IRR(O153:O177)</f>
        <v>1.8578080953558507E-2</v>
      </c>
      <c r="I160" s="131">
        <v>7</v>
      </c>
      <c r="J160" s="131">
        <f t="shared" si="59"/>
        <v>6621223.1056768447</v>
      </c>
      <c r="K160" s="131">
        <f t="shared" si="54"/>
        <v>88282.974742357925</v>
      </c>
      <c r="L160" s="131">
        <f t="shared" si="55"/>
        <v>327903.46465732745</v>
      </c>
      <c r="M160" s="131">
        <f t="shared" si="56"/>
        <v>416186.43939968536</v>
      </c>
      <c r="N160" s="131">
        <f t="shared" si="57"/>
        <v>30899.041159825272</v>
      </c>
      <c r="O160" s="131">
        <f t="shared" si="53"/>
        <v>-416186.43939968536</v>
      </c>
      <c r="P160" s="131">
        <f t="shared" si="58"/>
        <v>-385287.39823986008</v>
      </c>
      <c r="AB160" s="25"/>
      <c r="AC160" s="294">
        <v>3</v>
      </c>
      <c r="AD160" s="295">
        <f t="shared" ref="AD160:AD181" si="65">+AD159-AF159</f>
        <v>7890255.7464530785</v>
      </c>
      <c r="AE160" s="295">
        <f t="shared" ref="AE160:AE181" si="66">+AD160*0.16/12</f>
        <v>105203.40995270772</v>
      </c>
      <c r="AF160" s="295">
        <f t="shared" si="60"/>
        <v>310983.02944697766</v>
      </c>
      <c r="AG160" s="294">
        <f t="shared" si="61"/>
        <v>416186.43939968536</v>
      </c>
      <c r="AH160" s="295"/>
      <c r="AI160" s="295">
        <f t="shared" si="62"/>
        <v>36821.1934834477</v>
      </c>
      <c r="AJ160" s="295">
        <f t="shared" si="63"/>
        <v>-416186.43939968536</v>
      </c>
      <c r="AK160" s="295">
        <f t="shared" si="64"/>
        <v>-379365.24591623765</v>
      </c>
      <c r="AL160" s="25"/>
      <c r="AM160" s="25"/>
      <c r="AN160" s="25"/>
      <c r="AO160" s="25"/>
      <c r="AP160" s="25"/>
      <c r="AQ160" s="25"/>
      <c r="AR160" s="25"/>
      <c r="AS160" s="25"/>
      <c r="AT160" s="25"/>
      <c r="AU160" s="25"/>
    </row>
    <row r="161" spans="4:47" x14ac:dyDescent="0.2">
      <c r="D161" s="131" t="s">
        <v>1160</v>
      </c>
      <c r="E161" s="420">
        <f>+(1+E160)^12-1</f>
        <v>0.24718797520253788</v>
      </c>
      <c r="I161" s="131">
        <v>8</v>
      </c>
      <c r="J161" s="131">
        <f t="shared" si="59"/>
        <v>6293319.6410195176</v>
      </c>
      <c r="K161" s="131">
        <f t="shared" si="54"/>
        <v>83910.928546926894</v>
      </c>
      <c r="L161" s="131">
        <f t="shared" si="55"/>
        <v>332275.51085275848</v>
      </c>
      <c r="M161" s="131">
        <f t="shared" si="56"/>
        <v>416186.43939968536</v>
      </c>
      <c r="N161" s="131">
        <f t="shared" si="57"/>
        <v>29368.824991424412</v>
      </c>
      <c r="O161" s="131">
        <f t="shared" si="53"/>
        <v>-416186.43939968536</v>
      </c>
      <c r="P161" s="131">
        <f t="shared" si="58"/>
        <v>-386817.61440826097</v>
      </c>
      <c r="AB161" s="25"/>
      <c r="AC161" s="294">
        <v>4</v>
      </c>
      <c r="AD161" s="295">
        <f t="shared" si="65"/>
        <v>7579272.7170061003</v>
      </c>
      <c r="AE161" s="295">
        <f t="shared" si="66"/>
        <v>101056.96956008133</v>
      </c>
      <c r="AF161" s="295">
        <f t="shared" si="60"/>
        <v>315129.46983960405</v>
      </c>
      <c r="AG161" s="294">
        <f t="shared" si="61"/>
        <v>416186.43939968536</v>
      </c>
      <c r="AH161" s="295"/>
      <c r="AI161" s="295">
        <f t="shared" si="62"/>
        <v>35369.939346028463</v>
      </c>
      <c r="AJ161" s="295">
        <f t="shared" si="63"/>
        <v>-416186.43939968536</v>
      </c>
      <c r="AK161" s="295">
        <f t="shared" si="64"/>
        <v>-380816.50005365687</v>
      </c>
      <c r="AL161" s="25"/>
      <c r="AM161" s="25"/>
      <c r="AN161" s="25"/>
      <c r="AO161" s="25"/>
      <c r="AP161" s="25"/>
      <c r="AQ161" s="25"/>
      <c r="AR161" s="25"/>
      <c r="AS161" s="25"/>
      <c r="AT161" s="25"/>
      <c r="AU161" s="25"/>
    </row>
    <row r="162" spans="4:47" x14ac:dyDescent="0.2">
      <c r="D162" s="131" t="s">
        <v>1163</v>
      </c>
      <c r="E162" s="420">
        <f>+E160*12</f>
        <v>0.22293697144270208</v>
      </c>
      <c r="I162" s="131">
        <v>9</v>
      </c>
      <c r="J162" s="131">
        <f t="shared" si="59"/>
        <v>5961044.1301667588</v>
      </c>
      <c r="K162" s="131">
        <f t="shared" si="54"/>
        <v>79480.588402223453</v>
      </c>
      <c r="L162" s="131">
        <f t="shared" si="55"/>
        <v>336705.85099746194</v>
      </c>
      <c r="M162" s="131">
        <f t="shared" si="56"/>
        <v>416186.43939968536</v>
      </c>
      <c r="N162" s="131">
        <f t="shared" si="57"/>
        <v>27818.205940778207</v>
      </c>
      <c r="O162" s="131">
        <f t="shared" si="53"/>
        <v>-416186.43939968536</v>
      </c>
      <c r="P162" s="131">
        <f t="shared" si="58"/>
        <v>-388368.23345890717</v>
      </c>
      <c r="AB162" s="25"/>
      <c r="AC162" s="294">
        <v>5</v>
      </c>
      <c r="AD162" s="295">
        <f t="shared" si="65"/>
        <v>7264143.2471664967</v>
      </c>
      <c r="AE162" s="295">
        <f t="shared" si="66"/>
        <v>96855.2432955533</v>
      </c>
      <c r="AF162" s="295">
        <f t="shared" si="60"/>
        <v>319331.19610413205</v>
      </c>
      <c r="AG162" s="294">
        <f t="shared" si="61"/>
        <v>416186.43939968536</v>
      </c>
      <c r="AH162" s="295"/>
      <c r="AI162" s="295">
        <f t="shared" si="62"/>
        <v>33899.335153443652</v>
      </c>
      <c r="AJ162" s="295">
        <f t="shared" si="63"/>
        <v>-416186.43939968536</v>
      </c>
      <c r="AK162" s="295">
        <f t="shared" si="64"/>
        <v>-382287.10424624174</v>
      </c>
      <c r="AL162" s="25"/>
      <c r="AM162" s="25"/>
      <c r="AN162" s="25"/>
      <c r="AO162" s="25"/>
      <c r="AP162" s="25"/>
      <c r="AQ162" s="25"/>
      <c r="AR162" s="25"/>
      <c r="AS162" s="25"/>
      <c r="AT162" s="25"/>
      <c r="AU162" s="25"/>
    </row>
    <row r="163" spans="4:47" x14ac:dyDescent="0.2">
      <c r="I163" s="131">
        <v>10</v>
      </c>
      <c r="J163" s="131">
        <f t="shared" si="59"/>
        <v>5624338.2791692968</v>
      </c>
      <c r="K163" s="131">
        <f t="shared" si="54"/>
        <v>74991.177055590626</v>
      </c>
      <c r="L163" s="131">
        <f t="shared" si="55"/>
        <v>341195.26234409475</v>
      </c>
      <c r="M163" s="131">
        <f t="shared" si="56"/>
        <v>416186.43939968536</v>
      </c>
      <c r="N163" s="131">
        <f t="shared" si="57"/>
        <v>26246.911969456716</v>
      </c>
      <c r="O163" s="131">
        <f t="shared" si="53"/>
        <v>-416186.43939968536</v>
      </c>
      <c r="P163" s="131">
        <f t="shared" si="58"/>
        <v>-389939.52743022866</v>
      </c>
      <c r="AB163" s="25"/>
      <c r="AC163" s="294">
        <v>6</v>
      </c>
      <c r="AD163" s="295">
        <f t="shared" si="65"/>
        <v>6944812.0510623651</v>
      </c>
      <c r="AE163" s="295">
        <f t="shared" si="66"/>
        <v>92597.494014164855</v>
      </c>
      <c r="AF163" s="295">
        <f t="shared" si="60"/>
        <v>323588.94538552052</v>
      </c>
      <c r="AG163" s="294">
        <f t="shared" si="61"/>
        <v>416186.43939968536</v>
      </c>
      <c r="AH163" s="295"/>
      <c r="AI163" s="295">
        <f t="shared" si="62"/>
        <v>32409.122904957698</v>
      </c>
      <c r="AJ163" s="295">
        <f t="shared" si="63"/>
        <v>-416186.43939968536</v>
      </c>
      <c r="AK163" s="295">
        <f t="shared" si="64"/>
        <v>-383777.31649472768</v>
      </c>
      <c r="AL163" s="25"/>
      <c r="AM163" s="25"/>
      <c r="AN163" s="25"/>
      <c r="AO163" s="25"/>
      <c r="AP163" s="25"/>
      <c r="AQ163" s="25"/>
      <c r="AR163" s="25"/>
      <c r="AS163" s="25"/>
      <c r="AT163" s="25"/>
      <c r="AU163" s="25"/>
    </row>
    <row r="164" spans="4:47" x14ac:dyDescent="0.2">
      <c r="I164" s="131">
        <v>11</v>
      </c>
      <c r="J164" s="131">
        <f t="shared" si="59"/>
        <v>5283143.0168252019</v>
      </c>
      <c r="K164" s="131">
        <f t="shared" si="54"/>
        <v>70441.906891002698</v>
      </c>
      <c r="L164" s="131">
        <f t="shared" si="55"/>
        <v>345744.53250868269</v>
      </c>
      <c r="M164" s="131">
        <f t="shared" si="56"/>
        <v>416186.43939968536</v>
      </c>
      <c r="N164" s="131">
        <f t="shared" si="57"/>
        <v>24654.667411850944</v>
      </c>
      <c r="O164" s="131">
        <f t="shared" si="53"/>
        <v>-416186.43939968536</v>
      </c>
      <c r="P164" s="131">
        <f t="shared" si="58"/>
        <v>-391531.77198783442</v>
      </c>
      <c r="AB164" s="25"/>
      <c r="AC164" s="294">
        <v>7</v>
      </c>
      <c r="AD164" s="295">
        <f t="shared" si="65"/>
        <v>6621223.1056768447</v>
      </c>
      <c r="AE164" s="295">
        <f t="shared" si="66"/>
        <v>88282.974742357925</v>
      </c>
      <c r="AF164" s="295">
        <f t="shared" si="60"/>
        <v>327903.46465732745</v>
      </c>
      <c r="AG164" s="294">
        <f t="shared" si="61"/>
        <v>416186.43939968536</v>
      </c>
      <c r="AH164" s="295"/>
      <c r="AI164" s="295">
        <f t="shared" si="62"/>
        <v>30899.041159825272</v>
      </c>
      <c r="AJ164" s="295">
        <f t="shared" si="63"/>
        <v>-416186.43939968536</v>
      </c>
      <c r="AK164" s="295">
        <f t="shared" si="64"/>
        <v>-385287.39823986008</v>
      </c>
      <c r="AL164" s="25"/>
      <c r="AM164" s="25"/>
      <c r="AN164" s="25"/>
      <c r="AO164" s="25"/>
      <c r="AP164" s="25"/>
      <c r="AQ164" s="25"/>
      <c r="AR164" s="25"/>
      <c r="AS164" s="25"/>
      <c r="AT164" s="25"/>
      <c r="AU164" s="25"/>
    </row>
    <row r="165" spans="4:47" x14ac:dyDescent="0.2">
      <c r="I165" s="131">
        <v>12</v>
      </c>
      <c r="J165" s="131">
        <f t="shared" si="59"/>
        <v>4937398.4843165195</v>
      </c>
      <c r="K165" s="131">
        <f t="shared" si="54"/>
        <v>65831.979790886937</v>
      </c>
      <c r="L165" s="131">
        <f t="shared" si="55"/>
        <v>350354.45960879844</v>
      </c>
      <c r="M165" s="131">
        <f t="shared" si="56"/>
        <v>416186.43939968536</v>
      </c>
      <c r="N165" s="131">
        <f t="shared" si="57"/>
        <v>23041.192926810425</v>
      </c>
      <c r="O165" s="131">
        <f t="shared" si="53"/>
        <v>-416186.43939968536</v>
      </c>
      <c r="P165" s="131">
        <f t="shared" si="58"/>
        <v>-393145.24647287495</v>
      </c>
      <c r="AB165" s="25"/>
      <c r="AC165" s="294">
        <v>8</v>
      </c>
      <c r="AD165" s="295">
        <f t="shared" si="65"/>
        <v>6293319.6410195176</v>
      </c>
      <c r="AE165" s="295">
        <f t="shared" si="66"/>
        <v>83910.928546926894</v>
      </c>
      <c r="AF165" s="295">
        <f t="shared" si="60"/>
        <v>332275.51085275848</v>
      </c>
      <c r="AG165" s="294">
        <f t="shared" si="61"/>
        <v>416186.43939968536</v>
      </c>
      <c r="AH165" s="295"/>
      <c r="AI165" s="295">
        <f t="shared" si="62"/>
        <v>29368.824991424412</v>
      </c>
      <c r="AJ165" s="295">
        <f t="shared" si="63"/>
        <v>-416186.43939968536</v>
      </c>
      <c r="AK165" s="295">
        <f t="shared" si="64"/>
        <v>-386817.61440826097</v>
      </c>
      <c r="AL165" s="25"/>
      <c r="AM165" s="25"/>
      <c r="AN165" s="25"/>
      <c r="AO165" s="25"/>
      <c r="AP165" s="25"/>
      <c r="AQ165" s="25"/>
      <c r="AR165" s="25"/>
      <c r="AS165" s="25"/>
      <c r="AT165" s="25"/>
      <c r="AU165" s="25"/>
    </row>
    <row r="166" spans="4:47" x14ac:dyDescent="0.2">
      <c r="I166" s="131">
        <v>13</v>
      </c>
      <c r="J166" s="131">
        <f t="shared" si="59"/>
        <v>4587044.0247077206</v>
      </c>
      <c r="K166" s="131">
        <f t="shared" si="54"/>
        <v>61160.586996102938</v>
      </c>
      <c r="L166" s="131">
        <f t="shared" si="55"/>
        <v>355025.85240358242</v>
      </c>
      <c r="M166" s="131">
        <f t="shared" si="56"/>
        <v>416186.43939968536</v>
      </c>
      <c r="N166" s="131">
        <f>+K166*0.35</f>
        <v>21406.205448636028</v>
      </c>
      <c r="O166" s="131">
        <f t="shared" si="53"/>
        <v>-416186.43939968536</v>
      </c>
      <c r="P166" s="131">
        <f t="shared" si="58"/>
        <v>-394780.23395104933</v>
      </c>
      <c r="AB166" s="25"/>
      <c r="AC166" s="294">
        <v>9</v>
      </c>
      <c r="AD166" s="295">
        <f t="shared" si="65"/>
        <v>5961044.1301667588</v>
      </c>
      <c r="AE166" s="295">
        <f t="shared" si="66"/>
        <v>79480.588402223453</v>
      </c>
      <c r="AF166" s="295">
        <f t="shared" si="60"/>
        <v>336705.85099746194</v>
      </c>
      <c r="AG166" s="294">
        <f t="shared" si="61"/>
        <v>416186.43939968536</v>
      </c>
      <c r="AH166" s="295"/>
      <c r="AI166" s="295">
        <f t="shared" si="62"/>
        <v>27818.205940778207</v>
      </c>
      <c r="AJ166" s="295">
        <f t="shared" si="63"/>
        <v>-416186.43939968536</v>
      </c>
      <c r="AK166" s="295">
        <f t="shared" si="64"/>
        <v>-388368.23345890717</v>
      </c>
      <c r="AL166" s="25"/>
      <c r="AM166" s="25"/>
      <c r="AN166" s="25"/>
      <c r="AO166" s="25"/>
      <c r="AP166" s="25"/>
      <c r="AQ166" s="25"/>
      <c r="AR166" s="25"/>
      <c r="AS166" s="25"/>
      <c r="AT166" s="25"/>
      <c r="AU166" s="25"/>
    </row>
    <row r="167" spans="4:47" x14ac:dyDescent="0.2">
      <c r="I167" s="131">
        <v>14</v>
      </c>
      <c r="J167" s="131">
        <f t="shared" si="59"/>
        <v>4232018.1723041385</v>
      </c>
      <c r="K167" s="131">
        <f t="shared" si="54"/>
        <v>56426.908964055183</v>
      </c>
      <c r="L167" s="131">
        <f t="shared" si="55"/>
        <v>359759.53043563018</v>
      </c>
      <c r="M167" s="131">
        <f t="shared" si="56"/>
        <v>416186.43939968536</v>
      </c>
      <c r="N167" s="131">
        <f t="shared" si="57"/>
        <v>19749.418137419314</v>
      </c>
      <c r="O167" s="131">
        <f t="shared" si="53"/>
        <v>-416186.43939968536</v>
      </c>
      <c r="P167" s="131">
        <f t="shared" si="58"/>
        <v>-396437.02126226603</v>
      </c>
      <c r="AB167" s="25"/>
      <c r="AC167" s="294">
        <v>10</v>
      </c>
      <c r="AD167" s="295">
        <f t="shared" si="65"/>
        <v>5624338.2791692968</v>
      </c>
      <c r="AE167" s="295">
        <f t="shared" si="66"/>
        <v>74991.177055590626</v>
      </c>
      <c r="AF167" s="295">
        <f t="shared" si="60"/>
        <v>341195.26234409475</v>
      </c>
      <c r="AG167" s="294">
        <f t="shared" si="61"/>
        <v>416186.43939968536</v>
      </c>
      <c r="AH167" s="295"/>
      <c r="AI167" s="295">
        <f t="shared" si="62"/>
        <v>26246.911969456716</v>
      </c>
      <c r="AJ167" s="295">
        <f t="shared" si="63"/>
        <v>-416186.43939968536</v>
      </c>
      <c r="AK167" s="295">
        <f t="shared" si="64"/>
        <v>-389939.52743022866</v>
      </c>
      <c r="AL167" s="25"/>
      <c r="AM167" s="25"/>
      <c r="AN167" s="25"/>
      <c r="AO167" s="25"/>
      <c r="AP167" s="25"/>
      <c r="AQ167" s="25"/>
      <c r="AR167" s="25"/>
      <c r="AS167" s="25"/>
      <c r="AT167" s="25"/>
      <c r="AU167" s="25"/>
    </row>
    <row r="168" spans="4:47" x14ac:dyDescent="0.2">
      <c r="I168" s="131">
        <v>15</v>
      </c>
      <c r="J168" s="131">
        <f t="shared" si="59"/>
        <v>3872258.6418685084</v>
      </c>
      <c r="K168" s="131">
        <f t="shared" si="54"/>
        <v>51630.115224913454</v>
      </c>
      <c r="L168" s="131">
        <f t="shared" si="55"/>
        <v>364556.3241747719</v>
      </c>
      <c r="M168" s="131">
        <f t="shared" si="56"/>
        <v>416186.43939968536</v>
      </c>
      <c r="N168" s="131">
        <f t="shared" si="57"/>
        <v>18070.540328719708</v>
      </c>
      <c r="O168" s="131">
        <f t="shared" si="53"/>
        <v>-416186.43939968536</v>
      </c>
      <c r="P168" s="131">
        <f t="shared" si="58"/>
        <v>-398115.89907096565</v>
      </c>
      <c r="AB168" s="25"/>
      <c r="AC168" s="294">
        <v>11</v>
      </c>
      <c r="AD168" s="295">
        <f t="shared" si="65"/>
        <v>5283143.0168252019</v>
      </c>
      <c r="AE168" s="295">
        <f t="shared" si="66"/>
        <v>70441.906891002698</v>
      </c>
      <c r="AF168" s="295">
        <f t="shared" si="60"/>
        <v>345744.53250868269</v>
      </c>
      <c r="AG168" s="294">
        <f t="shared" si="61"/>
        <v>416186.43939968536</v>
      </c>
      <c r="AH168" s="295"/>
      <c r="AI168" s="295">
        <f t="shared" si="62"/>
        <v>24654.667411850944</v>
      </c>
      <c r="AJ168" s="295">
        <f t="shared" si="63"/>
        <v>-416186.43939968536</v>
      </c>
      <c r="AK168" s="295">
        <f t="shared" si="64"/>
        <v>-391531.77198783442</v>
      </c>
      <c r="AL168" s="25"/>
      <c r="AM168" s="25"/>
      <c r="AN168" s="25"/>
      <c r="AO168" s="25"/>
      <c r="AP168" s="25"/>
      <c r="AQ168" s="25"/>
      <c r="AR168" s="25"/>
      <c r="AS168" s="25"/>
      <c r="AT168" s="25"/>
      <c r="AU168" s="25"/>
    </row>
    <row r="169" spans="4:47" x14ac:dyDescent="0.2">
      <c r="I169" s="131">
        <v>16</v>
      </c>
      <c r="J169" s="131">
        <f t="shared" si="59"/>
        <v>3507702.3176937364</v>
      </c>
      <c r="K169" s="131">
        <f t="shared" si="54"/>
        <v>46769.364235916488</v>
      </c>
      <c r="L169" s="131">
        <f t="shared" si="55"/>
        <v>369417.0751637689</v>
      </c>
      <c r="M169" s="131">
        <f t="shared" si="56"/>
        <v>416186.43939968536</v>
      </c>
      <c r="N169" s="131">
        <f t="shared" si="57"/>
        <v>16369.277482570769</v>
      </c>
      <c r="O169" s="131">
        <f t="shared" si="53"/>
        <v>-416186.43939968536</v>
      </c>
      <c r="P169" s="131">
        <f t="shared" si="58"/>
        <v>-399817.16191711457</v>
      </c>
      <c r="AB169" s="25"/>
      <c r="AC169" s="294">
        <v>12</v>
      </c>
      <c r="AD169" s="295">
        <f t="shared" si="65"/>
        <v>4937398.4843165195</v>
      </c>
      <c r="AE169" s="295">
        <f t="shared" si="66"/>
        <v>65831.979790886937</v>
      </c>
      <c r="AF169" s="295">
        <f t="shared" si="60"/>
        <v>350354.45960879844</v>
      </c>
      <c r="AG169" s="294">
        <f t="shared" si="61"/>
        <v>416186.43939968536</v>
      </c>
      <c r="AH169" s="295"/>
      <c r="AI169" s="295">
        <f t="shared" si="62"/>
        <v>23041.192926810425</v>
      </c>
      <c r="AJ169" s="295">
        <f t="shared" si="63"/>
        <v>-416186.43939968536</v>
      </c>
      <c r="AK169" s="295">
        <f t="shared" si="64"/>
        <v>-393145.24647287495</v>
      </c>
      <c r="AL169" s="25"/>
      <c r="AM169" s="25"/>
      <c r="AN169" s="25"/>
      <c r="AO169" s="25"/>
      <c r="AP169" s="25"/>
      <c r="AQ169" s="25"/>
      <c r="AR169" s="25"/>
      <c r="AS169" s="25"/>
      <c r="AT169" s="25"/>
      <c r="AU169" s="25"/>
    </row>
    <row r="170" spans="4:47" x14ac:dyDescent="0.2">
      <c r="I170" s="131">
        <v>17</v>
      </c>
      <c r="J170" s="131">
        <f t="shared" si="59"/>
        <v>3138285.2425299673</v>
      </c>
      <c r="K170" s="131">
        <f t="shared" si="54"/>
        <v>41843.803233732899</v>
      </c>
      <c r="L170" s="131">
        <f t="shared" si="55"/>
        <v>374342.63616595248</v>
      </c>
      <c r="M170" s="131">
        <f t="shared" si="56"/>
        <v>416186.43939968536</v>
      </c>
      <c r="N170" s="131">
        <f t="shared" si="57"/>
        <v>14645.331131806513</v>
      </c>
      <c r="O170" s="131">
        <f t="shared" si="53"/>
        <v>-416186.43939968536</v>
      </c>
      <c r="P170" s="131">
        <f t="shared" si="58"/>
        <v>-401541.10826787882</v>
      </c>
      <c r="AB170" s="25"/>
      <c r="AC170" s="294">
        <v>13</v>
      </c>
      <c r="AD170" s="295">
        <f t="shared" si="65"/>
        <v>4587044.0247077206</v>
      </c>
      <c r="AE170" s="295">
        <f t="shared" si="66"/>
        <v>61160.586996102938</v>
      </c>
      <c r="AF170" s="295">
        <f t="shared" si="60"/>
        <v>355025.85240358242</v>
      </c>
      <c r="AG170" s="294">
        <f t="shared" si="61"/>
        <v>416186.43939968536</v>
      </c>
      <c r="AH170" s="295"/>
      <c r="AI170" s="295">
        <f t="shared" si="62"/>
        <v>21406.205448636028</v>
      </c>
      <c r="AJ170" s="295">
        <f t="shared" si="63"/>
        <v>-416186.43939968536</v>
      </c>
      <c r="AK170" s="295">
        <f t="shared" si="64"/>
        <v>-394780.23395104933</v>
      </c>
      <c r="AL170" s="25"/>
      <c r="AM170" s="25"/>
      <c r="AN170" s="25"/>
      <c r="AO170" s="25"/>
      <c r="AP170" s="25"/>
      <c r="AQ170" s="25"/>
      <c r="AR170" s="25"/>
      <c r="AS170" s="25"/>
      <c r="AT170" s="25"/>
      <c r="AU170" s="25"/>
    </row>
    <row r="171" spans="4:47" x14ac:dyDescent="0.2">
      <c r="I171" s="131">
        <v>18</v>
      </c>
      <c r="J171" s="131">
        <f t="shared" si="59"/>
        <v>2763942.606364015</v>
      </c>
      <c r="K171" s="131">
        <f t="shared" si="54"/>
        <v>36852.568084853534</v>
      </c>
      <c r="L171" s="131">
        <f t="shared" si="55"/>
        <v>379333.87131483183</v>
      </c>
      <c r="M171" s="131">
        <f t="shared" si="56"/>
        <v>416186.43939968536</v>
      </c>
      <c r="N171" s="131">
        <f t="shared" si="57"/>
        <v>12898.398829698735</v>
      </c>
      <c r="O171" s="131">
        <f t="shared" si="53"/>
        <v>-416186.43939968536</v>
      </c>
      <c r="P171" s="131">
        <f t="shared" si="58"/>
        <v>-403288.04056998662</v>
      </c>
      <c r="AB171" s="25"/>
      <c r="AC171" s="294">
        <v>14</v>
      </c>
      <c r="AD171" s="295">
        <f t="shared" si="65"/>
        <v>4232018.1723041385</v>
      </c>
      <c r="AE171" s="295">
        <f t="shared" si="66"/>
        <v>56426.908964055183</v>
      </c>
      <c r="AF171" s="295">
        <f t="shared" si="60"/>
        <v>359759.53043563018</v>
      </c>
      <c r="AG171" s="294">
        <f t="shared" si="61"/>
        <v>416186.43939968536</v>
      </c>
      <c r="AH171" s="295"/>
      <c r="AI171" s="295">
        <f t="shared" si="62"/>
        <v>19749.418137419314</v>
      </c>
      <c r="AJ171" s="295">
        <f t="shared" si="63"/>
        <v>-416186.43939968536</v>
      </c>
      <c r="AK171" s="295">
        <f t="shared" si="64"/>
        <v>-396437.02126226603</v>
      </c>
      <c r="AL171" s="25"/>
      <c r="AM171" s="25"/>
      <c r="AN171" s="25"/>
      <c r="AO171" s="25"/>
      <c r="AP171" s="25"/>
      <c r="AQ171" s="25"/>
      <c r="AR171" s="25"/>
      <c r="AS171" s="25"/>
      <c r="AT171" s="25"/>
      <c r="AU171" s="25"/>
    </row>
    <row r="172" spans="4:47" x14ac:dyDescent="0.2">
      <c r="I172" s="131">
        <v>19</v>
      </c>
      <c r="J172" s="131">
        <f t="shared" si="59"/>
        <v>2384608.735049183</v>
      </c>
      <c r="K172" s="131">
        <f t="shared" si="54"/>
        <v>31794.783133989109</v>
      </c>
      <c r="L172" s="131">
        <f t="shared" si="55"/>
        <v>384391.65626569628</v>
      </c>
      <c r="M172" s="131">
        <f t="shared" si="56"/>
        <v>416186.43939968536</v>
      </c>
      <c r="N172" s="131">
        <f t="shared" si="57"/>
        <v>11128.174096896188</v>
      </c>
      <c r="O172" s="131">
        <f t="shared" si="53"/>
        <v>-416186.43939968536</v>
      </c>
      <c r="P172" s="131">
        <f t="shared" si="58"/>
        <v>-405058.26530278916</v>
      </c>
      <c r="AB172" s="25"/>
      <c r="AC172" s="294">
        <v>15</v>
      </c>
      <c r="AD172" s="295">
        <f t="shared" si="65"/>
        <v>3872258.6418685084</v>
      </c>
      <c r="AE172" s="295">
        <f t="shared" si="66"/>
        <v>51630.115224913454</v>
      </c>
      <c r="AF172" s="295">
        <f t="shared" si="60"/>
        <v>364556.3241747719</v>
      </c>
      <c r="AG172" s="294">
        <f t="shared" si="61"/>
        <v>416186.43939968536</v>
      </c>
      <c r="AH172" s="295"/>
      <c r="AI172" s="295">
        <f t="shared" si="62"/>
        <v>18070.540328719708</v>
      </c>
      <c r="AJ172" s="295">
        <f t="shared" si="63"/>
        <v>-416186.43939968536</v>
      </c>
      <c r="AK172" s="295">
        <f t="shared" si="64"/>
        <v>-398115.89907096565</v>
      </c>
      <c r="AL172" s="25"/>
      <c r="AM172" s="25"/>
      <c r="AN172" s="25"/>
      <c r="AO172" s="25"/>
      <c r="AP172" s="25"/>
      <c r="AQ172" s="25"/>
      <c r="AR172" s="25"/>
      <c r="AS172" s="25"/>
      <c r="AT172" s="25"/>
      <c r="AU172" s="25"/>
    </row>
    <row r="173" spans="4:47" x14ac:dyDescent="0.2">
      <c r="I173" s="131">
        <v>20</v>
      </c>
      <c r="J173" s="131">
        <f t="shared" si="59"/>
        <v>2000217.0787834867</v>
      </c>
      <c r="K173" s="131">
        <f t="shared" si="54"/>
        <v>26669.561050446489</v>
      </c>
      <c r="L173" s="131">
        <f t="shared" si="55"/>
        <v>389516.87834923889</v>
      </c>
      <c r="M173" s="131">
        <f t="shared" si="56"/>
        <v>416186.43939968536</v>
      </c>
      <c r="N173" s="131">
        <f t="shared" si="57"/>
        <v>9334.3463676562715</v>
      </c>
      <c r="O173" s="131">
        <f t="shared" si="53"/>
        <v>-416186.43939968536</v>
      </c>
      <c r="P173" s="131">
        <f t="shared" si="58"/>
        <v>-406852.09303202911</v>
      </c>
      <c r="AB173" s="25"/>
      <c r="AC173" s="294">
        <v>16</v>
      </c>
      <c r="AD173" s="295">
        <f t="shared" si="65"/>
        <v>3507702.3176937364</v>
      </c>
      <c r="AE173" s="295">
        <f t="shared" si="66"/>
        <v>46769.364235916488</v>
      </c>
      <c r="AF173" s="295">
        <f t="shared" si="60"/>
        <v>369417.0751637689</v>
      </c>
      <c r="AG173" s="294">
        <f t="shared" si="61"/>
        <v>416186.43939968536</v>
      </c>
      <c r="AH173" s="295"/>
      <c r="AI173" s="295">
        <f t="shared" si="62"/>
        <v>16369.277482570769</v>
      </c>
      <c r="AJ173" s="295">
        <f t="shared" si="63"/>
        <v>-416186.43939968536</v>
      </c>
      <c r="AK173" s="295">
        <f t="shared" si="64"/>
        <v>-399817.16191711457</v>
      </c>
      <c r="AL173" s="25"/>
      <c r="AM173" s="25"/>
      <c r="AN173" s="25"/>
      <c r="AO173" s="25"/>
      <c r="AP173" s="25"/>
      <c r="AQ173" s="25"/>
      <c r="AR173" s="25"/>
      <c r="AS173" s="25"/>
      <c r="AT173" s="25"/>
      <c r="AU173" s="25"/>
    </row>
    <row r="174" spans="4:47" x14ac:dyDescent="0.2">
      <c r="I174" s="131">
        <v>21</v>
      </c>
      <c r="J174" s="131">
        <f t="shared" si="59"/>
        <v>1610700.200434248</v>
      </c>
      <c r="K174" s="131">
        <f t="shared" si="54"/>
        <v>21476.002672456638</v>
      </c>
      <c r="L174" s="131">
        <f t="shared" si="55"/>
        <v>394710.43672722875</v>
      </c>
      <c r="M174" s="131">
        <f t="shared" si="56"/>
        <v>416186.43939968536</v>
      </c>
      <c r="N174" s="131">
        <f t="shared" si="57"/>
        <v>7516.6009353598229</v>
      </c>
      <c r="O174" s="131">
        <f t="shared" si="53"/>
        <v>-416186.43939968536</v>
      </c>
      <c r="P174" s="131">
        <f t="shared" si="58"/>
        <v>-408669.83846432553</v>
      </c>
      <c r="AB174" s="25"/>
      <c r="AC174" s="294">
        <v>17</v>
      </c>
      <c r="AD174" s="295">
        <f t="shared" si="65"/>
        <v>3138285.2425299673</v>
      </c>
      <c r="AE174" s="295">
        <f t="shared" si="66"/>
        <v>41843.803233732899</v>
      </c>
      <c r="AF174" s="295">
        <f t="shared" si="60"/>
        <v>374342.63616595248</v>
      </c>
      <c r="AG174" s="294">
        <f t="shared" si="61"/>
        <v>416186.43939968536</v>
      </c>
      <c r="AH174" s="295"/>
      <c r="AI174" s="295">
        <f t="shared" si="62"/>
        <v>14645.331131806513</v>
      </c>
      <c r="AJ174" s="295">
        <f t="shared" si="63"/>
        <v>-416186.43939968536</v>
      </c>
      <c r="AK174" s="295">
        <f t="shared" si="64"/>
        <v>-401541.10826787882</v>
      </c>
      <c r="AL174" s="25"/>
      <c r="AM174" s="25"/>
      <c r="AN174" s="25"/>
      <c r="AO174" s="25"/>
      <c r="AP174" s="25"/>
      <c r="AQ174" s="25"/>
      <c r="AR174" s="25"/>
      <c r="AS174" s="25"/>
      <c r="AT174" s="25"/>
      <c r="AU174" s="25"/>
    </row>
    <row r="175" spans="4:47" x14ac:dyDescent="0.2">
      <c r="I175" s="131">
        <v>22</v>
      </c>
      <c r="J175" s="131">
        <f t="shared" si="59"/>
        <v>1215989.7637070192</v>
      </c>
      <c r="K175" s="131">
        <f t="shared" si="54"/>
        <v>16213.196849426922</v>
      </c>
      <c r="L175" s="131">
        <f t="shared" si="55"/>
        <v>399973.24255025847</v>
      </c>
      <c r="M175" s="131">
        <f t="shared" si="56"/>
        <v>416186.43939968536</v>
      </c>
      <c r="N175" s="131">
        <f t="shared" si="57"/>
        <v>5674.6188972994223</v>
      </c>
      <c r="O175" s="131">
        <f t="shared" si="53"/>
        <v>-416186.43939968536</v>
      </c>
      <c r="P175" s="131">
        <f t="shared" si="58"/>
        <v>-410511.82050238596</v>
      </c>
      <c r="AB175" s="25"/>
      <c r="AC175" s="294">
        <v>18</v>
      </c>
      <c r="AD175" s="295">
        <f t="shared" si="65"/>
        <v>2763942.606364015</v>
      </c>
      <c r="AE175" s="295">
        <f t="shared" si="66"/>
        <v>36852.568084853534</v>
      </c>
      <c r="AF175" s="295">
        <f t="shared" si="60"/>
        <v>379333.87131483183</v>
      </c>
      <c r="AG175" s="294">
        <f t="shared" si="61"/>
        <v>416186.43939968536</v>
      </c>
      <c r="AH175" s="295"/>
      <c r="AI175" s="295">
        <f t="shared" si="62"/>
        <v>12898.398829698735</v>
      </c>
      <c r="AJ175" s="295">
        <f t="shared" si="63"/>
        <v>-416186.43939968536</v>
      </c>
      <c r="AK175" s="295">
        <f t="shared" si="64"/>
        <v>-403288.04056998662</v>
      </c>
      <c r="AL175" s="25"/>
      <c r="AM175" s="25"/>
      <c r="AN175" s="25"/>
      <c r="AO175" s="25"/>
      <c r="AP175" s="25"/>
      <c r="AQ175" s="25"/>
      <c r="AR175" s="25"/>
      <c r="AS175" s="25"/>
      <c r="AT175" s="25"/>
      <c r="AU175" s="25"/>
    </row>
    <row r="176" spans="4:47" x14ac:dyDescent="0.2">
      <c r="I176" s="131">
        <v>23</v>
      </c>
      <c r="J176" s="131">
        <f t="shared" si="59"/>
        <v>816016.52115676063</v>
      </c>
      <c r="K176" s="131">
        <f t="shared" si="54"/>
        <v>10880.220282090142</v>
      </c>
      <c r="L176" s="131">
        <f t="shared" si="55"/>
        <v>405306.21911759523</v>
      </c>
      <c r="M176" s="131">
        <f t="shared" si="56"/>
        <v>416186.43939968536</v>
      </c>
      <c r="N176" s="131">
        <f t="shared" si="57"/>
        <v>3808.0770987315495</v>
      </c>
      <c r="O176" s="131">
        <f t="shared" si="53"/>
        <v>-416186.43939968536</v>
      </c>
      <c r="P176" s="131">
        <f t="shared" si="58"/>
        <v>-412378.36230095383</v>
      </c>
      <c r="AB176" s="25"/>
      <c r="AC176" s="294">
        <v>19</v>
      </c>
      <c r="AD176" s="295">
        <f t="shared" si="65"/>
        <v>2384608.735049183</v>
      </c>
      <c r="AE176" s="295">
        <f t="shared" si="66"/>
        <v>31794.783133989109</v>
      </c>
      <c r="AF176" s="295">
        <f t="shared" si="60"/>
        <v>384391.65626569628</v>
      </c>
      <c r="AG176" s="294">
        <f t="shared" si="61"/>
        <v>416186.43939968536</v>
      </c>
      <c r="AH176" s="295"/>
      <c r="AI176" s="295">
        <f t="shared" si="62"/>
        <v>11128.174096896188</v>
      </c>
      <c r="AJ176" s="295">
        <f t="shared" si="63"/>
        <v>-416186.43939968536</v>
      </c>
      <c r="AK176" s="295">
        <f t="shared" si="64"/>
        <v>-405058.26530278916</v>
      </c>
      <c r="AL176" s="25"/>
      <c r="AM176" s="25"/>
      <c r="AN176" s="25"/>
      <c r="AO176" s="25"/>
      <c r="AP176" s="25"/>
      <c r="AQ176" s="25"/>
      <c r="AR176" s="25"/>
      <c r="AS176" s="25"/>
      <c r="AT176" s="25"/>
      <c r="AU176" s="25"/>
    </row>
    <row r="177" spans="3:47" x14ac:dyDescent="0.2">
      <c r="I177" s="131">
        <v>24</v>
      </c>
      <c r="J177" s="131">
        <f t="shared" si="59"/>
        <v>410710.3020391654</v>
      </c>
      <c r="K177" s="131">
        <f t="shared" si="54"/>
        <v>5476.1373605222061</v>
      </c>
      <c r="L177" s="131">
        <f t="shared" si="55"/>
        <v>410710.30203916313</v>
      </c>
      <c r="M177" s="131">
        <f t="shared" si="56"/>
        <v>416186.43939968536</v>
      </c>
      <c r="N177" s="131">
        <f t="shared" si="57"/>
        <v>1916.648076182772</v>
      </c>
      <c r="O177" s="131">
        <f t="shared" si="53"/>
        <v>-416186.43939968536</v>
      </c>
      <c r="P177" s="131">
        <f t="shared" si="58"/>
        <v>-414269.79132350261</v>
      </c>
      <c r="AB177" s="25"/>
      <c r="AC177" s="294">
        <v>20</v>
      </c>
      <c r="AD177" s="295">
        <f t="shared" si="65"/>
        <v>2000217.0787834867</v>
      </c>
      <c r="AE177" s="295">
        <f t="shared" si="66"/>
        <v>26669.561050446489</v>
      </c>
      <c r="AF177" s="295">
        <f t="shared" si="60"/>
        <v>389516.87834923889</v>
      </c>
      <c r="AG177" s="294">
        <f t="shared" si="61"/>
        <v>416186.43939968536</v>
      </c>
      <c r="AH177" s="295"/>
      <c r="AI177" s="295">
        <f t="shared" si="62"/>
        <v>9334.3463676562715</v>
      </c>
      <c r="AJ177" s="295">
        <f t="shared" si="63"/>
        <v>-416186.43939968536</v>
      </c>
      <c r="AK177" s="295">
        <f t="shared" si="64"/>
        <v>-406852.09303202911</v>
      </c>
      <c r="AL177" s="25"/>
      <c r="AM177" s="25"/>
      <c r="AN177" s="25"/>
      <c r="AO177" s="25"/>
      <c r="AP177" s="25"/>
      <c r="AQ177" s="25"/>
      <c r="AR177" s="25"/>
      <c r="AS177" s="25"/>
      <c r="AT177" s="25"/>
      <c r="AU177" s="25"/>
    </row>
    <row r="178" spans="3:47" x14ac:dyDescent="0.2">
      <c r="AB178" s="25"/>
      <c r="AC178" s="294">
        <v>21</v>
      </c>
      <c r="AD178" s="295">
        <f>+AD177-AF177</f>
        <v>1610700.200434248</v>
      </c>
      <c r="AE178" s="295">
        <f t="shared" si="66"/>
        <v>21476.002672456638</v>
      </c>
      <c r="AF178" s="295">
        <f t="shared" si="60"/>
        <v>394710.43672722875</v>
      </c>
      <c r="AG178" s="294">
        <f t="shared" si="61"/>
        <v>416186.43939968536</v>
      </c>
      <c r="AH178" s="295"/>
      <c r="AI178" s="295">
        <f t="shared" si="62"/>
        <v>7516.6009353598229</v>
      </c>
      <c r="AJ178" s="295">
        <f t="shared" si="63"/>
        <v>-416186.43939968536</v>
      </c>
      <c r="AK178" s="295">
        <f t="shared" si="64"/>
        <v>-408669.83846432553</v>
      </c>
      <c r="AL178" s="25"/>
      <c r="AM178" s="25"/>
      <c r="AN178" s="25"/>
      <c r="AO178" s="25"/>
      <c r="AP178" s="25"/>
      <c r="AQ178" s="25"/>
      <c r="AR178" s="25"/>
      <c r="AS178" s="25"/>
      <c r="AT178" s="25"/>
      <c r="AU178" s="25"/>
    </row>
    <row r="179" spans="3:47" x14ac:dyDescent="0.2">
      <c r="AB179" s="25"/>
      <c r="AC179" s="294">
        <v>22</v>
      </c>
      <c r="AD179" s="295">
        <f t="shared" si="65"/>
        <v>1215989.7637070192</v>
      </c>
      <c r="AE179" s="295">
        <f t="shared" si="66"/>
        <v>16213.196849426922</v>
      </c>
      <c r="AF179" s="295">
        <f t="shared" si="60"/>
        <v>399973.24255025847</v>
      </c>
      <c r="AG179" s="294">
        <f t="shared" si="61"/>
        <v>416186.43939968536</v>
      </c>
      <c r="AH179" s="295"/>
      <c r="AI179" s="295">
        <f t="shared" si="62"/>
        <v>5674.6188972994223</v>
      </c>
      <c r="AJ179" s="295">
        <f t="shared" si="63"/>
        <v>-416186.43939968536</v>
      </c>
      <c r="AK179" s="295">
        <f t="shared" si="64"/>
        <v>-410511.82050238596</v>
      </c>
      <c r="AL179" s="25"/>
      <c r="AM179" s="25"/>
      <c r="AN179" s="25"/>
      <c r="AO179" s="25"/>
      <c r="AP179" s="25"/>
      <c r="AQ179" s="25"/>
      <c r="AR179" s="25"/>
      <c r="AS179" s="25"/>
      <c r="AT179" s="25"/>
      <c r="AU179" s="25"/>
    </row>
    <row r="180" spans="3:47" x14ac:dyDescent="0.2">
      <c r="I180" s="131" t="s">
        <v>1231</v>
      </c>
      <c r="M180" s="131" t="s">
        <v>408</v>
      </c>
      <c r="AB180" s="25"/>
      <c r="AC180" s="294">
        <v>23</v>
      </c>
      <c r="AD180" s="295">
        <f t="shared" si="65"/>
        <v>816016.52115676063</v>
      </c>
      <c r="AE180" s="295">
        <f t="shared" si="66"/>
        <v>10880.220282090142</v>
      </c>
      <c r="AF180" s="295">
        <f t="shared" si="60"/>
        <v>405306.21911759523</v>
      </c>
      <c r="AG180" s="294">
        <f t="shared" si="61"/>
        <v>416186.43939968536</v>
      </c>
      <c r="AH180" s="295"/>
      <c r="AI180" s="295">
        <f t="shared" si="62"/>
        <v>3808.0770987315495</v>
      </c>
      <c r="AJ180" s="295">
        <f t="shared" si="63"/>
        <v>-416186.43939968536</v>
      </c>
      <c r="AK180" s="295">
        <f t="shared" si="64"/>
        <v>-412378.36230095383</v>
      </c>
      <c r="AL180" s="25"/>
      <c r="AM180" s="25"/>
      <c r="AN180" s="25"/>
      <c r="AO180" s="25"/>
      <c r="AP180" s="25"/>
      <c r="AQ180" s="25"/>
      <c r="AR180" s="25"/>
      <c r="AS180" s="25"/>
      <c r="AT180" s="25"/>
      <c r="AU180" s="25"/>
    </row>
    <row r="181" spans="3:47" x14ac:dyDescent="0.2">
      <c r="C181" s="131" t="s">
        <v>1221</v>
      </c>
      <c r="J181" s="272" t="s">
        <v>1101</v>
      </c>
      <c r="K181" s="272" t="s">
        <v>151</v>
      </c>
      <c r="L181" s="272" t="s">
        <v>890</v>
      </c>
      <c r="M181" s="272" t="s">
        <v>1202</v>
      </c>
      <c r="N181" s="272" t="s">
        <v>1389</v>
      </c>
      <c r="O181" s="272" t="s">
        <v>709</v>
      </c>
      <c r="P181" s="272" t="s">
        <v>1390</v>
      </c>
      <c r="AB181" s="25"/>
      <c r="AC181" s="294">
        <v>24</v>
      </c>
      <c r="AD181" s="296">
        <f t="shared" si="65"/>
        <v>410710.3020391654</v>
      </c>
      <c r="AE181" s="295">
        <f t="shared" si="66"/>
        <v>5476.1373605222061</v>
      </c>
      <c r="AF181" s="296">
        <f t="shared" si="60"/>
        <v>410710.30203916313</v>
      </c>
      <c r="AG181" s="294">
        <f t="shared" si="61"/>
        <v>416186.43939968536</v>
      </c>
      <c r="AH181" s="295"/>
      <c r="AI181" s="295">
        <f t="shared" si="62"/>
        <v>1916.648076182772</v>
      </c>
      <c r="AJ181" s="295">
        <f t="shared" si="63"/>
        <v>-416186.43939968536</v>
      </c>
      <c r="AK181" s="295">
        <f t="shared" si="64"/>
        <v>-414269.79132350261</v>
      </c>
      <c r="AL181" s="25"/>
      <c r="AM181" s="25"/>
      <c r="AN181" s="25"/>
      <c r="AO181" s="25"/>
      <c r="AP181" s="25"/>
      <c r="AQ181" s="25"/>
      <c r="AR181" s="25"/>
      <c r="AS181" s="25"/>
      <c r="AT181" s="25"/>
      <c r="AU181" s="25"/>
    </row>
    <row r="182" spans="3:47" x14ac:dyDescent="0.2">
      <c r="D182" s="131" t="s">
        <v>1222</v>
      </c>
      <c r="E182" s="131" t="s">
        <v>1223</v>
      </c>
      <c r="F182" s="131" t="s">
        <v>1224</v>
      </c>
      <c r="I182" s="131">
        <v>0</v>
      </c>
      <c r="O182" s="131">
        <v>9500000</v>
      </c>
      <c r="P182" s="131">
        <v>9500000</v>
      </c>
      <c r="AB182" s="25"/>
      <c r="AC182" s="25"/>
      <c r="AD182" s="25"/>
      <c r="AE182" s="25"/>
      <c r="AF182" s="25"/>
      <c r="AG182" s="25"/>
      <c r="AH182" s="25"/>
      <c r="AI182" s="297" t="s">
        <v>1158</v>
      </c>
      <c r="AJ182" s="444">
        <f>+IRR(AJ157:AJ181)</f>
        <v>1.8578080953558507E-2</v>
      </c>
      <c r="AK182" s="444">
        <f>+IRR(AK157:AK181)</f>
        <v>1.3705496659011773E-2</v>
      </c>
      <c r="AL182" s="25"/>
      <c r="AM182" s="25"/>
      <c r="AN182" s="25"/>
      <c r="AO182" s="25"/>
      <c r="AP182" s="25"/>
      <c r="AQ182" s="25"/>
      <c r="AR182" s="25"/>
      <c r="AS182" s="25"/>
      <c r="AT182" s="25"/>
      <c r="AU182" s="25"/>
    </row>
    <row r="183" spans="3:47" x14ac:dyDescent="0.2">
      <c r="D183" s="131" t="s">
        <v>1208</v>
      </c>
      <c r="E183" s="305">
        <v>8.0000000000000002E-3</v>
      </c>
      <c r="I183" s="131">
        <v>1</v>
      </c>
      <c r="J183" s="131">
        <f>+D189</f>
        <v>9592858.8738993462</v>
      </c>
      <c r="K183" s="131">
        <f t="shared" ref="K183:K206" si="67">+J183*$E$191</f>
        <v>173511.62613433221</v>
      </c>
      <c r="L183" s="131">
        <f>+$J$183/24</f>
        <v>399702.45307913941</v>
      </c>
      <c r="M183" s="131">
        <f>+K183+L183</f>
        <v>573214.07921347162</v>
      </c>
      <c r="N183" s="131">
        <f>+K183*0.35</f>
        <v>60729.069147016271</v>
      </c>
      <c r="O183" s="131">
        <f t="shared" ref="O183:O206" si="68">-M183</f>
        <v>-573214.07921347162</v>
      </c>
      <c r="P183" s="131">
        <f>-M183+N183</f>
        <v>-512485.01006645535</v>
      </c>
      <c r="AB183" s="25"/>
      <c r="AC183" s="25"/>
      <c r="AD183" s="25"/>
      <c r="AE183" s="25"/>
      <c r="AF183" s="25"/>
      <c r="AG183" s="25"/>
      <c r="AH183" s="25" t="s">
        <v>1159</v>
      </c>
      <c r="AI183" s="297" t="s">
        <v>1160</v>
      </c>
      <c r="AJ183" s="445">
        <f>+((1+AJ182)^12)-1</f>
        <v>0.24718797520253788</v>
      </c>
      <c r="AK183" s="445">
        <f>+((1+AK182)^12)-1</f>
        <v>0.17744767572357523</v>
      </c>
      <c r="AL183" s="297" t="s">
        <v>1161</v>
      </c>
      <c r="AM183" s="297"/>
      <c r="AN183" s="297" t="s">
        <v>1162</v>
      </c>
      <c r="AO183" s="25"/>
      <c r="AP183" s="25"/>
      <c r="AQ183" s="25"/>
      <c r="AR183" s="25"/>
      <c r="AS183" s="25"/>
      <c r="AT183" s="25"/>
      <c r="AU183" s="25"/>
    </row>
    <row r="184" spans="3:47" x14ac:dyDescent="0.2">
      <c r="I184" s="131">
        <v>2</v>
      </c>
      <c r="J184" s="131">
        <f>+J183-L183</f>
        <v>9193156.4208202064</v>
      </c>
      <c r="K184" s="131">
        <f t="shared" si="67"/>
        <v>166281.97504540169</v>
      </c>
      <c r="L184" s="131">
        <f t="shared" ref="L184:L206" si="69">+$J$183/24</f>
        <v>399702.45307913941</v>
      </c>
      <c r="M184" s="131">
        <f t="shared" ref="M184:M206" si="70">+K184+L184</f>
        <v>565984.42812454107</v>
      </c>
      <c r="N184" s="131">
        <f t="shared" ref="N184:N206" si="71">+K184*0.35</f>
        <v>58198.691265890586</v>
      </c>
      <c r="O184" s="131">
        <f t="shared" si="68"/>
        <v>-565984.42812454107</v>
      </c>
      <c r="P184" s="131">
        <f t="shared" ref="P184:P206" si="72">-M184+N184</f>
        <v>-507785.73685865046</v>
      </c>
      <c r="AB184" s="25"/>
      <c r="AC184" s="25"/>
      <c r="AD184" s="25"/>
      <c r="AE184" s="25"/>
      <c r="AF184" s="25"/>
      <c r="AG184" s="25"/>
      <c r="AH184" s="25"/>
      <c r="AI184" s="297" t="s">
        <v>1163</v>
      </c>
      <c r="AJ184" s="444">
        <f>12*AJ182</f>
        <v>0.22293697144270208</v>
      </c>
      <c r="AK184" s="444">
        <f>12*AK182</f>
        <v>0.16446595990814128</v>
      </c>
      <c r="AL184" s="297" t="s">
        <v>1161</v>
      </c>
      <c r="AM184" s="297"/>
      <c r="AN184" s="297" t="s">
        <v>1164</v>
      </c>
      <c r="AO184" s="25"/>
      <c r="AP184" s="25"/>
      <c r="AQ184" s="25"/>
      <c r="AR184" s="25"/>
      <c r="AS184" s="25"/>
      <c r="AT184" s="25"/>
      <c r="AU184" s="25"/>
    </row>
    <row r="185" spans="3:47" x14ac:dyDescent="0.2">
      <c r="I185" s="131">
        <v>3</v>
      </c>
      <c r="J185" s="131">
        <f t="shared" ref="J185:J206" si="73">+J184-L184</f>
        <v>8793453.9677410666</v>
      </c>
      <c r="K185" s="131">
        <f t="shared" si="67"/>
        <v>159052.32395647117</v>
      </c>
      <c r="L185" s="131">
        <f t="shared" si="69"/>
        <v>399702.45307913941</v>
      </c>
      <c r="M185" s="131">
        <f t="shared" si="70"/>
        <v>558754.77703561052</v>
      </c>
      <c r="N185" s="131">
        <f t="shared" si="71"/>
        <v>55668.313384764908</v>
      </c>
      <c r="O185" s="131">
        <f t="shared" si="68"/>
        <v>-558754.77703561052</v>
      </c>
      <c r="P185" s="131">
        <f t="shared" si="72"/>
        <v>-503086.46365084563</v>
      </c>
      <c r="AB185" s="25"/>
      <c r="AC185" s="292" t="s">
        <v>1165</v>
      </c>
      <c r="AD185" s="292"/>
      <c r="AE185" s="25" t="s">
        <v>1166</v>
      </c>
      <c r="AF185" s="25"/>
      <c r="AG185" s="298" t="s">
        <v>1133</v>
      </c>
      <c r="AH185" s="299">
        <v>9500000</v>
      </c>
      <c r="AI185" s="298" t="s">
        <v>336</v>
      </c>
      <c r="AJ185" s="298" t="s">
        <v>1167</v>
      </c>
      <c r="AK185" s="298"/>
      <c r="AL185" s="25"/>
      <c r="AM185" s="25"/>
      <c r="AN185" s="25"/>
      <c r="AO185" s="25"/>
      <c r="AP185" s="25"/>
      <c r="AQ185" s="25"/>
      <c r="AR185" s="25"/>
      <c r="AS185" s="25"/>
      <c r="AT185" s="25"/>
      <c r="AU185" s="25"/>
    </row>
    <row r="186" spans="3:47" x14ac:dyDescent="0.2">
      <c r="D186" s="131" t="s">
        <v>1388</v>
      </c>
      <c r="I186" s="131">
        <v>4</v>
      </c>
      <c r="J186" s="131">
        <f t="shared" si="73"/>
        <v>8393751.5146619268</v>
      </c>
      <c r="K186" s="131">
        <f t="shared" si="67"/>
        <v>151822.67286754065</v>
      </c>
      <c r="L186" s="131">
        <f t="shared" si="69"/>
        <v>399702.45307913941</v>
      </c>
      <c r="M186" s="131">
        <f t="shared" si="70"/>
        <v>551525.12594668008</v>
      </c>
      <c r="N186" s="131">
        <f t="shared" si="71"/>
        <v>53137.935503639223</v>
      </c>
      <c r="O186" s="131">
        <f t="shared" si="68"/>
        <v>-551525.12594668008</v>
      </c>
      <c r="P186" s="131">
        <f t="shared" si="72"/>
        <v>-498387.19044304086</v>
      </c>
      <c r="AB186" s="25"/>
      <c r="AC186" s="25" t="s">
        <v>1168</v>
      </c>
      <c r="AD186" s="25">
        <f>+((1+0.24)^(1/12))-1</f>
        <v>1.8087582483510722E-2</v>
      </c>
      <c r="AE186" s="25"/>
      <c r="AF186" s="25"/>
      <c r="AG186" s="298" t="s">
        <v>1133</v>
      </c>
      <c r="AH186" s="298">
        <f>+AH185</f>
        <v>9500000</v>
      </c>
      <c r="AI186" s="298" t="s">
        <v>336</v>
      </c>
      <c r="AJ186" s="298" t="s">
        <v>1169</v>
      </c>
      <c r="AK186" s="298"/>
      <c r="AL186" s="25"/>
      <c r="AM186" s="25"/>
      <c r="AN186" s="25"/>
      <c r="AO186" s="25"/>
      <c r="AP186" s="25"/>
      <c r="AQ186" s="25"/>
      <c r="AR186" s="25"/>
      <c r="AS186" s="25"/>
      <c r="AT186" s="25"/>
      <c r="AU186" s="25"/>
    </row>
    <row r="187" spans="3:47" x14ac:dyDescent="0.2">
      <c r="D187" s="131" t="s">
        <v>1386</v>
      </c>
      <c r="I187" s="131">
        <v>5</v>
      </c>
      <c r="J187" s="131">
        <f t="shared" si="73"/>
        <v>7994049.061582787</v>
      </c>
      <c r="K187" s="131">
        <f t="shared" si="67"/>
        <v>144593.02177861016</v>
      </c>
      <c r="L187" s="131">
        <f t="shared" si="69"/>
        <v>399702.45307913941</v>
      </c>
      <c r="M187" s="131">
        <f t="shared" si="70"/>
        <v>544295.47485774953</v>
      </c>
      <c r="N187" s="131">
        <f t="shared" si="71"/>
        <v>50607.557622513552</v>
      </c>
      <c r="O187" s="131">
        <f t="shared" si="68"/>
        <v>-544295.47485774953</v>
      </c>
      <c r="P187" s="131">
        <f t="shared" si="72"/>
        <v>-493687.91723523597</v>
      </c>
      <c r="AB187" s="25"/>
      <c r="AC187" s="293" t="s">
        <v>1126</v>
      </c>
      <c r="AD187" s="293" t="s">
        <v>1127</v>
      </c>
      <c r="AE187" s="293" t="s">
        <v>1154</v>
      </c>
      <c r="AF187" s="293" t="s">
        <v>1128</v>
      </c>
      <c r="AG187" s="293" t="s">
        <v>1129</v>
      </c>
      <c r="AH187" s="293" t="s">
        <v>1130</v>
      </c>
      <c r="AI187" s="293" t="s">
        <v>1155</v>
      </c>
      <c r="AJ187" s="293" t="s">
        <v>1156</v>
      </c>
      <c r="AK187" s="293" t="s">
        <v>1157</v>
      </c>
      <c r="AL187" s="25"/>
      <c r="AM187" s="25"/>
      <c r="AN187" s="25"/>
      <c r="AO187" s="25"/>
      <c r="AP187" s="25"/>
      <c r="AQ187" s="25"/>
      <c r="AR187" s="25"/>
      <c r="AS187" s="25"/>
      <c r="AT187" s="25"/>
      <c r="AU187" s="25"/>
    </row>
    <row r="188" spans="3:47" x14ac:dyDescent="0.2">
      <c r="D188" s="131" t="s">
        <v>1387</v>
      </c>
      <c r="I188" s="131">
        <v>6</v>
      </c>
      <c r="J188" s="131">
        <f t="shared" si="73"/>
        <v>7594346.6085036471</v>
      </c>
      <c r="K188" s="131">
        <f t="shared" si="67"/>
        <v>137363.37068967964</v>
      </c>
      <c r="L188" s="131">
        <f t="shared" si="69"/>
        <v>399702.45307913941</v>
      </c>
      <c r="M188" s="131">
        <f t="shared" si="70"/>
        <v>537065.82376881898</v>
      </c>
      <c r="N188" s="131">
        <f t="shared" si="71"/>
        <v>48077.179741387867</v>
      </c>
      <c r="O188" s="131">
        <f t="shared" si="68"/>
        <v>-537065.82376881898</v>
      </c>
      <c r="P188" s="131">
        <f t="shared" si="72"/>
        <v>-488988.64402743115</v>
      </c>
      <c r="AB188" s="25"/>
      <c r="AC188" s="294">
        <v>0</v>
      </c>
      <c r="AD188" s="294"/>
      <c r="AE188" s="294"/>
      <c r="AF188" s="294"/>
      <c r="AG188" s="294"/>
      <c r="AH188" s="295"/>
      <c r="AI188" s="295"/>
      <c r="AJ188" s="295">
        <v>9500000</v>
      </c>
      <c r="AK188" s="295">
        <v>9500000</v>
      </c>
      <c r="AL188" s="25"/>
      <c r="AM188" s="25"/>
      <c r="AN188" s="25" t="s">
        <v>1170</v>
      </c>
      <c r="AO188" s="25" t="s">
        <v>1171</v>
      </c>
      <c r="AP188" s="25" t="s">
        <v>1172</v>
      </c>
      <c r="AQ188" s="25"/>
      <c r="AR188" s="25"/>
      <c r="AS188" s="25"/>
      <c r="AT188" s="25"/>
      <c r="AU188" s="25"/>
    </row>
    <row r="189" spans="3:47" x14ac:dyDescent="0.2">
      <c r="D189" s="131">
        <f>9500000/(1-0.008-0.008*0.21)</f>
        <v>9592858.8738993462</v>
      </c>
      <c r="I189" s="131">
        <v>7</v>
      </c>
      <c r="J189" s="131">
        <f t="shared" si="73"/>
        <v>7194644.1554245073</v>
      </c>
      <c r="K189" s="131">
        <f t="shared" si="67"/>
        <v>130133.71960074911</v>
      </c>
      <c r="L189" s="131">
        <f t="shared" si="69"/>
        <v>399702.45307913941</v>
      </c>
      <c r="M189" s="131">
        <f t="shared" si="70"/>
        <v>529836.17267988855</v>
      </c>
      <c r="N189" s="131">
        <f t="shared" si="71"/>
        <v>45546.801860262189</v>
      </c>
      <c r="O189" s="131">
        <f t="shared" si="68"/>
        <v>-529836.17267988855</v>
      </c>
      <c r="P189" s="131">
        <f t="shared" si="72"/>
        <v>-484289.37081962638</v>
      </c>
      <c r="AB189" s="25"/>
      <c r="AC189" s="294">
        <v>1</v>
      </c>
      <c r="AD189" s="295">
        <f>+AH186/(1-0.008-0.21*0.008)</f>
        <v>9592858.8738993462</v>
      </c>
      <c r="AE189" s="295">
        <f>+AD189*$AD$186</f>
        <v>173511.62613433221</v>
      </c>
      <c r="AF189" s="295">
        <f>+$AD$189/24</f>
        <v>399702.45307913941</v>
      </c>
      <c r="AG189" s="294">
        <f>+AF189+AE189</f>
        <v>573214.07921347162</v>
      </c>
      <c r="AH189" s="295"/>
      <c r="AI189" s="295">
        <f>0.35*AE189</f>
        <v>60729.069147016271</v>
      </c>
      <c r="AJ189" s="295">
        <f>-AH189-AG189</f>
        <v>-573214.07921347162</v>
      </c>
      <c r="AK189" s="295">
        <f>+AI189+AJ189</f>
        <v>-512485.01006645535</v>
      </c>
      <c r="AL189" s="25"/>
      <c r="AM189" s="25"/>
      <c r="AN189" s="25">
        <v>0</v>
      </c>
      <c r="AO189" s="25">
        <f>+NPV(AN189,$J$8:$J$31)+$J$7</f>
        <v>0.03</v>
      </c>
      <c r="AP189" s="25">
        <f>+NPV(AN189,$J$39:$J$62)+$J$38</f>
        <v>-325.13462544591425</v>
      </c>
      <c r="AQ189" s="25"/>
      <c r="AR189" s="25"/>
      <c r="AS189" s="25"/>
      <c r="AT189" s="25"/>
      <c r="AU189" s="25"/>
    </row>
    <row r="190" spans="3:47" x14ac:dyDescent="0.2">
      <c r="I190" s="131">
        <v>8</v>
      </c>
      <c r="J190" s="131">
        <f t="shared" si="73"/>
        <v>6794941.7023453675</v>
      </c>
      <c r="K190" s="131">
        <f t="shared" si="67"/>
        <v>122904.06851181859</v>
      </c>
      <c r="L190" s="131">
        <f t="shared" si="69"/>
        <v>399702.45307913941</v>
      </c>
      <c r="M190" s="131">
        <f t="shared" si="70"/>
        <v>522606.521590958</v>
      </c>
      <c r="N190" s="131">
        <f t="shared" si="71"/>
        <v>43016.423979136503</v>
      </c>
      <c r="O190" s="131">
        <f t="shared" si="68"/>
        <v>-522606.521590958</v>
      </c>
      <c r="P190" s="131">
        <f t="shared" si="72"/>
        <v>-479590.09761182149</v>
      </c>
      <c r="AB190" s="25"/>
      <c r="AC190" s="294">
        <v>2</v>
      </c>
      <c r="AD190" s="295">
        <f>+AD189-AF189</f>
        <v>9193156.4208202064</v>
      </c>
      <c r="AE190" s="295">
        <f t="shared" ref="AE190:AE212" si="74">+AD190*$AD$186</f>
        <v>166281.97504540169</v>
      </c>
      <c r="AF190" s="295">
        <f t="shared" ref="AF190:AF212" si="75">+$AD$189/24</f>
        <v>399702.45307913941</v>
      </c>
      <c r="AG190" s="294">
        <f t="shared" ref="AG190:AG212" si="76">+AF190+AE190</f>
        <v>565984.42812454107</v>
      </c>
      <c r="AH190" s="295"/>
      <c r="AI190" s="295">
        <f t="shared" ref="AI190:AI212" si="77">0.35*AE190</f>
        <v>58198.691265890586</v>
      </c>
      <c r="AJ190" s="295">
        <f t="shared" ref="AJ190:AJ212" si="78">-AH190-AG190</f>
        <v>-565984.42812454107</v>
      </c>
      <c r="AK190" s="295">
        <f t="shared" ref="AK190:AK212" si="79">+AI190+AJ190</f>
        <v>-507785.73685865046</v>
      </c>
      <c r="AL190" s="25"/>
      <c r="AM190" s="25"/>
      <c r="AN190" s="25">
        <f>+AN189+0.005</f>
        <v>5.0000000000000001E-3</v>
      </c>
      <c r="AO190" s="25">
        <f t="shared" ref="AO190:AO196" si="80">+NPV(AN190,$J$8:$J$31)+$J$7</f>
        <v>2.9850746268656719E-2</v>
      </c>
      <c r="AP190" s="25">
        <f t="shared" ref="AP190:AP196" si="81">+NPV(AN190,$J$39:$J$62)+$J$38</f>
        <v>-317.75607118690903</v>
      </c>
      <c r="AQ190" s="25"/>
      <c r="AR190" s="25"/>
      <c r="AS190" s="25"/>
      <c r="AT190" s="25"/>
      <c r="AU190" s="25"/>
    </row>
    <row r="191" spans="3:47" x14ac:dyDescent="0.2">
      <c r="D191" s="131" t="s">
        <v>261</v>
      </c>
      <c r="E191" s="419">
        <f>+(1+0.24)^(0.0833333333333333)-1</f>
        <v>1.8087582483510722E-2</v>
      </c>
      <c r="I191" s="131">
        <v>9</v>
      </c>
      <c r="J191" s="131">
        <f t="shared" si="73"/>
        <v>6395239.2492662277</v>
      </c>
      <c r="K191" s="131">
        <f t="shared" si="67"/>
        <v>115674.41742288809</v>
      </c>
      <c r="L191" s="131">
        <f t="shared" si="69"/>
        <v>399702.45307913941</v>
      </c>
      <c r="M191" s="131">
        <f t="shared" si="70"/>
        <v>515376.87050202751</v>
      </c>
      <c r="N191" s="131">
        <f t="shared" si="71"/>
        <v>40486.046098010826</v>
      </c>
      <c r="O191" s="131">
        <f t="shared" si="68"/>
        <v>-515376.87050202751</v>
      </c>
      <c r="P191" s="131">
        <f t="shared" si="72"/>
        <v>-474890.82440401666</v>
      </c>
      <c r="AB191" s="25"/>
      <c r="AC191" s="294">
        <v>3</v>
      </c>
      <c r="AD191" s="295">
        <f t="shared" ref="AD191:AD212" si="82">+AD190-AF190</f>
        <v>8793453.9677410666</v>
      </c>
      <c r="AE191" s="295">
        <f t="shared" si="74"/>
        <v>159052.32395647117</v>
      </c>
      <c r="AF191" s="295">
        <f t="shared" si="75"/>
        <v>399702.45307913941</v>
      </c>
      <c r="AG191" s="294">
        <f t="shared" si="76"/>
        <v>558754.77703561052</v>
      </c>
      <c r="AH191" s="295"/>
      <c r="AI191" s="295">
        <f t="shared" si="77"/>
        <v>55668.313384764908</v>
      </c>
      <c r="AJ191" s="295">
        <f t="shared" si="78"/>
        <v>-558754.77703561052</v>
      </c>
      <c r="AK191" s="295">
        <f t="shared" si="79"/>
        <v>-503086.46365084563</v>
      </c>
      <c r="AL191" s="25"/>
      <c r="AM191" s="25"/>
      <c r="AN191" s="25">
        <f t="shared" ref="AN191:AN197" si="83">+AN190+0.005</f>
        <v>0.01</v>
      </c>
      <c r="AO191" s="25">
        <f t="shared" si="80"/>
        <v>2.9702970297029702E-2</v>
      </c>
      <c r="AP191" s="25">
        <f t="shared" si="81"/>
        <v>-310.62102893059057</v>
      </c>
      <c r="AQ191" s="25"/>
      <c r="AR191" s="25"/>
      <c r="AS191" s="25"/>
      <c r="AT191" s="25"/>
      <c r="AU191" s="25"/>
    </row>
    <row r="192" spans="3:47" x14ac:dyDescent="0.2">
      <c r="I192" s="131">
        <v>10</v>
      </c>
      <c r="J192" s="131">
        <f t="shared" si="73"/>
        <v>5995536.7961870879</v>
      </c>
      <c r="K192" s="131">
        <f t="shared" si="67"/>
        <v>108444.76633395757</v>
      </c>
      <c r="L192" s="131">
        <f t="shared" si="69"/>
        <v>399702.45307913941</v>
      </c>
      <c r="M192" s="131">
        <f t="shared" si="70"/>
        <v>508147.21941309696</v>
      </c>
      <c r="N192" s="131">
        <f t="shared" si="71"/>
        <v>37955.668216885148</v>
      </c>
      <c r="O192" s="131">
        <f t="shared" si="68"/>
        <v>-508147.21941309696</v>
      </c>
      <c r="P192" s="131">
        <f t="shared" si="72"/>
        <v>-470191.55119621183</v>
      </c>
      <c r="AB192" s="25"/>
      <c r="AC192" s="294">
        <v>4</v>
      </c>
      <c r="AD192" s="295">
        <f t="shared" si="82"/>
        <v>8393751.5146619268</v>
      </c>
      <c r="AE192" s="295">
        <f t="shared" si="74"/>
        <v>151822.67286754065</v>
      </c>
      <c r="AF192" s="295">
        <f t="shared" si="75"/>
        <v>399702.45307913941</v>
      </c>
      <c r="AG192" s="294">
        <f t="shared" si="76"/>
        <v>551525.12594668008</v>
      </c>
      <c r="AH192" s="295"/>
      <c r="AI192" s="295">
        <f t="shared" si="77"/>
        <v>53137.935503639223</v>
      </c>
      <c r="AJ192" s="295">
        <f t="shared" si="78"/>
        <v>-551525.12594668008</v>
      </c>
      <c r="AK192" s="295">
        <f t="shared" si="79"/>
        <v>-498387.19044304086</v>
      </c>
      <c r="AL192" s="25"/>
      <c r="AM192" s="25"/>
      <c r="AN192" s="25">
        <f>+AK213</f>
        <v>1.2618006525312309E-2</v>
      </c>
      <c r="AO192" s="25">
        <f t="shared" si="80"/>
        <v>2.9626176708966209E-2</v>
      </c>
      <c r="AP192" s="25">
        <f t="shared" si="81"/>
        <v>-306.97892425963391</v>
      </c>
      <c r="AQ192" s="25"/>
      <c r="AR192" s="25"/>
      <c r="AS192" s="25"/>
      <c r="AT192" s="25"/>
      <c r="AU192" s="25"/>
    </row>
    <row r="193" spans="4:47" x14ac:dyDescent="0.2">
      <c r="I193" s="131">
        <v>11</v>
      </c>
      <c r="J193" s="131">
        <f t="shared" si="73"/>
        <v>5595834.3431079481</v>
      </c>
      <c r="K193" s="131">
        <f t="shared" si="67"/>
        <v>101215.11524502705</v>
      </c>
      <c r="L193" s="131">
        <f t="shared" si="69"/>
        <v>399702.45307913941</v>
      </c>
      <c r="M193" s="131">
        <f t="shared" si="70"/>
        <v>500917.56832416647</v>
      </c>
      <c r="N193" s="131">
        <f t="shared" si="71"/>
        <v>35425.290335759462</v>
      </c>
      <c r="O193" s="131">
        <f t="shared" si="68"/>
        <v>-500917.56832416647</v>
      </c>
      <c r="P193" s="131">
        <f t="shared" si="72"/>
        <v>-465492.277988407</v>
      </c>
      <c r="AB193" s="25"/>
      <c r="AC193" s="294">
        <v>5</v>
      </c>
      <c r="AD193" s="295">
        <f t="shared" si="82"/>
        <v>7994049.061582787</v>
      </c>
      <c r="AE193" s="295">
        <f t="shared" si="74"/>
        <v>144593.02177861016</v>
      </c>
      <c r="AF193" s="295">
        <f t="shared" si="75"/>
        <v>399702.45307913941</v>
      </c>
      <c r="AG193" s="294">
        <f t="shared" si="76"/>
        <v>544295.47485774953</v>
      </c>
      <c r="AH193" s="295"/>
      <c r="AI193" s="295">
        <f t="shared" si="77"/>
        <v>50607.557622513552</v>
      </c>
      <c r="AJ193" s="295">
        <f t="shared" si="78"/>
        <v>-544295.47485774953</v>
      </c>
      <c r="AK193" s="295">
        <f t="shared" si="79"/>
        <v>-493687.91723523597</v>
      </c>
      <c r="AL193" s="25"/>
      <c r="AM193" s="25"/>
      <c r="AN193" s="25">
        <f>+AK182</f>
        <v>1.3705496659011773E-2</v>
      </c>
      <c r="AO193" s="25">
        <f t="shared" si="80"/>
        <v>2.9594394130124105E-2</v>
      </c>
      <c r="AP193" s="25">
        <f t="shared" si="81"/>
        <v>-305.48454257988953</v>
      </c>
      <c r="AQ193" s="25"/>
      <c r="AR193" s="25"/>
      <c r="AS193" s="25"/>
      <c r="AT193" s="25"/>
      <c r="AU193" s="25"/>
    </row>
    <row r="194" spans="4:47" x14ac:dyDescent="0.2">
      <c r="D194" s="131" t="s">
        <v>819</v>
      </c>
      <c r="E194" s="420">
        <f>+IRR(P182:P206)</f>
        <v>1.2618006525312309E-2</v>
      </c>
      <c r="I194" s="131">
        <v>12</v>
      </c>
      <c r="J194" s="131">
        <f t="shared" si="73"/>
        <v>5196131.8900288083</v>
      </c>
      <c r="K194" s="131">
        <f t="shared" si="67"/>
        <v>93985.464156096539</v>
      </c>
      <c r="L194" s="131">
        <f t="shared" si="69"/>
        <v>399702.45307913941</v>
      </c>
      <c r="M194" s="131">
        <f t="shared" si="70"/>
        <v>493687.91723523592</v>
      </c>
      <c r="N194" s="131">
        <f t="shared" si="71"/>
        <v>32894.912454633784</v>
      </c>
      <c r="O194" s="131">
        <f t="shared" si="68"/>
        <v>-493687.91723523592</v>
      </c>
      <c r="P194" s="131">
        <f t="shared" si="72"/>
        <v>-460793.00478060212</v>
      </c>
      <c r="AB194" s="25"/>
      <c r="AC194" s="294">
        <v>6</v>
      </c>
      <c r="AD194" s="295">
        <f t="shared" si="82"/>
        <v>7594346.6085036471</v>
      </c>
      <c r="AE194" s="295">
        <f t="shared" si="74"/>
        <v>137363.37068967964</v>
      </c>
      <c r="AF194" s="295">
        <f t="shared" si="75"/>
        <v>399702.45307913941</v>
      </c>
      <c r="AG194" s="294">
        <f t="shared" si="76"/>
        <v>537065.82376881898</v>
      </c>
      <c r="AH194" s="295"/>
      <c r="AI194" s="295">
        <f t="shared" si="77"/>
        <v>48077.179741387867</v>
      </c>
      <c r="AJ194" s="295">
        <f t="shared" si="78"/>
        <v>-537065.82376881898</v>
      </c>
      <c r="AK194" s="295">
        <f t="shared" si="79"/>
        <v>-488988.64402743115</v>
      </c>
      <c r="AL194" s="25"/>
      <c r="AM194" s="25"/>
      <c r="AN194" s="25">
        <v>0.02</v>
      </c>
      <c r="AO194" s="25">
        <f t="shared" si="80"/>
        <v>2.9411764705882353E-2</v>
      </c>
      <c r="AP194" s="25">
        <f t="shared" si="81"/>
        <v>-297.04259161541398</v>
      </c>
      <c r="AQ194" s="25"/>
      <c r="AR194" s="25"/>
      <c r="AS194" s="25"/>
      <c r="AT194" s="25"/>
      <c r="AU194" s="25"/>
    </row>
    <row r="195" spans="4:47" x14ac:dyDescent="0.2">
      <c r="D195" s="131" t="s">
        <v>1160</v>
      </c>
      <c r="E195" s="420">
        <f>+(1+E194)^12-1</f>
        <v>0.16237898523906091</v>
      </c>
      <c r="I195" s="131">
        <v>13</v>
      </c>
      <c r="J195" s="131">
        <f t="shared" si="73"/>
        <v>4796429.4369496685</v>
      </c>
      <c r="K195" s="131">
        <f t="shared" si="67"/>
        <v>86755.813067166018</v>
      </c>
      <c r="L195" s="131">
        <f t="shared" si="69"/>
        <v>399702.45307913941</v>
      </c>
      <c r="M195" s="131">
        <f t="shared" si="70"/>
        <v>486458.26614630542</v>
      </c>
      <c r="N195" s="131">
        <f>+K195*0.35</f>
        <v>30364.534573508103</v>
      </c>
      <c r="O195" s="131">
        <f t="shared" si="68"/>
        <v>-486458.26614630542</v>
      </c>
      <c r="P195" s="131">
        <f t="shared" si="72"/>
        <v>-456093.73157279735</v>
      </c>
      <c r="AB195" s="25"/>
      <c r="AC195" s="294">
        <v>7</v>
      </c>
      <c r="AD195" s="295">
        <f t="shared" si="82"/>
        <v>7194644.1554245073</v>
      </c>
      <c r="AE195" s="295">
        <f t="shared" si="74"/>
        <v>130133.71960074911</v>
      </c>
      <c r="AF195" s="295">
        <f t="shared" si="75"/>
        <v>399702.45307913941</v>
      </c>
      <c r="AG195" s="294">
        <f t="shared" si="76"/>
        <v>529836.17267988855</v>
      </c>
      <c r="AH195" s="295"/>
      <c r="AI195" s="295">
        <f t="shared" si="77"/>
        <v>45546.801860262189</v>
      </c>
      <c r="AJ195" s="295">
        <f t="shared" si="78"/>
        <v>-529836.17267988855</v>
      </c>
      <c r="AK195" s="295">
        <f t="shared" si="79"/>
        <v>-484289.37081962638</v>
      </c>
      <c r="AL195" s="25"/>
      <c r="AM195" s="25"/>
      <c r="AN195" s="25">
        <f t="shared" si="83"/>
        <v>2.5000000000000001E-2</v>
      </c>
      <c r="AO195" s="25">
        <f t="shared" si="80"/>
        <v>2.9268292682926831E-2</v>
      </c>
      <c r="AP195" s="25">
        <f t="shared" si="81"/>
        <v>-290.58087475758015</v>
      </c>
      <c r="AQ195" s="25"/>
      <c r="AR195" s="25"/>
      <c r="AS195" s="25"/>
      <c r="AT195" s="25"/>
      <c r="AU195" s="25"/>
    </row>
    <row r="196" spans="4:47" x14ac:dyDescent="0.2">
      <c r="D196" s="131" t="s">
        <v>1163</v>
      </c>
      <c r="E196" s="420">
        <f>+E194*12</f>
        <v>0.1514160783037477</v>
      </c>
      <c r="I196" s="131">
        <v>14</v>
      </c>
      <c r="J196" s="131">
        <f t="shared" si="73"/>
        <v>4396726.9838705286</v>
      </c>
      <c r="K196" s="131">
        <f t="shared" si="67"/>
        <v>79526.161978235497</v>
      </c>
      <c r="L196" s="131">
        <f t="shared" si="69"/>
        <v>399702.45307913941</v>
      </c>
      <c r="M196" s="131">
        <f t="shared" si="70"/>
        <v>479228.61505737493</v>
      </c>
      <c r="N196" s="131">
        <f t="shared" si="71"/>
        <v>27834.156692382421</v>
      </c>
      <c r="O196" s="131">
        <f t="shared" si="68"/>
        <v>-479228.61505737493</v>
      </c>
      <c r="P196" s="131">
        <f t="shared" si="72"/>
        <v>-451394.45836499252</v>
      </c>
      <c r="AB196" s="25"/>
      <c r="AC196" s="294">
        <v>8</v>
      </c>
      <c r="AD196" s="295">
        <f t="shared" si="82"/>
        <v>6794941.7023453675</v>
      </c>
      <c r="AE196" s="295">
        <f t="shared" si="74"/>
        <v>122904.06851181859</v>
      </c>
      <c r="AF196" s="295">
        <f t="shared" si="75"/>
        <v>399702.45307913941</v>
      </c>
      <c r="AG196" s="294">
        <f t="shared" si="76"/>
        <v>522606.521590958</v>
      </c>
      <c r="AH196" s="295"/>
      <c r="AI196" s="295">
        <f t="shared" si="77"/>
        <v>43016.423979136503</v>
      </c>
      <c r="AJ196" s="295">
        <f t="shared" si="78"/>
        <v>-522606.521590958</v>
      </c>
      <c r="AK196" s="295">
        <f t="shared" si="79"/>
        <v>-479590.09761182149</v>
      </c>
      <c r="AL196" s="25"/>
      <c r="AM196" s="25"/>
      <c r="AN196" s="25">
        <f t="shared" si="83"/>
        <v>3.0000000000000002E-2</v>
      </c>
      <c r="AO196" s="25">
        <f t="shared" si="80"/>
        <v>2.9126213592233007E-2</v>
      </c>
      <c r="AP196" s="25">
        <f t="shared" si="81"/>
        <v>-284.32597975312098</v>
      </c>
      <c r="AQ196" s="25"/>
      <c r="AR196" s="25"/>
      <c r="AS196" s="25"/>
      <c r="AT196" s="25"/>
      <c r="AU196" s="25"/>
    </row>
    <row r="197" spans="4:47" x14ac:dyDescent="0.2">
      <c r="I197" s="131">
        <v>15</v>
      </c>
      <c r="J197" s="131">
        <f t="shared" si="73"/>
        <v>3997024.5307913893</v>
      </c>
      <c r="K197" s="131">
        <f t="shared" si="67"/>
        <v>72296.510889304991</v>
      </c>
      <c r="L197" s="131">
        <f t="shared" si="69"/>
        <v>399702.45307913941</v>
      </c>
      <c r="M197" s="131">
        <f t="shared" si="70"/>
        <v>471998.96396844438</v>
      </c>
      <c r="N197" s="131">
        <f t="shared" si="71"/>
        <v>25303.778811256747</v>
      </c>
      <c r="O197" s="131">
        <f t="shared" si="68"/>
        <v>-471998.96396844438</v>
      </c>
      <c r="P197" s="131">
        <f t="shared" si="72"/>
        <v>-446695.18515718763</v>
      </c>
      <c r="AB197" s="25"/>
      <c r="AC197" s="294">
        <v>9</v>
      </c>
      <c r="AD197" s="295">
        <f t="shared" si="82"/>
        <v>6395239.2492662277</v>
      </c>
      <c r="AE197" s="295">
        <f t="shared" si="74"/>
        <v>115674.41742288809</v>
      </c>
      <c r="AF197" s="295">
        <f t="shared" si="75"/>
        <v>399702.45307913941</v>
      </c>
      <c r="AG197" s="294">
        <f t="shared" si="76"/>
        <v>515376.87050202751</v>
      </c>
      <c r="AH197" s="295"/>
      <c r="AI197" s="295">
        <f t="shared" si="77"/>
        <v>40486.046098010826</v>
      </c>
      <c r="AJ197" s="295">
        <f t="shared" si="78"/>
        <v>-515376.87050202751</v>
      </c>
      <c r="AK197" s="295">
        <f t="shared" si="79"/>
        <v>-474890.82440401666</v>
      </c>
      <c r="AL197" s="25"/>
      <c r="AM197" s="25"/>
      <c r="AN197" s="25">
        <f t="shared" si="83"/>
        <v>3.5000000000000003E-2</v>
      </c>
      <c r="AO197" s="25">
        <f>+NPV(AN197,$J$8:$J$31)+$J$7</f>
        <v>2.8985507246376812E-2</v>
      </c>
      <c r="AP197" s="25">
        <f>+NPV(AN197,$J$39:$J$62)+$J$38</f>
        <v>-278.26976589464846</v>
      </c>
      <c r="AQ197" s="25"/>
      <c r="AR197" s="25"/>
      <c r="AS197" s="25"/>
      <c r="AT197" s="25"/>
      <c r="AU197" s="25"/>
    </row>
    <row r="198" spans="4:47" x14ac:dyDescent="0.2">
      <c r="I198" s="131">
        <v>16</v>
      </c>
      <c r="J198" s="131">
        <f t="shared" si="73"/>
        <v>3597322.0777122499</v>
      </c>
      <c r="K198" s="131">
        <f t="shared" si="67"/>
        <v>65066.859800374492</v>
      </c>
      <c r="L198" s="131">
        <f t="shared" si="69"/>
        <v>399702.45307913941</v>
      </c>
      <c r="M198" s="131">
        <f t="shared" si="70"/>
        <v>464769.31287951389</v>
      </c>
      <c r="N198" s="131">
        <f t="shared" si="71"/>
        <v>22773.400930131073</v>
      </c>
      <c r="O198" s="131">
        <f t="shared" si="68"/>
        <v>-464769.31287951389</v>
      </c>
      <c r="P198" s="131">
        <f t="shared" si="72"/>
        <v>-441995.9119493828</v>
      </c>
      <c r="AB198" s="25"/>
      <c r="AC198" s="294">
        <v>10</v>
      </c>
      <c r="AD198" s="295">
        <f t="shared" si="82"/>
        <v>5995536.7961870879</v>
      </c>
      <c r="AE198" s="295">
        <f t="shared" si="74"/>
        <v>108444.76633395757</v>
      </c>
      <c r="AF198" s="295">
        <f t="shared" si="75"/>
        <v>399702.45307913941</v>
      </c>
      <c r="AG198" s="294">
        <f t="shared" si="76"/>
        <v>508147.21941309696</v>
      </c>
      <c r="AH198" s="295"/>
      <c r="AI198" s="295">
        <f t="shared" si="77"/>
        <v>37955.668216885148</v>
      </c>
      <c r="AJ198" s="295">
        <f t="shared" si="78"/>
        <v>-508147.21941309696</v>
      </c>
      <c r="AK198" s="295">
        <f t="shared" si="79"/>
        <v>-470191.55119621183</v>
      </c>
      <c r="AL198" s="25"/>
      <c r="AM198" s="25"/>
      <c r="AN198" s="25">
        <v>0.04</v>
      </c>
      <c r="AO198" s="25">
        <f>+NPV(AN198,$J$8:$J$31)+$J$7</f>
        <v>2.8846153846153844E-2</v>
      </c>
      <c r="AP198" s="25">
        <f>+NPV(AN198,$J$39:$J$62)+$J$38</f>
        <v>-272.40446317587873</v>
      </c>
      <c r="AQ198" s="25"/>
      <c r="AR198" s="25"/>
      <c r="AS198" s="25"/>
      <c r="AT198" s="25"/>
      <c r="AU198" s="25"/>
    </row>
    <row r="199" spans="4:47" x14ac:dyDescent="0.2">
      <c r="I199" s="131">
        <v>17</v>
      </c>
      <c r="J199" s="131">
        <f t="shared" si="73"/>
        <v>3197619.6246331106</v>
      </c>
      <c r="K199" s="131">
        <f t="shared" si="67"/>
        <v>57837.208711443986</v>
      </c>
      <c r="L199" s="131">
        <f t="shared" si="69"/>
        <v>399702.45307913941</v>
      </c>
      <c r="M199" s="131">
        <f t="shared" si="70"/>
        <v>457539.6617905834</v>
      </c>
      <c r="N199" s="131">
        <f t="shared" si="71"/>
        <v>20243.023049005395</v>
      </c>
      <c r="O199" s="131">
        <f t="shared" si="68"/>
        <v>-457539.6617905834</v>
      </c>
      <c r="P199" s="131">
        <f t="shared" si="72"/>
        <v>-437296.63874157798</v>
      </c>
      <c r="AB199" s="25"/>
      <c r="AC199" s="294">
        <v>11</v>
      </c>
      <c r="AD199" s="295">
        <f t="shared" si="82"/>
        <v>5595834.3431079481</v>
      </c>
      <c r="AE199" s="295">
        <f t="shared" si="74"/>
        <v>101215.11524502705</v>
      </c>
      <c r="AF199" s="295">
        <f t="shared" si="75"/>
        <v>399702.45307913941</v>
      </c>
      <c r="AG199" s="294">
        <f t="shared" si="76"/>
        <v>500917.56832416647</v>
      </c>
      <c r="AH199" s="295"/>
      <c r="AI199" s="295">
        <f t="shared" si="77"/>
        <v>35425.290335759462</v>
      </c>
      <c r="AJ199" s="295">
        <f t="shared" si="78"/>
        <v>-500917.56832416647</v>
      </c>
      <c r="AK199" s="295">
        <f t="shared" si="79"/>
        <v>-465492.277988407</v>
      </c>
      <c r="AL199" s="25"/>
      <c r="AM199" s="25"/>
      <c r="AN199" s="25"/>
      <c r="AO199" s="25"/>
      <c r="AP199" s="25"/>
      <c r="AQ199" s="25"/>
      <c r="AR199" s="25"/>
      <c r="AS199" s="25"/>
      <c r="AT199" s="25"/>
      <c r="AU199" s="25"/>
    </row>
    <row r="200" spans="4:47" x14ac:dyDescent="0.2">
      <c r="I200" s="131">
        <v>18</v>
      </c>
      <c r="J200" s="131">
        <f t="shared" si="73"/>
        <v>2797917.1715539712</v>
      </c>
      <c r="K200" s="131">
        <f t="shared" si="67"/>
        <v>50607.557622513472</v>
      </c>
      <c r="L200" s="131">
        <f t="shared" si="69"/>
        <v>399702.45307913941</v>
      </c>
      <c r="M200" s="131">
        <f t="shared" si="70"/>
        <v>450310.01070165285</v>
      </c>
      <c r="N200" s="131">
        <f t="shared" si="71"/>
        <v>17712.645167879713</v>
      </c>
      <c r="O200" s="131">
        <f t="shared" si="68"/>
        <v>-450310.01070165285</v>
      </c>
      <c r="P200" s="131">
        <f t="shared" si="72"/>
        <v>-432597.36553377315</v>
      </c>
      <c r="AB200" s="25"/>
      <c r="AC200" s="294">
        <v>12</v>
      </c>
      <c r="AD200" s="295">
        <f t="shared" si="82"/>
        <v>5196131.8900288083</v>
      </c>
      <c r="AE200" s="295">
        <f t="shared" si="74"/>
        <v>93985.464156096539</v>
      </c>
      <c r="AF200" s="295">
        <f t="shared" si="75"/>
        <v>399702.45307913941</v>
      </c>
      <c r="AG200" s="294">
        <f t="shared" si="76"/>
        <v>493687.91723523592</v>
      </c>
      <c r="AH200" s="295"/>
      <c r="AI200" s="295">
        <f t="shared" si="77"/>
        <v>32894.912454633784</v>
      </c>
      <c r="AJ200" s="295">
        <f t="shared" si="78"/>
        <v>-493687.91723523592</v>
      </c>
      <c r="AK200" s="295">
        <f t="shared" si="79"/>
        <v>-460793.00478060212</v>
      </c>
      <c r="AL200" s="25"/>
      <c r="AM200" s="25"/>
      <c r="AN200" s="25"/>
      <c r="AO200" s="25"/>
      <c r="AP200" s="25"/>
      <c r="AQ200" s="25"/>
      <c r="AR200" s="25"/>
      <c r="AS200" s="25"/>
      <c r="AT200" s="25"/>
      <c r="AU200" s="25"/>
    </row>
    <row r="201" spans="4:47" x14ac:dyDescent="0.2">
      <c r="I201" s="131">
        <v>19</v>
      </c>
      <c r="J201" s="131">
        <f t="shared" si="73"/>
        <v>2398214.7184748319</v>
      </c>
      <c r="K201" s="131">
        <f t="shared" si="67"/>
        <v>43377.906533582965</v>
      </c>
      <c r="L201" s="131">
        <f t="shared" si="69"/>
        <v>399702.45307913941</v>
      </c>
      <c r="M201" s="131">
        <f t="shared" si="70"/>
        <v>443080.35961272236</v>
      </c>
      <c r="N201" s="131">
        <f t="shared" si="71"/>
        <v>15182.267286754037</v>
      </c>
      <c r="O201" s="131">
        <f t="shared" si="68"/>
        <v>-443080.35961272236</v>
      </c>
      <c r="P201" s="131">
        <f t="shared" si="72"/>
        <v>-427898.09232596832</v>
      </c>
      <c r="AB201" s="25"/>
      <c r="AC201" s="294">
        <v>13</v>
      </c>
      <c r="AD201" s="295">
        <f t="shared" si="82"/>
        <v>4796429.4369496685</v>
      </c>
      <c r="AE201" s="295">
        <f t="shared" si="74"/>
        <v>86755.813067166018</v>
      </c>
      <c r="AF201" s="295">
        <f t="shared" si="75"/>
        <v>399702.45307913941</v>
      </c>
      <c r="AG201" s="294">
        <f t="shared" si="76"/>
        <v>486458.26614630542</v>
      </c>
      <c r="AH201" s="295"/>
      <c r="AI201" s="295">
        <f t="shared" si="77"/>
        <v>30364.534573508103</v>
      </c>
      <c r="AJ201" s="295">
        <f t="shared" si="78"/>
        <v>-486458.26614630542</v>
      </c>
      <c r="AK201" s="295">
        <f t="shared" si="79"/>
        <v>-456093.73157279735</v>
      </c>
      <c r="AL201" s="25"/>
      <c r="AM201" s="25"/>
      <c r="AN201" s="25"/>
      <c r="AO201" s="25"/>
      <c r="AP201" s="25"/>
      <c r="AQ201" s="25"/>
      <c r="AR201" s="25"/>
      <c r="AS201" s="25"/>
      <c r="AT201" s="25"/>
      <c r="AU201" s="25"/>
    </row>
    <row r="202" spans="4:47" x14ac:dyDescent="0.2">
      <c r="I202" s="131">
        <v>20</v>
      </c>
      <c r="J202" s="131">
        <f t="shared" si="73"/>
        <v>1998512.2653956925</v>
      </c>
      <c r="K202" s="131">
        <f t="shared" si="67"/>
        <v>36148.255444652459</v>
      </c>
      <c r="L202" s="131">
        <f t="shared" si="69"/>
        <v>399702.45307913941</v>
      </c>
      <c r="M202" s="131">
        <f t="shared" si="70"/>
        <v>435850.70852379187</v>
      </c>
      <c r="N202" s="131">
        <f t="shared" si="71"/>
        <v>12651.889405628361</v>
      </c>
      <c r="O202" s="131">
        <f t="shared" si="68"/>
        <v>-435850.70852379187</v>
      </c>
      <c r="P202" s="131">
        <f t="shared" si="72"/>
        <v>-423198.81911816349</v>
      </c>
      <c r="AB202" s="25"/>
      <c r="AC202" s="294">
        <v>14</v>
      </c>
      <c r="AD202" s="295">
        <f t="shared" si="82"/>
        <v>4396726.9838705286</v>
      </c>
      <c r="AE202" s="295">
        <f t="shared" si="74"/>
        <v>79526.161978235497</v>
      </c>
      <c r="AF202" s="295">
        <f t="shared" si="75"/>
        <v>399702.45307913941</v>
      </c>
      <c r="AG202" s="294">
        <f t="shared" si="76"/>
        <v>479228.61505737493</v>
      </c>
      <c r="AH202" s="295"/>
      <c r="AI202" s="295">
        <f t="shared" si="77"/>
        <v>27834.156692382421</v>
      </c>
      <c r="AJ202" s="295">
        <f t="shared" si="78"/>
        <v>-479228.61505737493</v>
      </c>
      <c r="AK202" s="295">
        <f t="shared" si="79"/>
        <v>-451394.45836499252</v>
      </c>
      <c r="AL202" s="25"/>
      <c r="AM202" s="25"/>
      <c r="AN202" s="25"/>
      <c r="AO202" s="25"/>
      <c r="AP202" s="25"/>
      <c r="AQ202" s="25"/>
      <c r="AR202" s="25"/>
      <c r="AS202" s="25"/>
      <c r="AT202" s="25"/>
      <c r="AU202" s="25"/>
    </row>
    <row r="203" spans="4:47" x14ac:dyDescent="0.2">
      <c r="I203" s="131">
        <v>21</v>
      </c>
      <c r="J203" s="131">
        <f t="shared" si="73"/>
        <v>1598809.8123165532</v>
      </c>
      <c r="K203" s="131">
        <f t="shared" si="67"/>
        <v>28918.604355721953</v>
      </c>
      <c r="L203" s="131">
        <f t="shared" si="69"/>
        <v>399702.45307913941</v>
      </c>
      <c r="M203" s="131">
        <f t="shared" si="70"/>
        <v>428621.05743486137</v>
      </c>
      <c r="N203" s="131">
        <f t="shared" si="71"/>
        <v>10121.511524502683</v>
      </c>
      <c r="O203" s="131">
        <f t="shared" si="68"/>
        <v>-428621.05743486137</v>
      </c>
      <c r="P203" s="131">
        <f t="shared" si="72"/>
        <v>-418499.54591035866</v>
      </c>
      <c r="AB203" s="25"/>
      <c r="AC203" s="294">
        <v>15</v>
      </c>
      <c r="AD203" s="295">
        <f t="shared" si="82"/>
        <v>3997024.5307913893</v>
      </c>
      <c r="AE203" s="295">
        <f t="shared" si="74"/>
        <v>72296.510889304991</v>
      </c>
      <c r="AF203" s="295">
        <f t="shared" si="75"/>
        <v>399702.45307913941</v>
      </c>
      <c r="AG203" s="294">
        <f t="shared" si="76"/>
        <v>471998.96396844438</v>
      </c>
      <c r="AH203" s="295"/>
      <c r="AI203" s="295">
        <f t="shared" si="77"/>
        <v>25303.778811256747</v>
      </c>
      <c r="AJ203" s="295">
        <f t="shared" si="78"/>
        <v>-471998.96396844438</v>
      </c>
      <c r="AK203" s="295">
        <f t="shared" si="79"/>
        <v>-446695.18515718763</v>
      </c>
      <c r="AL203" s="25"/>
      <c r="AM203" s="25"/>
      <c r="AN203" s="25"/>
      <c r="AO203" s="25"/>
      <c r="AP203" s="25"/>
      <c r="AQ203" s="25"/>
      <c r="AR203" s="25"/>
      <c r="AS203" s="25"/>
      <c r="AT203" s="25"/>
      <c r="AU203" s="25"/>
    </row>
    <row r="204" spans="4:47" x14ac:dyDescent="0.2">
      <c r="I204" s="131">
        <v>22</v>
      </c>
      <c r="J204" s="131">
        <f t="shared" si="73"/>
        <v>1199107.3592374139</v>
      </c>
      <c r="K204" s="131">
        <f t="shared" si="67"/>
        <v>21688.953266791446</v>
      </c>
      <c r="L204" s="131">
        <f t="shared" si="69"/>
        <v>399702.45307913941</v>
      </c>
      <c r="M204" s="131">
        <f t="shared" si="70"/>
        <v>421391.40634593088</v>
      </c>
      <c r="N204" s="131">
        <f t="shared" si="71"/>
        <v>7591.1336433770057</v>
      </c>
      <c r="O204" s="131">
        <f t="shared" si="68"/>
        <v>-421391.40634593088</v>
      </c>
      <c r="P204" s="131">
        <f t="shared" si="72"/>
        <v>-413800.27270255389</v>
      </c>
      <c r="AB204" s="25"/>
      <c r="AC204" s="294">
        <v>16</v>
      </c>
      <c r="AD204" s="295">
        <f t="shared" si="82"/>
        <v>3597322.0777122499</v>
      </c>
      <c r="AE204" s="295">
        <f t="shared" si="74"/>
        <v>65066.859800374492</v>
      </c>
      <c r="AF204" s="295">
        <f t="shared" si="75"/>
        <v>399702.45307913941</v>
      </c>
      <c r="AG204" s="294">
        <f t="shared" si="76"/>
        <v>464769.31287951389</v>
      </c>
      <c r="AH204" s="295"/>
      <c r="AI204" s="295">
        <f t="shared" si="77"/>
        <v>22773.400930131073</v>
      </c>
      <c r="AJ204" s="295">
        <f t="shared" si="78"/>
        <v>-464769.31287951389</v>
      </c>
      <c r="AK204" s="295">
        <f t="shared" si="79"/>
        <v>-441995.9119493828</v>
      </c>
      <c r="AL204" s="25"/>
      <c r="AM204" s="25"/>
      <c r="AN204" s="25"/>
      <c r="AO204" s="25"/>
      <c r="AP204" s="25"/>
      <c r="AQ204" s="25"/>
      <c r="AR204" s="25"/>
      <c r="AS204" s="25"/>
      <c r="AT204" s="25"/>
      <c r="AU204" s="25"/>
    </row>
    <row r="205" spans="4:47" x14ac:dyDescent="0.2">
      <c r="I205" s="131">
        <v>23</v>
      </c>
      <c r="J205" s="131">
        <f t="shared" si="73"/>
        <v>799404.90615827451</v>
      </c>
      <c r="K205" s="131">
        <f t="shared" si="67"/>
        <v>14459.302177860938</v>
      </c>
      <c r="L205" s="131">
        <f t="shared" si="69"/>
        <v>399702.45307913941</v>
      </c>
      <c r="M205" s="131">
        <f t="shared" si="70"/>
        <v>414161.75525700033</v>
      </c>
      <c r="N205" s="131">
        <f t="shared" si="71"/>
        <v>5060.7557622513277</v>
      </c>
      <c r="O205" s="131">
        <f t="shared" si="68"/>
        <v>-414161.75525700033</v>
      </c>
      <c r="P205" s="131">
        <f t="shared" si="72"/>
        <v>-409100.999494749</v>
      </c>
      <c r="AB205" s="25"/>
      <c r="AC205" s="294">
        <v>17</v>
      </c>
      <c r="AD205" s="295">
        <f t="shared" si="82"/>
        <v>3197619.6246331106</v>
      </c>
      <c r="AE205" s="295">
        <f t="shared" si="74"/>
        <v>57837.208711443986</v>
      </c>
      <c r="AF205" s="295">
        <f t="shared" si="75"/>
        <v>399702.45307913941</v>
      </c>
      <c r="AG205" s="294">
        <f t="shared" si="76"/>
        <v>457539.6617905834</v>
      </c>
      <c r="AH205" s="295"/>
      <c r="AI205" s="295">
        <f t="shared" si="77"/>
        <v>20243.023049005395</v>
      </c>
      <c r="AJ205" s="295">
        <f t="shared" si="78"/>
        <v>-457539.6617905834</v>
      </c>
      <c r="AK205" s="295">
        <f t="shared" si="79"/>
        <v>-437296.63874157798</v>
      </c>
      <c r="AL205" s="25"/>
      <c r="AM205" s="25"/>
      <c r="AN205" s="25"/>
      <c r="AO205" s="25"/>
      <c r="AP205" s="25"/>
      <c r="AQ205" s="25"/>
      <c r="AR205" s="25"/>
      <c r="AS205" s="25"/>
      <c r="AT205" s="25"/>
      <c r="AU205" s="25"/>
    </row>
    <row r="206" spans="4:47" x14ac:dyDescent="0.2">
      <c r="I206" s="131">
        <v>24</v>
      </c>
      <c r="J206" s="131">
        <f t="shared" si="73"/>
        <v>399702.4530791351</v>
      </c>
      <c r="K206" s="131">
        <f t="shared" si="67"/>
        <v>7229.65108893043</v>
      </c>
      <c r="L206" s="131">
        <f t="shared" si="69"/>
        <v>399702.45307913941</v>
      </c>
      <c r="M206" s="131">
        <f t="shared" si="70"/>
        <v>406932.10416806984</v>
      </c>
      <c r="N206" s="131">
        <f t="shared" si="71"/>
        <v>2530.3778811256502</v>
      </c>
      <c r="O206" s="131">
        <f t="shared" si="68"/>
        <v>-406932.10416806984</v>
      </c>
      <c r="P206" s="131">
        <f t="shared" si="72"/>
        <v>-404401.72628694418</v>
      </c>
      <c r="AB206" s="25"/>
      <c r="AC206" s="294">
        <v>18</v>
      </c>
      <c r="AD206" s="295">
        <f t="shared" si="82"/>
        <v>2797917.1715539712</v>
      </c>
      <c r="AE206" s="295">
        <f t="shared" si="74"/>
        <v>50607.557622513472</v>
      </c>
      <c r="AF206" s="295">
        <f t="shared" si="75"/>
        <v>399702.45307913941</v>
      </c>
      <c r="AG206" s="294">
        <f t="shared" si="76"/>
        <v>450310.01070165285</v>
      </c>
      <c r="AH206" s="295"/>
      <c r="AI206" s="295">
        <f t="shared" si="77"/>
        <v>17712.645167879713</v>
      </c>
      <c r="AJ206" s="295">
        <f t="shared" si="78"/>
        <v>-450310.01070165285</v>
      </c>
      <c r="AK206" s="295">
        <f t="shared" si="79"/>
        <v>-432597.36553377315</v>
      </c>
      <c r="AL206" s="25"/>
      <c r="AM206" s="25"/>
      <c r="AN206" s="25"/>
      <c r="AO206" s="25"/>
      <c r="AP206" s="25"/>
      <c r="AQ206" s="25"/>
      <c r="AR206" s="25"/>
      <c r="AS206" s="25"/>
      <c r="AT206" s="25"/>
      <c r="AU206" s="25"/>
    </row>
    <row r="207" spans="4:47" x14ac:dyDescent="0.2">
      <c r="AB207" s="25"/>
      <c r="AC207" s="294">
        <v>19</v>
      </c>
      <c r="AD207" s="295">
        <f t="shared" si="82"/>
        <v>2398214.7184748319</v>
      </c>
      <c r="AE207" s="295">
        <f t="shared" si="74"/>
        <v>43377.906533582965</v>
      </c>
      <c r="AF207" s="295">
        <f t="shared" si="75"/>
        <v>399702.45307913941</v>
      </c>
      <c r="AG207" s="294">
        <f t="shared" si="76"/>
        <v>443080.35961272236</v>
      </c>
      <c r="AH207" s="295"/>
      <c r="AI207" s="295">
        <f t="shared" si="77"/>
        <v>15182.267286754037</v>
      </c>
      <c r="AJ207" s="295">
        <f t="shared" si="78"/>
        <v>-443080.35961272236</v>
      </c>
      <c r="AK207" s="295">
        <f t="shared" si="79"/>
        <v>-427898.09232596832</v>
      </c>
      <c r="AL207" s="25"/>
      <c r="AM207" s="25"/>
      <c r="AN207" s="25"/>
      <c r="AO207" s="25"/>
      <c r="AP207" s="25"/>
      <c r="AQ207" s="25"/>
      <c r="AR207" s="25"/>
      <c r="AS207" s="25"/>
      <c r="AT207" s="25"/>
      <c r="AU207" s="25"/>
    </row>
    <row r="208" spans="4:47" x14ac:dyDescent="0.2">
      <c r="AB208" s="25"/>
      <c r="AC208" s="294">
        <v>20</v>
      </c>
      <c r="AD208" s="295">
        <f t="shared" si="82"/>
        <v>1998512.2653956925</v>
      </c>
      <c r="AE208" s="295">
        <f t="shared" si="74"/>
        <v>36148.255444652459</v>
      </c>
      <c r="AF208" s="295">
        <f t="shared" si="75"/>
        <v>399702.45307913941</v>
      </c>
      <c r="AG208" s="294">
        <f t="shared" si="76"/>
        <v>435850.70852379187</v>
      </c>
      <c r="AH208" s="295"/>
      <c r="AI208" s="295">
        <f t="shared" si="77"/>
        <v>12651.889405628361</v>
      </c>
      <c r="AJ208" s="295">
        <f t="shared" si="78"/>
        <v>-435850.70852379187</v>
      </c>
      <c r="AK208" s="295">
        <f t="shared" si="79"/>
        <v>-423198.81911816349</v>
      </c>
      <c r="AL208" s="25"/>
      <c r="AM208" s="25"/>
      <c r="AN208" s="25"/>
      <c r="AO208" s="25"/>
      <c r="AP208" s="25"/>
      <c r="AQ208" s="25"/>
      <c r="AR208" s="25"/>
      <c r="AS208" s="25"/>
      <c r="AT208" s="25"/>
      <c r="AU208" s="25"/>
    </row>
    <row r="209" spans="4:47" x14ac:dyDescent="0.2">
      <c r="AB209" s="25"/>
      <c r="AC209" s="294">
        <v>21</v>
      </c>
      <c r="AD209" s="295">
        <f t="shared" si="82"/>
        <v>1598809.8123165532</v>
      </c>
      <c r="AE209" s="295">
        <f t="shared" si="74"/>
        <v>28918.604355721953</v>
      </c>
      <c r="AF209" s="295">
        <f t="shared" si="75"/>
        <v>399702.45307913941</v>
      </c>
      <c r="AG209" s="294">
        <f t="shared" si="76"/>
        <v>428621.05743486137</v>
      </c>
      <c r="AH209" s="295"/>
      <c r="AI209" s="295">
        <f t="shared" si="77"/>
        <v>10121.511524502683</v>
      </c>
      <c r="AJ209" s="295">
        <f t="shared" si="78"/>
        <v>-428621.05743486137</v>
      </c>
      <c r="AK209" s="295">
        <f t="shared" si="79"/>
        <v>-418499.54591035866</v>
      </c>
      <c r="AL209" s="25"/>
      <c r="AM209" s="25"/>
      <c r="AN209" s="25"/>
      <c r="AO209" s="25"/>
      <c r="AP209" s="25"/>
      <c r="AQ209" s="25"/>
      <c r="AR209" s="25"/>
      <c r="AS209" s="25"/>
      <c r="AT209" s="25"/>
      <c r="AU209" s="25"/>
    </row>
    <row r="210" spans="4:47" x14ac:dyDescent="0.2">
      <c r="D210" s="131" t="s">
        <v>1392</v>
      </c>
      <c r="E210" s="421">
        <f>+NPV(E194, P182:P206)</f>
        <v>1.7474633873451436E-8</v>
      </c>
      <c r="AB210" s="25"/>
      <c r="AC210" s="294">
        <v>22</v>
      </c>
      <c r="AD210" s="295">
        <f t="shared" si="82"/>
        <v>1199107.3592374139</v>
      </c>
      <c r="AE210" s="295">
        <f t="shared" si="74"/>
        <v>21688.953266791446</v>
      </c>
      <c r="AF210" s="295">
        <f t="shared" si="75"/>
        <v>399702.45307913941</v>
      </c>
      <c r="AG210" s="294">
        <f t="shared" si="76"/>
        <v>421391.40634593088</v>
      </c>
      <c r="AH210" s="295"/>
      <c r="AI210" s="295">
        <f t="shared" si="77"/>
        <v>7591.1336433770057</v>
      </c>
      <c r="AJ210" s="295">
        <f t="shared" si="78"/>
        <v>-421391.40634593088</v>
      </c>
      <c r="AK210" s="295">
        <f t="shared" si="79"/>
        <v>-413800.27270255389</v>
      </c>
      <c r="AL210" s="25"/>
      <c r="AM210" s="25"/>
      <c r="AN210" s="25"/>
      <c r="AO210" s="25"/>
      <c r="AP210" s="25"/>
      <c r="AQ210" s="25"/>
      <c r="AR210" s="25"/>
      <c r="AS210" s="25"/>
      <c r="AT210" s="25"/>
      <c r="AU210" s="25"/>
    </row>
    <row r="211" spans="4:47" x14ac:dyDescent="0.2">
      <c r="D211" s="131" t="s">
        <v>1393</v>
      </c>
      <c r="E211" s="413">
        <f>+NPV(E194, P153:P177)</f>
        <v>-103039.47832475198</v>
      </c>
      <c r="AB211" s="25"/>
      <c r="AC211" s="294">
        <v>23</v>
      </c>
      <c r="AD211" s="295">
        <f t="shared" si="82"/>
        <v>799404.90615827451</v>
      </c>
      <c r="AE211" s="295">
        <f t="shared" si="74"/>
        <v>14459.302177860938</v>
      </c>
      <c r="AF211" s="295">
        <f t="shared" si="75"/>
        <v>399702.45307913941</v>
      </c>
      <c r="AG211" s="294">
        <f t="shared" si="76"/>
        <v>414161.75525700033</v>
      </c>
      <c r="AH211" s="295"/>
      <c r="AI211" s="295">
        <f t="shared" si="77"/>
        <v>5060.7557622513277</v>
      </c>
      <c r="AJ211" s="295">
        <f t="shared" si="78"/>
        <v>-414161.75525700033</v>
      </c>
      <c r="AK211" s="295">
        <f t="shared" si="79"/>
        <v>-409100.999494749</v>
      </c>
      <c r="AL211" s="25"/>
      <c r="AM211" s="25"/>
      <c r="AN211" s="25"/>
      <c r="AO211" s="25"/>
      <c r="AP211" s="25"/>
      <c r="AQ211" s="25"/>
      <c r="AR211" s="25"/>
      <c r="AS211" s="25"/>
      <c r="AT211" s="25"/>
      <c r="AU211" s="25"/>
    </row>
    <row r="212" spans="4:47" x14ac:dyDescent="0.2">
      <c r="AB212" s="25"/>
      <c r="AC212" s="294">
        <v>24</v>
      </c>
      <c r="AD212" s="296">
        <f t="shared" si="82"/>
        <v>399702.4530791351</v>
      </c>
      <c r="AE212" s="295">
        <f t="shared" si="74"/>
        <v>7229.65108893043</v>
      </c>
      <c r="AF212" s="295">
        <f t="shared" si="75"/>
        <v>399702.45307913941</v>
      </c>
      <c r="AG212" s="294">
        <f t="shared" si="76"/>
        <v>406932.10416806984</v>
      </c>
      <c r="AH212" s="295"/>
      <c r="AI212" s="295">
        <f t="shared" si="77"/>
        <v>2530.3778811256502</v>
      </c>
      <c r="AJ212" s="295">
        <f t="shared" si="78"/>
        <v>-406932.10416806984</v>
      </c>
      <c r="AK212" s="295">
        <f t="shared" si="79"/>
        <v>-404401.72628694418</v>
      </c>
      <c r="AL212" s="25"/>
      <c r="AM212" s="25"/>
      <c r="AN212" s="25"/>
      <c r="AO212" s="25"/>
      <c r="AP212" s="25"/>
      <c r="AQ212" s="25"/>
      <c r="AR212" s="25"/>
      <c r="AS212" s="25"/>
      <c r="AT212" s="25"/>
      <c r="AU212" s="25"/>
    </row>
    <row r="213" spans="4:47" x14ac:dyDescent="0.2">
      <c r="AB213" s="25"/>
      <c r="AC213" s="25"/>
      <c r="AD213" s="25"/>
      <c r="AE213" s="25"/>
      <c r="AF213" s="25"/>
      <c r="AG213" s="25"/>
      <c r="AH213" s="25"/>
      <c r="AI213" s="297" t="s">
        <v>1158</v>
      </c>
      <c r="AJ213" s="444">
        <f>+IRR(AJ188:AJ212)</f>
        <v>1.8993910603564812E-2</v>
      </c>
      <c r="AK213" s="444">
        <f>+IRR(AK188:AK212)</f>
        <v>1.2618006525312309E-2</v>
      </c>
      <c r="AL213" s="25"/>
      <c r="AM213" s="25"/>
      <c r="AN213" s="25"/>
      <c r="AO213" s="25"/>
      <c r="AP213" s="25"/>
      <c r="AQ213" s="25"/>
      <c r="AR213" s="25"/>
      <c r="AS213" s="25"/>
      <c r="AT213" s="25"/>
      <c r="AU213" s="25"/>
    </row>
    <row r="214" spans="4:47" x14ac:dyDescent="0.2">
      <c r="AB214" s="25"/>
      <c r="AC214" s="25"/>
      <c r="AD214" s="25"/>
      <c r="AE214" s="25"/>
      <c r="AF214" s="25"/>
      <c r="AG214" s="25"/>
      <c r="AH214" s="25" t="s">
        <v>1159</v>
      </c>
      <c r="AI214" s="297" t="s">
        <v>1160</v>
      </c>
      <c r="AJ214" s="445">
        <f>+((1+AJ213)^12)-1</f>
        <v>0.25331161535649227</v>
      </c>
      <c r="AK214" s="445">
        <f>+((1+AK213)^12)-1</f>
        <v>0.16237898523906091</v>
      </c>
      <c r="AL214" s="297" t="s">
        <v>1161</v>
      </c>
      <c r="AM214" s="297"/>
      <c r="AN214" s="297" t="s">
        <v>1162</v>
      </c>
      <c r="AO214" s="25"/>
      <c r="AP214" s="25"/>
      <c r="AQ214" s="25"/>
      <c r="AR214" s="25"/>
      <c r="AS214" s="25"/>
      <c r="AT214" s="25"/>
      <c r="AU214" s="25"/>
    </row>
    <row r="215" spans="4:47" x14ac:dyDescent="0.2">
      <c r="AB215" s="25"/>
      <c r="AC215" s="25"/>
      <c r="AD215" s="25"/>
      <c r="AE215" s="25"/>
      <c r="AF215" s="25"/>
      <c r="AG215" s="25"/>
      <c r="AH215" s="25"/>
      <c r="AI215" s="297" t="s">
        <v>1163</v>
      </c>
      <c r="AJ215" s="444">
        <f>12*AJ213</f>
        <v>0.22792692724277774</v>
      </c>
      <c r="AK215" s="444">
        <f>12*AK213</f>
        <v>0.1514160783037477</v>
      </c>
      <c r="AL215" s="297" t="s">
        <v>1161</v>
      </c>
      <c r="AM215" s="297"/>
      <c r="AN215" s="297" t="s">
        <v>1164</v>
      </c>
      <c r="AO215" s="25"/>
      <c r="AP215" s="25"/>
      <c r="AQ215" s="25"/>
      <c r="AR215" s="25"/>
      <c r="AS215" s="25"/>
      <c r="AT215" s="25"/>
      <c r="AU215" s="25"/>
    </row>
    <row r="216" spans="4:47" x14ac:dyDescent="0.2">
      <c r="AB216" s="25"/>
      <c r="AC216" s="25"/>
      <c r="AD216" s="25"/>
      <c r="AE216" s="25"/>
      <c r="AF216" s="25"/>
      <c r="AG216" s="25"/>
      <c r="AH216" s="25"/>
      <c r="AI216" s="25"/>
      <c r="AJ216" s="25"/>
      <c r="AK216" s="25"/>
      <c r="AL216" s="25"/>
      <c r="AM216" s="25"/>
      <c r="AN216" s="25"/>
      <c r="AO216" s="25"/>
      <c r="AP216" s="25"/>
      <c r="AQ216" s="25"/>
      <c r="AR216" s="25"/>
      <c r="AS216" s="25"/>
      <c r="AT216" s="25"/>
      <c r="AU216" s="25"/>
    </row>
    <row r="217" spans="4:47" x14ac:dyDescent="0.2">
      <c r="AB217" s="25"/>
      <c r="AC217" s="25"/>
      <c r="AD217" s="25"/>
      <c r="AE217" s="25"/>
      <c r="AF217" s="25"/>
      <c r="AG217" s="25"/>
      <c r="AH217" s="25"/>
      <c r="AI217" s="25"/>
      <c r="AJ217" s="25"/>
      <c r="AK217" s="25"/>
      <c r="AL217" s="25"/>
      <c r="AM217" s="25"/>
      <c r="AN217" s="25"/>
      <c r="AO217" s="25"/>
      <c r="AP217" s="25"/>
      <c r="AQ217" s="25"/>
      <c r="AR217" s="25"/>
      <c r="AS217" s="25"/>
      <c r="AT217" s="25"/>
      <c r="AU217" s="25"/>
    </row>
    <row r="218" spans="4:47" x14ac:dyDescent="0.2">
      <c r="AB218" s="25"/>
      <c r="AC218" s="25"/>
      <c r="AD218" s="25"/>
      <c r="AE218" s="25" t="s">
        <v>1173</v>
      </c>
      <c r="AF218" s="25" t="s">
        <v>1174</v>
      </c>
      <c r="AG218" s="25"/>
      <c r="AH218" s="25"/>
      <c r="AI218" s="25">
        <f>+NPV(AK213,AK189:AK212)+AK188</f>
        <v>1.6763806343078613E-8</v>
      </c>
      <c r="AJ218" s="25"/>
      <c r="AK218" s="25"/>
      <c r="AL218" s="25"/>
      <c r="AM218" s="25"/>
      <c r="AN218" s="25"/>
      <c r="AO218" s="25"/>
      <c r="AP218" s="25"/>
      <c r="AQ218" s="25"/>
      <c r="AR218" s="25"/>
      <c r="AS218" s="25"/>
      <c r="AT218" s="25"/>
      <c r="AU218" s="25"/>
    </row>
    <row r="219" spans="4:47" x14ac:dyDescent="0.2">
      <c r="AB219" s="25"/>
      <c r="AC219" s="25"/>
      <c r="AD219" s="25"/>
      <c r="AE219" s="25"/>
      <c r="AF219" s="25"/>
      <c r="AG219" s="25"/>
      <c r="AH219" s="25"/>
      <c r="AI219" s="25"/>
      <c r="AJ219" s="25"/>
      <c r="AK219" s="25"/>
      <c r="AL219" s="25"/>
      <c r="AM219" s="25"/>
      <c r="AN219" s="25"/>
      <c r="AO219" s="25"/>
      <c r="AP219" s="25"/>
      <c r="AQ219" s="25"/>
      <c r="AR219" s="25"/>
      <c r="AS219" s="25"/>
      <c r="AT219" s="25"/>
      <c r="AU219" s="25"/>
    </row>
    <row r="220" spans="4:47" x14ac:dyDescent="0.2">
      <c r="AB220" s="25"/>
      <c r="AC220" s="25"/>
      <c r="AD220" s="25"/>
      <c r="AE220" s="25"/>
      <c r="AF220" s="25" t="s">
        <v>1175</v>
      </c>
      <c r="AG220" s="25"/>
      <c r="AH220" s="25"/>
      <c r="AI220" s="25">
        <f>+NPV(AK213,AK158:AK181)+AK157</f>
        <v>-104339.63113461714</v>
      </c>
      <c r="AJ220" s="25"/>
      <c r="AK220" s="25"/>
      <c r="AL220" s="25"/>
      <c r="AM220" s="25"/>
      <c r="AN220" s="25"/>
      <c r="AO220" s="25"/>
      <c r="AP220" s="25"/>
      <c r="AQ220" s="25"/>
      <c r="AR220" s="25"/>
      <c r="AS220" s="25"/>
      <c r="AT220" s="25"/>
      <c r="AU220" s="25"/>
    </row>
    <row r="221" spans="4:47" x14ac:dyDescent="0.2">
      <c r="AB221" s="25"/>
      <c r="AC221" s="25"/>
      <c r="AD221" s="25"/>
      <c r="AE221" s="25"/>
      <c r="AF221" s="25"/>
      <c r="AG221" s="25"/>
      <c r="AH221" s="25"/>
      <c r="AI221" s="25"/>
      <c r="AJ221" s="25"/>
      <c r="AK221" s="25"/>
      <c r="AL221" s="25"/>
      <c r="AM221" s="25"/>
      <c r="AN221" s="25"/>
      <c r="AO221" s="25"/>
      <c r="AP221" s="25"/>
      <c r="AQ221" s="25"/>
      <c r="AR221" s="25"/>
      <c r="AS221" s="25"/>
      <c r="AT221" s="25"/>
      <c r="AU221" s="25"/>
    </row>
    <row r="222" spans="4:47" x14ac:dyDescent="0.2">
      <c r="AB222" s="25"/>
      <c r="AC222" s="25"/>
      <c r="AD222" s="25"/>
      <c r="AE222" s="25"/>
      <c r="AF222" s="25" t="s">
        <v>1176</v>
      </c>
      <c r="AG222" s="25"/>
      <c r="AH222" s="25"/>
      <c r="AI222" s="25"/>
      <c r="AJ222" s="25"/>
      <c r="AK222" s="25"/>
      <c r="AL222" s="25"/>
      <c r="AM222" s="25"/>
      <c r="AN222" s="25"/>
      <c r="AO222" s="25"/>
      <c r="AP222" s="25"/>
      <c r="AQ222" s="25"/>
      <c r="AR222" s="25"/>
      <c r="AS222" s="25"/>
      <c r="AT222" s="25"/>
      <c r="AU222" s="25"/>
    </row>
    <row r="223" spans="4:47" x14ac:dyDescent="0.2">
      <c r="AB223" s="25"/>
      <c r="AC223" s="25"/>
      <c r="AD223" s="25"/>
      <c r="AE223" s="25"/>
      <c r="AF223" s="25"/>
      <c r="AG223" s="25"/>
      <c r="AH223" s="25"/>
      <c r="AI223" s="25"/>
      <c r="AJ223" s="25"/>
      <c r="AK223" s="25"/>
      <c r="AL223" s="25"/>
      <c r="AM223" s="25"/>
      <c r="AN223" s="25"/>
      <c r="AO223" s="25"/>
      <c r="AP223" s="25"/>
      <c r="AQ223" s="25"/>
      <c r="AR223" s="25"/>
      <c r="AS223" s="25"/>
      <c r="AT223" s="25"/>
      <c r="AU223" s="25"/>
    </row>
    <row r="224" spans="4:47" x14ac:dyDescent="0.2">
      <c r="AB224" s="25"/>
      <c r="AC224" s="25"/>
      <c r="AD224" s="25"/>
      <c r="AE224" s="25"/>
      <c r="AF224" s="25"/>
      <c r="AG224" s="25"/>
      <c r="AH224" s="25"/>
      <c r="AI224" s="25"/>
      <c r="AJ224" s="25"/>
      <c r="AK224" s="25"/>
      <c r="AL224" s="25"/>
      <c r="AM224" s="25"/>
      <c r="AN224" s="25"/>
      <c r="AO224" s="25"/>
      <c r="AP224" s="25"/>
      <c r="AQ224" s="25"/>
      <c r="AR224" s="25"/>
      <c r="AS224" s="25"/>
      <c r="AT224" s="25"/>
      <c r="AU224" s="25"/>
    </row>
    <row r="225" spans="4:47" x14ac:dyDescent="0.2">
      <c r="AB225" s="25"/>
      <c r="AC225" s="25"/>
      <c r="AD225" s="25"/>
      <c r="AE225" s="25"/>
      <c r="AF225" s="25"/>
      <c r="AG225" s="25"/>
      <c r="AH225" s="25"/>
      <c r="AI225" s="25"/>
      <c r="AJ225" s="25"/>
      <c r="AK225" s="25"/>
      <c r="AL225" s="25"/>
      <c r="AM225" s="25"/>
      <c r="AN225" s="25"/>
      <c r="AO225" s="25"/>
      <c r="AP225" s="25"/>
      <c r="AQ225" s="25"/>
      <c r="AR225" s="25"/>
      <c r="AS225" s="25"/>
      <c r="AT225" s="25"/>
      <c r="AU225" s="25"/>
    </row>
    <row r="226" spans="4:47" x14ac:dyDescent="0.2">
      <c r="AB226" s="25"/>
      <c r="AC226" s="25"/>
      <c r="AD226" s="25"/>
      <c r="AE226" s="25"/>
      <c r="AF226" s="25"/>
      <c r="AG226" s="25"/>
      <c r="AH226" s="25"/>
      <c r="AI226" s="25"/>
      <c r="AJ226" s="25"/>
      <c r="AK226" s="25"/>
      <c r="AL226" s="25"/>
      <c r="AM226" s="25"/>
      <c r="AN226" s="25"/>
      <c r="AO226" s="25"/>
      <c r="AP226" s="25"/>
      <c r="AQ226" s="25"/>
      <c r="AR226" s="25"/>
      <c r="AS226" s="25"/>
      <c r="AT226" s="25"/>
      <c r="AU226" s="25"/>
    </row>
    <row r="227" spans="4:47" x14ac:dyDescent="0.2">
      <c r="AB227" s="25"/>
      <c r="AC227" s="25"/>
      <c r="AD227" s="25"/>
      <c r="AE227" s="25"/>
      <c r="AF227" s="25"/>
      <c r="AG227" s="25"/>
      <c r="AH227" s="25"/>
      <c r="AI227" s="25"/>
      <c r="AJ227" s="25"/>
      <c r="AK227" s="25"/>
      <c r="AL227" s="25"/>
      <c r="AM227" s="25"/>
      <c r="AN227" s="25"/>
      <c r="AO227" s="25"/>
      <c r="AP227" s="25"/>
      <c r="AQ227" s="25"/>
      <c r="AR227" s="25"/>
      <c r="AS227" s="25"/>
      <c r="AT227" s="25"/>
      <c r="AU227" s="25"/>
    </row>
    <row r="228" spans="4:47" x14ac:dyDescent="0.2">
      <c r="AB228" s="25"/>
      <c r="AC228" s="25"/>
      <c r="AD228" s="25"/>
      <c r="AE228" s="25"/>
      <c r="AF228" s="25"/>
      <c r="AG228" s="25"/>
      <c r="AH228" s="25"/>
      <c r="AI228" s="25"/>
      <c r="AJ228" s="25"/>
      <c r="AK228" s="25"/>
      <c r="AL228" s="25"/>
      <c r="AM228" s="25"/>
      <c r="AN228" s="25"/>
      <c r="AO228" s="25"/>
      <c r="AP228" s="25"/>
      <c r="AQ228" s="25"/>
      <c r="AR228" s="25"/>
      <c r="AS228" s="25"/>
      <c r="AT228" s="25"/>
      <c r="AU228" s="25"/>
    </row>
    <row r="229" spans="4:47" x14ac:dyDescent="0.2">
      <c r="AB229" s="25"/>
      <c r="AC229" s="25"/>
      <c r="AD229" s="25"/>
      <c r="AE229" s="25"/>
      <c r="AF229" s="25"/>
      <c r="AG229" s="25"/>
      <c r="AH229" s="25"/>
      <c r="AI229" s="25"/>
      <c r="AJ229" s="25"/>
      <c r="AK229" s="25"/>
      <c r="AL229" s="25"/>
      <c r="AM229" s="25"/>
      <c r="AN229" s="25"/>
      <c r="AO229" s="25"/>
      <c r="AP229" s="25"/>
      <c r="AQ229" s="25"/>
      <c r="AR229" s="25"/>
      <c r="AS229" s="25"/>
      <c r="AT229" s="25"/>
      <c r="AU229" s="25"/>
    </row>
    <row r="230" spans="4:47" x14ac:dyDescent="0.2">
      <c r="AB230" s="25"/>
      <c r="AC230" s="25"/>
      <c r="AD230" s="25"/>
      <c r="AE230" s="25"/>
      <c r="AF230" s="25"/>
      <c r="AG230" s="25"/>
      <c r="AH230" s="25"/>
      <c r="AI230" s="25"/>
      <c r="AJ230" s="25"/>
      <c r="AK230" s="25"/>
      <c r="AL230" s="25"/>
      <c r="AM230" s="25"/>
      <c r="AN230" s="25"/>
      <c r="AO230" s="25"/>
      <c r="AP230" s="25"/>
      <c r="AQ230" s="25"/>
      <c r="AR230" s="25"/>
      <c r="AS230" s="25"/>
      <c r="AT230" s="25"/>
      <c r="AU230" s="25"/>
    </row>
    <row r="231" spans="4:47" s="202" customFormat="1" x14ac:dyDescent="0.2">
      <c r="AB231" s="297"/>
      <c r="AC231" s="297"/>
      <c r="AD231" s="297"/>
      <c r="AE231" s="297"/>
      <c r="AF231" s="297"/>
      <c r="AG231" s="297"/>
      <c r="AH231" s="297"/>
      <c r="AI231" s="297"/>
      <c r="AJ231" s="297"/>
      <c r="AK231" s="297"/>
      <c r="AL231" s="297"/>
      <c r="AM231" s="297"/>
      <c r="AN231" s="297"/>
      <c r="AO231" s="297"/>
      <c r="AP231" s="297"/>
      <c r="AQ231" s="297"/>
      <c r="AR231" s="297"/>
      <c r="AS231" s="297"/>
      <c r="AT231" s="297"/>
      <c r="AU231" s="297"/>
    </row>
    <row r="232" spans="4:47" x14ac:dyDescent="0.2">
      <c r="AB232" s="25"/>
      <c r="AC232" s="25"/>
      <c r="AD232" s="25"/>
      <c r="AE232" s="25"/>
      <c r="AF232" s="25"/>
      <c r="AG232" s="25"/>
      <c r="AH232" s="25"/>
      <c r="AI232" s="25"/>
      <c r="AJ232" s="25"/>
      <c r="AK232" s="25"/>
      <c r="AL232" s="25"/>
      <c r="AM232" s="25"/>
      <c r="AN232" s="25"/>
      <c r="AO232" s="25"/>
      <c r="AP232" s="25"/>
      <c r="AQ232" s="25"/>
      <c r="AR232" s="25"/>
      <c r="AS232" s="25"/>
      <c r="AT232" s="25"/>
      <c r="AU232" s="25"/>
    </row>
    <row r="233" spans="4:47" ht="12" x14ac:dyDescent="0.25">
      <c r="D233" s="275">
        <v>1</v>
      </c>
      <c r="E233" s="275"/>
      <c r="F233" s="275"/>
      <c r="G233" s="275"/>
      <c r="H233" s="275"/>
      <c r="I233" s="275"/>
      <c r="J233" s="275"/>
      <c r="K233" s="275"/>
      <c r="L233" s="275"/>
      <c r="AB233" s="280"/>
      <c r="AC233" s="280"/>
      <c r="AD233" s="280"/>
      <c r="AE233" s="280"/>
      <c r="AF233" s="280"/>
      <c r="AG233" s="280"/>
      <c r="AH233" s="280"/>
      <c r="AI233" s="280"/>
      <c r="AJ233" s="280"/>
      <c r="AK233" s="25"/>
      <c r="AL233" s="25"/>
      <c r="AM233" s="25"/>
      <c r="AN233" s="25"/>
      <c r="AO233" s="25"/>
      <c r="AP233" s="25"/>
      <c r="AQ233" s="25"/>
      <c r="AR233" s="25"/>
      <c r="AS233" s="25"/>
      <c r="AT233" s="25"/>
      <c r="AU233" s="25"/>
    </row>
    <row r="234" spans="4:47" ht="12" x14ac:dyDescent="0.25">
      <c r="H234" s="131" t="s">
        <v>1373</v>
      </c>
      <c r="I234" s="131" t="s">
        <v>1372</v>
      </c>
      <c r="J234" s="131" t="s">
        <v>1374</v>
      </c>
      <c r="AB234" s="280"/>
      <c r="AC234" s="280"/>
      <c r="AD234" s="300" t="s">
        <v>1177</v>
      </c>
      <c r="AE234" s="300" t="s">
        <v>1178</v>
      </c>
      <c r="AF234" s="300" t="s">
        <v>1179</v>
      </c>
      <c r="AG234" s="300" t="s">
        <v>1180</v>
      </c>
      <c r="AH234" s="280"/>
      <c r="AI234" s="280"/>
      <c r="AJ234" s="280"/>
    </row>
    <row r="235" spans="4:47" ht="12" x14ac:dyDescent="0.25">
      <c r="D235" s="272" t="s">
        <v>183</v>
      </c>
      <c r="E235" s="272">
        <v>100</v>
      </c>
      <c r="G235" s="270">
        <v>44681</v>
      </c>
      <c r="H235" s="413"/>
      <c r="AB235" s="280"/>
      <c r="AC235" s="280"/>
      <c r="AD235" s="280">
        <v>44681</v>
      </c>
      <c r="AE235" s="280"/>
      <c r="AF235" s="280"/>
      <c r="AG235" s="280"/>
      <c r="AH235" s="280"/>
      <c r="AI235" s="280"/>
      <c r="AJ235" s="280"/>
    </row>
    <row r="236" spans="4:47" ht="12" x14ac:dyDescent="0.25">
      <c r="D236" s="272" t="s">
        <v>1370</v>
      </c>
      <c r="E236" s="272">
        <v>0.04</v>
      </c>
      <c r="F236" s="131">
        <v>1</v>
      </c>
      <c r="G236" s="270">
        <v>44864</v>
      </c>
      <c r="H236" s="413">
        <v>2.3400000000000001E-2</v>
      </c>
      <c r="I236" s="131">
        <f>+$E$238</f>
        <v>2</v>
      </c>
      <c r="J236" s="131">
        <f>+I236/(1+H236)^F236</f>
        <v>1.9542700801250732</v>
      </c>
      <c r="AB236" s="280"/>
      <c r="AC236" s="280">
        <v>1</v>
      </c>
      <c r="AD236" s="280">
        <v>44864</v>
      </c>
      <c r="AE236" s="301">
        <f>100*0.04/2</f>
        <v>2</v>
      </c>
      <c r="AF236" s="280">
        <v>2.3400000000000001E-2</v>
      </c>
      <c r="AG236" s="301">
        <f>+AE236/(1+AF236)^AC236</f>
        <v>1.9542700801250732</v>
      </c>
      <c r="AH236" s="280"/>
      <c r="AI236" s="280"/>
      <c r="AJ236" s="280"/>
    </row>
    <row r="237" spans="4:47" ht="12" x14ac:dyDescent="0.25">
      <c r="D237" s="272" t="s">
        <v>193</v>
      </c>
      <c r="E237" s="272">
        <v>2</v>
      </c>
      <c r="F237" s="131">
        <v>2</v>
      </c>
      <c r="G237" s="270">
        <v>45046</v>
      </c>
      <c r="H237" s="413">
        <v>2.24E-2</v>
      </c>
      <c r="I237" s="131">
        <f t="shared" ref="I237:I239" si="84">+$E$238</f>
        <v>2</v>
      </c>
      <c r="J237" s="131">
        <f t="shared" ref="J237:J240" si="85">+I237/(1+H237)^F237</f>
        <v>1.9133230962894392</v>
      </c>
      <c r="AB237" s="280"/>
      <c r="AC237" s="280">
        <v>2</v>
      </c>
      <c r="AD237" s="280">
        <v>45046</v>
      </c>
      <c r="AE237" s="301">
        <f t="shared" ref="AE237:AE239" si="86">100*0.04/2</f>
        <v>2</v>
      </c>
      <c r="AF237" s="280">
        <v>2.24E-2</v>
      </c>
      <c r="AG237" s="301">
        <f t="shared" ref="AG237:AG240" si="87">+AE237/(1+AF237)^AC237</f>
        <v>1.9133230962894392</v>
      </c>
      <c r="AH237" s="280"/>
      <c r="AI237" s="280"/>
      <c r="AJ237" s="280"/>
    </row>
    <row r="238" spans="4:47" ht="12" x14ac:dyDescent="0.25">
      <c r="D238" s="272" t="s">
        <v>1371</v>
      </c>
      <c r="E238" s="272">
        <f>+E236/E237*E235</f>
        <v>2</v>
      </c>
      <c r="F238" s="131">
        <v>3</v>
      </c>
      <c r="G238" s="270">
        <v>45229</v>
      </c>
      <c r="H238" s="413">
        <v>2.1000000000000001E-2</v>
      </c>
      <c r="I238" s="131">
        <f t="shared" si="84"/>
        <v>2</v>
      </c>
      <c r="J238" s="131">
        <f t="shared" si="85"/>
        <v>1.8791124475743017</v>
      </c>
      <c r="AB238" s="280"/>
      <c r="AC238" s="280">
        <v>3</v>
      </c>
      <c r="AD238" s="280">
        <v>45229</v>
      </c>
      <c r="AE238" s="301">
        <f t="shared" si="86"/>
        <v>2</v>
      </c>
      <c r="AF238" s="280">
        <v>2.1000000000000001E-2</v>
      </c>
      <c r="AG238" s="301">
        <f t="shared" si="87"/>
        <v>1.8791124475743017</v>
      </c>
      <c r="AH238" s="280"/>
      <c r="AI238" s="280"/>
      <c r="AJ238" s="280"/>
    </row>
    <row r="239" spans="4:47" ht="12" x14ac:dyDescent="0.25">
      <c r="F239" s="131">
        <v>4</v>
      </c>
      <c r="G239" s="270">
        <v>45412</v>
      </c>
      <c r="H239" s="413">
        <v>2.0299999999999999E-2</v>
      </c>
      <c r="I239" s="131">
        <f t="shared" si="84"/>
        <v>2</v>
      </c>
      <c r="J239" s="131">
        <f t="shared" si="85"/>
        <v>1.8455186955182035</v>
      </c>
      <c r="AB239" s="280"/>
      <c r="AC239" s="280">
        <v>4</v>
      </c>
      <c r="AD239" s="280">
        <v>45412</v>
      </c>
      <c r="AE239" s="301">
        <f t="shared" si="86"/>
        <v>2</v>
      </c>
      <c r="AF239" s="280">
        <v>2.0299999999999999E-2</v>
      </c>
      <c r="AG239" s="301">
        <f t="shared" si="87"/>
        <v>1.8455186955182035</v>
      </c>
      <c r="AH239" s="280"/>
      <c r="AI239" s="280"/>
      <c r="AJ239" s="280"/>
    </row>
    <row r="240" spans="4:47" ht="12" x14ac:dyDescent="0.25">
      <c r="F240" s="131">
        <v>5</v>
      </c>
      <c r="G240" s="270">
        <v>45595</v>
      </c>
      <c r="H240" s="413">
        <v>0.02</v>
      </c>
      <c r="I240" s="131">
        <f>+$E$238+E235</f>
        <v>102</v>
      </c>
      <c r="J240" s="131">
        <f t="shared" si="85"/>
        <v>92.384542602651422</v>
      </c>
      <c r="AB240" s="280"/>
      <c r="AC240" s="280">
        <v>5</v>
      </c>
      <c r="AD240" s="280">
        <v>45595</v>
      </c>
      <c r="AE240" s="301">
        <f>100+AE239</f>
        <v>102</v>
      </c>
      <c r="AF240" s="280">
        <v>0.02</v>
      </c>
      <c r="AG240" s="301">
        <f t="shared" si="87"/>
        <v>92.384542602651422</v>
      </c>
      <c r="AH240" s="280"/>
      <c r="AI240" s="280"/>
      <c r="AJ240" s="280"/>
    </row>
    <row r="241" spans="4:36" ht="12.6" thickBot="1" x14ac:dyDescent="0.3">
      <c r="G241" s="270"/>
      <c r="AB241" s="280"/>
      <c r="AC241" s="280"/>
      <c r="AD241" s="280"/>
      <c r="AE241" s="280"/>
      <c r="AF241" s="280"/>
      <c r="AG241" s="280"/>
      <c r="AH241" s="280"/>
      <c r="AI241" s="280"/>
      <c r="AJ241" s="280"/>
    </row>
    <row r="242" spans="4:36" ht="12.6" thickBot="1" x14ac:dyDescent="0.3">
      <c r="G242" s="270"/>
      <c r="I242" s="269" t="s">
        <v>710</v>
      </c>
      <c r="J242" s="269">
        <f>+SUM(J236:J240)</f>
        <v>99.976766922158447</v>
      </c>
      <c r="AB242" s="280"/>
      <c r="AC242" s="280"/>
      <c r="AD242" s="280"/>
      <c r="AE242" s="280" t="s">
        <v>1181</v>
      </c>
      <c r="AF242" s="302" t="s">
        <v>1182</v>
      </c>
      <c r="AG242" s="303">
        <f>+SUM(AG236:AG240)</f>
        <v>99.976766922158447</v>
      </c>
      <c r="AH242" s="280"/>
      <c r="AI242" s="280"/>
      <c r="AJ242" s="280"/>
    </row>
    <row r="243" spans="4:36" ht="12" x14ac:dyDescent="0.25">
      <c r="G243" s="270"/>
      <c r="AB243" s="280"/>
      <c r="AC243" s="280"/>
      <c r="AD243" s="280"/>
      <c r="AE243" s="280"/>
      <c r="AF243" s="280"/>
      <c r="AG243" s="280"/>
      <c r="AH243" s="280"/>
      <c r="AI243" s="280"/>
      <c r="AJ243" s="280"/>
    </row>
    <row r="244" spans="4:36" ht="12" x14ac:dyDescent="0.25">
      <c r="D244" s="275">
        <v>2</v>
      </c>
      <c r="E244" s="275"/>
      <c r="F244" s="275"/>
      <c r="G244" s="414"/>
      <c r="H244" s="275"/>
      <c r="I244" s="275"/>
      <c r="J244" s="275"/>
      <c r="K244" s="275"/>
      <c r="L244" s="275"/>
      <c r="AB244" s="280"/>
      <c r="AC244" s="280"/>
      <c r="AD244" s="280"/>
      <c r="AE244" s="280"/>
      <c r="AF244" s="280"/>
      <c r="AG244" s="280"/>
      <c r="AH244" s="280"/>
      <c r="AI244" s="280"/>
      <c r="AJ244" s="280"/>
    </row>
    <row r="245" spans="4:36" ht="12" x14ac:dyDescent="0.25">
      <c r="G245" s="270"/>
      <c r="AB245" s="280"/>
      <c r="AC245" s="280"/>
      <c r="AD245" s="280"/>
      <c r="AE245" s="280"/>
      <c r="AF245" s="280"/>
      <c r="AG245" s="280"/>
      <c r="AH245" s="280"/>
      <c r="AI245" s="280"/>
      <c r="AJ245" s="280"/>
    </row>
    <row r="246" spans="4:36" ht="12" x14ac:dyDescent="0.25">
      <c r="D246" s="131" t="s">
        <v>1375</v>
      </c>
      <c r="E246" s="131">
        <v>0.05</v>
      </c>
      <c r="H246" s="131" t="s">
        <v>1373</v>
      </c>
      <c r="I246" s="131" t="s">
        <v>1372</v>
      </c>
      <c r="AB246" s="280"/>
      <c r="AC246" s="280"/>
      <c r="AD246" s="280"/>
      <c r="AE246" s="280"/>
      <c r="AF246" s="280"/>
      <c r="AG246" s="280"/>
      <c r="AH246" s="280"/>
      <c r="AI246" s="280"/>
      <c r="AJ246" s="280"/>
    </row>
    <row r="247" spans="4:36" ht="12" x14ac:dyDescent="0.25">
      <c r="D247" s="270">
        <v>44681</v>
      </c>
      <c r="G247" s="270">
        <v>44681</v>
      </c>
      <c r="H247" s="413"/>
      <c r="AB247" s="280"/>
      <c r="AC247" s="280"/>
      <c r="AD247" s="300" t="s">
        <v>1177</v>
      </c>
      <c r="AE247" s="300" t="s">
        <v>1178</v>
      </c>
      <c r="AF247" s="280"/>
      <c r="AG247" s="280"/>
      <c r="AH247" s="280"/>
      <c r="AI247" s="280"/>
      <c r="AJ247" s="280"/>
    </row>
    <row r="248" spans="4:36" ht="12" x14ac:dyDescent="0.25">
      <c r="F248" s="131">
        <v>1</v>
      </c>
      <c r="G248" s="270">
        <v>44864</v>
      </c>
      <c r="H248" s="413">
        <v>2.3400000000000001E-2</v>
      </c>
      <c r="I248" s="131">
        <f>+$E$238</f>
        <v>2</v>
      </c>
      <c r="J248" s="131">
        <f>+I248/(1+$E$250)^F248</f>
        <v>1.9512195121951221</v>
      </c>
      <c r="AB248" s="280"/>
      <c r="AC248" s="280"/>
      <c r="AD248" s="280">
        <v>44681</v>
      </c>
      <c r="AE248" s="280"/>
      <c r="AF248" s="280"/>
      <c r="AG248" s="280"/>
      <c r="AH248" s="280"/>
      <c r="AI248" s="280"/>
      <c r="AJ248" s="280"/>
    </row>
    <row r="249" spans="4:36" ht="12" x14ac:dyDescent="0.25">
      <c r="D249" s="131" t="s">
        <v>1377</v>
      </c>
      <c r="E249" s="131">
        <f>+(1+E246/2)^2-1</f>
        <v>5.062499999999992E-2</v>
      </c>
      <c r="F249" s="131">
        <v>2</v>
      </c>
      <c r="G249" s="270">
        <v>45046</v>
      </c>
      <c r="H249" s="413">
        <v>2.24E-2</v>
      </c>
      <c r="I249" s="131">
        <f t="shared" ref="I249:I251" si="88">+$E$238</f>
        <v>2</v>
      </c>
      <c r="J249" s="131">
        <f t="shared" ref="J249:J252" si="89">+I249/(1+$E$250)^F249</f>
        <v>1.9036287923854849</v>
      </c>
      <c r="AB249" s="280"/>
      <c r="AC249" s="280">
        <v>1</v>
      </c>
      <c r="AD249" s="280">
        <v>44864</v>
      </c>
      <c r="AE249" s="301">
        <f>100*0.04/2</f>
        <v>2</v>
      </c>
      <c r="AF249" s="280"/>
      <c r="AG249" s="280"/>
      <c r="AH249" s="280"/>
      <c r="AI249" s="280"/>
      <c r="AJ249" s="280"/>
    </row>
    <row r="250" spans="4:36" ht="12" x14ac:dyDescent="0.25">
      <c r="D250" s="131" t="s">
        <v>1376</v>
      </c>
      <c r="E250" s="131">
        <f>+(1+E249)^(0.5)-1</f>
        <v>2.4999999999999911E-2</v>
      </c>
      <c r="F250" s="131">
        <v>3</v>
      </c>
      <c r="G250" s="270">
        <v>45229</v>
      </c>
      <c r="H250" s="413">
        <v>2.1000000000000001E-2</v>
      </c>
      <c r="I250" s="131">
        <f t="shared" si="88"/>
        <v>2</v>
      </c>
      <c r="J250" s="131">
        <f t="shared" si="89"/>
        <v>1.8571988218394977</v>
      </c>
      <c r="AB250" s="280"/>
      <c r="AC250" s="280">
        <v>2</v>
      </c>
      <c r="AD250" s="280">
        <v>45046</v>
      </c>
      <c r="AE250" s="301">
        <f t="shared" ref="AE250:AE252" si="90">100*0.04/2</f>
        <v>2</v>
      </c>
      <c r="AF250" s="280"/>
      <c r="AG250" s="280"/>
      <c r="AH250" s="280"/>
      <c r="AI250" s="280"/>
      <c r="AJ250" s="280"/>
    </row>
    <row r="251" spans="4:36" ht="12" x14ac:dyDescent="0.25">
      <c r="F251" s="131">
        <v>4</v>
      </c>
      <c r="G251" s="270">
        <v>45412</v>
      </c>
      <c r="H251" s="413">
        <v>2.0299999999999999E-2</v>
      </c>
      <c r="I251" s="131">
        <f t="shared" si="88"/>
        <v>2</v>
      </c>
      <c r="J251" s="131">
        <f t="shared" si="89"/>
        <v>1.8119012895995101</v>
      </c>
      <c r="AB251" s="280"/>
      <c r="AC251" s="280">
        <v>3</v>
      </c>
      <c r="AD251" s="280">
        <v>45229</v>
      </c>
      <c r="AE251" s="301">
        <f t="shared" si="90"/>
        <v>2</v>
      </c>
      <c r="AF251" s="280"/>
      <c r="AG251" s="280"/>
      <c r="AH251" s="280"/>
      <c r="AI251" s="280"/>
      <c r="AJ251" s="280"/>
    </row>
    <row r="252" spans="4:36" ht="12" x14ac:dyDescent="0.25">
      <c r="F252" s="131">
        <v>5</v>
      </c>
      <c r="G252" s="270">
        <v>45595</v>
      </c>
      <c r="H252" s="413">
        <v>0.02</v>
      </c>
      <c r="I252" s="131">
        <f>+$E$238+$E$235</f>
        <v>102</v>
      </c>
      <c r="J252" s="131">
        <f t="shared" si="89"/>
        <v>90.153137336170758</v>
      </c>
      <c r="AB252" s="280"/>
      <c r="AC252" s="280">
        <v>4</v>
      </c>
      <c r="AD252" s="280">
        <v>45412</v>
      </c>
      <c r="AE252" s="301">
        <f t="shared" si="90"/>
        <v>2</v>
      </c>
      <c r="AF252" s="280"/>
      <c r="AG252" s="280"/>
      <c r="AH252" s="280"/>
      <c r="AI252" s="280"/>
      <c r="AJ252" s="280"/>
    </row>
    <row r="253" spans="4:36" ht="12" x14ac:dyDescent="0.25">
      <c r="AB253" s="280"/>
      <c r="AC253" s="280">
        <v>5</v>
      </c>
      <c r="AD253" s="280">
        <v>45595</v>
      </c>
      <c r="AE253" s="301">
        <f>100+AE252</f>
        <v>102</v>
      </c>
      <c r="AF253" s="280"/>
      <c r="AG253" s="280"/>
      <c r="AH253" s="280"/>
      <c r="AI253" s="280"/>
      <c r="AJ253" s="280"/>
    </row>
    <row r="254" spans="4:36" ht="12" x14ac:dyDescent="0.25">
      <c r="I254" s="269" t="s">
        <v>654</v>
      </c>
      <c r="J254" s="269">
        <f>+SUM(J248:J252)</f>
        <v>97.677085752190379</v>
      </c>
      <c r="AB254" s="280"/>
      <c r="AC254" s="280"/>
      <c r="AD254" s="280"/>
      <c r="AE254" s="280"/>
      <c r="AF254" s="280"/>
      <c r="AG254" s="280"/>
      <c r="AH254" s="280"/>
      <c r="AI254" s="280"/>
      <c r="AJ254" s="280"/>
    </row>
    <row r="255" spans="4:36" ht="12.6" thickBot="1" x14ac:dyDescent="0.3">
      <c r="AB255" s="280"/>
      <c r="AC255" s="280"/>
      <c r="AD255" s="280"/>
      <c r="AE255" s="280"/>
      <c r="AF255" s="280"/>
      <c r="AG255" s="280"/>
      <c r="AH255" s="280"/>
      <c r="AI255" s="280"/>
      <c r="AJ255" s="280"/>
    </row>
    <row r="256" spans="4:36" ht="12.6" thickBot="1" x14ac:dyDescent="0.3">
      <c r="AB256" s="280"/>
      <c r="AC256" s="280" t="s">
        <v>1183</v>
      </c>
      <c r="AD256" s="302" t="s">
        <v>1184</v>
      </c>
      <c r="AE256" s="303">
        <f>+NPV(0.05/2,AE249:AE253)</f>
        <v>97.677085752190365</v>
      </c>
      <c r="AF256" s="280"/>
      <c r="AG256" s="280"/>
      <c r="AH256" s="280"/>
      <c r="AI256" s="280"/>
      <c r="AJ256" s="280"/>
    </row>
    <row r="257" spans="4:36" ht="12" x14ac:dyDescent="0.25">
      <c r="D257" s="275">
        <v>3</v>
      </c>
      <c r="E257" s="275"/>
      <c r="F257" s="275"/>
      <c r="G257" s="414"/>
      <c r="H257" s="275"/>
      <c r="I257" s="275"/>
      <c r="J257" s="275"/>
      <c r="K257" s="275"/>
      <c r="L257" s="275"/>
      <c r="AB257" s="280"/>
      <c r="AC257" s="280"/>
      <c r="AD257" s="280"/>
      <c r="AE257" s="280"/>
      <c r="AF257" s="280"/>
      <c r="AG257" s="280"/>
      <c r="AH257" s="280"/>
      <c r="AI257" s="280"/>
      <c r="AJ257" s="280"/>
    </row>
    <row r="258" spans="4:36" ht="12.6" thickBot="1" x14ac:dyDescent="0.3">
      <c r="AB258" s="280"/>
      <c r="AC258" s="280"/>
      <c r="AD258" s="280"/>
      <c r="AE258" s="280"/>
      <c r="AF258" s="280"/>
      <c r="AG258" s="280"/>
      <c r="AH258" s="280"/>
      <c r="AI258" s="280"/>
      <c r="AJ258" s="280"/>
    </row>
    <row r="259" spans="4:36" ht="12.6" thickBot="1" x14ac:dyDescent="0.3">
      <c r="E259" s="131" t="s">
        <v>57</v>
      </c>
      <c r="F259" s="131">
        <f>+J242-J254</f>
        <v>2.2996811699680677</v>
      </c>
      <c r="AB259" s="280"/>
      <c r="AC259" s="280" t="s">
        <v>1185</v>
      </c>
      <c r="AD259" s="302" t="s">
        <v>1186</v>
      </c>
      <c r="AE259" s="303">
        <f>+AG242-AE256</f>
        <v>2.2996811699680819</v>
      </c>
      <c r="AF259" s="280"/>
      <c r="AG259" s="280"/>
      <c r="AH259" s="280"/>
      <c r="AI259" s="280"/>
      <c r="AJ259" s="280"/>
    </row>
    <row r="260" spans="4:36" ht="12" x14ac:dyDescent="0.25">
      <c r="E260" s="131" t="s">
        <v>1378</v>
      </c>
      <c r="AB260" s="280"/>
      <c r="AC260" s="280"/>
      <c r="AD260" s="280"/>
      <c r="AE260" s="280"/>
      <c r="AF260" s="280"/>
      <c r="AG260" s="280"/>
      <c r="AH260" s="280"/>
      <c r="AI260" s="280"/>
      <c r="AJ260" s="280"/>
    </row>
    <row r="261" spans="4:36" ht="12" x14ac:dyDescent="0.25">
      <c r="AB261" s="280"/>
      <c r="AC261" s="280"/>
      <c r="AD261" s="280"/>
      <c r="AE261" s="280" t="s">
        <v>1187</v>
      </c>
      <c r="AF261" s="280"/>
      <c r="AG261" s="280"/>
      <c r="AH261" s="280"/>
      <c r="AI261" s="280"/>
      <c r="AJ261" s="280"/>
    </row>
    <row r="262" spans="4:36" ht="12" x14ac:dyDescent="0.25">
      <c r="AB262" s="280"/>
      <c r="AC262" s="280"/>
      <c r="AD262" s="280"/>
      <c r="AE262" s="280"/>
      <c r="AF262" s="280"/>
      <c r="AG262" s="280"/>
      <c r="AH262" s="280"/>
      <c r="AI262" s="280"/>
      <c r="AJ262" s="280"/>
    </row>
    <row r="263" spans="4:36" ht="12" x14ac:dyDescent="0.25">
      <c r="D263" s="275">
        <v>4</v>
      </c>
      <c r="E263" s="275"/>
      <c r="F263" s="275"/>
      <c r="G263" s="414"/>
      <c r="H263" s="275"/>
      <c r="I263" s="275"/>
      <c r="J263" s="275"/>
      <c r="K263" s="275"/>
      <c r="L263" s="275"/>
      <c r="AB263" s="280"/>
      <c r="AC263" s="280"/>
      <c r="AD263" s="280"/>
      <c r="AE263" s="280"/>
      <c r="AF263" s="280"/>
      <c r="AG263" s="280"/>
      <c r="AH263" s="280"/>
      <c r="AI263" s="280"/>
      <c r="AJ263" s="280"/>
    </row>
    <row r="264" spans="4:36" ht="15" thickBot="1" x14ac:dyDescent="0.3">
      <c r="I264" s="127" t="s">
        <v>1384</v>
      </c>
      <c r="AB264" s="280"/>
      <c r="AC264" s="280"/>
      <c r="AD264" s="280"/>
      <c r="AE264" s="280"/>
      <c r="AF264" s="280"/>
      <c r="AG264" s="280"/>
      <c r="AH264" s="280"/>
      <c r="AI264" s="280"/>
      <c r="AJ264" s="280"/>
    </row>
    <row r="265" spans="4:36" ht="12.6" thickBot="1" x14ac:dyDescent="0.3">
      <c r="E265" s="131" t="s">
        <v>978</v>
      </c>
      <c r="F265" s="413">
        <v>3.5000000000000003E-2</v>
      </c>
      <c r="G265" s="131" t="s">
        <v>260</v>
      </c>
      <c r="AB265" s="280"/>
      <c r="AC265" s="280" t="s">
        <v>1188</v>
      </c>
      <c r="AD265" s="281" t="s">
        <v>1189</v>
      </c>
      <c r="AE265" s="282"/>
      <c r="AF265" s="282"/>
      <c r="AG265" s="283">
        <f>+AE256</f>
        <v>97.677085752190365</v>
      </c>
      <c r="AH265" s="280"/>
      <c r="AI265" s="280"/>
      <c r="AJ265" s="280"/>
    </row>
    <row r="266" spans="4:36" ht="12" x14ac:dyDescent="0.25">
      <c r="E266" s="131" t="s">
        <v>811</v>
      </c>
      <c r="F266" s="131">
        <v>0.01</v>
      </c>
      <c r="G266" s="131" t="s">
        <v>1250</v>
      </c>
      <c r="AB266" s="280"/>
      <c r="AC266" s="280"/>
      <c r="AD266" s="280"/>
      <c r="AE266" s="280"/>
      <c r="AF266" s="280"/>
      <c r="AG266" s="280"/>
      <c r="AH266" s="280"/>
      <c r="AI266" s="280"/>
      <c r="AJ266" s="280"/>
    </row>
    <row r="267" spans="4:36" ht="12" x14ac:dyDescent="0.25">
      <c r="AB267" s="280"/>
      <c r="AC267" s="280"/>
      <c r="AD267" s="280" t="s">
        <v>1190</v>
      </c>
      <c r="AE267" s="280"/>
      <c r="AF267" s="280"/>
      <c r="AG267" s="280"/>
      <c r="AH267" s="280"/>
      <c r="AI267" s="280"/>
      <c r="AJ267" s="280"/>
    </row>
    <row r="268" spans="4:36" ht="12" x14ac:dyDescent="0.25">
      <c r="E268" s="131">
        <v>0</v>
      </c>
      <c r="F268" s="270">
        <v>44681</v>
      </c>
      <c r="G268" s="131">
        <f>-J254</f>
        <v>-97.677085752190379</v>
      </c>
      <c r="AB268" s="280"/>
      <c r="AC268" s="280"/>
      <c r="AD268" s="280"/>
      <c r="AE268" s="280"/>
      <c r="AF268" s="280"/>
      <c r="AG268" s="280"/>
      <c r="AH268" s="280"/>
      <c r="AI268" s="280"/>
      <c r="AJ268" s="280"/>
    </row>
    <row r="269" spans="4:36" ht="12" x14ac:dyDescent="0.25">
      <c r="E269" s="131">
        <v>1</v>
      </c>
      <c r="F269" s="270">
        <v>44864</v>
      </c>
      <c r="G269" s="131">
        <f>+$E$238</f>
        <v>2</v>
      </c>
      <c r="H269" s="131">
        <f>+G269*(1+$F$266)^E269</f>
        <v>2.02</v>
      </c>
      <c r="AB269" s="280"/>
      <c r="AC269" s="280"/>
      <c r="AD269" s="280" t="s">
        <v>1191</v>
      </c>
      <c r="AE269" s="280"/>
      <c r="AF269" s="280"/>
      <c r="AG269" s="301">
        <f>+AE253/(1+0.035/2)</f>
        <v>100.24570024570023</v>
      </c>
      <c r="AH269" s="280"/>
      <c r="AI269" s="280"/>
      <c r="AJ269" s="280"/>
    </row>
    <row r="270" spans="4:36" ht="12" x14ac:dyDescent="0.25">
      <c r="E270" s="131">
        <v>2</v>
      </c>
      <c r="F270" s="270">
        <v>45046</v>
      </c>
      <c r="G270" s="131">
        <f t="shared" ref="G270:G272" si="91">+$E$238</f>
        <v>2</v>
      </c>
      <c r="H270" s="131">
        <f t="shared" ref="H270:H271" si="92">+G270*(1+$F$266)^E270</f>
        <v>2.0402</v>
      </c>
      <c r="AB270" s="280"/>
      <c r="AC270" s="280"/>
      <c r="AD270" s="280"/>
      <c r="AE270" s="280"/>
      <c r="AF270" s="280"/>
      <c r="AG270" s="280"/>
      <c r="AH270" s="280"/>
      <c r="AI270" s="280"/>
      <c r="AJ270" s="280"/>
    </row>
    <row r="271" spans="4:36" ht="12" x14ac:dyDescent="0.25">
      <c r="E271" s="131">
        <v>3</v>
      </c>
      <c r="F271" s="270">
        <v>45229</v>
      </c>
      <c r="G271" s="131">
        <f t="shared" si="91"/>
        <v>2</v>
      </c>
      <c r="H271" s="131">
        <f t="shared" si="92"/>
        <v>2.0606019999999998</v>
      </c>
      <c r="AB271" s="280"/>
      <c r="AC271" s="280"/>
      <c r="AD271" s="280" t="s">
        <v>1192</v>
      </c>
      <c r="AE271" s="280"/>
      <c r="AF271" s="280"/>
      <c r="AG271" s="280"/>
      <c r="AH271" s="280">
        <f>+AE249*1.01^3+AE250*1.01^2+AE251*1.01+AE252</f>
        <v>8.1208019999999994</v>
      </c>
      <c r="AI271" s="280"/>
      <c r="AJ271" s="280"/>
    </row>
    <row r="272" spans="4:36" ht="12.6" thickBot="1" x14ac:dyDescent="0.3">
      <c r="E272" s="131">
        <v>4</v>
      </c>
      <c r="F272" s="270">
        <v>45412</v>
      </c>
      <c r="G272" s="131">
        <f t="shared" si="91"/>
        <v>2</v>
      </c>
      <c r="H272" s="269">
        <f>G272+SUM(H269:H271)</f>
        <v>8.1208019999999994</v>
      </c>
      <c r="AB272" s="280"/>
      <c r="AC272" s="280"/>
      <c r="AD272" s="280"/>
      <c r="AE272" s="280"/>
      <c r="AF272" s="280"/>
      <c r="AG272" s="280"/>
      <c r="AH272" s="280"/>
      <c r="AI272" s="280"/>
      <c r="AJ272" s="280"/>
    </row>
    <row r="273" spans="5:36" ht="12.6" thickBot="1" x14ac:dyDescent="0.3">
      <c r="E273" s="131">
        <v>5</v>
      </c>
      <c r="F273" s="270">
        <v>45595</v>
      </c>
      <c r="G273" s="131">
        <f>+$E$238+$E$235</f>
        <v>102</v>
      </c>
      <c r="H273" s="131">
        <f>+PV(F265/2, 1, -G273)</f>
        <v>100.24570024570065</v>
      </c>
      <c r="AB273" s="280"/>
      <c r="AC273" s="280"/>
      <c r="AD273" s="281" t="s">
        <v>1193</v>
      </c>
      <c r="AE273" s="282"/>
      <c r="AF273" s="282"/>
      <c r="AG273" s="283">
        <f>+AG269+AH271</f>
        <v>108.36650224570023</v>
      </c>
      <c r="AH273" s="280"/>
      <c r="AI273" s="280"/>
      <c r="AJ273" s="280"/>
    </row>
    <row r="274" spans="5:36" ht="12.6" thickBot="1" x14ac:dyDescent="0.3">
      <c r="AB274" s="280"/>
      <c r="AC274" s="280"/>
      <c r="AD274" s="280"/>
      <c r="AE274" s="280"/>
      <c r="AF274" s="280"/>
      <c r="AG274" s="280"/>
      <c r="AH274" s="280"/>
      <c r="AI274" s="280"/>
      <c r="AJ274" s="280"/>
    </row>
    <row r="275" spans="5:36" ht="12.6" thickBot="1" x14ac:dyDescent="0.3">
      <c r="E275" s="131" t="s">
        <v>1381</v>
      </c>
      <c r="AB275" s="280"/>
      <c r="AC275" s="280"/>
      <c r="AD275" s="417">
        <f>+AG273</f>
        <v>108.36650224570023</v>
      </c>
      <c r="AE275" s="418" t="s">
        <v>336</v>
      </c>
      <c r="AF275" s="418">
        <f>+AG265</f>
        <v>97.677085752190365</v>
      </c>
      <c r="AG275" s="304" t="s">
        <v>1194</v>
      </c>
      <c r="AH275" s="280"/>
      <c r="AI275" s="280"/>
      <c r="AJ275" s="280"/>
    </row>
    <row r="276" spans="5:36" ht="12.6" thickBot="1" x14ac:dyDescent="0.3">
      <c r="E276" s="131" t="s">
        <v>1379</v>
      </c>
      <c r="F276" s="305">
        <f>-G268</f>
        <v>97.677085752190379</v>
      </c>
      <c r="AB276" s="280"/>
      <c r="AC276" s="280"/>
      <c r="AD276" s="280"/>
      <c r="AE276" s="280"/>
      <c r="AF276" s="280"/>
      <c r="AG276" s="280"/>
      <c r="AH276" s="280"/>
      <c r="AI276" s="280"/>
      <c r="AJ276" s="280"/>
    </row>
    <row r="277" spans="5:36" ht="12.6" thickBot="1" x14ac:dyDescent="0.3">
      <c r="E277" s="131" t="s">
        <v>1380</v>
      </c>
      <c r="F277" s="131">
        <f>+H273+H272</f>
        <v>108.36650224570064</v>
      </c>
      <c r="AB277" s="280"/>
      <c r="AC277" s="280"/>
      <c r="AD277" s="302" t="s">
        <v>1195</v>
      </c>
      <c r="AE277" s="416">
        <f>+((AD275/AF275)^0.5)-1</f>
        <v>5.329780963287134E-2</v>
      </c>
      <c r="AF277" s="280"/>
      <c r="AG277" s="280"/>
      <c r="AH277" s="280"/>
      <c r="AI277" s="280"/>
      <c r="AJ277" s="280"/>
    </row>
    <row r="278" spans="5:36" ht="12" x14ac:dyDescent="0.25">
      <c r="E278" s="131" t="s">
        <v>1382</v>
      </c>
      <c r="F278" s="131" t="s">
        <v>1383</v>
      </c>
      <c r="AB278" s="280"/>
      <c r="AC278" s="280"/>
      <c r="AD278" s="280"/>
      <c r="AE278" s="280"/>
      <c r="AF278" s="280"/>
      <c r="AG278" s="280"/>
      <c r="AH278" s="280"/>
      <c r="AI278" s="280"/>
      <c r="AJ278" s="280"/>
    </row>
    <row r="279" spans="5:36" ht="12" x14ac:dyDescent="0.25">
      <c r="AB279" s="280"/>
      <c r="AC279" s="280"/>
      <c r="AD279" s="280"/>
      <c r="AE279" s="280"/>
      <c r="AF279" s="280"/>
      <c r="AG279" s="280"/>
      <c r="AH279" s="280"/>
      <c r="AI279" s="280"/>
      <c r="AJ279" s="280"/>
    </row>
    <row r="280" spans="5:36" ht="12" x14ac:dyDescent="0.25">
      <c r="E280" s="131" t="s">
        <v>1385</v>
      </c>
      <c r="F280" s="415">
        <f>+(F277/F276)^(0.5)-1</f>
        <v>5.3297809632873117E-2</v>
      </c>
      <c r="AB280" s="280"/>
      <c r="AC280" s="280"/>
      <c r="AD280" s="280"/>
      <c r="AE280" s="280"/>
      <c r="AF280" s="280"/>
      <c r="AG280" s="280"/>
      <c r="AH280" s="280"/>
      <c r="AI280" s="280"/>
      <c r="AJ280" s="280"/>
    </row>
    <row r="281" spans="5:36" ht="12" x14ac:dyDescent="0.25">
      <c r="AB281" s="280"/>
      <c r="AC281" s="280"/>
      <c r="AD281" s="280"/>
      <c r="AE281" s="300"/>
      <c r="AF281" s="300"/>
      <c r="AG281" s="280"/>
      <c r="AH281" s="280"/>
      <c r="AI281" s="280"/>
      <c r="AJ281" s="280"/>
    </row>
    <row r="282" spans="5:36" ht="12" x14ac:dyDescent="0.25">
      <c r="AB282" s="280"/>
      <c r="AC282" s="280"/>
      <c r="AD282" s="280"/>
      <c r="AE282" s="280"/>
      <c r="AF282" s="280"/>
      <c r="AG282" s="280"/>
      <c r="AH282" s="280"/>
      <c r="AI282" s="280"/>
      <c r="AJ282" s="280"/>
    </row>
    <row r="283" spans="5:36" s="202" customFormat="1" ht="12" x14ac:dyDescent="0.25">
      <c r="AB283" s="455"/>
      <c r="AC283" s="455"/>
      <c r="AD283" s="455"/>
      <c r="AE283" s="455"/>
      <c r="AF283" s="456"/>
      <c r="AG283" s="455"/>
      <c r="AH283" s="455"/>
      <c r="AI283" s="455"/>
      <c r="AJ283" s="455"/>
    </row>
    <row r="284" spans="5:36" s="202" customFormat="1" ht="12" x14ac:dyDescent="0.25">
      <c r="AB284" s="455"/>
      <c r="AC284" s="455"/>
      <c r="AD284" s="455"/>
      <c r="AE284" s="455"/>
      <c r="AF284" s="456"/>
      <c r="AG284" s="455"/>
      <c r="AH284" s="455"/>
      <c r="AI284" s="455"/>
      <c r="AJ284" s="455"/>
    </row>
    <row r="285" spans="5:36" s="202" customFormat="1" ht="12" x14ac:dyDescent="0.25">
      <c r="AB285" s="455"/>
      <c r="AC285" s="455"/>
      <c r="AD285" s="455"/>
      <c r="AE285" s="455"/>
      <c r="AF285" s="456"/>
      <c r="AG285" s="455"/>
      <c r="AH285" s="455"/>
      <c r="AI285" s="455"/>
      <c r="AJ285" s="455"/>
    </row>
    <row r="286" spans="5:36" ht="12" x14ac:dyDescent="0.25">
      <c r="AB286" s="280"/>
      <c r="AC286" s="280"/>
      <c r="AD286" s="280"/>
      <c r="AE286" s="280"/>
      <c r="AF286" s="301"/>
      <c r="AG286" s="280"/>
      <c r="AH286" s="280"/>
      <c r="AI286" s="280"/>
      <c r="AJ286" s="280"/>
    </row>
    <row r="287" spans="5:36" ht="12" x14ac:dyDescent="0.25">
      <c r="AB287" s="280"/>
      <c r="AC287" s="280"/>
      <c r="AD287" s="280"/>
      <c r="AE287" s="280"/>
      <c r="AF287" s="301"/>
      <c r="AG287" s="280"/>
      <c r="AH287" s="280"/>
      <c r="AI287" s="280"/>
      <c r="AJ287" s="280"/>
    </row>
    <row r="288" spans="5:36" ht="12" x14ac:dyDescent="0.25">
      <c r="AB288" s="280"/>
      <c r="AC288" s="280"/>
      <c r="AD288" s="280"/>
      <c r="AE288" s="280"/>
      <c r="AF288" s="280"/>
      <c r="AG288" s="280"/>
      <c r="AH288" s="280"/>
      <c r="AI288" s="280"/>
      <c r="AJ288" s="280"/>
    </row>
    <row r="289" spans="28:36" ht="12" x14ac:dyDescent="0.25">
      <c r="AB289" s="280"/>
      <c r="AC289" s="280"/>
      <c r="AD289" s="280"/>
      <c r="AE289" s="280"/>
      <c r="AF289" s="280"/>
      <c r="AG289" s="280"/>
      <c r="AH289" s="280"/>
      <c r="AI289" s="280"/>
      <c r="AJ289" s="280"/>
    </row>
  </sheetData>
  <mergeCells count="13">
    <mergeCell ref="B84:Z84"/>
    <mergeCell ref="B48:B50"/>
    <mergeCell ref="B45:B46"/>
    <mergeCell ref="B2:B9"/>
    <mergeCell ref="B10:B13"/>
    <mergeCell ref="B14:B19"/>
    <mergeCell ref="B22:B25"/>
    <mergeCell ref="B26:B30"/>
    <mergeCell ref="B52:B53"/>
    <mergeCell ref="B55:B57"/>
    <mergeCell ref="B62:B64"/>
    <mergeCell ref="B69:B74"/>
    <mergeCell ref="B67:B68"/>
  </mergeCells>
  <phoneticPr fontId="9" type="noConversion"/>
  <pageMargins left="0.25" right="0.25" top="0.75" bottom="0.75" header="0.3" footer="0.3"/>
  <pageSetup orientation="portrait" r:id="rId1"/>
  <rowBreaks count="3" manualBreakCount="3">
    <brk id="43" max="16383" man="1"/>
    <brk id="72" max="16383" man="1"/>
    <brk id="155" max="16383"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20C65-2D60-4DD5-AC51-E7866C3090A1}">
  <dimension ref="A1:Y150"/>
  <sheetViews>
    <sheetView topLeftCell="A73" zoomScale="75" workbookViewId="0">
      <selection activeCell="W82" sqref="W82"/>
    </sheetView>
  </sheetViews>
  <sheetFormatPr defaultRowHeight="14.4" x14ac:dyDescent="0.3"/>
  <cols>
    <col min="17" max="17" width="49.33203125" customWidth="1"/>
    <col min="19" max="19" width="25.33203125" bestFit="1" customWidth="1"/>
  </cols>
  <sheetData>
    <row r="1" spans="16:24" x14ac:dyDescent="0.3">
      <c r="P1">
        <v>0.1</v>
      </c>
      <c r="R1">
        <v>1</v>
      </c>
      <c r="S1">
        <v>2</v>
      </c>
      <c r="T1">
        <v>3</v>
      </c>
      <c r="U1">
        <v>4</v>
      </c>
      <c r="V1">
        <v>5</v>
      </c>
      <c r="W1">
        <v>6</v>
      </c>
      <c r="X1">
        <v>7</v>
      </c>
    </row>
    <row r="2" spans="16:24" x14ac:dyDescent="0.3">
      <c r="Q2" s="140" t="s">
        <v>1462</v>
      </c>
    </row>
    <row r="3" spans="16:24" x14ac:dyDescent="0.3">
      <c r="Q3" s="140" t="s">
        <v>1463</v>
      </c>
    </row>
    <row r="4" spans="16:24" x14ac:dyDescent="0.3">
      <c r="Q4" s="140" t="s">
        <v>1464</v>
      </c>
    </row>
    <row r="5" spans="16:24" x14ac:dyDescent="0.3">
      <c r="Q5" s="140" t="s">
        <v>1465</v>
      </c>
    </row>
    <row r="6" spans="16:24" x14ac:dyDescent="0.3">
      <c r="Q6" s="140" t="s">
        <v>1503</v>
      </c>
    </row>
    <row r="7" spans="16:24" x14ac:dyDescent="0.3">
      <c r="Q7" s="140" t="s">
        <v>1467</v>
      </c>
    </row>
    <row r="8" spans="16:24" x14ac:dyDescent="0.3">
      <c r="Q8" s="140" t="s">
        <v>1468</v>
      </c>
    </row>
    <row r="9" spans="16:24" x14ac:dyDescent="0.3">
      <c r="Q9" s="140"/>
    </row>
    <row r="10" spans="16:24" x14ac:dyDescent="0.3">
      <c r="Q10" s="140" t="s">
        <v>1469</v>
      </c>
    </row>
    <row r="11" spans="16:24" x14ac:dyDescent="0.3">
      <c r="Q11" s="140" t="s">
        <v>1470</v>
      </c>
    </row>
    <row r="12" spans="16:24" x14ac:dyDescent="0.3">
      <c r="Q12" s="140" t="s">
        <v>1471</v>
      </c>
    </row>
    <row r="13" spans="16:24" x14ac:dyDescent="0.3">
      <c r="Q13" s="140" t="s">
        <v>1472</v>
      </c>
    </row>
    <row r="14" spans="16:24" x14ac:dyDescent="0.3">
      <c r="Q14" s="194" t="s">
        <v>1473</v>
      </c>
    </row>
    <row r="15" spans="16:24" x14ac:dyDescent="0.3">
      <c r="Q15" s="140"/>
    </row>
    <row r="16" spans="16:24" x14ac:dyDescent="0.3">
      <c r="Q16" s="140" t="s">
        <v>1507</v>
      </c>
    </row>
    <row r="17" spans="16:23" x14ac:dyDescent="0.3">
      <c r="Q17" s="140" t="s">
        <v>1481</v>
      </c>
    </row>
    <row r="18" spans="16:23" x14ac:dyDescent="0.3">
      <c r="Q18" s="194" t="s">
        <v>1475</v>
      </c>
    </row>
    <row r="26" spans="16:23" x14ac:dyDescent="0.3">
      <c r="P26" t="s">
        <v>1580</v>
      </c>
    </row>
    <row r="27" spans="16:23" x14ac:dyDescent="0.3">
      <c r="P27" t="s">
        <v>1578</v>
      </c>
      <c r="Q27" t="s">
        <v>1581</v>
      </c>
      <c r="U27" t="s">
        <v>1582</v>
      </c>
    </row>
    <row r="28" spans="16:23" x14ac:dyDescent="0.3">
      <c r="Q28" t="s">
        <v>1587</v>
      </c>
      <c r="U28" t="s">
        <v>1583</v>
      </c>
      <c r="W28" t="s">
        <v>1584</v>
      </c>
    </row>
    <row r="29" spans="16:23" x14ac:dyDescent="0.3">
      <c r="W29" t="s">
        <v>1585</v>
      </c>
    </row>
    <row r="34" spans="16:17" x14ac:dyDescent="0.3">
      <c r="P34" t="s">
        <v>1579</v>
      </c>
      <c r="Q34" t="s">
        <v>1586</v>
      </c>
    </row>
    <row r="74" spans="16:24" x14ac:dyDescent="0.3">
      <c r="Q74" t="s">
        <v>1567</v>
      </c>
    </row>
    <row r="75" spans="16:24" x14ac:dyDescent="0.3">
      <c r="Q75" t="s">
        <v>1568</v>
      </c>
    </row>
    <row r="77" spans="16:24" x14ac:dyDescent="0.3">
      <c r="Q77" s="396">
        <v>44895</v>
      </c>
      <c r="R77" s="388">
        <f>-X82</f>
        <v>-112.00519999995403</v>
      </c>
      <c r="T77">
        <v>-97.56</v>
      </c>
      <c r="U77">
        <v>-95</v>
      </c>
      <c r="V77">
        <v>-92.32</v>
      </c>
      <c r="W77">
        <v>-89.54</v>
      </c>
    </row>
    <row r="78" spans="16:24" x14ac:dyDescent="0.3">
      <c r="P78">
        <v>1</v>
      </c>
      <c r="Q78" s="396">
        <v>45076</v>
      </c>
      <c r="R78" s="388">
        <v>6</v>
      </c>
      <c r="S78" s="80">
        <f>+T82</f>
        <v>2.5010250102500908E-2</v>
      </c>
      <c r="T78">
        <v>100</v>
      </c>
      <c r="U78">
        <v>0</v>
      </c>
      <c r="V78">
        <v>0</v>
      </c>
      <c r="W78">
        <v>0</v>
      </c>
      <c r="X78">
        <f>+R78/(1+S78)^P78</f>
        <v>5.853600000000001</v>
      </c>
    </row>
    <row r="79" spans="16:24" x14ac:dyDescent="0.3">
      <c r="P79">
        <v>2</v>
      </c>
      <c r="Q79" s="396">
        <v>45260</v>
      </c>
      <c r="R79" s="388">
        <v>6</v>
      </c>
      <c r="S79" s="80">
        <f>+U82</f>
        <v>2.5978352085153977E-2</v>
      </c>
      <c r="U79">
        <v>100</v>
      </c>
      <c r="V79">
        <v>0</v>
      </c>
      <c r="W79">
        <v>0</v>
      </c>
      <c r="X79">
        <f t="shared" ref="X79:X81" si="0">+R79/(1+S79)^P79</f>
        <v>5.700000000000002</v>
      </c>
    </row>
    <row r="80" spans="16:24" x14ac:dyDescent="0.3">
      <c r="P80">
        <v>3</v>
      </c>
      <c r="Q80" s="396">
        <v>45442</v>
      </c>
      <c r="R80" s="388">
        <v>6</v>
      </c>
      <c r="S80" s="80">
        <f>+V82</f>
        <v>2.6994382458545463E-2</v>
      </c>
      <c r="V80">
        <v>100</v>
      </c>
      <c r="W80">
        <v>0</v>
      </c>
      <c r="X80">
        <f t="shared" si="0"/>
        <v>5.5391999999999832</v>
      </c>
    </row>
    <row r="81" spans="16:25" x14ac:dyDescent="0.3">
      <c r="P81">
        <v>4</v>
      </c>
      <c r="Q81" t="s">
        <v>1569</v>
      </c>
      <c r="R81" s="388">
        <v>106</v>
      </c>
      <c r="S81" s="80">
        <f>+W82</f>
        <v>2.8006184734877149E-2</v>
      </c>
      <c r="W81">
        <v>100</v>
      </c>
      <c r="X81">
        <f t="shared" si="0"/>
        <v>94.912399999954047</v>
      </c>
    </row>
    <row r="82" spans="16:25" x14ac:dyDescent="0.3">
      <c r="Q82" s="64"/>
      <c r="R82" s="64">
        <f>+IRR(R77:R81)</f>
        <v>2.7867315705574436E-2</v>
      </c>
      <c r="T82" s="435">
        <f>+IRR(T77:T81)</f>
        <v>2.5010250102500908E-2</v>
      </c>
      <c r="U82" s="435">
        <f t="shared" ref="U82:W82" si="1">+IRR(U77:U81)</f>
        <v>2.5978352085153977E-2</v>
      </c>
      <c r="V82" s="435">
        <f t="shared" si="1"/>
        <v>2.6994382458545463E-2</v>
      </c>
      <c r="W82" s="435">
        <f t="shared" si="1"/>
        <v>2.8006184734877149E-2</v>
      </c>
      <c r="X82">
        <f>SUM(X78:X81)</f>
        <v>112.00519999995403</v>
      </c>
    </row>
    <row r="83" spans="16:25" x14ac:dyDescent="0.3">
      <c r="T83" t="s">
        <v>1570</v>
      </c>
    </row>
    <row r="85" spans="16:25" x14ac:dyDescent="0.3">
      <c r="Q85">
        <v>2</v>
      </c>
      <c r="R85" t="s">
        <v>1571</v>
      </c>
    </row>
    <row r="87" spans="16:25" x14ac:dyDescent="0.3">
      <c r="V87" t="s">
        <v>1573</v>
      </c>
    </row>
    <row r="88" spans="16:25" x14ac:dyDescent="0.3">
      <c r="S88" t="s">
        <v>1572</v>
      </c>
      <c r="V88" t="s">
        <v>1574</v>
      </c>
      <c r="W88" t="s">
        <v>1438</v>
      </c>
    </row>
    <row r="89" spans="16:25" x14ac:dyDescent="0.3">
      <c r="R89">
        <v>1</v>
      </c>
      <c r="S89" s="453">
        <f>+R78/(1+$R$82)^P78</f>
        <v>5.8373293014783041</v>
      </c>
      <c r="T89">
        <f>+S89/$S$93</f>
        <v>5.2116591921465776E-2</v>
      </c>
      <c r="V89">
        <f>+T89*R89</f>
        <v>5.2116591921465776E-2</v>
      </c>
    </row>
    <row r="90" spans="16:25" x14ac:dyDescent="0.3">
      <c r="R90">
        <v>2</v>
      </c>
      <c r="S90" s="453">
        <f t="shared" ref="S90:S92" si="2">+R79/(1+$R$82)^P79</f>
        <v>5.6790688956495305</v>
      </c>
      <c r="T90">
        <f t="shared" ref="T90:T92" si="3">+S90/$S$93</f>
        <v>5.0703618186059937E-2</v>
      </c>
      <c r="V90">
        <f t="shared" ref="V90:V92" si="4">+T90*R90</f>
        <v>0.10140723637211987</v>
      </c>
    </row>
    <row r="91" spans="16:25" x14ac:dyDescent="0.3">
      <c r="R91">
        <v>3</v>
      </c>
      <c r="S91" s="453">
        <f t="shared" si="2"/>
        <v>5.5250992116148394</v>
      </c>
      <c r="T91">
        <f t="shared" si="3"/>
        <v>4.9328952688075973E-2</v>
      </c>
      <c r="V91">
        <f t="shared" si="4"/>
        <v>0.14798685806422793</v>
      </c>
    </row>
    <row r="92" spans="16:25" x14ac:dyDescent="0.3">
      <c r="R92">
        <v>4</v>
      </c>
      <c r="S92" s="453">
        <f t="shared" si="2"/>
        <v>94.963702591183377</v>
      </c>
      <c r="T92">
        <f t="shared" si="3"/>
        <v>0.84785083720439836</v>
      </c>
      <c r="V92">
        <f t="shared" si="4"/>
        <v>3.3914033488175934</v>
      </c>
    </row>
    <row r="93" spans="16:25" x14ac:dyDescent="0.3">
      <c r="R93">
        <v>5</v>
      </c>
      <c r="S93" s="454">
        <f>SUM(S89:S92)</f>
        <v>112.00519999992605</v>
      </c>
      <c r="V93" s="174">
        <f>SUM(V89:V92)</f>
        <v>3.6929140351754071</v>
      </c>
      <c r="W93" t="s">
        <v>1575</v>
      </c>
      <c r="Y93" t="s">
        <v>1577</v>
      </c>
    </row>
    <row r="94" spans="16:25" x14ac:dyDescent="0.3">
      <c r="V94" s="174">
        <f>-V93/(1+R82)</f>
        <v>-3.5927925508949805</v>
      </c>
      <c r="W94" t="s">
        <v>1576</v>
      </c>
    </row>
    <row r="134" spans="1:2" x14ac:dyDescent="0.3">
      <c r="A134" s="452" t="s">
        <v>1557</v>
      </c>
    </row>
    <row r="136" spans="1:2" x14ac:dyDescent="0.3">
      <c r="B136" t="s">
        <v>1559</v>
      </c>
    </row>
    <row r="137" spans="1:2" x14ac:dyDescent="0.3">
      <c r="B137" t="s">
        <v>1560</v>
      </c>
    </row>
    <row r="138" spans="1:2" x14ac:dyDescent="0.3">
      <c r="B138" t="s">
        <v>1561</v>
      </c>
    </row>
    <row r="139" spans="1:2" x14ac:dyDescent="0.3">
      <c r="B139" t="s">
        <v>1562</v>
      </c>
    </row>
    <row r="141" spans="1:2" x14ac:dyDescent="0.3">
      <c r="B141" t="s">
        <v>1563</v>
      </c>
    </row>
    <row r="145" spans="1:2" x14ac:dyDescent="0.3">
      <c r="A145" s="452" t="s">
        <v>1558</v>
      </c>
    </row>
    <row r="147" spans="1:2" x14ac:dyDescent="0.3">
      <c r="B147" t="s">
        <v>1588</v>
      </c>
    </row>
    <row r="148" spans="1:2" x14ac:dyDescent="0.3">
      <c r="B148" t="s">
        <v>1564</v>
      </c>
    </row>
    <row r="149" spans="1:2" x14ac:dyDescent="0.3">
      <c r="B149" t="s">
        <v>1565</v>
      </c>
    </row>
    <row r="150" spans="1:2" x14ac:dyDescent="0.3">
      <c r="B150" t="s">
        <v>1566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NOTAS</vt:lpstr>
      <vt:lpstr>INTERES</vt:lpstr>
      <vt:lpstr>BONOS</vt:lpstr>
      <vt:lpstr>PRACTICAS</vt:lpstr>
      <vt:lpstr>P P1</vt:lpstr>
      <vt:lpstr>P P2</vt:lpstr>
      <vt:lpstr>P P3</vt:lpstr>
      <vt:lpstr>P 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Lopez</dc:creator>
  <cp:lastModifiedBy>Federico Lopez</cp:lastModifiedBy>
  <dcterms:created xsi:type="dcterms:W3CDTF">2022-09-18T19:03:26Z</dcterms:created>
  <dcterms:modified xsi:type="dcterms:W3CDTF">2022-11-25T17:47:16Z</dcterms:modified>
</cp:coreProperties>
</file>