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0" documentId="8_{C809B1F6-F0BF-4BB1-AC39-2DB6AACB0185}" xr6:coauthVersionLast="47" xr6:coauthVersionMax="47" xr10:uidLastSave="{00000000-0000-0000-0000-000000000000}"/>
  <bookViews>
    <workbookView xWindow="4170" yWindow="16080" windowWidth="23280" windowHeight="12480" activeTab="2" xr2:uid="{00000000-000D-0000-FFFF-FFFF00000000}"/>
  </bookViews>
  <sheets>
    <sheet name="Valor de un Bono" sheetId="2" r:id="rId1"/>
    <sheet name="Hoja1" sheetId="4" r:id="rId2"/>
    <sheet name="El Valor y el Tiempo " sheetId="3" r:id="rId3"/>
    <sheet name="Relación entre RC y TI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 s="1"/>
  <c r="I22" i="1"/>
  <c r="I17" i="1"/>
  <c r="D14" i="1"/>
  <c r="D15" i="1" s="1"/>
  <c r="K13" i="1"/>
  <c r="K18" i="1" s="1"/>
  <c r="D13" i="1"/>
  <c r="E13" i="1" s="1"/>
  <c r="F13" i="1" s="1"/>
  <c r="D12" i="1"/>
  <c r="E12" i="1" s="1"/>
  <c r="I11" i="1"/>
  <c r="I10" i="1"/>
  <c r="H5" i="1"/>
  <c r="J89" i="2"/>
  <c r="N86" i="2" s="1"/>
  <c r="O86" i="2" s="1"/>
  <c r="K52" i="2"/>
  <c r="F72" i="4"/>
  <c r="J64" i="4"/>
  <c r="J63" i="4"/>
  <c r="I68" i="4" s="1"/>
  <c r="J61" i="4"/>
  <c r="J60" i="4"/>
  <c r="G68" i="4" s="1"/>
  <c r="H62" i="4"/>
  <c r="H63" i="4"/>
  <c r="H64" i="4" s="1"/>
  <c r="H61" i="4"/>
  <c r="H60" i="4"/>
  <c r="H50" i="4"/>
  <c r="H51" i="4"/>
  <c r="H52" i="4"/>
  <c r="H53" i="4" s="1"/>
  <c r="H54" i="4" s="1"/>
  <c r="H55" i="4" s="1"/>
  <c r="H49" i="4"/>
  <c r="F12" i="1" l="1"/>
  <c r="D16" i="1"/>
  <c r="E15" i="1"/>
  <c r="F15" i="1" s="1"/>
  <c r="E14" i="1"/>
  <c r="F14" i="1" s="1"/>
  <c r="K68" i="4"/>
  <c r="H72" i="4" s="1"/>
  <c r="H75" i="4" s="1"/>
  <c r="J75" i="4"/>
  <c r="M87" i="2"/>
  <c r="H56" i="4"/>
  <c r="Q3" i="2"/>
  <c r="R3" i="2" s="1"/>
  <c r="H4" i="2"/>
  <c r="I4" i="2" s="1"/>
  <c r="H5" i="2"/>
  <c r="I5" i="2" s="1"/>
  <c r="H3" i="2"/>
  <c r="I3" i="2" s="1"/>
  <c r="F76" i="2"/>
  <c r="G76" i="2" s="1"/>
  <c r="F77" i="2"/>
  <c r="F78" i="2" s="1"/>
  <c r="C79" i="2"/>
  <c r="C80" i="2" s="1"/>
  <c r="E75" i="2"/>
  <c r="E79" i="2" s="1"/>
  <c r="E80" i="2" s="1"/>
  <c r="D75" i="2"/>
  <c r="D79" i="2" s="1"/>
  <c r="D80" i="2" s="1"/>
  <c r="C75" i="2"/>
  <c r="D18" i="1" l="1"/>
  <c r="D17" i="1"/>
  <c r="I9" i="1" s="1"/>
  <c r="E16" i="1"/>
  <c r="F16" i="1"/>
  <c r="G78" i="2"/>
  <c r="G77" i="2"/>
  <c r="J73" i="2" s="1"/>
  <c r="F75" i="2" s="1"/>
  <c r="F79" i="2" s="1"/>
  <c r="F80" i="2" s="1"/>
  <c r="N87" i="2"/>
  <c r="O87" i="2" s="1"/>
  <c r="M88" i="2" s="1"/>
  <c r="N88" i="2" s="1"/>
  <c r="O88" i="2" s="1"/>
  <c r="H6" i="2"/>
  <c r="I6" i="2" s="1"/>
  <c r="I7" i="2" s="1"/>
  <c r="I9" i="2" s="1"/>
  <c r="H2" i="2" s="1"/>
  <c r="I10" i="2" s="1"/>
  <c r="I11" i="2" s="1"/>
  <c r="H19" i="2"/>
  <c r="D20" i="2"/>
  <c r="D21" i="2"/>
  <c r="D22" i="2"/>
  <c r="D19" i="2"/>
  <c r="E18" i="1" l="1"/>
  <c r="E17" i="1"/>
  <c r="I15" i="1" s="1"/>
  <c r="F18" i="1"/>
  <c r="F17" i="1"/>
  <c r="I20" i="1" s="1"/>
  <c r="O89" i="2"/>
  <c r="I45" i="2"/>
  <c r="K45" i="2" s="1"/>
  <c r="Q4" i="2" l="1"/>
  <c r="Q5" i="2" l="1"/>
  <c r="Q6" i="2"/>
  <c r="I22" i="2"/>
  <c r="M8" i="2"/>
  <c r="M9" i="2" s="1"/>
  <c r="M10" i="2" s="1"/>
  <c r="R6" i="2" l="1"/>
  <c r="R5" i="2"/>
  <c r="R4" i="2"/>
  <c r="R7" i="2" l="1"/>
  <c r="R9" i="2" s="1"/>
  <c r="Q2" i="2" s="1"/>
  <c r="R10" i="2" s="1"/>
  <c r="R11" i="2" s="1"/>
</calcChain>
</file>

<file path=xl/sharedStrings.xml><?xml version="1.0" encoding="utf-8"?>
<sst xmlns="http://schemas.openxmlformats.org/spreadsheetml/2006/main" count="256" uniqueCount="151">
  <si>
    <t>N =</t>
  </si>
  <si>
    <t>m =</t>
  </si>
  <si>
    <t xml:space="preserve">n = </t>
  </si>
  <si>
    <t>T.C =</t>
  </si>
  <si>
    <t>k1 =</t>
  </si>
  <si>
    <t xml:space="preserve">k2 = </t>
  </si>
  <si>
    <t>k3 =</t>
  </si>
  <si>
    <t>k4 =</t>
  </si>
  <si>
    <t>(TNA)</t>
  </si>
  <si>
    <t>Flujo</t>
  </si>
  <si>
    <t>Semestre</t>
  </si>
  <si>
    <t>VA de cada Flujo</t>
  </si>
  <si>
    <t>Valor =</t>
  </si>
  <si>
    <t>RC =</t>
  </si>
  <si>
    <t>TIR</t>
  </si>
  <si>
    <t>Bono cero cupón</t>
  </si>
  <si>
    <t xml:space="preserve">Bono Típico </t>
  </si>
  <si>
    <t>con curva de tasas "spot" no plana</t>
  </si>
  <si>
    <t>con curva de tasas "spot" plana</t>
  </si>
  <si>
    <t>Supongamos un Bono Típico, del que tenemos la siguinte información:</t>
  </si>
  <si>
    <t>Paga cupones los 30 de abril y 30 de octubre</t>
  </si>
  <si>
    <t>Vence el 30 de octubre de 2022</t>
  </si>
  <si>
    <t>Además, en función de los precios de Bonos cero cupón de riesgo similar,</t>
  </si>
  <si>
    <t>sabemos que la curva de tasas "spot" es plana:</t>
  </si>
  <si>
    <t>Vencimiento</t>
  </si>
  <si>
    <t>Calculemos el Valor de nuestro Bono, en las siguientes fechas</t>
  </si>
  <si>
    <t>Fecha</t>
  </si>
  <si>
    <t>Valor</t>
  </si>
  <si>
    <t>Ahora, calculemos el Valor de nuestro Bono en las siguientes fechas que están entre dos cupones:</t>
  </si>
  <si>
    <t>Precio el 30/10/2020, por cada $100 de Valor Nominal</t>
  </si>
  <si>
    <t>a)</t>
  </si>
  <si>
    <t>b)</t>
  </si>
  <si>
    <t>c)</t>
  </si>
  <si>
    <t>Precio =</t>
  </si>
  <si>
    <t>Supongamos que Precio =</t>
  </si>
  <si>
    <t>¿Cuál sería la TIR?</t>
  </si>
  <si>
    <t>TIR (TNA) =</t>
  </si>
  <si>
    <t>+</t>
  </si>
  <si>
    <t>(Sobre la par)</t>
  </si>
  <si>
    <t>(Bajo la par)</t>
  </si>
  <si>
    <t>( A la par)</t>
  </si>
  <si>
    <t>T.C. =</t>
  </si>
  <si>
    <t>Capital estimado por un inversor</t>
  </si>
  <si>
    <t>VALOR 0 =</t>
  </si>
  <si>
    <t>N x T.C.</t>
  </si>
  <si>
    <t>N</t>
  </si>
  <si>
    <t>m</t>
  </si>
  <si>
    <t>(1+k/m)^mn</t>
  </si>
  <si>
    <t>Capital que el mercado exige invertir</t>
  </si>
  <si>
    <t>Precio 0 =</t>
  </si>
  <si>
    <t>(1+TIR/m)^mn</t>
  </si>
  <si>
    <t>Capital que figura en el prospecto o</t>
  </si>
  <si>
    <t>contrato de emisión (capital legal)</t>
  </si>
  <si>
    <t>(1+T.C./m)^mn</t>
  </si>
  <si>
    <t>¿Cuál es el Precio del Bono si TIR y T.C. ?</t>
  </si>
  <si>
    <t>((1+T.C./m)^mn)-1</t>
  </si>
  <si>
    <t>=</t>
  </si>
  <si>
    <t xml:space="preserve">N x </t>
  </si>
  <si>
    <t>-</t>
  </si>
  <si>
    <t>(T.C./m)(1+T.C./m)^mn</t>
  </si>
  <si>
    <t>El Bono cotiza sobre la par, si Precio 0 supera a N</t>
  </si>
  <si>
    <t>El Bono cotiza a la par, si Precio 0 es igual a N</t>
  </si>
  <si>
    <t>El Bono cotiza bajo la par, si Precio 0 es inferior a N</t>
  </si>
  <si>
    <t>(suponiendo k constante)</t>
  </si>
  <si>
    <t>tanto k, como TIR y T.C. son TNA en estas fórmulas</t>
  </si>
  <si>
    <t>VA de los cupones</t>
  </si>
  <si>
    <t>VA del Nominal</t>
  </si>
  <si>
    <t>((1+k/m)^mn)-1</t>
  </si>
  <si>
    <t>(k/m)(1+k/m)^mn</t>
  </si>
  <si>
    <t>((1+TIR/m)^mn)-1</t>
  </si>
  <si>
    <t>(TIR/m)(1+TIR/m)^mn</t>
  </si>
  <si>
    <t>((1+TC/m)^mn)-1</t>
  </si>
  <si>
    <t>(TC/m)(1+TC/m)^mn</t>
  </si>
  <si>
    <t>Bono 1</t>
  </si>
  <si>
    <t>Bono 2</t>
  </si>
  <si>
    <t>Bono 3</t>
  </si>
  <si>
    <t>BONOS CERO CUPÓN de N = $100</t>
  </si>
  <si>
    <t>TIR (TES)</t>
  </si>
  <si>
    <t>TIR (TNA)</t>
  </si>
  <si>
    <t>Tasas Spot</t>
  </si>
  <si>
    <t>k1</t>
  </si>
  <si>
    <t>k2</t>
  </si>
  <si>
    <t>k3</t>
  </si>
  <si>
    <t>VA o =</t>
  </si>
  <si>
    <t>Flujos</t>
  </si>
  <si>
    <t>TES =</t>
  </si>
  <si>
    <t>TNA =</t>
  </si>
  <si>
    <t>TIR (TNA) = k (TNA)</t>
  </si>
  <si>
    <t>porque k es constante</t>
  </si>
  <si>
    <t>y el VAN = 0, es decir, el Precio es igual al Valor</t>
  </si>
  <si>
    <t>Retorno Corriente =</t>
  </si>
  <si>
    <t>Intereses anuales</t>
  </si>
  <si>
    <t>Inversión</t>
  </si>
  <si>
    <t>N x TC</t>
  </si>
  <si>
    <t>Precio</t>
  </si>
  <si>
    <t>1) Cobro de cupones</t>
  </si>
  <si>
    <t>2) Ganancia de capital</t>
  </si>
  <si>
    <t xml:space="preserve">3) Reinversión de flujos </t>
  </si>
  <si>
    <t>positivos</t>
  </si>
  <si>
    <t>TIR (TEA)</t>
  </si>
  <si>
    <t>TIR (TEA) =</t>
  </si>
  <si>
    <t>a) Flujos</t>
  </si>
  <si>
    <t>b) Flujos</t>
  </si>
  <si>
    <t>c) Flujos</t>
  </si>
  <si>
    <t>Cotiza bajo la par, hay ganancia de capital</t>
  </si>
  <si>
    <t xml:space="preserve"> =</t>
  </si>
  <si>
    <t>(5+5)/90 &gt; TC = 10% =</t>
  </si>
  <si>
    <t>(5+5)/100</t>
  </si>
  <si>
    <t>Tasas vinculadas con Bonos Típicos:</t>
  </si>
  <si>
    <t>1) Tasa del Cupón: sirve para calcular los pagos en concepto de intereses</t>
  </si>
  <si>
    <t>2) Tasa exigida, k (tasa spot o TIR de Bonos cero cupón)</t>
  </si>
  <si>
    <t>3) Retorno Corriente</t>
  </si>
  <si>
    <t xml:space="preserve">4) TIR </t>
  </si>
  <si>
    <t>5) TIR Modificada</t>
  </si>
  <si>
    <t>6) Tasa "forward"</t>
  </si>
  <si>
    <t>El 30/9/2020 se compraría a la par un Bono de valor Nominal = $100, que paga cupones, a una tasa del 2%,</t>
  </si>
  <si>
    <t>los 30 de marzo y 30 septiembre.</t>
  </si>
  <si>
    <t>Este bono vence el 30 de marzo de 2023</t>
  </si>
  <si>
    <t>Se vendería este Bono el 30 de marzo de 2022</t>
  </si>
  <si>
    <t>1) Calcular el RC</t>
  </si>
  <si>
    <t>2) Calcular la TIR</t>
  </si>
  <si>
    <t>3) Calcular la TIR M</t>
  </si>
  <si>
    <t>Este bono cotiza a la par.</t>
  </si>
  <si>
    <t>(Precio = N = $100)</t>
  </si>
  <si>
    <t>100 x 0,02</t>
  </si>
  <si>
    <t>TIR (TES) =</t>
  </si>
  <si>
    <t xml:space="preserve">3) TIR M </t>
  </si>
  <si>
    <t>VENTA</t>
  </si>
  <si>
    <t>COMPRA</t>
  </si>
  <si>
    <t>Flujos Positivos</t>
  </si>
  <si>
    <t>Flujo Negativo</t>
  </si>
  <si>
    <t>1+Precio de Venta</t>
  </si>
  <si>
    <t>f 3,5</t>
  </si>
  <si>
    <t>VA o (F-) =</t>
  </si>
  <si>
    <t>VF 3 (F+) =</t>
  </si>
  <si>
    <t>f 1,3 =</t>
  </si>
  <si>
    <t>f 2,3 =</t>
  </si>
  <si>
    <t>f 3,4 =</t>
  </si>
  <si>
    <t>Precio de venta</t>
  </si>
  <si>
    <t>VF de los cupones</t>
  </si>
  <si>
    <t>TIR M (TEA) =</t>
  </si>
  <si>
    <t>(1+TIR M (TEA))^1,5</t>
  </si>
  <si>
    <t>TIR = 10% TNA</t>
  </si>
  <si>
    <t>TC = 10%</t>
  </si>
  <si>
    <t>m = 2</t>
  </si>
  <si>
    <t>Precio = ?</t>
  </si>
  <si>
    <t>Año</t>
  </si>
  <si>
    <t>Saldo al inicio</t>
  </si>
  <si>
    <t>Intereses</t>
  </si>
  <si>
    <t>Capital</t>
  </si>
  <si>
    <t>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</si>
</sst>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%"/>
    <numFmt numFmtId="167" formatCode="0.0000%"/>
    <numFmt numFmtId="168" formatCode="0.00000000"/>
    <numFmt numFmtId="169" formatCode="0.00000%"/>
    <numFmt numFmtId="170" formatCode="_-&quot;$&quot;\ * #,##0.00000_-;\-&quot;$&quot;\ * #,##0.0000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5" fontId="0" fillId="0" borderId="1" xfId="0" applyNumberFormat="1" applyBorder="1"/>
    <xf numFmtId="165" fontId="0" fillId="0" borderId="1" xfId="1" applyFont="1" applyBorder="1"/>
    <xf numFmtId="0" fontId="0" fillId="0" borderId="3" xfId="0" applyBorder="1"/>
    <xf numFmtId="0" fontId="0" fillId="0" borderId="5" xfId="0" applyBorder="1"/>
    <xf numFmtId="10" fontId="0" fillId="0" borderId="6" xfId="2" applyNumberFormat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/>
    <xf numFmtId="165" fontId="0" fillId="0" borderId="14" xfId="0" applyNumberFormat="1" applyBorder="1"/>
    <xf numFmtId="165" fontId="0" fillId="0" borderId="14" xfId="1" applyFont="1" applyBorder="1"/>
    <xf numFmtId="0" fontId="0" fillId="0" borderId="15" xfId="0" applyBorder="1"/>
    <xf numFmtId="165" fontId="0" fillId="0" borderId="17" xfId="1" applyFont="1" applyBorder="1"/>
    <xf numFmtId="0" fontId="0" fillId="0" borderId="18" xfId="0" applyBorder="1"/>
    <xf numFmtId="165" fontId="0" fillId="0" borderId="19" xfId="0" applyNumberFormat="1" applyBorder="1"/>
    <xf numFmtId="10" fontId="0" fillId="0" borderId="19" xfId="2" applyNumberFormat="1" applyFont="1" applyBorder="1"/>
    <xf numFmtId="0" fontId="2" fillId="0" borderId="2" xfId="0" applyFont="1" applyBorder="1"/>
    <xf numFmtId="0" fontId="2" fillId="0" borderId="4" xfId="0" applyFont="1" applyBorder="1"/>
    <xf numFmtId="165" fontId="0" fillId="0" borderId="3" xfId="1" applyFont="1" applyBorder="1"/>
    <xf numFmtId="165" fontId="0" fillId="0" borderId="16" xfId="1" applyFont="1" applyBorder="1"/>
    <xf numFmtId="0" fontId="0" fillId="3" borderId="0" xfId="0" applyFill="1"/>
    <xf numFmtId="0" fontId="2" fillId="0" borderId="8" xfId="0" applyFont="1" applyBorder="1"/>
    <xf numFmtId="165" fontId="0" fillId="0" borderId="9" xfId="1" applyFont="1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3" fillId="0" borderId="24" xfId="0" applyFont="1" applyBorder="1"/>
    <xf numFmtId="0" fontId="0" fillId="0" borderId="25" xfId="0" applyBorder="1"/>
    <xf numFmtId="0" fontId="3" fillId="0" borderId="18" xfId="0" applyFont="1" applyBorder="1"/>
    <xf numFmtId="0" fontId="3" fillId="0" borderId="19" xfId="0" applyFont="1" applyBorder="1"/>
    <xf numFmtId="0" fontId="4" fillId="0" borderId="0" xfId="0" applyFont="1"/>
    <xf numFmtId="14" fontId="0" fillId="0" borderId="26" xfId="0" applyNumberFormat="1" applyBorder="1"/>
    <xf numFmtId="165" fontId="0" fillId="0" borderId="0" xfId="1" applyFont="1" applyBorder="1"/>
    <xf numFmtId="9" fontId="0" fillId="0" borderId="27" xfId="0" applyNumberFormat="1" applyBorder="1"/>
    <xf numFmtId="14" fontId="0" fillId="0" borderId="23" xfId="0" applyNumberFormat="1" applyBorder="1"/>
    <xf numFmtId="9" fontId="0" fillId="0" borderId="25" xfId="0" applyNumberFormat="1" applyBorder="1"/>
    <xf numFmtId="14" fontId="0" fillId="0" borderId="18" xfId="0" applyNumberFormat="1" applyBorder="1"/>
    <xf numFmtId="9" fontId="0" fillId="0" borderId="19" xfId="0" applyNumberFormat="1" applyBorder="1"/>
    <xf numFmtId="165" fontId="0" fillId="0" borderId="7" xfId="1" applyFont="1" applyBorder="1"/>
    <xf numFmtId="165" fontId="0" fillId="0" borderId="29" xfId="1" applyFont="1" applyBorder="1"/>
    <xf numFmtId="165" fontId="0" fillId="0" borderId="30" xfId="1" applyFont="1" applyBorder="1"/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165" fontId="0" fillId="0" borderId="22" xfId="1" applyFont="1" applyBorder="1"/>
    <xf numFmtId="9" fontId="0" fillId="0" borderId="28" xfId="0" applyNumberFormat="1" applyBorder="1"/>
    <xf numFmtId="0" fontId="0" fillId="0" borderId="19" xfId="0" applyBorder="1"/>
    <xf numFmtId="0" fontId="0" fillId="0" borderId="7" xfId="0" applyBorder="1"/>
    <xf numFmtId="165" fontId="0" fillId="0" borderId="6" xfId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6" xfId="0" applyBorder="1"/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4" borderId="18" xfId="0" applyFill="1" applyBorder="1"/>
    <xf numFmtId="0" fontId="0" fillId="4" borderId="2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5" fillId="4" borderId="26" xfId="0" applyFont="1" applyFill="1" applyBorder="1"/>
    <xf numFmtId="0" fontId="0" fillId="4" borderId="31" xfId="0" applyFill="1" applyBorder="1"/>
    <xf numFmtId="0" fontId="0" fillId="4" borderId="0" xfId="0" applyFill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32" xfId="0" applyFill="1" applyBorder="1" applyAlignment="1">
      <alignment horizontal="center"/>
    </xf>
    <xf numFmtId="0" fontId="0" fillId="4" borderId="26" xfId="0" applyFill="1" applyBorder="1"/>
    <xf numFmtId="0" fontId="0" fillId="4" borderId="0" xfId="0" applyFill="1"/>
    <xf numFmtId="0" fontId="0" fillId="4" borderId="27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6" fillId="0" borderId="0" xfId="0" applyFont="1"/>
    <xf numFmtId="14" fontId="6" fillId="0" borderId="0" xfId="0" applyNumberFormat="1" applyFont="1"/>
    <xf numFmtId="0" fontId="6" fillId="0" borderId="31" xfId="0" applyFont="1" applyBorder="1"/>
    <xf numFmtId="0" fontId="6" fillId="0" borderId="0" xfId="0" applyFont="1" applyAlignment="1">
      <alignment horizontal="center"/>
    </xf>
    <xf numFmtId="0" fontId="2" fillId="0" borderId="20" xfId="0" applyFont="1" applyBorder="1"/>
    <xf numFmtId="0" fontId="2" fillId="0" borderId="26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166" fontId="0" fillId="0" borderId="19" xfId="0" applyNumberFormat="1" applyBorder="1"/>
    <xf numFmtId="0" fontId="2" fillId="2" borderId="0" xfId="0" applyFont="1" applyFill="1" applyAlignment="1">
      <alignment horizontal="center"/>
    </xf>
    <xf numFmtId="0" fontId="0" fillId="0" borderId="31" xfId="0" applyBorder="1"/>
    <xf numFmtId="14" fontId="0" fillId="0" borderId="0" xfId="0" applyNumberFormat="1"/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167" fontId="0" fillId="0" borderId="0" xfId="0" applyNumberFormat="1"/>
    <xf numFmtId="0" fontId="6" fillId="5" borderId="0" xfId="0" applyFont="1" applyFill="1"/>
    <xf numFmtId="168" fontId="0" fillId="0" borderId="0" xfId="0" applyNumberFormat="1"/>
    <xf numFmtId="169" fontId="0" fillId="0" borderId="0" xfId="0" applyNumberFormat="1"/>
    <xf numFmtId="169" fontId="0" fillId="0" borderId="0" xfId="2" applyNumberFormat="1" applyFont="1"/>
    <xf numFmtId="0" fontId="6" fillId="5" borderId="1" xfId="0" applyFont="1" applyFill="1" applyBorder="1"/>
    <xf numFmtId="168" fontId="6" fillId="0" borderId="1" xfId="0" applyNumberFormat="1" applyFont="1" applyBorder="1"/>
    <xf numFmtId="170" fontId="0" fillId="0" borderId="14" xfId="1" applyNumberFormat="1" applyFont="1" applyBorder="1"/>
    <xf numFmtId="167" fontId="0" fillId="3" borderId="0" xfId="2" applyNumberFormat="1" applyFont="1" applyFill="1"/>
    <xf numFmtId="165" fontId="8" fillId="0" borderId="0" xfId="0" applyNumberFormat="1" applyFont="1"/>
    <xf numFmtId="165" fontId="8" fillId="0" borderId="0" xfId="1" applyFont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33" xfId="0" applyFont="1" applyBorder="1"/>
    <xf numFmtId="165" fontId="0" fillId="0" borderId="0" xfId="1" applyFont="1" applyFill="1" applyBorder="1"/>
    <xf numFmtId="0" fontId="0" fillId="0" borderId="34" xfId="0" applyBorder="1"/>
    <xf numFmtId="10" fontId="0" fillId="0" borderId="1" xfId="0" applyNumberFormat="1" applyBorder="1"/>
    <xf numFmtId="10" fontId="0" fillId="0" borderId="1" xfId="2" applyNumberFormat="1" applyFont="1" applyBorder="1"/>
    <xf numFmtId="0" fontId="2" fillId="5" borderId="1" xfId="0" applyFont="1" applyFill="1" applyBorder="1"/>
    <xf numFmtId="0" fontId="2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2" applyFont="1" applyFill="1"/>
    <xf numFmtId="14" fontId="0" fillId="2" borderId="0" xfId="0" applyNumberFormat="1" applyFill="1"/>
    <xf numFmtId="167" fontId="0" fillId="0" borderId="19" xfId="2" applyNumberFormat="1" applyFont="1" applyBorder="1"/>
    <xf numFmtId="167" fontId="0" fillId="0" borderId="0" xfId="2" applyNumberFormat="1" applyFont="1"/>
    <xf numFmtId="165" fontId="0" fillId="0" borderId="0" xfId="1" applyFont="1"/>
    <xf numFmtId="165" fontId="2" fillId="2" borderId="0" xfId="0" applyNumberFormat="1" applyFont="1" applyFill="1"/>
    <xf numFmtId="0" fontId="2" fillId="2" borderId="0" xfId="0" applyFont="1" applyFill="1"/>
    <xf numFmtId="165" fontId="9" fillId="2" borderId="0" xfId="0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28</xdr:row>
      <xdr:rowOff>47625</xdr:rowOff>
    </xdr:from>
    <xdr:to>
      <xdr:col>7</xdr:col>
      <xdr:colOff>647700</xdr:colOff>
      <xdr:row>37</xdr:row>
      <xdr:rowOff>38100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34325" y="5600700"/>
          <a:ext cx="571500" cy="1724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26</xdr:row>
      <xdr:rowOff>28575</xdr:rowOff>
    </xdr:from>
    <xdr:to>
      <xdr:col>5</xdr:col>
      <xdr:colOff>161925</xdr:colOff>
      <xdr:row>29</xdr:row>
      <xdr:rowOff>123825</xdr:rowOff>
    </xdr:to>
    <xdr:sp macro="" textlink="">
      <xdr:nvSpPr>
        <xdr:cNvPr id="3" name="Corchet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30</xdr:row>
      <xdr:rowOff>76200</xdr:rowOff>
    </xdr:from>
    <xdr:to>
      <xdr:col>5</xdr:col>
      <xdr:colOff>323850</xdr:colOff>
      <xdr:row>33</xdr:row>
      <xdr:rowOff>171450</xdr:rowOff>
    </xdr:to>
    <xdr:sp macro="" textlink="">
      <xdr:nvSpPr>
        <xdr:cNvPr id="7" name="Corchet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000625" y="6019800"/>
          <a:ext cx="130492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34</xdr:row>
      <xdr:rowOff>28575</xdr:rowOff>
    </xdr:from>
    <xdr:to>
      <xdr:col>5</xdr:col>
      <xdr:colOff>161925</xdr:colOff>
      <xdr:row>37</xdr:row>
      <xdr:rowOff>123825</xdr:rowOff>
    </xdr:to>
    <xdr:sp macro="" textlink="">
      <xdr:nvSpPr>
        <xdr:cNvPr id="8" name="Corchet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6</xdr:col>
      <xdr:colOff>719538</xdr:colOff>
      <xdr:row>71</xdr:row>
      <xdr:rowOff>143566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372725"/>
          <a:ext cx="7035394" cy="3572566"/>
        </a:xfrm>
        <a:prstGeom prst="rect">
          <a:avLst/>
        </a:prstGeom>
      </xdr:spPr>
    </xdr:pic>
    <xdr:clientData/>
  </xdr:twoCellAnchor>
  <xdr:twoCellAnchor>
    <xdr:from>
      <xdr:col>1</xdr:col>
      <xdr:colOff>1674683</xdr:colOff>
      <xdr:row>78</xdr:row>
      <xdr:rowOff>62459</xdr:rowOff>
    </xdr:from>
    <xdr:to>
      <xdr:col>1</xdr:col>
      <xdr:colOff>1744949</xdr:colOff>
      <xdr:row>81</xdr:row>
      <xdr:rowOff>148340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B942A4A0-CAF6-43FA-865B-F302535A4507}"/>
            </a:ext>
          </a:extLst>
        </xdr:cNvPr>
        <xdr:cNvSpPr/>
      </xdr:nvSpPr>
      <xdr:spPr>
        <a:xfrm>
          <a:off x="2435902" y="15232193"/>
          <a:ext cx="70266" cy="65972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17</xdr:col>
      <xdr:colOff>750931</xdr:colOff>
      <xdr:row>34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C0118-7A6C-4940-AC86-7C33C440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1500"/>
          <a:ext cx="11714756" cy="6019800"/>
        </a:xfrm>
        <a:prstGeom prst="rect">
          <a:avLst/>
        </a:prstGeom>
      </xdr:spPr>
    </xdr:pic>
    <xdr:clientData/>
  </xdr:twoCellAnchor>
  <xdr:twoCellAnchor>
    <xdr:from>
      <xdr:col>8</xdr:col>
      <xdr:colOff>742950</xdr:colOff>
      <xdr:row>68</xdr:row>
      <xdr:rowOff>72390</xdr:rowOff>
    </xdr:from>
    <xdr:to>
      <xdr:col>9</xdr:col>
      <xdr:colOff>57150</xdr:colOff>
      <xdr:row>69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FB47571-7746-4DA1-ABE8-7309907BC25A}"/>
            </a:ext>
          </a:extLst>
        </xdr:cNvPr>
        <xdr:cNvCxnSpPr/>
      </xdr:nvCxnSpPr>
      <xdr:spPr>
        <a:xfrm>
          <a:off x="6838950" y="13083540"/>
          <a:ext cx="361950" cy="148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651510</xdr:colOff>
      <xdr:row>68</xdr:row>
      <xdr:rowOff>53340</xdr:rowOff>
    </xdr:from>
    <xdr:to>
      <xdr:col>6</xdr:col>
      <xdr:colOff>720090</xdr:colOff>
      <xdr:row>69</xdr:row>
      <xdr:rowOff>30480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7E079F85-71EB-408F-9747-A557BD8722BD}"/>
            </a:ext>
          </a:extLst>
        </xdr:cNvPr>
        <xdr:cNvCxnSpPr/>
      </xdr:nvCxnSpPr>
      <xdr:spPr>
        <a:xfrm rot="16200000" flipH="1">
          <a:off x="5173980" y="13114020"/>
          <a:ext cx="167640" cy="685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1803400</xdr:colOff>
      <xdr:row>5</xdr:row>
      <xdr:rowOff>139700</xdr:rowOff>
    </xdr:from>
    <xdr:to>
      <xdr:col>9</xdr:col>
      <xdr:colOff>609600</xdr:colOff>
      <xdr:row>8</xdr:row>
      <xdr:rowOff>57150</xdr:rowOff>
    </xdr:to>
    <xdr:cxnSp macro="">
      <xdr:nvCxnSpPr>
        <xdr:cNvPr id="3" name="Conector: curvado 2">
          <a:extLst>
            <a:ext uri="{FF2B5EF4-FFF2-40B4-BE49-F238E27FC236}">
              <a16:creationId xmlns:a16="http://schemas.microsoft.com/office/drawing/2014/main" id="{C6FE3387-30DB-4CEA-8D46-A0F77DA8B978}"/>
            </a:ext>
          </a:extLst>
        </xdr:cNvPr>
        <xdr:cNvCxnSpPr/>
      </xdr:nvCxnSpPr>
      <xdr:spPr>
        <a:xfrm flipV="1">
          <a:off x="9283700" y="1060450"/>
          <a:ext cx="825500" cy="4762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1885950</xdr:colOff>
      <xdr:row>12</xdr:row>
      <xdr:rowOff>101600</xdr:rowOff>
    </xdr:from>
    <xdr:to>
      <xdr:col>9</xdr:col>
      <xdr:colOff>654050</xdr:colOff>
      <xdr:row>14</xdr:row>
      <xdr:rowOff>107950</xdr:rowOff>
    </xdr:to>
    <xdr:cxnSp macro="">
      <xdr:nvCxnSpPr>
        <xdr:cNvPr id="5" name="Conector: curvado 4">
          <a:extLst>
            <a:ext uri="{FF2B5EF4-FFF2-40B4-BE49-F238E27FC236}">
              <a16:creationId xmlns:a16="http://schemas.microsoft.com/office/drawing/2014/main" id="{F94C7668-7039-46B3-BB02-6D8A63BEBE0F}"/>
            </a:ext>
          </a:extLst>
        </xdr:cNvPr>
        <xdr:cNvCxnSpPr/>
      </xdr:nvCxnSpPr>
      <xdr:spPr>
        <a:xfrm flipV="1">
          <a:off x="9366250" y="2336800"/>
          <a:ext cx="787400" cy="38100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1784350</xdr:colOff>
      <xdr:row>17</xdr:row>
      <xdr:rowOff>101600</xdr:rowOff>
    </xdr:from>
    <xdr:to>
      <xdr:col>10</xdr:col>
      <xdr:colOff>31750</xdr:colOff>
      <xdr:row>19</xdr:row>
      <xdr:rowOff>38100</xdr:rowOff>
    </xdr:to>
    <xdr:cxnSp macro="">
      <xdr:nvCxnSpPr>
        <xdr:cNvPr id="7" name="Conector: curvado 6">
          <a:extLst>
            <a:ext uri="{FF2B5EF4-FFF2-40B4-BE49-F238E27FC236}">
              <a16:creationId xmlns:a16="http://schemas.microsoft.com/office/drawing/2014/main" id="{26FCEE38-162C-4909-B710-B08406014F82}"/>
            </a:ext>
          </a:extLst>
        </xdr:cNvPr>
        <xdr:cNvCxnSpPr/>
      </xdr:nvCxnSpPr>
      <xdr:spPr>
        <a:xfrm flipV="1">
          <a:off x="9264650" y="3282950"/>
          <a:ext cx="1028700" cy="3111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zoomScale="85" zoomScaleNormal="85" workbookViewId="0"/>
  </sheetViews>
  <sheetFormatPr defaultColWidth="11.42578125" defaultRowHeight="15" x14ac:dyDescent="0.25"/>
  <cols>
    <col min="2" max="2" width="34.85546875" customWidth="1"/>
    <col min="4" max="4" width="17.140625" customWidth="1"/>
    <col min="5" max="5" width="17" customWidth="1"/>
    <col min="6" max="6" width="14.28515625" bestFit="1" customWidth="1"/>
    <col min="7" max="7" width="16.7109375" customWidth="1"/>
    <col min="9" max="9" width="20.5703125" customWidth="1"/>
    <col min="10" max="10" width="13" bestFit="1" customWidth="1"/>
    <col min="13" max="13" width="17.28515625" customWidth="1"/>
    <col min="18" max="18" width="18.5703125" customWidth="1"/>
  </cols>
  <sheetData>
    <row r="1" spans="1:25" ht="18.75" x14ac:dyDescent="0.3">
      <c r="C1" s="27" t="s">
        <v>16</v>
      </c>
      <c r="D1" s="28"/>
      <c r="E1" s="28"/>
      <c r="F1" s="29"/>
      <c r="G1" s="9" t="s">
        <v>10</v>
      </c>
      <c r="H1" s="10" t="s">
        <v>9</v>
      </c>
      <c r="I1" s="11" t="s">
        <v>11</v>
      </c>
      <c r="L1" s="27" t="s">
        <v>16</v>
      </c>
      <c r="M1" s="28"/>
      <c r="N1" s="28"/>
      <c r="O1" s="29"/>
      <c r="P1" s="9" t="s">
        <v>10</v>
      </c>
      <c r="Q1" s="10" t="s">
        <v>9</v>
      </c>
      <c r="R1" s="11" t="s">
        <v>11</v>
      </c>
    </row>
    <row r="2" spans="1:25" ht="19.5" thickBot="1" x14ac:dyDescent="0.35">
      <c r="C2" s="30" t="s">
        <v>17</v>
      </c>
      <c r="D2" s="31"/>
      <c r="E2" s="31"/>
      <c r="F2" s="32"/>
      <c r="G2" s="12">
        <v>0</v>
      </c>
      <c r="H2" s="4">
        <f>-I9</f>
        <v>-137.15131649960972</v>
      </c>
      <c r="I2" s="13"/>
      <c r="L2" s="30" t="s">
        <v>18</v>
      </c>
      <c r="M2" s="31"/>
      <c r="N2" s="31"/>
      <c r="O2" s="32"/>
      <c r="P2" s="12">
        <v>0</v>
      </c>
      <c r="Q2" s="4">
        <f>-R9</f>
        <v>-139.25269208925491</v>
      </c>
      <c r="R2" s="13"/>
      <c r="X2" s="58"/>
      <c r="Y2" s="58"/>
    </row>
    <row r="3" spans="1:25" x14ac:dyDescent="0.25">
      <c r="C3" s="25" t="s">
        <v>0</v>
      </c>
      <c r="D3" s="26">
        <v>100</v>
      </c>
      <c r="G3" s="12">
        <v>1</v>
      </c>
      <c r="H3" s="5">
        <f>100*0.2/2</f>
        <v>10</v>
      </c>
      <c r="I3" s="110">
        <f>+H3/(1+D7/2)^G3</f>
        <v>9.9850224663005491</v>
      </c>
      <c r="L3" s="25" t="s">
        <v>0</v>
      </c>
      <c r="M3" s="26">
        <v>100</v>
      </c>
      <c r="P3" s="12">
        <v>1</v>
      </c>
      <c r="Q3" s="5">
        <f>100*0.2/2</f>
        <v>10</v>
      </c>
      <c r="R3" s="14">
        <f>+Q3/(1+M7/2)^P3</f>
        <v>9.9850224663005491</v>
      </c>
      <c r="X3" s="58"/>
      <c r="Y3" s="58"/>
    </row>
    <row r="4" spans="1:25" x14ac:dyDescent="0.25">
      <c r="C4" s="20" t="s">
        <v>2</v>
      </c>
      <c r="D4" s="6">
        <v>2</v>
      </c>
      <c r="G4" s="12">
        <v>2</v>
      </c>
      <c r="H4" s="5">
        <f t="shared" ref="H4:H5" si="0">100*0.2/2</f>
        <v>10</v>
      </c>
      <c r="I4" s="110">
        <f t="shared" ref="I4:I5" si="1">+H4/(1+D8/2)^G4</f>
        <v>9.9303657924717399</v>
      </c>
      <c r="L4" s="20" t="s">
        <v>2</v>
      </c>
      <c r="M4" s="6">
        <v>2</v>
      </c>
      <c r="P4" s="12">
        <v>2</v>
      </c>
      <c r="Q4" s="5">
        <f t="shared" ref="Q4:Q6" si="2">+H4</f>
        <v>10</v>
      </c>
      <c r="R4" s="14">
        <f t="shared" ref="R4:R6" si="3">+Q4/(1+M8/2)^P4</f>
        <v>9.9700673652526675</v>
      </c>
      <c r="X4" s="58"/>
      <c r="Y4" s="58"/>
    </row>
    <row r="5" spans="1:25" x14ac:dyDescent="0.25">
      <c r="C5" s="21" t="s">
        <v>1</v>
      </c>
      <c r="D5" s="7">
        <v>2</v>
      </c>
      <c r="G5" s="12">
        <v>3</v>
      </c>
      <c r="H5" s="5">
        <f t="shared" si="0"/>
        <v>10</v>
      </c>
      <c r="I5" s="110">
        <f t="shared" si="1"/>
        <v>9.8367984987101718</v>
      </c>
      <c r="L5" s="21" t="s">
        <v>1</v>
      </c>
      <c r="M5" s="7">
        <v>2</v>
      </c>
      <c r="P5" s="12">
        <v>3</v>
      </c>
      <c r="Q5" s="5">
        <f t="shared" si="2"/>
        <v>10</v>
      </c>
      <c r="R5" s="14">
        <f t="shared" si="3"/>
        <v>9.9551346632577804</v>
      </c>
      <c r="X5" s="58"/>
      <c r="Y5" s="58"/>
    </row>
    <row r="6" spans="1:25" ht="15.75" thickBot="1" x14ac:dyDescent="0.3">
      <c r="C6" s="20" t="s">
        <v>3</v>
      </c>
      <c r="D6" s="8">
        <v>0.2</v>
      </c>
      <c r="E6" s="6" t="s">
        <v>8</v>
      </c>
      <c r="G6" s="15">
        <v>4</v>
      </c>
      <c r="H6" s="5">
        <f>100+H4</f>
        <v>110</v>
      </c>
      <c r="I6" s="110">
        <f>+H6/(1+D10/2)^G6</f>
        <v>107.39912974212727</v>
      </c>
      <c r="L6" s="20" t="s">
        <v>3</v>
      </c>
      <c r="M6" s="8">
        <v>0.2</v>
      </c>
      <c r="N6" s="6" t="s">
        <v>8</v>
      </c>
      <c r="P6" s="15">
        <v>4</v>
      </c>
      <c r="Q6" s="5">
        <f t="shared" si="2"/>
        <v>110</v>
      </c>
      <c r="R6" s="14">
        <f t="shared" si="3"/>
        <v>109.3424675944439</v>
      </c>
      <c r="X6" s="58"/>
      <c r="Y6" s="58"/>
    </row>
    <row r="7" spans="1:25" ht="15.75" thickBot="1" x14ac:dyDescent="0.3">
      <c r="C7" s="20" t="s">
        <v>4</v>
      </c>
      <c r="D7" s="8">
        <v>3.0000000000000001E-3</v>
      </c>
      <c r="E7" s="6" t="s">
        <v>8</v>
      </c>
      <c r="H7" s="17" t="s">
        <v>12</v>
      </c>
      <c r="I7" s="18">
        <f>SUM(I3:I6)</f>
        <v>137.15131649960972</v>
      </c>
      <c r="L7" s="20" t="s">
        <v>4</v>
      </c>
      <c r="M7" s="8">
        <v>3.0000000000000001E-3</v>
      </c>
      <c r="N7" s="6" t="s">
        <v>8</v>
      </c>
      <c r="Q7" s="17" t="s">
        <v>12</v>
      </c>
      <c r="R7" s="18">
        <f>SUM(R3:R6)</f>
        <v>139.25269208925491</v>
      </c>
      <c r="X7" s="58"/>
      <c r="Y7" s="58"/>
    </row>
    <row r="8" spans="1:25" x14ac:dyDescent="0.25">
      <c r="C8" s="20" t="s">
        <v>5</v>
      </c>
      <c r="D8" s="8">
        <v>7.0000000000000001E-3</v>
      </c>
      <c r="E8" s="6" t="s">
        <v>8</v>
      </c>
      <c r="L8" s="20" t="s">
        <v>5</v>
      </c>
      <c r="M8" s="8">
        <f>+M7</f>
        <v>3.0000000000000001E-3</v>
      </c>
      <c r="N8" s="6" t="s">
        <v>8</v>
      </c>
      <c r="X8" s="58"/>
      <c r="Y8" s="58"/>
    </row>
    <row r="9" spans="1:25" x14ac:dyDescent="0.25">
      <c r="C9" s="20" t="s">
        <v>6</v>
      </c>
      <c r="D9" s="8">
        <v>1.0999999999999999E-2</v>
      </c>
      <c r="E9" s="6" t="s">
        <v>8</v>
      </c>
      <c r="G9" t="s">
        <v>34</v>
      </c>
      <c r="I9" s="2">
        <f>+I7</f>
        <v>137.15131649960972</v>
      </c>
      <c r="L9" s="20" t="s">
        <v>6</v>
      </c>
      <c r="M9" s="8">
        <f>+M8</f>
        <v>3.0000000000000001E-3</v>
      </c>
      <c r="N9" s="6" t="s">
        <v>8</v>
      </c>
      <c r="P9" t="s">
        <v>34</v>
      </c>
      <c r="R9" s="2">
        <f>+R7</f>
        <v>139.25269208925491</v>
      </c>
      <c r="X9" s="58"/>
      <c r="Y9" s="58"/>
    </row>
    <row r="10" spans="1:25" x14ac:dyDescent="0.25">
      <c r="C10" s="20" t="s">
        <v>7</v>
      </c>
      <c r="D10" s="8">
        <v>1.2E-2</v>
      </c>
      <c r="E10" s="6" t="s">
        <v>8</v>
      </c>
      <c r="G10" t="s">
        <v>35</v>
      </c>
      <c r="H10" t="s">
        <v>85</v>
      </c>
      <c r="I10" s="103">
        <f>+IRR(H2:H6)</f>
        <v>5.7765546108550225E-3</v>
      </c>
      <c r="L10" s="20" t="s">
        <v>7</v>
      </c>
      <c r="M10" s="8">
        <f>+M9</f>
        <v>3.0000000000000001E-3</v>
      </c>
      <c r="N10" s="6" t="s">
        <v>8</v>
      </c>
      <c r="P10" t="s">
        <v>35</v>
      </c>
      <c r="R10" s="103">
        <f>+IRR(Q2:Q6)</f>
        <v>1.5000000035394478E-3</v>
      </c>
      <c r="X10" s="58"/>
      <c r="Y10" s="58"/>
    </row>
    <row r="11" spans="1:25" x14ac:dyDescent="0.25">
      <c r="A11" s="24"/>
      <c r="B11" s="24"/>
      <c r="C11" s="24"/>
      <c r="D11" s="24"/>
      <c r="E11" s="24"/>
      <c r="F11" s="24"/>
      <c r="G11" s="24"/>
      <c r="H11" s="24" t="s">
        <v>86</v>
      </c>
      <c r="I11" s="111">
        <f>2*I10</f>
        <v>1.1553109221710045E-2</v>
      </c>
      <c r="J11" s="24"/>
      <c r="K11" s="24"/>
      <c r="L11" s="24"/>
      <c r="M11" s="24"/>
      <c r="N11" s="24"/>
      <c r="O11" s="24"/>
      <c r="P11" s="24"/>
      <c r="Q11" s="24" t="s">
        <v>86</v>
      </c>
      <c r="R11" s="111">
        <f>2*R10</f>
        <v>3.0000000070788957E-3</v>
      </c>
      <c r="S11" s="24"/>
      <c r="T11" s="24"/>
      <c r="U11" s="24"/>
      <c r="V11" s="24"/>
      <c r="X11" s="58"/>
      <c r="Y11" s="58"/>
    </row>
    <row r="12" spans="1:25" x14ac:dyDescent="0.25">
      <c r="O12" t="s">
        <v>87</v>
      </c>
      <c r="X12" s="58"/>
      <c r="Y12" s="58"/>
    </row>
    <row r="13" spans="1:25" ht="15.75" thickBot="1" x14ac:dyDescent="0.3">
      <c r="O13" t="s">
        <v>88</v>
      </c>
      <c r="X13" s="58"/>
      <c r="Y13" s="58"/>
    </row>
    <row r="14" spans="1:25" ht="19.5" thickBot="1" x14ac:dyDescent="0.35">
      <c r="C14" s="33" t="s">
        <v>15</v>
      </c>
      <c r="D14" s="34"/>
      <c r="G14" s="9" t="s">
        <v>10</v>
      </c>
      <c r="H14" s="10" t="s">
        <v>9</v>
      </c>
      <c r="I14" s="11" t="s">
        <v>11</v>
      </c>
      <c r="O14" t="s">
        <v>89</v>
      </c>
    </row>
    <row r="15" spans="1:25" x14ac:dyDescent="0.25">
      <c r="C15" s="25" t="s">
        <v>0</v>
      </c>
      <c r="D15" s="26">
        <v>100</v>
      </c>
      <c r="G15" s="12">
        <v>0</v>
      </c>
      <c r="H15" s="4"/>
      <c r="I15" s="13"/>
    </row>
    <row r="16" spans="1:25" x14ac:dyDescent="0.25">
      <c r="C16" s="20" t="s">
        <v>2</v>
      </c>
      <c r="D16" s="6">
        <v>2</v>
      </c>
      <c r="G16" s="12">
        <v>1</v>
      </c>
      <c r="H16" s="5"/>
      <c r="I16" s="14"/>
    </row>
    <row r="17" spans="1:22" x14ac:dyDescent="0.25">
      <c r="C17" s="21" t="s">
        <v>1</v>
      </c>
      <c r="D17" s="7">
        <v>2</v>
      </c>
      <c r="G17" s="12">
        <v>2</v>
      </c>
      <c r="H17" s="5"/>
      <c r="I17" s="14"/>
    </row>
    <row r="18" spans="1:22" x14ac:dyDescent="0.25">
      <c r="C18" s="20" t="s">
        <v>3</v>
      </c>
      <c r="D18" s="8">
        <v>0</v>
      </c>
      <c r="E18" s="6" t="s">
        <v>8</v>
      </c>
      <c r="G18" s="12">
        <v>3</v>
      </c>
      <c r="H18" s="5"/>
      <c r="I18" s="14"/>
    </row>
    <row r="19" spans="1:22" ht="15.75" thickBot="1" x14ac:dyDescent="0.3">
      <c r="C19" s="20" t="s">
        <v>4</v>
      </c>
      <c r="D19" s="8">
        <f>+D7</f>
        <v>3.0000000000000001E-3</v>
      </c>
      <c r="E19" s="6" t="s">
        <v>8</v>
      </c>
      <c r="G19" s="15">
        <v>4</v>
      </c>
      <c r="H19" s="23">
        <f>+D15</f>
        <v>100</v>
      </c>
      <c r="I19" s="16"/>
    </row>
    <row r="20" spans="1:22" ht="15.75" thickBot="1" x14ac:dyDescent="0.3">
      <c r="C20" s="20" t="s">
        <v>5</v>
      </c>
      <c r="D20" s="8">
        <f t="shared" ref="D20:D22" si="4">+D8</f>
        <v>7.0000000000000001E-3</v>
      </c>
      <c r="E20" s="6" t="s">
        <v>8</v>
      </c>
      <c r="H20" s="17" t="s">
        <v>12</v>
      </c>
      <c r="I20" s="18"/>
    </row>
    <row r="21" spans="1:22" x14ac:dyDescent="0.25">
      <c r="C21" s="20" t="s">
        <v>6</v>
      </c>
      <c r="D21" s="8">
        <f t="shared" si="4"/>
        <v>1.0999999999999999E-2</v>
      </c>
      <c r="E21" s="6" t="s">
        <v>8</v>
      </c>
    </row>
    <row r="22" spans="1:22" x14ac:dyDescent="0.25">
      <c r="C22" s="20" t="s">
        <v>7</v>
      </c>
      <c r="D22" s="8">
        <f t="shared" si="4"/>
        <v>1.2E-2</v>
      </c>
      <c r="E22" s="6" t="s">
        <v>8</v>
      </c>
      <c r="G22" t="s">
        <v>34</v>
      </c>
      <c r="I22" s="2">
        <f>+I20</f>
        <v>0</v>
      </c>
    </row>
    <row r="23" spans="1:22" x14ac:dyDescent="0.25">
      <c r="G23" t="s">
        <v>35</v>
      </c>
    </row>
    <row r="25" spans="1:2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thickBot="1" x14ac:dyDescent="0.3"/>
    <row r="27" spans="1:22" x14ac:dyDescent="0.25">
      <c r="C27" s="90"/>
      <c r="D27" s="28"/>
      <c r="E27" s="28"/>
      <c r="F27" s="28"/>
      <c r="G27" s="29"/>
    </row>
    <row r="28" spans="1:22" x14ac:dyDescent="0.25">
      <c r="B28" t="s">
        <v>42</v>
      </c>
      <c r="C28" s="91" t="s">
        <v>43</v>
      </c>
      <c r="D28" s="59" t="s">
        <v>44</v>
      </c>
      <c r="E28" s="96" t="s">
        <v>67</v>
      </c>
      <c r="F28" s="60" t="s">
        <v>37</v>
      </c>
      <c r="G28" s="63" t="s">
        <v>45</v>
      </c>
      <c r="H28" s="92" t="s">
        <v>63</v>
      </c>
      <c r="I28" s="93"/>
    </row>
    <row r="29" spans="1:22" x14ac:dyDescent="0.25">
      <c r="C29" s="62"/>
      <c r="D29" s="60" t="s">
        <v>46</v>
      </c>
      <c r="E29" t="s">
        <v>68</v>
      </c>
      <c r="G29" s="64" t="s">
        <v>47</v>
      </c>
    </row>
    <row r="30" spans="1:22" ht="15.75" thickBot="1" x14ac:dyDescent="0.3">
      <c r="C30" s="65"/>
      <c r="D30" s="66"/>
      <c r="E30" s="66"/>
      <c r="F30" s="66"/>
      <c r="G30" s="32"/>
    </row>
    <row r="31" spans="1:22" x14ac:dyDescent="0.25">
      <c r="C31" s="49"/>
      <c r="D31" s="28"/>
      <c r="E31" s="28"/>
      <c r="F31" s="28"/>
      <c r="G31" s="29"/>
    </row>
    <row r="32" spans="1:22" x14ac:dyDescent="0.25">
      <c r="B32" t="s">
        <v>48</v>
      </c>
      <c r="C32" s="91" t="s">
        <v>49</v>
      </c>
      <c r="D32" s="59" t="s">
        <v>44</v>
      </c>
      <c r="E32" s="96" t="s">
        <v>69</v>
      </c>
      <c r="F32" s="60" t="s">
        <v>37</v>
      </c>
      <c r="G32" s="63" t="s">
        <v>45</v>
      </c>
    </row>
    <row r="33" spans="2:15" x14ac:dyDescent="0.25">
      <c r="C33" s="62"/>
      <c r="D33" s="60" t="s">
        <v>46</v>
      </c>
      <c r="E33" t="s">
        <v>70</v>
      </c>
      <c r="G33" s="64" t="s">
        <v>50</v>
      </c>
      <c r="I33" s="56" t="s">
        <v>64</v>
      </c>
      <c r="J33" s="56"/>
      <c r="K33" s="56"/>
      <c r="L33" s="56"/>
    </row>
    <row r="34" spans="2:15" ht="15.75" thickBot="1" x14ac:dyDescent="0.3">
      <c r="C34" s="65"/>
      <c r="D34" s="66"/>
      <c r="E34" s="66"/>
      <c r="F34" s="66"/>
      <c r="G34" s="32"/>
    </row>
    <row r="35" spans="2:15" x14ac:dyDescent="0.25">
      <c r="C35" s="49"/>
      <c r="D35" s="28"/>
      <c r="E35" s="28"/>
      <c r="F35" s="28"/>
      <c r="G35" s="29"/>
    </row>
    <row r="36" spans="2:15" x14ac:dyDescent="0.25">
      <c r="B36" t="s">
        <v>51</v>
      </c>
      <c r="C36" s="91" t="s">
        <v>0</v>
      </c>
      <c r="D36" s="59" t="s">
        <v>44</v>
      </c>
      <c r="E36" s="96" t="s">
        <v>71</v>
      </c>
      <c r="F36" s="60" t="s">
        <v>37</v>
      </c>
      <c r="G36" s="63" t="s">
        <v>45</v>
      </c>
    </row>
    <row r="37" spans="2:15" x14ac:dyDescent="0.25">
      <c r="B37" t="s">
        <v>52</v>
      </c>
      <c r="C37" s="62"/>
      <c r="D37" s="60" t="s">
        <v>46</v>
      </c>
      <c r="E37" t="s">
        <v>72</v>
      </c>
      <c r="G37" s="64" t="s">
        <v>53</v>
      </c>
    </row>
    <row r="38" spans="2:15" ht="15.75" thickBot="1" x14ac:dyDescent="0.3">
      <c r="C38" s="65"/>
      <c r="D38" s="66"/>
      <c r="E38" s="66"/>
      <c r="F38" s="66"/>
      <c r="G38" s="32"/>
    </row>
    <row r="41" spans="2:15" ht="15.75" thickBot="1" x14ac:dyDescent="0.3"/>
    <row r="42" spans="2:15" ht="15.75" thickBot="1" x14ac:dyDescent="0.3">
      <c r="C42" s="67" t="s">
        <v>54</v>
      </c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5" x14ac:dyDescent="0.25">
      <c r="C43" s="70"/>
      <c r="D43" s="71"/>
      <c r="E43" s="72"/>
      <c r="F43" s="72"/>
      <c r="G43" s="72"/>
      <c r="H43" s="72"/>
      <c r="I43" s="71"/>
      <c r="J43" s="71"/>
      <c r="K43" s="71"/>
      <c r="L43" s="71"/>
      <c r="M43" s="73"/>
    </row>
    <row r="44" spans="2:15" x14ac:dyDescent="0.25">
      <c r="C44" s="74" t="s">
        <v>44</v>
      </c>
      <c r="D44" s="75" t="s">
        <v>55</v>
      </c>
      <c r="E44" s="76" t="s">
        <v>37</v>
      </c>
      <c r="F44" s="77" t="s">
        <v>45</v>
      </c>
      <c r="G44" s="76" t="s">
        <v>56</v>
      </c>
      <c r="H44" s="78" t="s">
        <v>57</v>
      </c>
      <c r="I44" s="77" t="s">
        <v>53</v>
      </c>
      <c r="J44" s="76" t="s">
        <v>58</v>
      </c>
      <c r="K44" s="77" t="s">
        <v>45</v>
      </c>
      <c r="L44" s="76" t="s">
        <v>37</v>
      </c>
      <c r="M44" s="79" t="s">
        <v>45</v>
      </c>
      <c r="N44" s="60" t="s">
        <v>56</v>
      </c>
      <c r="O44" s="60" t="s">
        <v>45</v>
      </c>
    </row>
    <row r="45" spans="2:15" x14ac:dyDescent="0.25">
      <c r="C45" s="80" t="s">
        <v>46</v>
      </c>
      <c r="D45" s="81" t="s">
        <v>59</v>
      </c>
      <c r="E45" s="81"/>
      <c r="F45" s="81" t="s">
        <v>53</v>
      </c>
      <c r="G45" s="81"/>
      <c r="H45" s="81"/>
      <c r="I45" s="76" t="str">
        <f>+I44</f>
        <v>(1+T.C./m)^mn</v>
      </c>
      <c r="J45" s="81"/>
      <c r="K45" s="81" t="str">
        <f>+I45</f>
        <v>(1+T.C./m)^mn</v>
      </c>
      <c r="L45" s="81"/>
      <c r="M45" s="82" t="s">
        <v>53</v>
      </c>
    </row>
    <row r="46" spans="2:15" ht="15.75" thickBot="1" x14ac:dyDescent="0.3"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5"/>
    </row>
    <row r="47" spans="2:15" x14ac:dyDescent="0.25">
      <c r="B47" t="s">
        <v>60</v>
      </c>
    </row>
    <row r="48" spans="2:15" x14ac:dyDescent="0.25">
      <c r="B48" t="s">
        <v>61</v>
      </c>
      <c r="J48" t="s">
        <v>142</v>
      </c>
    </row>
    <row r="49" spans="2:11" x14ac:dyDescent="0.25">
      <c r="B49" t="s">
        <v>62</v>
      </c>
      <c r="J49" t="s">
        <v>143</v>
      </c>
    </row>
    <row r="50" spans="2:11" x14ac:dyDescent="0.25">
      <c r="J50" t="s">
        <v>144</v>
      </c>
    </row>
    <row r="52" spans="2:11" x14ac:dyDescent="0.25">
      <c r="B52" s="56"/>
      <c r="C52" s="56"/>
      <c r="D52" s="56"/>
      <c r="E52" s="56"/>
      <c r="J52" t="s">
        <v>145</v>
      </c>
      <c r="K52" s="58">
        <f>PV(0.1/2,0,100*0.1/2,100)</f>
        <v>-100</v>
      </c>
    </row>
    <row r="55" spans="2:11" x14ac:dyDescent="0.25">
      <c r="C55" s="86"/>
      <c r="D55" s="86"/>
      <c r="E55" s="86"/>
      <c r="F55" s="86"/>
      <c r="G55" s="86"/>
      <c r="H55" s="86"/>
      <c r="I55" s="86"/>
    </row>
    <row r="56" spans="2:11" x14ac:dyDescent="0.25">
      <c r="C56" s="87"/>
      <c r="D56" s="86"/>
      <c r="E56" s="86"/>
      <c r="F56" s="86"/>
      <c r="G56" s="86"/>
      <c r="H56" s="86"/>
      <c r="I56" s="86"/>
    </row>
    <row r="57" spans="2:11" x14ac:dyDescent="0.25">
      <c r="C57" s="87"/>
      <c r="D57" s="86"/>
      <c r="E57" s="86"/>
      <c r="F57" s="86"/>
      <c r="G57" s="86"/>
      <c r="H57" s="86"/>
      <c r="I57" s="86"/>
    </row>
    <row r="58" spans="2:11" x14ac:dyDescent="0.25">
      <c r="C58" s="87"/>
      <c r="D58" s="86"/>
      <c r="E58" s="86"/>
      <c r="F58" s="86"/>
      <c r="G58" s="86"/>
      <c r="H58" s="86"/>
      <c r="I58" s="86"/>
    </row>
    <row r="59" spans="2:11" x14ac:dyDescent="0.25">
      <c r="C59" s="87"/>
      <c r="D59" s="86"/>
      <c r="E59" s="86"/>
      <c r="F59" s="86"/>
      <c r="G59" s="86"/>
      <c r="H59" s="86"/>
      <c r="I59" s="86"/>
    </row>
    <row r="60" spans="2:11" x14ac:dyDescent="0.25">
      <c r="C60" s="87"/>
      <c r="D60" s="86"/>
      <c r="E60" s="86"/>
      <c r="F60" s="86"/>
      <c r="G60" s="86"/>
      <c r="H60" s="86"/>
      <c r="I60" s="86"/>
    </row>
    <row r="61" spans="2:11" x14ac:dyDescent="0.25">
      <c r="C61" s="87"/>
      <c r="D61" s="86"/>
      <c r="E61" s="86"/>
      <c r="F61" s="86"/>
      <c r="G61" s="86"/>
      <c r="H61" s="86"/>
      <c r="I61" s="86"/>
    </row>
    <row r="62" spans="2:11" x14ac:dyDescent="0.25">
      <c r="C62" s="87"/>
      <c r="D62" s="86"/>
      <c r="E62" s="86"/>
      <c r="F62" s="86"/>
      <c r="G62" s="86"/>
      <c r="H62" s="86"/>
      <c r="I62" s="86"/>
    </row>
    <row r="63" spans="2:11" x14ac:dyDescent="0.25">
      <c r="C63" s="87"/>
      <c r="D63" s="86"/>
      <c r="E63" s="86"/>
      <c r="F63" s="86"/>
      <c r="G63" s="86"/>
      <c r="H63" s="86"/>
      <c r="I63" s="86"/>
    </row>
    <row r="64" spans="2:11" x14ac:dyDescent="0.25">
      <c r="C64" s="87"/>
      <c r="D64" s="86"/>
      <c r="E64" s="86"/>
      <c r="F64" s="86"/>
      <c r="G64" s="86"/>
      <c r="H64" s="86"/>
      <c r="I64" s="86"/>
    </row>
    <row r="65" spans="2:10" x14ac:dyDescent="0.25">
      <c r="C65" s="87"/>
      <c r="D65" s="86"/>
      <c r="E65" s="86"/>
      <c r="F65" s="86"/>
      <c r="G65" s="86"/>
      <c r="H65" s="86"/>
      <c r="I65" s="86"/>
    </row>
    <row r="66" spans="2:10" x14ac:dyDescent="0.25">
      <c r="C66" s="86"/>
      <c r="D66" s="86"/>
      <c r="E66" s="86"/>
      <c r="F66" s="86"/>
      <c r="G66" s="86"/>
      <c r="H66" s="86"/>
      <c r="I66" s="86"/>
    </row>
    <row r="67" spans="2:10" x14ac:dyDescent="0.25">
      <c r="C67" s="86"/>
      <c r="D67" s="86"/>
      <c r="E67" s="86"/>
      <c r="F67" s="86"/>
      <c r="G67" s="86"/>
      <c r="H67" s="86"/>
      <c r="I67" s="86"/>
    </row>
    <row r="68" spans="2:10" x14ac:dyDescent="0.25">
      <c r="C68" s="86"/>
      <c r="D68" s="86"/>
      <c r="E68" s="86"/>
      <c r="F68" s="86"/>
      <c r="G68" s="86"/>
      <c r="H68" s="86"/>
      <c r="I68" s="86"/>
    </row>
    <row r="69" spans="2:10" x14ac:dyDescent="0.25">
      <c r="C69" s="86"/>
      <c r="D69" s="86"/>
      <c r="E69" s="86"/>
      <c r="F69" s="88"/>
      <c r="G69" s="86"/>
      <c r="H69" s="86"/>
      <c r="I69" s="86"/>
    </row>
    <row r="70" spans="2:10" x14ac:dyDescent="0.25">
      <c r="C70" s="86"/>
      <c r="D70" s="86"/>
      <c r="E70" s="86"/>
      <c r="F70" s="86"/>
      <c r="G70" s="86"/>
      <c r="H70" s="86"/>
      <c r="I70" s="86"/>
    </row>
    <row r="71" spans="2:10" x14ac:dyDescent="0.25">
      <c r="C71" s="86"/>
      <c r="D71" s="86"/>
      <c r="E71" s="86"/>
      <c r="F71" s="86"/>
      <c r="G71" s="86"/>
      <c r="H71" s="86"/>
      <c r="I71" s="86"/>
    </row>
    <row r="72" spans="2:10" x14ac:dyDescent="0.25">
      <c r="C72" s="86"/>
      <c r="D72" s="86"/>
      <c r="E72" s="86"/>
      <c r="F72" s="89"/>
      <c r="G72" s="86"/>
      <c r="H72" s="86"/>
      <c r="I72" s="86"/>
    </row>
    <row r="73" spans="2:10" x14ac:dyDescent="0.25">
      <c r="C73" s="98" t="s">
        <v>76</v>
      </c>
      <c r="D73" s="98"/>
      <c r="E73" s="98"/>
      <c r="F73" s="104"/>
      <c r="G73" s="104"/>
      <c r="H73" s="104"/>
      <c r="I73" s="86" t="s">
        <v>83</v>
      </c>
      <c r="J73" s="105">
        <f>+SUM(G76:G78)</f>
        <v>100.91256373153797</v>
      </c>
    </row>
    <row r="74" spans="2:10" x14ac:dyDescent="0.25">
      <c r="B74" s="60" t="s">
        <v>26</v>
      </c>
      <c r="C74" s="99" t="s">
        <v>73</v>
      </c>
      <c r="D74" s="99" t="s">
        <v>74</v>
      </c>
      <c r="E74" s="99" t="s">
        <v>75</v>
      </c>
      <c r="F74" s="108" t="s">
        <v>84</v>
      </c>
      <c r="G74" s="104"/>
      <c r="H74" s="104"/>
      <c r="I74" s="86"/>
    </row>
    <row r="75" spans="2:10" x14ac:dyDescent="0.25">
      <c r="B75" s="97">
        <v>44104</v>
      </c>
      <c r="C75" s="100">
        <f>-100/(1+0.0016/2)</f>
        <v>-99.920063948840934</v>
      </c>
      <c r="D75" s="100">
        <f>-100/(1+0.0028/2)^2</f>
        <v>-99.720586904317557</v>
      </c>
      <c r="E75" s="100">
        <f>-100/(1+0.0039/2)^3</f>
        <v>-99.417274106754491</v>
      </c>
      <c r="F75" s="109">
        <f>-J73</f>
        <v>-100.91256373153797</v>
      </c>
      <c r="G75" s="86"/>
      <c r="H75" s="86"/>
      <c r="I75" s="86"/>
    </row>
    <row r="76" spans="2:10" x14ac:dyDescent="0.25">
      <c r="B76" s="97">
        <v>44285</v>
      </c>
      <c r="C76" s="101">
        <v>100</v>
      </c>
      <c r="D76" s="101">
        <v>0</v>
      </c>
      <c r="E76" s="101">
        <v>0</v>
      </c>
      <c r="F76" s="101">
        <f>0.01*100/2</f>
        <v>0.5</v>
      </c>
      <c r="G76" s="105">
        <f>+F76/(1+C79)^1</f>
        <v>0.49960031974420466</v>
      </c>
    </row>
    <row r="77" spans="2:10" x14ac:dyDescent="0.25">
      <c r="B77" s="97">
        <v>44469</v>
      </c>
      <c r="C77" s="101"/>
      <c r="D77" s="101">
        <v>100</v>
      </c>
      <c r="E77" s="101">
        <v>0</v>
      </c>
      <c r="F77" s="101">
        <f>100*0.01/2</f>
        <v>0.5</v>
      </c>
      <c r="G77">
        <f>+F77/(1+D80/2)^2</f>
        <v>0.49860293452158777</v>
      </c>
    </row>
    <row r="78" spans="2:10" x14ac:dyDescent="0.25">
      <c r="B78" s="97">
        <v>44650</v>
      </c>
      <c r="C78" s="101"/>
      <c r="D78" s="101"/>
      <c r="E78" s="101">
        <v>100</v>
      </c>
      <c r="F78" s="101">
        <f>+F77+100</f>
        <v>100.5</v>
      </c>
      <c r="G78">
        <f>+F78/(1+E80/2)^3</f>
        <v>99.914360477272183</v>
      </c>
    </row>
    <row r="79" spans="2:10" x14ac:dyDescent="0.25">
      <c r="B79" s="102" t="s">
        <v>77</v>
      </c>
      <c r="C79" s="103">
        <f>+IRR(C75:C78)</f>
        <v>7.9999999999991189E-4</v>
      </c>
      <c r="D79" s="103">
        <f t="shared" ref="D79:F79" si="5">+IRR(D75:D78)</f>
        <v>1.4000000000000679E-3</v>
      </c>
      <c r="E79" s="106">
        <f t="shared" si="5"/>
        <v>1.9500000000536311E-3</v>
      </c>
      <c r="F79" s="106">
        <f t="shared" si="5"/>
        <v>1.946272568963181E-3</v>
      </c>
    </row>
    <row r="80" spans="2:10" x14ac:dyDescent="0.25">
      <c r="B80" s="102" t="s">
        <v>78</v>
      </c>
      <c r="C80" s="1">
        <f>2*C79</f>
        <v>1.5999999999998238E-3</v>
      </c>
      <c r="D80" s="1">
        <f t="shared" ref="D80:F80" si="6">2*D79</f>
        <v>2.8000000000001357E-3</v>
      </c>
      <c r="E80" s="107">
        <f t="shared" si="6"/>
        <v>3.9000000001072621E-3</v>
      </c>
      <c r="F80" s="107">
        <f t="shared" si="6"/>
        <v>3.892545137926362E-3</v>
      </c>
    </row>
    <row r="81" spans="2:16" x14ac:dyDescent="0.25">
      <c r="B81" s="56" t="s">
        <v>79</v>
      </c>
      <c r="C81" s="60" t="s">
        <v>80</v>
      </c>
      <c r="D81" s="60" t="s">
        <v>81</v>
      </c>
      <c r="E81" s="60" t="s">
        <v>82</v>
      </c>
    </row>
    <row r="85" spans="2:16" x14ac:dyDescent="0.25">
      <c r="J85">
        <v>-120</v>
      </c>
      <c r="L85" t="s">
        <v>146</v>
      </c>
      <c r="M85" t="s">
        <v>147</v>
      </c>
      <c r="N85" t="s">
        <v>148</v>
      </c>
      <c r="O85" t="s">
        <v>149</v>
      </c>
      <c r="P85" t="s">
        <v>150</v>
      </c>
    </row>
    <row r="86" spans="2:16" x14ac:dyDescent="0.25">
      <c r="J86">
        <v>20</v>
      </c>
      <c r="L86">
        <v>1</v>
      </c>
      <c r="M86">
        <v>120</v>
      </c>
      <c r="N86">
        <f>+J89*M86</f>
        <v>8.6235674858823685</v>
      </c>
      <c r="O86">
        <f>+P86-N86</f>
        <v>11.376432514117631</v>
      </c>
      <c r="P86">
        <v>20</v>
      </c>
    </row>
    <row r="87" spans="2:16" x14ac:dyDescent="0.25">
      <c r="J87">
        <v>25</v>
      </c>
      <c r="L87">
        <v>2</v>
      </c>
      <c r="M87">
        <f>+M86-O86</f>
        <v>108.62356748588238</v>
      </c>
      <c r="N87">
        <f>+M87*J89</f>
        <v>7.8060222064317042</v>
      </c>
      <c r="O87">
        <f>+P87-N87</f>
        <v>17.193977793568294</v>
      </c>
      <c r="P87">
        <v>25</v>
      </c>
    </row>
    <row r="88" spans="2:16" x14ac:dyDescent="0.25">
      <c r="J88">
        <v>98</v>
      </c>
      <c r="L88">
        <v>3</v>
      </c>
      <c r="M88">
        <f>+M87-O87</f>
        <v>91.429589692314082</v>
      </c>
      <c r="N88">
        <f>+J89*M88</f>
        <v>6.570410307651712</v>
      </c>
      <c r="O88">
        <f>+P88-N88</f>
        <v>91.429589692348287</v>
      </c>
      <c r="P88">
        <v>98</v>
      </c>
    </row>
    <row r="89" spans="2:16" x14ac:dyDescent="0.25">
      <c r="J89" s="3">
        <f>+IRR(J85:J88)</f>
        <v>7.1863062382353071E-2</v>
      </c>
      <c r="O89">
        <f>SUM(O86:O88)</f>
        <v>120.00000000003422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D01E-F1F8-4CE4-BB7A-5FE65C5E91FF}">
  <dimension ref="C37:L75"/>
  <sheetViews>
    <sheetView topLeftCell="E64" zoomScale="250" zoomScaleNormal="250" workbookViewId="0">
      <selection activeCell="J76" sqref="J76"/>
    </sheetView>
  </sheetViews>
  <sheetFormatPr defaultColWidth="11.42578125" defaultRowHeight="15" x14ac:dyDescent="0.25"/>
  <cols>
    <col min="7" max="7" width="14.28515625" customWidth="1"/>
    <col min="9" max="9" width="15.7109375" customWidth="1"/>
    <col min="10" max="10" width="13.42578125" customWidth="1"/>
    <col min="11" max="11" width="18" customWidth="1"/>
  </cols>
  <sheetData>
    <row r="37" spans="3:12" x14ac:dyDescent="0.25">
      <c r="C37" t="s">
        <v>115</v>
      </c>
    </row>
    <row r="38" spans="3:12" x14ac:dyDescent="0.25">
      <c r="C38" t="s">
        <v>116</v>
      </c>
    </row>
    <row r="39" spans="3:12" x14ac:dyDescent="0.25">
      <c r="C39" t="s">
        <v>117</v>
      </c>
    </row>
    <row r="40" spans="3:12" x14ac:dyDescent="0.25">
      <c r="C40" t="s">
        <v>118</v>
      </c>
    </row>
    <row r="41" spans="3:12" x14ac:dyDescent="0.25">
      <c r="C41" t="s">
        <v>122</v>
      </c>
      <c r="E41" t="s">
        <v>123</v>
      </c>
    </row>
    <row r="43" spans="3:12" x14ac:dyDescent="0.25">
      <c r="C43" t="s">
        <v>119</v>
      </c>
      <c r="G43" t="s">
        <v>13</v>
      </c>
      <c r="H43" s="123" t="s">
        <v>93</v>
      </c>
      <c r="I43" t="s">
        <v>56</v>
      </c>
      <c r="J43" s="123" t="s">
        <v>124</v>
      </c>
      <c r="K43" t="s">
        <v>56</v>
      </c>
      <c r="L43">
        <v>0.02</v>
      </c>
    </row>
    <row r="44" spans="3:12" x14ac:dyDescent="0.25">
      <c r="C44" t="s">
        <v>120</v>
      </c>
      <c r="H44" t="s">
        <v>94</v>
      </c>
      <c r="J44" s="60">
        <v>100</v>
      </c>
    </row>
    <row r="45" spans="3:12" x14ac:dyDescent="0.25">
      <c r="C45" t="s">
        <v>121</v>
      </c>
    </row>
    <row r="47" spans="3:12" x14ac:dyDescent="0.25">
      <c r="C47" t="s">
        <v>120</v>
      </c>
      <c r="G47" t="s">
        <v>26</v>
      </c>
      <c r="H47" t="s">
        <v>84</v>
      </c>
    </row>
    <row r="48" spans="3:12" x14ac:dyDescent="0.25">
      <c r="G48" s="97">
        <v>44104</v>
      </c>
      <c r="H48">
        <v>-100</v>
      </c>
    </row>
    <row r="49" spans="3:12" x14ac:dyDescent="0.25">
      <c r="G49" s="97">
        <v>44285</v>
      </c>
      <c r="H49">
        <f>100*0.02/2</f>
        <v>1</v>
      </c>
    </row>
    <row r="50" spans="3:12" x14ac:dyDescent="0.25">
      <c r="G50" s="97">
        <v>44469</v>
      </c>
      <c r="H50">
        <f t="shared" ref="H50:H52" si="0">100*0.02/2</f>
        <v>1</v>
      </c>
    </row>
    <row r="51" spans="3:12" x14ac:dyDescent="0.25">
      <c r="G51" s="97">
        <v>44650</v>
      </c>
      <c r="H51">
        <f t="shared" si="0"/>
        <v>1</v>
      </c>
    </row>
    <row r="52" spans="3:12" x14ac:dyDescent="0.25">
      <c r="G52" s="97">
        <v>44834</v>
      </c>
      <c r="H52">
        <f t="shared" si="0"/>
        <v>1</v>
      </c>
    </row>
    <row r="53" spans="3:12" x14ac:dyDescent="0.25">
      <c r="G53" s="97">
        <v>45015</v>
      </c>
      <c r="H53">
        <f>100+H52</f>
        <v>101</v>
      </c>
    </row>
    <row r="54" spans="3:12" x14ac:dyDescent="0.25">
      <c r="G54" t="s">
        <v>125</v>
      </c>
      <c r="H54" s="124">
        <f>+IRR(H48:H53)</f>
        <v>1.0000000000000231E-2</v>
      </c>
    </row>
    <row r="55" spans="3:12" x14ac:dyDescent="0.25">
      <c r="G55" s="125" t="s">
        <v>36</v>
      </c>
      <c r="H55" s="126">
        <f>2*H54</f>
        <v>2.0000000000000462E-2</v>
      </c>
    </row>
    <row r="56" spans="3:12" x14ac:dyDescent="0.25">
      <c r="G56" t="s">
        <v>100</v>
      </c>
      <c r="H56" s="1">
        <f>+(1+H54)^2-1</f>
        <v>2.0100000000000451E-2</v>
      </c>
    </row>
    <row r="58" spans="3:12" x14ac:dyDescent="0.25">
      <c r="C58" t="s">
        <v>126</v>
      </c>
      <c r="E58" t="s">
        <v>10</v>
      </c>
      <c r="G58" t="s">
        <v>26</v>
      </c>
      <c r="H58" t="s">
        <v>84</v>
      </c>
      <c r="K58" t="s">
        <v>129</v>
      </c>
      <c r="L58" t="s">
        <v>130</v>
      </c>
    </row>
    <row r="59" spans="3:12" ht="15.75" thickBot="1" x14ac:dyDescent="0.3">
      <c r="E59">
        <v>0</v>
      </c>
      <c r="F59" s="125" t="s">
        <v>128</v>
      </c>
      <c r="G59" s="127">
        <v>44104</v>
      </c>
      <c r="H59" s="125">
        <v>-100</v>
      </c>
      <c r="L59">
        <v>-100</v>
      </c>
    </row>
    <row r="60" spans="3:12" ht="15.75" thickBot="1" x14ac:dyDescent="0.3">
      <c r="E60">
        <v>1</v>
      </c>
      <c r="G60" s="97">
        <v>44285</v>
      </c>
      <c r="H60">
        <f>100*0.02/2</f>
        <v>1</v>
      </c>
      <c r="I60" s="17" t="s">
        <v>135</v>
      </c>
      <c r="J60" s="128">
        <f>+(((1+0.0039/2)^3)/(1+0.0016/2))^0.5-1</f>
        <v>2.5254954462050616E-3</v>
      </c>
      <c r="K60">
        <v>1</v>
      </c>
    </row>
    <row r="61" spans="3:12" ht="15.75" thickBot="1" x14ac:dyDescent="0.3">
      <c r="E61">
        <v>2</v>
      </c>
      <c r="G61" s="97">
        <v>44469</v>
      </c>
      <c r="H61">
        <f t="shared" ref="H61:H63" si="1">100*0.02/2</f>
        <v>1</v>
      </c>
      <c r="I61" s="17" t="s">
        <v>136</v>
      </c>
      <c r="J61" s="128">
        <f>+(((1+0.0039/2)^3)/(1+0.0028/2)^2)-1</f>
        <v>3.0509063971857486E-3</v>
      </c>
      <c r="K61">
        <v>1</v>
      </c>
    </row>
    <row r="62" spans="3:12" ht="15.75" thickBot="1" x14ac:dyDescent="0.3">
      <c r="E62">
        <v>3</v>
      </c>
      <c r="F62" s="125" t="s">
        <v>127</v>
      </c>
      <c r="G62" s="127">
        <v>44650</v>
      </c>
      <c r="H62" s="125">
        <f t="shared" si="1"/>
        <v>1</v>
      </c>
      <c r="K62" t="s">
        <v>131</v>
      </c>
    </row>
    <row r="63" spans="3:12" ht="15.75" thickBot="1" x14ac:dyDescent="0.3">
      <c r="E63">
        <v>4</v>
      </c>
      <c r="G63" s="97">
        <v>44834</v>
      </c>
      <c r="H63">
        <f t="shared" si="1"/>
        <v>1</v>
      </c>
      <c r="I63" s="17" t="s">
        <v>137</v>
      </c>
      <c r="J63" s="128">
        <f>+(((1+0.0047/2)^4)/(1+0.0039/2)^3)-1</f>
        <v>3.5509583866737415E-3</v>
      </c>
    </row>
    <row r="64" spans="3:12" x14ac:dyDescent="0.25">
      <c r="E64">
        <v>5</v>
      </c>
      <c r="G64" s="97">
        <v>45015</v>
      </c>
      <c r="H64">
        <f>100+H63</f>
        <v>101</v>
      </c>
      <c r="I64" t="s">
        <v>132</v>
      </c>
      <c r="J64" s="129">
        <f>+(((1+0.0052/2)^5)/(1+0.0039/2)^3)^0.5-1</f>
        <v>3.5757907312206072E-3</v>
      </c>
    </row>
    <row r="66" spans="6:11" x14ac:dyDescent="0.25">
      <c r="F66" t="s">
        <v>133</v>
      </c>
      <c r="G66" s="130">
        <v>100</v>
      </c>
    </row>
    <row r="68" spans="6:11" x14ac:dyDescent="0.25">
      <c r="F68" t="s">
        <v>134</v>
      </c>
      <c r="G68" s="130">
        <f>1*(1+J60)^2+1*(1+J61)+1</f>
        <v>3.0081082754168449</v>
      </c>
      <c r="H68" s="60" t="s">
        <v>37</v>
      </c>
      <c r="I68" s="130">
        <f>1/(1+J63)+101/(1+J64)^2</f>
        <v>101.27800773214085</v>
      </c>
      <c r="J68" t="s">
        <v>56</v>
      </c>
      <c r="K68" s="2">
        <f>+I68+G68</f>
        <v>104.28611600755769</v>
      </c>
    </row>
    <row r="70" spans="6:11" x14ac:dyDescent="0.25">
      <c r="G70" t="s">
        <v>139</v>
      </c>
      <c r="J70" t="s">
        <v>138</v>
      </c>
    </row>
    <row r="72" spans="6:11" ht="17.25" x14ac:dyDescent="0.4">
      <c r="F72" s="131">
        <f>+G66</f>
        <v>100</v>
      </c>
      <c r="G72" s="132" t="s">
        <v>56</v>
      </c>
      <c r="H72" s="133">
        <f>+K68</f>
        <v>104.28611600755769</v>
      </c>
      <c r="I72" s="132"/>
    </row>
    <row r="73" spans="6:11" x14ac:dyDescent="0.25">
      <c r="F73" s="132"/>
      <c r="G73" s="132"/>
      <c r="H73" s="132" t="s">
        <v>141</v>
      </c>
      <c r="I73" s="132"/>
    </row>
    <row r="75" spans="6:11" x14ac:dyDescent="0.25">
      <c r="G75" t="s">
        <v>140</v>
      </c>
      <c r="H75" s="1">
        <f>+(H72/F72)^(1/1.5)-1</f>
        <v>2.8373780662273251E-2</v>
      </c>
      <c r="I75" t="s">
        <v>56</v>
      </c>
      <c r="J75" s="3">
        <f>+RATE(1.5,,-F72,H72)</f>
        <v>2.837378066230279E-2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37"/>
  <sheetViews>
    <sheetView tabSelected="1" workbookViewId="0">
      <selection activeCell="F13" sqref="F13"/>
    </sheetView>
  </sheetViews>
  <sheetFormatPr defaultColWidth="11.42578125" defaultRowHeight="15" x14ac:dyDescent="0.25"/>
  <cols>
    <col min="4" max="4" width="49.85546875" customWidth="1"/>
    <col min="6" max="6" width="20.85546875" customWidth="1"/>
    <col min="7" max="7" width="19.85546875" customWidth="1"/>
  </cols>
  <sheetData>
    <row r="2" spans="3:8" ht="15.75" x14ac:dyDescent="0.25">
      <c r="C2" s="35" t="s">
        <v>19</v>
      </c>
      <c r="D2" s="35"/>
      <c r="E2" s="35"/>
      <c r="F2" s="35"/>
      <c r="G2" s="35"/>
      <c r="H2" s="35"/>
    </row>
    <row r="3" spans="3:8" ht="15.75" thickBot="1" x14ac:dyDescent="0.3"/>
    <row r="4" spans="3:8" ht="15.75" thickBot="1" x14ac:dyDescent="0.3">
      <c r="C4" s="49" t="s">
        <v>0</v>
      </c>
      <c r="D4" s="50">
        <v>100</v>
      </c>
    </row>
    <row r="5" spans="3:8" ht="15.75" thickBot="1" x14ac:dyDescent="0.3">
      <c r="C5" s="17" t="s">
        <v>3</v>
      </c>
      <c r="D5" s="51">
        <v>0.1</v>
      </c>
      <c r="E5" s="52" t="s">
        <v>8</v>
      </c>
    </row>
    <row r="6" spans="3:8" x14ac:dyDescent="0.25">
      <c r="C6" t="s">
        <v>20</v>
      </c>
    </row>
    <row r="7" spans="3:8" x14ac:dyDescent="0.25">
      <c r="C7" t="s">
        <v>21</v>
      </c>
    </row>
    <row r="9" spans="3:8" ht="15.75" x14ac:dyDescent="0.25">
      <c r="C9" s="35" t="s">
        <v>22</v>
      </c>
      <c r="D9" s="35"/>
      <c r="E9" s="35"/>
    </row>
    <row r="10" spans="3:8" ht="15.75" x14ac:dyDescent="0.25">
      <c r="C10" s="35" t="s">
        <v>23</v>
      </c>
      <c r="D10" s="35"/>
      <c r="E10" s="35"/>
    </row>
    <row r="11" spans="3:8" ht="15.75" thickBot="1" x14ac:dyDescent="0.3"/>
    <row r="12" spans="3:8" ht="15.75" thickBot="1" x14ac:dyDescent="0.3">
      <c r="C12" s="46" t="s">
        <v>24</v>
      </c>
      <c r="D12" s="47" t="s">
        <v>29</v>
      </c>
      <c r="E12" s="48" t="s">
        <v>14</v>
      </c>
    </row>
    <row r="13" spans="3:8" ht="15.75" thickBot="1" x14ac:dyDescent="0.3">
      <c r="C13" s="41">
        <v>44316</v>
      </c>
      <c r="D13" s="43">
        <v>95.238095200000004</v>
      </c>
      <c r="E13" s="94"/>
    </row>
    <row r="14" spans="3:8" ht="15.75" thickBot="1" x14ac:dyDescent="0.3">
      <c r="C14" s="36">
        <v>44499</v>
      </c>
      <c r="D14" s="44">
        <v>90.702947800000004</v>
      </c>
      <c r="E14" s="38"/>
    </row>
    <row r="15" spans="3:8" ht="15.75" thickBot="1" x14ac:dyDescent="0.3">
      <c r="C15" s="41">
        <v>44681</v>
      </c>
      <c r="D15" s="43">
        <v>86.383759900000001</v>
      </c>
      <c r="E15" s="42"/>
    </row>
    <row r="16" spans="3:8" ht="15.75" thickBot="1" x14ac:dyDescent="0.3">
      <c r="C16" s="39">
        <v>44864</v>
      </c>
      <c r="D16" s="45">
        <v>82.270247499999996</v>
      </c>
      <c r="E16" s="40"/>
    </row>
    <row r="19" spans="3:7" x14ac:dyDescent="0.25">
      <c r="C19" t="s">
        <v>25</v>
      </c>
    </row>
    <row r="20" spans="3:7" ht="15.75" thickBot="1" x14ac:dyDescent="0.3"/>
    <row r="21" spans="3:7" ht="15.75" thickBot="1" x14ac:dyDescent="0.3">
      <c r="C21" s="46" t="s">
        <v>26</v>
      </c>
      <c r="D21" s="47" t="s">
        <v>27</v>
      </c>
      <c r="F21" s="95" t="s">
        <v>65</v>
      </c>
      <c r="G21" s="95" t="s">
        <v>66</v>
      </c>
    </row>
    <row r="22" spans="3:7" ht="15.75" thickBot="1" x14ac:dyDescent="0.3">
      <c r="C22" s="41">
        <v>44134</v>
      </c>
      <c r="D22" s="53"/>
    </row>
    <row r="23" spans="3:7" ht="15.75" thickBot="1" x14ac:dyDescent="0.3">
      <c r="C23" s="41">
        <v>44316</v>
      </c>
      <c r="D23" s="53"/>
    </row>
    <row r="24" spans="3:7" ht="15.75" thickBot="1" x14ac:dyDescent="0.3">
      <c r="C24" s="41">
        <v>44499</v>
      </c>
      <c r="D24" s="53"/>
    </row>
    <row r="25" spans="3:7" ht="15.75" thickBot="1" x14ac:dyDescent="0.3">
      <c r="C25" s="41">
        <v>44681</v>
      </c>
      <c r="D25" s="53"/>
    </row>
    <row r="26" spans="3:7" ht="15.75" thickBot="1" x14ac:dyDescent="0.3">
      <c r="C26" s="41">
        <v>44864</v>
      </c>
      <c r="D26" s="53"/>
    </row>
    <row r="30" spans="3:7" x14ac:dyDescent="0.25">
      <c r="C30" t="s">
        <v>28</v>
      </c>
    </row>
    <row r="31" spans="3:7" ht="15.75" thickBot="1" x14ac:dyDescent="0.3"/>
    <row r="32" spans="3:7" ht="15.75" thickBot="1" x14ac:dyDescent="0.3">
      <c r="C32" s="47" t="s">
        <v>26</v>
      </c>
      <c r="D32" s="48" t="s">
        <v>27</v>
      </c>
    </row>
    <row r="33" spans="3:4" ht="15.75" thickBot="1" x14ac:dyDescent="0.3">
      <c r="C33" s="53"/>
      <c r="D33" s="53"/>
    </row>
    <row r="34" spans="3:4" ht="15.75" thickBot="1" x14ac:dyDescent="0.3">
      <c r="C34" s="41">
        <v>44226</v>
      </c>
      <c r="D34" s="53"/>
    </row>
    <row r="35" spans="3:4" ht="15.75" thickBot="1" x14ac:dyDescent="0.3">
      <c r="C35" s="41">
        <v>44407</v>
      </c>
      <c r="D35" s="53"/>
    </row>
    <row r="36" spans="3:4" ht="15.75" thickBot="1" x14ac:dyDescent="0.3">
      <c r="C36" s="41">
        <v>44591</v>
      </c>
      <c r="D36" s="53"/>
    </row>
    <row r="37" spans="3:4" ht="15.75" thickBot="1" x14ac:dyDescent="0.3">
      <c r="C37" s="41">
        <v>44772</v>
      </c>
      <c r="D3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6"/>
  <sheetViews>
    <sheetView zoomScale="70" zoomScaleNormal="70" workbookViewId="0">
      <selection activeCell="O4" sqref="O4"/>
    </sheetView>
  </sheetViews>
  <sheetFormatPr defaultColWidth="11.42578125" defaultRowHeight="15" x14ac:dyDescent="0.25"/>
  <cols>
    <col min="5" max="5" width="21.140625" customWidth="1"/>
    <col min="8" max="8" width="20.5703125" customWidth="1"/>
    <col min="9" max="9" width="28.85546875" customWidth="1"/>
  </cols>
  <sheetData>
    <row r="1" spans="2:12" x14ac:dyDescent="0.25">
      <c r="F1" s="114" t="s">
        <v>95</v>
      </c>
      <c r="G1" s="115"/>
      <c r="H1" s="55"/>
      <c r="I1" s="55"/>
    </row>
    <row r="2" spans="2:12" ht="17.25" x14ac:dyDescent="0.4">
      <c r="C2" s="20" t="s">
        <v>0</v>
      </c>
      <c r="D2" s="22">
        <v>100</v>
      </c>
      <c r="F2" s="114" t="s">
        <v>96</v>
      </c>
      <c r="G2" s="114"/>
      <c r="H2" s="2" t="s">
        <v>90</v>
      </c>
      <c r="I2" s="112" t="s">
        <v>91</v>
      </c>
    </row>
    <row r="3" spans="2:12" x14ac:dyDescent="0.25">
      <c r="C3" s="20" t="s">
        <v>2</v>
      </c>
      <c r="D3" s="6">
        <v>2</v>
      </c>
      <c r="F3" s="114" t="s">
        <v>97</v>
      </c>
      <c r="G3" s="114"/>
      <c r="H3" s="37"/>
      <c r="I3" s="37" t="s">
        <v>92</v>
      </c>
    </row>
    <row r="4" spans="2:12" x14ac:dyDescent="0.25">
      <c r="C4" s="21" t="s">
        <v>1</v>
      </c>
      <c r="D4" s="7">
        <v>2</v>
      </c>
      <c r="F4" s="114" t="s">
        <v>98</v>
      </c>
      <c r="G4" s="114"/>
      <c r="H4" s="37"/>
      <c r="I4" s="37"/>
    </row>
    <row r="5" spans="2:12" ht="17.25" x14ac:dyDescent="0.4">
      <c r="C5" s="20" t="s">
        <v>3</v>
      </c>
      <c r="D5" s="8">
        <v>0.1</v>
      </c>
      <c r="E5" s="6" t="s">
        <v>8</v>
      </c>
      <c r="H5" s="37" t="str">
        <f>+H2</f>
        <v>Retorno Corriente =</v>
      </c>
      <c r="I5" s="113" t="s">
        <v>93</v>
      </c>
    </row>
    <row r="6" spans="2:12" x14ac:dyDescent="0.25">
      <c r="B6" t="s">
        <v>30</v>
      </c>
      <c r="C6" s="20" t="s">
        <v>33</v>
      </c>
      <c r="D6" s="54">
        <v>100</v>
      </c>
      <c r="E6" s="6" t="s">
        <v>40</v>
      </c>
      <c r="H6" s="37"/>
      <c r="I6" s="37" t="s">
        <v>94</v>
      </c>
      <c r="K6" t="s">
        <v>41</v>
      </c>
      <c r="L6" s="1">
        <v>0.1</v>
      </c>
    </row>
    <row r="7" spans="2:12" x14ac:dyDescent="0.25">
      <c r="B7" t="s">
        <v>31</v>
      </c>
      <c r="C7" s="20" t="s">
        <v>33</v>
      </c>
      <c r="D7" s="54">
        <v>90</v>
      </c>
      <c r="E7" s="6" t="s">
        <v>39</v>
      </c>
      <c r="H7" s="56"/>
      <c r="I7" s="57"/>
    </row>
    <row r="8" spans="2:12" ht="15.75" thickBot="1" x14ac:dyDescent="0.3">
      <c r="B8" t="s">
        <v>32</v>
      </c>
      <c r="C8" s="20" t="s">
        <v>33</v>
      </c>
      <c r="D8" s="54">
        <v>105</v>
      </c>
      <c r="E8" s="6" t="s">
        <v>38</v>
      </c>
      <c r="I8" s="2"/>
    </row>
    <row r="9" spans="2:12" ht="15.75" thickBot="1" x14ac:dyDescent="0.3">
      <c r="C9" s="20"/>
      <c r="D9" s="8"/>
      <c r="E9" s="6"/>
      <c r="G9" t="s">
        <v>30</v>
      </c>
      <c r="H9" s="17" t="s">
        <v>36</v>
      </c>
      <c r="I9" s="19">
        <f>+D17</f>
        <v>0.10000000000000098</v>
      </c>
    </row>
    <row r="10" spans="2:12" ht="15.75" thickBot="1" x14ac:dyDescent="0.3">
      <c r="C10" s="116" t="s">
        <v>10</v>
      </c>
      <c r="D10" t="s">
        <v>101</v>
      </c>
      <c r="E10" s="118" t="s">
        <v>102</v>
      </c>
      <c r="F10" t="s">
        <v>103</v>
      </c>
      <c r="H10" t="s">
        <v>100</v>
      </c>
      <c r="I10" s="1">
        <f>+(1+0.05)^2-1</f>
        <v>0.10250000000000004</v>
      </c>
    </row>
    <row r="11" spans="2:12" ht="15.75" thickBot="1" x14ac:dyDescent="0.3">
      <c r="C11">
        <v>0</v>
      </c>
      <c r="D11" s="117">
        <v>-100</v>
      </c>
      <c r="E11">
        <v>-90</v>
      </c>
      <c r="F11">
        <v>-105</v>
      </c>
      <c r="H11" s="17" t="s">
        <v>13</v>
      </c>
      <c r="I11" s="19">
        <f>+(5+5)/100</f>
        <v>0.1</v>
      </c>
    </row>
    <row r="12" spans="2:12" x14ac:dyDescent="0.25">
      <c r="C12">
        <v>1</v>
      </c>
      <c r="D12">
        <f>100*0.1/2</f>
        <v>5</v>
      </c>
      <c r="E12">
        <f>+D12</f>
        <v>5</v>
      </c>
      <c r="F12">
        <f>+E12</f>
        <v>5</v>
      </c>
    </row>
    <row r="13" spans="2:12" x14ac:dyDescent="0.25">
      <c r="C13">
        <v>2</v>
      </c>
      <c r="D13">
        <f>100*0.1/2</f>
        <v>5</v>
      </c>
      <c r="E13">
        <f>+D13</f>
        <v>5</v>
      </c>
      <c r="F13">
        <f>+E13</f>
        <v>5</v>
      </c>
      <c r="K13" t="str">
        <f>+K6</f>
        <v>T.C. =</v>
      </c>
      <c r="L13" s="1">
        <v>0.1</v>
      </c>
    </row>
    <row r="14" spans="2:12" ht="15.75" thickBot="1" x14ac:dyDescent="0.3">
      <c r="C14">
        <v>3</v>
      </c>
      <c r="D14">
        <f>100*0.1/2</f>
        <v>5</v>
      </c>
      <c r="E14">
        <f>+D14</f>
        <v>5</v>
      </c>
      <c r="F14">
        <f>+E14</f>
        <v>5</v>
      </c>
      <c r="H14" t="s">
        <v>104</v>
      </c>
    </row>
    <row r="15" spans="2:12" ht="15.75" thickBot="1" x14ac:dyDescent="0.3">
      <c r="C15">
        <v>4</v>
      </c>
      <c r="D15">
        <f>100+D14</f>
        <v>105</v>
      </c>
      <c r="E15">
        <f>+D15</f>
        <v>105</v>
      </c>
      <c r="F15">
        <f>+E15</f>
        <v>105</v>
      </c>
      <c r="G15" s="3" t="s">
        <v>31</v>
      </c>
      <c r="H15" s="17" t="s">
        <v>36</v>
      </c>
      <c r="I15" s="19">
        <f>+E17</f>
        <v>0.16041184065544511</v>
      </c>
    </row>
    <row r="16" spans="2:12" ht="15.75" thickBot="1" x14ac:dyDescent="0.3">
      <c r="C16" s="121" t="s">
        <v>77</v>
      </c>
      <c r="D16" s="119">
        <f>+IRR(D11:D15)</f>
        <v>5.0000000000000488E-2</v>
      </c>
      <c r="E16" s="119">
        <f>+IRR(E11:E15)</f>
        <v>8.0205920327722557E-2</v>
      </c>
      <c r="F16" s="119">
        <f>+IRR(F11:F15)</f>
        <v>3.6343985150785629E-2</v>
      </c>
      <c r="I16" s="1"/>
    </row>
    <row r="17" spans="3:13" ht="15.75" thickBot="1" x14ac:dyDescent="0.3">
      <c r="C17" s="121" t="s">
        <v>78</v>
      </c>
      <c r="D17" s="120">
        <f>2*D16</f>
        <v>0.10000000000000098</v>
      </c>
      <c r="E17" s="120">
        <f>2*E16</f>
        <v>0.16041184065544511</v>
      </c>
      <c r="F17" s="120">
        <f>2*F16</f>
        <v>7.2687970301571259E-2</v>
      </c>
      <c r="H17" s="17" t="s">
        <v>13</v>
      </c>
      <c r="I17" s="19">
        <f>+(5+5)/90</f>
        <v>0.1111111111111111</v>
      </c>
      <c r="J17" t="s">
        <v>105</v>
      </c>
      <c r="K17" t="s">
        <v>106</v>
      </c>
      <c r="M17" t="s">
        <v>107</v>
      </c>
    </row>
    <row r="18" spans="3:13" x14ac:dyDescent="0.25">
      <c r="C18" s="121" t="s">
        <v>99</v>
      </c>
      <c r="D18" s="120">
        <f>+(1+D16)^2-1</f>
        <v>0.10250000000000092</v>
      </c>
      <c r="E18" s="120">
        <f>+(1+E16)^2-1</f>
        <v>0.16684483031106212</v>
      </c>
      <c r="F18" s="120">
        <f>+(1+F16)^2-1</f>
        <v>7.4008855558211684E-2</v>
      </c>
      <c r="K18" t="str">
        <f>+K13</f>
        <v>T.C. =</v>
      </c>
      <c r="L18" s="61">
        <v>0.1</v>
      </c>
    </row>
    <row r="19" spans="3:13" ht="15.75" thickBot="1" x14ac:dyDescent="0.3"/>
    <row r="20" spans="3:13" ht="15.75" thickBot="1" x14ac:dyDescent="0.3">
      <c r="G20" t="s">
        <v>32</v>
      </c>
      <c r="H20" s="17" t="s">
        <v>36</v>
      </c>
      <c r="I20" s="19">
        <f>+F17</f>
        <v>7.2687970301571259E-2</v>
      </c>
    </row>
    <row r="21" spans="3:13" ht="15.75" thickBot="1" x14ac:dyDescent="0.3">
      <c r="I21" s="1"/>
    </row>
    <row r="22" spans="3:13" ht="15.75" thickBot="1" x14ac:dyDescent="0.3">
      <c r="H22" s="17" t="s">
        <v>13</v>
      </c>
      <c r="I22" s="19">
        <f>+(5+5)/105</f>
        <v>9.5238095238095233E-2</v>
      </c>
    </row>
    <row r="24" spans="3:13" x14ac:dyDescent="0.25">
      <c r="G24" s="122" t="s">
        <v>108</v>
      </c>
      <c r="H24" s="122"/>
    </row>
    <row r="26" spans="3:13" x14ac:dyDescent="0.25">
      <c r="G26" t="s">
        <v>109</v>
      </c>
    </row>
    <row r="28" spans="3:13" x14ac:dyDescent="0.25">
      <c r="G28" t="s">
        <v>110</v>
      </c>
    </row>
    <row r="30" spans="3:13" x14ac:dyDescent="0.25">
      <c r="G30" t="s">
        <v>111</v>
      </c>
    </row>
    <row r="32" spans="3:13" x14ac:dyDescent="0.25">
      <c r="G32" t="s">
        <v>112</v>
      </c>
    </row>
    <row r="33" spans="7:9" x14ac:dyDescent="0.25">
      <c r="I33">
        <f>1.08^2/1.06</f>
        <v>1.1003773584905661</v>
      </c>
    </row>
    <row r="34" spans="7:9" x14ac:dyDescent="0.25">
      <c r="G34" t="s">
        <v>113</v>
      </c>
      <c r="I34">
        <f>+I33-1</f>
        <v>0.10037735849056606</v>
      </c>
    </row>
    <row r="36" spans="7:9" x14ac:dyDescent="0.25">
      <c r="G36" t="s">
        <v>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 de un Bono</vt:lpstr>
      <vt:lpstr>Hoja1</vt:lpstr>
      <vt:lpstr>El Valor y el Tiempo </vt:lpstr>
      <vt:lpstr>Relación entre RC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Federico Lopez</cp:lastModifiedBy>
  <dcterms:created xsi:type="dcterms:W3CDTF">2020-11-02T17:25:30Z</dcterms:created>
  <dcterms:modified xsi:type="dcterms:W3CDTF">2022-10-31T02:45:22Z</dcterms:modified>
</cp:coreProperties>
</file>