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14" documentId="11_8D5E5103B02686DA4D099B5CA40A4787064B6879" xr6:coauthVersionLast="47" xr6:coauthVersionMax="47" xr10:uidLastSave="{5012F57B-C3F7-44FE-83EB-C0EC4B3CB7A7}"/>
  <bookViews>
    <workbookView xWindow="18330" yWindow="16125" windowWidth="5955" windowHeight="9000" activeTab="2" xr2:uid="{00000000-000D-0000-FFFF-FFFF00000000}"/>
  </bookViews>
  <sheets>
    <sheet name="1" sheetId="4" r:id="rId1"/>
    <sheet name="2" sheetId="1" r:id="rId2"/>
    <sheet name="3" sheetId="2" r:id="rId3"/>
    <sheet name="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6" i="4" s="1"/>
  <c r="G12" i="4" s="1"/>
  <c r="G39" i="3"/>
  <c r="F37" i="3"/>
  <c r="F41" i="3" s="1"/>
  <c r="C43" i="3" s="1"/>
  <c r="D20" i="3"/>
  <c r="D21" i="3" s="1"/>
  <c r="D19" i="3"/>
  <c r="D18" i="3"/>
  <c r="D17" i="3"/>
  <c r="D24" i="3" s="1"/>
  <c r="F33" i="3" s="1"/>
  <c r="E43" i="3" s="1"/>
  <c r="F4" i="3"/>
  <c r="D5" i="3"/>
  <c r="F5" i="3" s="1"/>
  <c r="D6" i="3"/>
  <c r="F6" i="3" s="1"/>
  <c r="D7" i="3"/>
  <c r="D8" i="3" s="1"/>
  <c r="F8" i="3" s="1"/>
  <c r="D4" i="3"/>
  <c r="D45" i="3" l="1"/>
  <c r="G15" i="4"/>
  <c r="K9" i="4"/>
  <c r="G14" i="4"/>
  <c r="G11" i="4"/>
  <c r="F7" i="3"/>
  <c r="F10" i="3" s="1"/>
  <c r="D27" i="3" s="1"/>
  <c r="G10" i="4"/>
  <c r="G13" i="4"/>
  <c r="D10" i="4"/>
  <c r="E10" i="4" s="1"/>
  <c r="M45" i="2"/>
  <c r="M46" i="2" s="1"/>
  <c r="M47" i="2" s="1"/>
  <c r="M40" i="2"/>
  <c r="M41" i="2" s="1"/>
  <c r="C36" i="2"/>
  <c r="G36" i="2"/>
  <c r="C39" i="2" s="1"/>
  <c r="I3" i="2"/>
  <c r="D8" i="2"/>
  <c r="I8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8" i="2"/>
  <c r="E8" i="2" s="1"/>
  <c r="C9" i="2" s="1"/>
  <c r="D9" i="2" s="1"/>
  <c r="K5" i="1"/>
  <c r="K8" i="1" s="1"/>
  <c r="K3" i="1"/>
  <c r="F11" i="4" l="1"/>
  <c r="D12" i="4" s="1"/>
  <c r="E12" i="4" s="1"/>
  <c r="H8" i="2"/>
  <c r="J8" i="2" s="1"/>
  <c r="F10" i="4"/>
  <c r="F9" i="1"/>
  <c r="F12" i="1"/>
  <c r="F11" i="1"/>
  <c r="F10" i="1"/>
  <c r="D9" i="1"/>
  <c r="E9" i="2"/>
  <c r="C10" i="2" s="1"/>
  <c r="D11" i="4"/>
  <c r="E11" i="4" s="1"/>
  <c r="H9" i="2"/>
  <c r="I9" i="2"/>
  <c r="E40" i="2"/>
  <c r="E44" i="2"/>
  <c r="E48" i="2"/>
  <c r="E52" i="2"/>
  <c r="E56" i="2"/>
  <c r="E60" i="2"/>
  <c r="E59" i="2"/>
  <c r="E41" i="2"/>
  <c r="E45" i="2"/>
  <c r="E49" i="2"/>
  <c r="E53" i="2"/>
  <c r="E57" i="2"/>
  <c r="E61" i="2"/>
  <c r="E42" i="2"/>
  <c r="E46" i="2"/>
  <c r="E50" i="2"/>
  <c r="E54" i="2"/>
  <c r="E58" i="2"/>
  <c r="E62" i="2"/>
  <c r="D39" i="2"/>
  <c r="E39" i="2"/>
  <c r="F39" i="2" s="1"/>
  <c r="E43" i="2"/>
  <c r="E47" i="2"/>
  <c r="E51" i="2"/>
  <c r="E55" i="2"/>
  <c r="H39" i="2"/>
  <c r="D10" i="2"/>
  <c r="J11" i="4" l="1"/>
  <c r="K11" i="4" s="1"/>
  <c r="H11" i="4"/>
  <c r="F12" i="4"/>
  <c r="D13" i="4" s="1"/>
  <c r="E13" i="4" s="1"/>
  <c r="H12" i="4"/>
  <c r="J12" i="4"/>
  <c r="K12" i="4" s="1"/>
  <c r="I9" i="1"/>
  <c r="D10" i="1"/>
  <c r="E9" i="1"/>
  <c r="H10" i="4"/>
  <c r="J10" i="4"/>
  <c r="K10" i="4" s="1"/>
  <c r="E10" i="2"/>
  <c r="C11" i="2" s="1"/>
  <c r="H10" i="2"/>
  <c r="I10" i="2"/>
  <c r="I39" i="2"/>
  <c r="J39" i="2" s="1"/>
  <c r="F41" i="2"/>
  <c r="C40" i="2"/>
  <c r="D40" i="2" s="1"/>
  <c r="F40" i="2" s="1"/>
  <c r="J9" i="2"/>
  <c r="H40" i="2"/>
  <c r="C41" i="2"/>
  <c r="D41" i="2" s="1"/>
  <c r="D11" i="2"/>
  <c r="D11" i="1" l="1"/>
  <c r="I10" i="1"/>
  <c r="E10" i="1"/>
  <c r="G9" i="1"/>
  <c r="H9" i="1"/>
  <c r="J9" i="1" s="1"/>
  <c r="K9" i="1" s="1"/>
  <c r="F13" i="4"/>
  <c r="D14" i="4" s="1"/>
  <c r="E14" i="4" s="1"/>
  <c r="H13" i="4"/>
  <c r="J13" i="4"/>
  <c r="K13" i="4" s="1"/>
  <c r="E11" i="2"/>
  <c r="C12" i="2" s="1"/>
  <c r="D12" i="2" s="1"/>
  <c r="H11" i="2"/>
  <c r="I11" i="2"/>
  <c r="J10" i="2"/>
  <c r="I40" i="2"/>
  <c r="J40" i="2" s="1"/>
  <c r="G10" i="1" l="1"/>
  <c r="H10" i="1"/>
  <c r="F14" i="4"/>
  <c r="D15" i="4" s="1"/>
  <c r="E15" i="4" s="1"/>
  <c r="H14" i="4"/>
  <c r="I11" i="1"/>
  <c r="E11" i="1"/>
  <c r="D12" i="1"/>
  <c r="E12" i="2"/>
  <c r="C13" i="2" s="1"/>
  <c r="D13" i="2" s="1"/>
  <c r="I12" i="2"/>
  <c r="H12" i="2"/>
  <c r="J11" i="2"/>
  <c r="H41" i="2"/>
  <c r="I41" i="2"/>
  <c r="C42" i="2"/>
  <c r="D42" i="2" s="1"/>
  <c r="F42" i="2" s="1"/>
  <c r="J12" i="2" l="1"/>
  <c r="H15" i="4"/>
  <c r="F15" i="4"/>
  <c r="J15" i="4" s="1"/>
  <c r="K15" i="4" s="1"/>
  <c r="J10" i="1"/>
  <c r="K10" i="1" s="1"/>
  <c r="E12" i="1"/>
  <c r="I12" i="1"/>
  <c r="G11" i="1"/>
  <c r="H11" i="1"/>
  <c r="J14" i="4"/>
  <c r="K14" i="4" s="1"/>
  <c r="E13" i="2"/>
  <c r="C14" i="2" s="1"/>
  <c r="H13" i="2"/>
  <c r="I13" i="2"/>
  <c r="J41" i="2"/>
  <c r="D14" i="2"/>
  <c r="H12" i="1" l="1"/>
  <c r="G12" i="1"/>
  <c r="J12" i="1" s="1"/>
  <c r="K12" i="1" s="1"/>
  <c r="J11" i="1"/>
  <c r="K11" i="1" s="1"/>
  <c r="J13" i="2"/>
  <c r="C18" i="1"/>
  <c r="K13" i="1"/>
  <c r="C21" i="4"/>
  <c r="K16" i="4"/>
  <c r="K17" i="4" s="1"/>
  <c r="E14" i="2"/>
  <c r="C15" i="2" s="1"/>
  <c r="H14" i="2"/>
  <c r="I14" i="2"/>
  <c r="H42" i="2"/>
  <c r="I42" i="2"/>
  <c r="C43" i="2"/>
  <c r="D43" i="2" s="1"/>
  <c r="F43" i="2" s="1"/>
  <c r="D15" i="2"/>
  <c r="K14" i="1" l="1"/>
  <c r="K15" i="1"/>
  <c r="J14" i="2"/>
  <c r="K18" i="4"/>
  <c r="E15" i="2"/>
  <c r="C16" i="2" s="1"/>
  <c r="I15" i="2"/>
  <c r="H15" i="2"/>
  <c r="J15" i="2" s="1"/>
  <c r="J42" i="2"/>
  <c r="D16" i="2"/>
  <c r="E16" i="2" l="1"/>
  <c r="C17" i="2" s="1"/>
  <c r="D17" i="2" s="1"/>
  <c r="I16" i="2"/>
  <c r="H16" i="2"/>
  <c r="H43" i="2"/>
  <c r="I43" i="2"/>
  <c r="C44" i="2"/>
  <c r="D44" i="2" s="1"/>
  <c r="F44" i="2" s="1"/>
  <c r="J16" i="2" l="1"/>
  <c r="E17" i="2"/>
  <c r="C18" i="2" s="1"/>
  <c r="D18" i="2" s="1"/>
  <c r="H17" i="2"/>
  <c r="I17" i="2"/>
  <c r="J43" i="2"/>
  <c r="J17" i="2" l="1"/>
  <c r="E18" i="2"/>
  <c r="C19" i="2" s="1"/>
  <c r="H18" i="2"/>
  <c r="I18" i="2"/>
  <c r="H44" i="2"/>
  <c r="I44" i="2"/>
  <c r="C45" i="2"/>
  <c r="D45" i="2" s="1"/>
  <c r="F45" i="2" s="1"/>
  <c r="D19" i="2"/>
  <c r="J18" i="2" l="1"/>
  <c r="E19" i="2"/>
  <c r="C20" i="2" s="1"/>
  <c r="H19" i="2"/>
  <c r="I19" i="2"/>
  <c r="J44" i="2"/>
  <c r="D20" i="2"/>
  <c r="J19" i="2" l="1"/>
  <c r="E20" i="2"/>
  <c r="C21" i="2" s="1"/>
  <c r="I20" i="2"/>
  <c r="H20" i="2"/>
  <c r="H45" i="2"/>
  <c r="I45" i="2"/>
  <c r="C46" i="2"/>
  <c r="D46" i="2" s="1"/>
  <c r="F46" i="2" s="1"/>
  <c r="D21" i="2"/>
  <c r="J20" i="2" l="1"/>
  <c r="E21" i="2"/>
  <c r="C22" i="2" s="1"/>
  <c r="D22" i="2" s="1"/>
  <c r="H21" i="2"/>
  <c r="I21" i="2"/>
  <c r="J45" i="2"/>
  <c r="J21" i="2" l="1"/>
  <c r="E22" i="2"/>
  <c r="C23" i="2" s="1"/>
  <c r="H22" i="2"/>
  <c r="I22" i="2"/>
  <c r="H46" i="2"/>
  <c r="I46" i="2"/>
  <c r="C47" i="2"/>
  <c r="D47" i="2" s="1"/>
  <c r="F47" i="2" s="1"/>
  <c r="D23" i="2"/>
  <c r="E23" i="2" l="1"/>
  <c r="C24" i="2" s="1"/>
  <c r="D24" i="2" s="1"/>
  <c r="I23" i="2"/>
  <c r="H23" i="2"/>
  <c r="J22" i="2"/>
  <c r="J46" i="2"/>
  <c r="J23" i="2" l="1"/>
  <c r="E24" i="2"/>
  <c r="C25" i="2" s="1"/>
  <c r="I24" i="2"/>
  <c r="H24" i="2"/>
  <c r="H47" i="2"/>
  <c r="I47" i="2"/>
  <c r="C48" i="2"/>
  <c r="D48" i="2" s="1"/>
  <c r="F48" i="2" s="1"/>
  <c r="D25" i="2"/>
  <c r="J24" i="2" l="1"/>
  <c r="E25" i="2"/>
  <c r="C26" i="2" s="1"/>
  <c r="H25" i="2"/>
  <c r="I25" i="2"/>
  <c r="J47" i="2"/>
  <c r="D26" i="2"/>
  <c r="E26" i="2" l="1"/>
  <c r="C27" i="2" s="1"/>
  <c r="D27" i="2" s="1"/>
  <c r="H26" i="2"/>
  <c r="I26" i="2"/>
  <c r="J25" i="2"/>
  <c r="H48" i="2"/>
  <c r="I48" i="2"/>
  <c r="C49" i="2"/>
  <c r="D49" i="2" s="1"/>
  <c r="F49" i="2" s="1"/>
  <c r="J26" i="2" l="1"/>
  <c r="E27" i="2"/>
  <c r="C28" i="2" s="1"/>
  <c r="I27" i="2"/>
  <c r="H27" i="2"/>
  <c r="J48" i="2"/>
  <c r="D28" i="2"/>
  <c r="J27" i="2" l="1"/>
  <c r="E28" i="2"/>
  <c r="C29" i="2" s="1"/>
  <c r="I28" i="2"/>
  <c r="H28" i="2"/>
  <c r="H49" i="2"/>
  <c r="I49" i="2"/>
  <c r="C50" i="2"/>
  <c r="D50" i="2" s="1"/>
  <c r="F50" i="2" s="1"/>
  <c r="D29" i="2"/>
  <c r="J28" i="2" l="1"/>
  <c r="E29" i="2"/>
  <c r="C30" i="2" s="1"/>
  <c r="H29" i="2"/>
  <c r="I29" i="2"/>
  <c r="J49" i="2"/>
  <c r="D30" i="2"/>
  <c r="J29" i="2" l="1"/>
  <c r="E30" i="2"/>
  <c r="C31" i="2" s="1"/>
  <c r="D31" i="2" s="1"/>
  <c r="H30" i="2"/>
  <c r="I30" i="2"/>
  <c r="H50" i="2"/>
  <c r="I50" i="2"/>
  <c r="C51" i="2"/>
  <c r="D51" i="2" s="1"/>
  <c r="F51" i="2" s="1"/>
  <c r="J30" i="2" l="1"/>
  <c r="E31" i="2"/>
  <c r="H31" i="2"/>
  <c r="I31" i="2"/>
  <c r="I32" i="2" s="1"/>
  <c r="J50" i="2"/>
  <c r="I34" i="2" l="1"/>
  <c r="I33" i="2"/>
  <c r="J31" i="2"/>
  <c r="N48" i="2" s="1"/>
  <c r="H51" i="2"/>
  <c r="I51" i="2"/>
  <c r="C52" i="2"/>
  <c r="D52" i="2" s="1"/>
  <c r="F52" i="2" s="1"/>
  <c r="N46" i="2" l="1"/>
  <c r="N47" i="2"/>
  <c r="N41" i="2"/>
  <c r="N39" i="2"/>
  <c r="N45" i="2"/>
  <c r="N40" i="2"/>
  <c r="J32" i="2"/>
  <c r="N44" i="2"/>
  <c r="J51" i="2"/>
  <c r="J34" i="2" l="1"/>
  <c r="M43" i="2"/>
  <c r="J33" i="2"/>
  <c r="H52" i="2"/>
  <c r="I52" i="2"/>
  <c r="C53" i="2"/>
  <c r="D53" i="2" s="1"/>
  <c r="F53" i="2" s="1"/>
  <c r="N43" i="2" l="1"/>
  <c r="J52" i="2"/>
  <c r="H53" i="2" l="1"/>
  <c r="I53" i="2"/>
  <c r="C54" i="2"/>
  <c r="D54" i="2" s="1"/>
  <c r="F54" i="2" s="1"/>
  <c r="J53" i="2" l="1"/>
  <c r="H54" i="2" l="1"/>
  <c r="I54" i="2"/>
  <c r="C55" i="2"/>
  <c r="D55" i="2" s="1"/>
  <c r="F55" i="2" s="1"/>
  <c r="J54" i="2" l="1"/>
  <c r="H55" i="2" l="1"/>
  <c r="I55" i="2"/>
  <c r="C56" i="2"/>
  <c r="D56" i="2" s="1"/>
  <c r="F56" i="2" s="1"/>
  <c r="J55" i="2" l="1"/>
  <c r="H56" i="2" l="1"/>
  <c r="I56" i="2"/>
  <c r="C57" i="2"/>
  <c r="D57" i="2" s="1"/>
  <c r="F57" i="2" s="1"/>
  <c r="J56" i="2" l="1"/>
  <c r="H57" i="2" l="1"/>
  <c r="I57" i="2"/>
  <c r="C58" i="2"/>
  <c r="D58" i="2" s="1"/>
  <c r="F58" i="2" s="1"/>
  <c r="J57" i="2" l="1"/>
  <c r="H58" i="2" l="1"/>
  <c r="I58" i="2"/>
  <c r="C59" i="2"/>
  <c r="D59" i="2" s="1"/>
  <c r="F59" i="2" s="1"/>
  <c r="J58" i="2" l="1"/>
  <c r="H59" i="2" l="1"/>
  <c r="I59" i="2"/>
  <c r="C60" i="2"/>
  <c r="D60" i="2" s="1"/>
  <c r="F60" i="2" s="1"/>
  <c r="J59" i="2" l="1"/>
  <c r="H60" i="2" l="1"/>
  <c r="I60" i="2"/>
  <c r="C61" i="2"/>
  <c r="D61" i="2" s="1"/>
  <c r="F61" i="2" s="1"/>
  <c r="J60" i="2" l="1"/>
  <c r="H61" i="2" l="1"/>
  <c r="I61" i="2"/>
  <c r="C62" i="2"/>
  <c r="D62" i="2" s="1"/>
  <c r="F62" i="2" l="1"/>
  <c r="I62" i="2" s="1"/>
  <c r="I63" i="2" s="1"/>
  <c r="H62" i="2"/>
  <c r="J61" i="2"/>
  <c r="I65" i="2" l="1"/>
  <c r="I64" i="2"/>
  <c r="J62" i="2"/>
  <c r="O48" i="2" s="1"/>
  <c r="J63" i="2" l="1"/>
  <c r="J65" i="2" s="1"/>
  <c r="O40" i="2"/>
  <c r="O46" i="2"/>
  <c r="O45" i="2"/>
  <c r="O41" i="2"/>
  <c r="O44" i="2"/>
  <c r="O47" i="2"/>
  <c r="O39" i="2"/>
  <c r="O43" i="2"/>
  <c r="J64" i="2" l="1"/>
  <c r="H68" i="2"/>
  <c r="M42" i="2"/>
  <c r="H70" i="2"/>
  <c r="O42" i="2" l="1"/>
  <c r="N42" i="2"/>
</calcChain>
</file>

<file path=xl/sharedStrings.xml><?xml version="1.0" encoding="utf-8"?>
<sst xmlns="http://schemas.openxmlformats.org/spreadsheetml/2006/main" count="122" uniqueCount="77">
  <si>
    <t>Monto que el vendedor reconoce como cancelado a partir de las cuotas de 15.000 =</t>
  </si>
  <si>
    <t>Saldo de la deuda al momento de pagar la última cuota de 15.000 =</t>
  </si>
  <si>
    <t>Saldo al inicio</t>
  </si>
  <si>
    <t>Intereses</t>
  </si>
  <si>
    <t>Capital</t>
  </si>
  <si>
    <t>Cuota Pura</t>
  </si>
  <si>
    <t>IVA sobre intereses</t>
  </si>
  <si>
    <t>Seguro</t>
  </si>
  <si>
    <t>Cuota Total</t>
  </si>
  <si>
    <t>Flujos de Fondos</t>
  </si>
  <si>
    <t>Mes</t>
  </si>
  <si>
    <t>TEM x Saldo</t>
  </si>
  <si>
    <t>Fo =</t>
  </si>
  <si>
    <t>V-Gastos Adm-0,21x Gastos Administrativos</t>
  </si>
  <si>
    <t>TIR TEM =</t>
  </si>
  <si>
    <t>CFT TEA =</t>
  </si>
  <si>
    <t>CFT TNA =</t>
  </si>
  <si>
    <t>k</t>
  </si>
  <si>
    <t>Financiación otorgada por el fabricante</t>
  </si>
  <si>
    <t>(sistema Francés)</t>
  </si>
  <si>
    <t xml:space="preserve">Intereses </t>
  </si>
  <si>
    <t>Escudo Fiscal</t>
  </si>
  <si>
    <t>Flujos de fondos antes de Escudo Fiscal</t>
  </si>
  <si>
    <t>Flujos de Fondos después de Escudo Fiscal</t>
  </si>
  <si>
    <t>V - Gastos administrativos- IVA sobre intereses</t>
  </si>
  <si>
    <t>TIR TEM</t>
  </si>
  <si>
    <t>CFT TEA</t>
  </si>
  <si>
    <t>CF después de impuestos</t>
  </si>
  <si>
    <t>(TEA)</t>
  </si>
  <si>
    <t>CFT TNA</t>
  </si>
  <si>
    <t>(TNA)</t>
  </si>
  <si>
    <t>Financiación bancaria</t>
  </si>
  <si>
    <t>(sistema Alemán)</t>
  </si>
  <si>
    <t>=</t>
  </si>
  <si>
    <t>V - Gastos administrativos- IVA sobre gastos</t>
  </si>
  <si>
    <t>V(1-0,008-0,21*0,008)</t>
  </si>
  <si>
    <t>TEM =</t>
  </si>
  <si>
    <t>VAN préstamo otorgado por el Banco =</t>
  </si>
  <si>
    <t>VAN préstamo otorgado por el fabricante =</t>
  </si>
  <si>
    <t>Optaría por el préstamo bancario</t>
  </si>
  <si>
    <t>VAN fabricante</t>
  </si>
  <si>
    <t>VAN préstamo bancario</t>
  </si>
  <si>
    <t xml:space="preserve">VAN = </t>
  </si>
  <si>
    <t>Se debería rechazar el proyecto de financiación</t>
  </si>
  <si>
    <t>2.3)</t>
  </si>
  <si>
    <t>2.2)</t>
  </si>
  <si>
    <t>2.1)</t>
  </si>
  <si>
    <t>3.1)</t>
  </si>
  <si>
    <t>3.2)</t>
  </si>
  <si>
    <t>3.3)</t>
  </si>
  <si>
    <t>Fecha</t>
  </si>
  <si>
    <t>Flujos</t>
  </si>
  <si>
    <t>k (TES)</t>
  </si>
  <si>
    <t>VA de cada Flujo</t>
  </si>
  <si>
    <t>Valor 30/4/2022 =</t>
  </si>
  <si>
    <t>Precio 30/4/2022 =</t>
  </si>
  <si>
    <t>VAN 30/4/2022 =</t>
  </si>
  <si>
    <t>Dado que el VAN de la inversión es positivo, se recomienda comprar el Bono</t>
  </si>
  <si>
    <t>b)</t>
  </si>
  <si>
    <t>c)</t>
  </si>
  <si>
    <t>a)</t>
  </si>
  <si>
    <t xml:space="preserve">d) </t>
  </si>
  <si>
    <t>VA de los Flujos Negativos es el precio de compra =</t>
  </si>
  <si>
    <t>VF de los Flujos Positivos es el valor futuro de los cupones percibidos más el precio de venta.</t>
  </si>
  <si>
    <t>Precio de venta (Precio del 30/4/2024) =</t>
  </si>
  <si>
    <t>VF de los cupones percibidos (monto reunido el 30/4/2024) =</t>
  </si>
  <si>
    <t>VF de los Flujos Positivos =</t>
  </si>
  <si>
    <t>(1+TIRM (TEA))^2</t>
  </si>
  <si>
    <t>TIRM (TEA) =</t>
  </si>
  <si>
    <t>1.1)</t>
  </si>
  <si>
    <t>1.2)</t>
  </si>
  <si>
    <t>1.3)</t>
  </si>
  <si>
    <t>Monto que el vendedor reconoce como cancelado a partir de las cuotas de 85.000 =</t>
  </si>
  <si>
    <t>Este valor está medido el  día de la entrega del vehículo</t>
  </si>
  <si>
    <t>Este monto está medido el día de la entrega del vehículo</t>
  </si>
  <si>
    <t>Se debería aceptar el proyecto de financiación</t>
  </si>
  <si>
    <t>9.500.000-1.500.000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</si>
</sst>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[Red]\-&quot;$&quot;\ #,##0.00"/>
    <numFmt numFmtId="165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165" fontId="0" fillId="0" borderId="1" xfId="1" applyFont="1" applyBorder="1"/>
    <xf numFmtId="10" fontId="0" fillId="0" borderId="0" xfId="0" applyNumberForma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165" fontId="0" fillId="2" borderId="1" xfId="1" applyFont="1" applyFill="1" applyBorder="1"/>
    <xf numFmtId="0" fontId="0" fillId="2" borderId="0" xfId="0" applyFill="1"/>
    <xf numFmtId="10" fontId="0" fillId="2" borderId="0" xfId="0" applyNumberFormat="1" applyFill="1"/>
    <xf numFmtId="10" fontId="0" fillId="2" borderId="0" xfId="2" applyNumberFormat="1" applyFont="1" applyFill="1" applyBorder="1"/>
    <xf numFmtId="10" fontId="0" fillId="2" borderId="0" xfId="2" applyNumberFormat="1" applyFont="1" applyFill="1"/>
    <xf numFmtId="0" fontId="0" fillId="3" borderId="0" xfId="0" applyFill="1"/>
    <xf numFmtId="165" fontId="0" fillId="3" borderId="0" xfId="1" applyFont="1" applyFill="1"/>
    <xf numFmtId="165" fontId="0" fillId="3" borderId="0" xfId="0" applyNumberFormat="1" applyFill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2" fillId="0" borderId="2" xfId="0" applyFont="1" applyBorder="1"/>
    <xf numFmtId="165" fontId="2" fillId="0" borderId="4" xfId="0" applyNumberFormat="1" applyFont="1" applyBorder="1"/>
    <xf numFmtId="10" fontId="0" fillId="0" borderId="4" xfId="2" applyNumberFormat="1" applyFont="1" applyFill="1" applyBorder="1"/>
    <xf numFmtId="14" fontId="0" fillId="0" borderId="0" xfId="0" applyNumberFormat="1"/>
    <xf numFmtId="165" fontId="0" fillId="0" borderId="0" xfId="1" applyFont="1"/>
    <xf numFmtId="0" fontId="0" fillId="2" borderId="2" xfId="0" applyFill="1" applyBorder="1"/>
    <xf numFmtId="165" fontId="0" fillId="2" borderId="4" xfId="0" applyNumberFormat="1" applyFill="1" applyBorder="1"/>
    <xf numFmtId="0" fontId="2" fillId="0" borderId="0" xfId="0" applyFont="1" applyAlignment="1">
      <alignment horizontal="center"/>
    </xf>
    <xf numFmtId="164" fontId="0" fillId="2" borderId="4" xfId="0" applyNumberFormat="1" applyFill="1" applyBorder="1"/>
    <xf numFmtId="165" fontId="0" fillId="4" borderId="2" xfId="0" applyNumberFormat="1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4" borderId="4" xfId="0" applyFill="1" applyBorder="1"/>
    <xf numFmtId="10" fontId="0" fillId="2" borderId="4" xfId="2" applyNumberFormat="1" applyFont="1" applyFill="1" applyBorder="1"/>
    <xf numFmtId="0" fontId="2" fillId="0" borderId="0" xfId="0" applyFont="1"/>
    <xf numFmtId="164" fontId="0" fillId="0" borderId="1" xfId="1" applyNumberFormat="1" applyFont="1" applyBorder="1"/>
    <xf numFmtId="0" fontId="4" fillId="0" borderId="0" xfId="0" applyFont="1"/>
    <xf numFmtId="164" fontId="0" fillId="0" borderId="0" xfId="0" applyNumberFormat="1"/>
    <xf numFmtId="0" fontId="0" fillId="5" borderId="5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0" fillId="6" borderId="11" xfId="0" applyFill="1" applyBorder="1"/>
    <xf numFmtId="165" fontId="0" fillId="6" borderId="10" xfId="0" applyNumberFormat="1" applyFill="1" applyBorder="1"/>
    <xf numFmtId="165" fontId="0" fillId="6" borderId="12" xfId="0" applyNumberFormat="1" applyFill="1" applyBorder="1"/>
    <xf numFmtId="0" fontId="0" fillId="6" borderId="13" xfId="0" applyFill="1" applyBorder="1" applyAlignment="1">
      <alignment horizontal="center"/>
    </xf>
    <xf numFmtId="165" fontId="0" fillId="6" borderId="14" xfId="0" applyNumberFormat="1" applyFill="1" applyBorder="1"/>
    <xf numFmtId="0" fontId="0" fillId="6" borderId="5" xfId="0" applyFill="1" applyBorder="1"/>
    <xf numFmtId="0" fontId="0" fillId="6" borderId="15" xfId="0" applyFill="1" applyBorder="1"/>
    <xf numFmtId="165" fontId="0" fillId="6" borderId="15" xfId="1" applyFont="1" applyFill="1" applyBorder="1"/>
    <xf numFmtId="165" fontId="0" fillId="6" borderId="6" xfId="1" applyFont="1" applyFill="1" applyBorder="1"/>
    <xf numFmtId="0" fontId="0" fillId="7" borderId="5" xfId="0" applyFill="1" applyBorder="1" applyAlignment="1">
      <alignment horizontal="center"/>
    </xf>
    <xf numFmtId="165" fontId="0" fillId="7" borderId="6" xfId="0" applyNumberFormat="1" applyFill="1" applyBorder="1"/>
    <xf numFmtId="0" fontId="2" fillId="2" borderId="2" xfId="0" applyFont="1" applyFill="1" applyBorder="1"/>
    <xf numFmtId="10" fontId="2" fillId="2" borderId="4" xfId="0" applyNumberFormat="1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'3'!$N$38</c:f>
              <c:strCache>
                <c:ptCount val="1"/>
                <c:pt idx="0">
                  <c:v>VAN fabricante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'3'!$M$39:$M$48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 formatCode="0.00%">
                  <c:v>1.2618006525312309E-2</c:v>
                </c:pt>
                <c:pt idx="4" formatCode="0.00%">
                  <c:v>1.3705496659011773E-2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</c:numCache>
            </c:numRef>
          </c:xVal>
          <c:yVal>
            <c:numRef>
              <c:f>'3'!$N$39:$N$48</c:f>
              <c:numCache>
                <c:formatCode>_-"$"\ * #,##0.00_-;\-"$"\ * #,##0.00_-;_-"$"\ * "-"??_-;_-@_-</c:formatCode>
                <c:ptCount val="10"/>
                <c:pt idx="0">
                  <c:v>-1467508.454635093</c:v>
                </c:pt>
                <c:pt idx="1">
                  <c:v>-891757.94041489437</c:v>
                </c:pt>
                <c:pt idx="2">
                  <c:v>-363516.11858368572</c:v>
                </c:pt>
                <c:pt idx="3">
                  <c:v>-104339.63113461714</c:v>
                </c:pt>
                <c:pt idx="4">
                  <c:v>-8.3819031715393066E-9</c:v>
                </c:pt>
                <c:pt idx="5">
                  <c:v>568077.10192783549</c:v>
                </c:pt>
                <c:pt idx="6">
                  <c:v>979115.99867484905</c:v>
                </c:pt>
                <c:pt idx="7">
                  <c:v>1358120.9919163156</c:v>
                </c:pt>
                <c:pt idx="8">
                  <c:v>1708019.8155942876</c:v>
                </c:pt>
                <c:pt idx="9">
                  <c:v>2031444.3207654338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F-4720-909B-216DC07E46B4}"/>
            </c:ext>
          </c:extLst>
        </c:ser>
        <c:ser>
          <c:idx val="1"/>
          <c:order val="1"/>
          <c:tx>
            <c:strRef>
              <c:f>'3'!$O$38</c:f>
              <c:strCache>
                <c:ptCount val="1"/>
                <c:pt idx="0">
                  <c:v>VAN préstamo bancario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'3'!$M$39:$M$48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 formatCode="0.00%">
                  <c:v>1.2618006525312309E-2</c:v>
                </c:pt>
                <c:pt idx="4" formatCode="0.00%">
                  <c:v>1.3705496659011773E-2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</c:numCache>
            </c:numRef>
          </c:xVal>
          <c:yVal>
            <c:numRef>
              <c:f>'3'!$O$39:$O$48</c:f>
              <c:numCache>
                <c:formatCode>_-"$"\ * #,##0.00_-;\-"$"\ * #,##0.00_-;_-"$"\ * "-"??_-;_-@_-</c:formatCode>
                <c:ptCount val="10"/>
                <c:pt idx="0">
                  <c:v>-1502640.8362407926</c:v>
                </c:pt>
                <c:pt idx="1">
                  <c:v>-869129.82935342565</c:v>
                </c:pt>
                <c:pt idx="2">
                  <c:v>-286441.63903626613</c:v>
                </c:pt>
                <c:pt idx="3">
                  <c:v>1.6763806343078613E-8</c:v>
                </c:pt>
                <c:pt idx="4">
                  <c:v>115424.49366500787</c:v>
                </c:pt>
                <c:pt idx="5">
                  <c:v>745014.88177883625</c:v>
                </c:pt>
                <c:pt idx="6">
                  <c:v>1201882.3997400571</c:v>
                </c:pt>
                <c:pt idx="7">
                  <c:v>1624228.3484824924</c:v>
                </c:pt>
                <c:pt idx="8">
                  <c:v>2015148.2095027072</c:v>
                </c:pt>
                <c:pt idx="9">
                  <c:v>2377428.6404623892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F-4720-909B-216DC07E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26047"/>
        <c:axId val="1579726879"/>
      </c:scatterChart>
      <c:valAx>
        <c:axId val="15797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26879"/>
        <c:crosses val="autoZero"/>
        <c:crossBetween val="midCat"/>
      </c:valAx>
      <c:valAx>
        <c:axId val="15797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2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261134</xdr:colOff>
      <xdr:row>34</xdr:row>
      <xdr:rowOff>74543</xdr:rowOff>
    </xdr:from>
    <xdr:to>
      <xdr:col>21</xdr:col>
      <xdr:colOff>112372</xdr:colOff>
      <xdr:row>60</xdr:row>
      <xdr:rowOff>107021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680357</xdr:colOff>
      <xdr:row>4</xdr:row>
      <xdr:rowOff>155510</xdr:rowOff>
    </xdr:from>
    <xdr:to>
      <xdr:col>8</xdr:col>
      <xdr:colOff>1146887</xdr:colOff>
      <xdr:row>6</xdr:row>
      <xdr:rowOff>145790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8514184" y="933061"/>
          <a:ext cx="466530" cy="379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5"/>
  <sheetViews>
    <sheetView topLeftCell="A2" zoomScaleNormal="100" workbookViewId="0">
      <selection activeCell="A3" sqref="A3"/>
    </sheetView>
  </sheetViews>
  <sheetFormatPr defaultColWidth="11.42578125" defaultRowHeight="15" x14ac:dyDescent="0.25"/>
  <cols>
    <col min="3" max="3" width="15.7109375" customWidth="1"/>
    <col min="4" max="4" width="20.28515625" customWidth="1"/>
    <col min="8" max="8" width="21" customWidth="1"/>
    <col min="10" max="10" width="19.140625" customWidth="1"/>
    <col min="11" max="11" width="17.42578125" customWidth="1"/>
  </cols>
  <sheetData>
    <row r="3" spans="2:13" ht="15.75" thickBot="1" x14ac:dyDescent="0.3"/>
    <row r="4" spans="2:13" ht="15.75" thickBot="1" x14ac:dyDescent="0.3">
      <c r="D4" s="19" t="s">
        <v>72</v>
      </c>
      <c r="E4" s="20"/>
      <c r="F4" s="20"/>
      <c r="G4" s="20"/>
      <c r="H4" s="20"/>
      <c r="I4" s="20"/>
      <c r="J4" s="20"/>
      <c r="K4" s="21">
        <f>FV(0.02,4,-85000)*(1+0.02)</f>
        <v>357343.41359999985</v>
      </c>
      <c r="L4" t="s">
        <v>73</v>
      </c>
    </row>
    <row r="5" spans="2:13" ht="15.75" thickBot="1" x14ac:dyDescent="0.3"/>
    <row r="6" spans="2:13" ht="15.75" thickBot="1" x14ac:dyDescent="0.3">
      <c r="D6" s="19" t="s">
        <v>1</v>
      </c>
      <c r="E6" s="20"/>
      <c r="F6" s="20"/>
      <c r="G6" s="20"/>
      <c r="H6" s="20"/>
      <c r="I6" s="20"/>
      <c r="J6" s="20"/>
      <c r="K6" s="21">
        <f>760000-K4</f>
        <v>402656.58640000015</v>
      </c>
    </row>
    <row r="7" spans="2:13" x14ac:dyDescent="0.25">
      <c r="B7" t="s">
        <v>69</v>
      </c>
      <c r="E7" t="s">
        <v>11</v>
      </c>
    </row>
    <row r="8" spans="2:13" x14ac:dyDescent="0.25">
      <c r="B8" s="37"/>
      <c r="C8" s="3" t="s">
        <v>10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/>
      <c r="J8" s="3" t="s">
        <v>8</v>
      </c>
      <c r="K8" s="3" t="s">
        <v>9</v>
      </c>
    </row>
    <row r="9" spans="2:13" x14ac:dyDescent="0.25">
      <c r="C9" s="1"/>
      <c r="D9" s="1"/>
      <c r="E9" s="1"/>
      <c r="F9" s="1"/>
      <c r="G9" s="1"/>
      <c r="H9" s="1"/>
      <c r="I9" s="1"/>
      <c r="J9" s="1"/>
      <c r="K9" s="4">
        <f>+K6-0.01*760000-0.21*0.01*760000</f>
        <v>393460.58640000015</v>
      </c>
      <c r="L9" t="s">
        <v>12</v>
      </c>
      <c r="M9" t="s">
        <v>13</v>
      </c>
    </row>
    <row r="10" spans="2:13" x14ac:dyDescent="0.25">
      <c r="C10" s="1">
        <v>1</v>
      </c>
      <c r="D10" s="2">
        <f>+K6</f>
        <v>402656.58640000015</v>
      </c>
      <c r="E10" s="2">
        <f>(0.48/12)*D10</f>
        <v>16106.263456000006</v>
      </c>
      <c r="F10" s="38">
        <f>+G10-E10</f>
        <v>60705.27302302239</v>
      </c>
      <c r="G10" s="38">
        <f>+PMT(0.48/12,6,-$K$6)</f>
        <v>76811.536479022398</v>
      </c>
      <c r="H10" s="4">
        <f>0.21*E10</f>
        <v>3382.3153257600011</v>
      </c>
      <c r="I10" s="4"/>
      <c r="J10" s="4">
        <f>+E10+F10+H10+I10</f>
        <v>80193.851804782404</v>
      </c>
      <c r="K10" s="4">
        <f>-J10</f>
        <v>-80193.851804782404</v>
      </c>
    </row>
    <row r="11" spans="2:13" x14ac:dyDescent="0.25">
      <c r="C11" s="1">
        <v>2</v>
      </c>
      <c r="D11" s="2">
        <f>+D10-F10</f>
        <v>341951.31337697775</v>
      </c>
      <c r="E11" s="2">
        <f t="shared" ref="E11:E15" si="0">(0.48/12)*D11</f>
        <v>13678.05253507911</v>
      </c>
      <c r="F11" s="38">
        <f t="shared" ref="F11:F14" si="1">+G11-E11</f>
        <v>63133.483943943284</v>
      </c>
      <c r="G11" s="38">
        <f t="shared" ref="G11:G15" si="2">+PMT(0.48/12,6,-$K$6)</f>
        <v>76811.536479022398</v>
      </c>
      <c r="H11" s="4">
        <f t="shared" ref="H11:H15" si="3">0.21*E11</f>
        <v>2872.3910323666132</v>
      </c>
      <c r="I11" s="4"/>
      <c r="J11" s="4">
        <f t="shared" ref="J11:J15" si="4">+E11+F11+H11+I11</f>
        <v>79683.927511389018</v>
      </c>
      <c r="K11" s="4">
        <f t="shared" ref="K11:K15" si="5">-J11</f>
        <v>-79683.927511389018</v>
      </c>
    </row>
    <row r="12" spans="2:13" x14ac:dyDescent="0.25">
      <c r="C12" s="1">
        <v>3</v>
      </c>
      <c r="D12" s="2">
        <f t="shared" ref="D12:D15" si="6">+D11-F11</f>
        <v>278817.82943303447</v>
      </c>
      <c r="E12" s="2">
        <f t="shared" si="0"/>
        <v>11152.713177321379</v>
      </c>
      <c r="F12" s="38">
        <f t="shared" si="1"/>
        <v>65658.823301701021</v>
      </c>
      <c r="G12" s="38">
        <f t="shared" si="2"/>
        <v>76811.536479022398</v>
      </c>
      <c r="H12" s="4">
        <f t="shared" si="3"/>
        <v>2342.0697672374895</v>
      </c>
      <c r="I12" s="4"/>
      <c r="J12" s="4">
        <f t="shared" si="4"/>
        <v>79153.606246259893</v>
      </c>
      <c r="K12" s="4">
        <f t="shared" si="5"/>
        <v>-79153.606246259893</v>
      </c>
    </row>
    <row r="13" spans="2:13" x14ac:dyDescent="0.25">
      <c r="C13" s="1">
        <v>4</v>
      </c>
      <c r="D13" s="2">
        <f t="shared" si="6"/>
        <v>213159.00613133344</v>
      </c>
      <c r="E13" s="2">
        <f t="shared" si="0"/>
        <v>8526.3602452533378</v>
      </c>
      <c r="F13" s="38">
        <f t="shared" si="1"/>
        <v>68285.17623376906</v>
      </c>
      <c r="G13" s="38">
        <f t="shared" si="2"/>
        <v>76811.536479022398</v>
      </c>
      <c r="H13" s="4">
        <f t="shared" si="3"/>
        <v>1790.5356515032008</v>
      </c>
      <c r="I13" s="4"/>
      <c r="J13" s="4">
        <f t="shared" si="4"/>
        <v>78602.072130525601</v>
      </c>
      <c r="K13" s="4">
        <f t="shared" si="5"/>
        <v>-78602.072130525601</v>
      </c>
    </row>
    <row r="14" spans="2:13" x14ac:dyDescent="0.25">
      <c r="C14" s="1">
        <v>5</v>
      </c>
      <c r="D14" s="2">
        <f t="shared" si="6"/>
        <v>144873.82989756437</v>
      </c>
      <c r="E14" s="2">
        <f t="shared" si="0"/>
        <v>5794.9531959025753</v>
      </c>
      <c r="F14" s="38">
        <f t="shared" si="1"/>
        <v>71016.58328311982</v>
      </c>
      <c r="G14" s="38">
        <f t="shared" si="2"/>
        <v>76811.536479022398</v>
      </c>
      <c r="H14" s="4">
        <f t="shared" si="3"/>
        <v>1216.9401711395408</v>
      </c>
      <c r="I14" s="4"/>
      <c r="J14" s="4">
        <f t="shared" si="4"/>
        <v>78028.476650161945</v>
      </c>
      <c r="K14" s="4">
        <f t="shared" si="5"/>
        <v>-78028.476650161945</v>
      </c>
    </row>
    <row r="15" spans="2:13" x14ac:dyDescent="0.25">
      <c r="C15" s="1">
        <v>6</v>
      </c>
      <c r="D15" s="2">
        <f t="shared" si="6"/>
        <v>73857.24661444455</v>
      </c>
      <c r="E15" s="2">
        <f t="shared" si="0"/>
        <v>2954.2898645777818</v>
      </c>
      <c r="F15" s="38">
        <f>+G15-E15</f>
        <v>73857.246614444623</v>
      </c>
      <c r="G15" s="38">
        <f t="shared" si="2"/>
        <v>76811.536479022398</v>
      </c>
      <c r="H15" s="4">
        <f t="shared" si="3"/>
        <v>620.40087156133416</v>
      </c>
      <c r="I15" s="4"/>
      <c r="J15" s="4">
        <f t="shared" si="4"/>
        <v>77431.937350583728</v>
      </c>
      <c r="K15" s="4">
        <f t="shared" si="5"/>
        <v>-77431.937350583728</v>
      </c>
    </row>
    <row r="16" spans="2:13" ht="15.75" thickBot="1" x14ac:dyDescent="0.3">
      <c r="J16" t="s">
        <v>14</v>
      </c>
      <c r="K16" s="5">
        <f>+IRR(K9:K15)</f>
        <v>5.5694568889760543E-2</v>
      </c>
    </row>
    <row r="17" spans="1:11" ht="15.75" thickBot="1" x14ac:dyDescent="0.3">
      <c r="I17" t="s">
        <v>70</v>
      </c>
      <c r="J17" s="19" t="s">
        <v>15</v>
      </c>
      <c r="K17" s="25">
        <f>+((1+K16)^12)-1</f>
        <v>0.91628212064214076</v>
      </c>
    </row>
    <row r="18" spans="1:11" x14ac:dyDescent="0.25">
      <c r="J18" t="s">
        <v>16</v>
      </c>
      <c r="K18" s="6">
        <f>+K16*12</f>
        <v>0.66833482667712651</v>
      </c>
    </row>
    <row r="19" spans="1:11" x14ac:dyDescent="0.25">
      <c r="A19" t="s">
        <v>71</v>
      </c>
    </row>
    <row r="20" spans="1:11" ht="15.75" thickBot="1" x14ac:dyDescent="0.3"/>
    <row r="21" spans="1:11" ht="15.75" thickBot="1" x14ac:dyDescent="0.3">
      <c r="B21" s="23" t="s">
        <v>42</v>
      </c>
      <c r="C21" s="24">
        <f>+NPV(0.04,K10:K15)+K9</f>
        <v>-20207.110058415215</v>
      </c>
      <c r="D21" t="s">
        <v>43</v>
      </c>
    </row>
    <row r="22" spans="1:11" x14ac:dyDescent="0.25">
      <c r="J22" s="7"/>
    </row>
    <row r="23" spans="1:11" x14ac:dyDescent="0.25">
      <c r="J23" s="7"/>
    </row>
    <row r="24" spans="1:11" x14ac:dyDescent="0.25">
      <c r="J24" s="7"/>
    </row>
    <row r="25" spans="1:11" x14ac:dyDescent="0.25">
      <c r="J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2"/>
  <sheetViews>
    <sheetView zoomScaleNormal="100" workbookViewId="0">
      <selection activeCell="J18" sqref="J18"/>
    </sheetView>
  </sheetViews>
  <sheetFormatPr defaultColWidth="11.42578125" defaultRowHeight="15" x14ac:dyDescent="0.25"/>
  <cols>
    <col min="3" max="3" width="11.85546875" bestFit="1" customWidth="1"/>
    <col min="4" max="4" width="18.7109375" customWidth="1"/>
    <col min="6" max="7" width="12.85546875" bestFit="1" customWidth="1"/>
    <col min="8" max="8" width="19.28515625" customWidth="1"/>
    <col min="10" max="10" width="12.85546875" bestFit="1" customWidth="1"/>
    <col min="11" max="11" width="15.28515625" customWidth="1"/>
  </cols>
  <sheetData>
    <row r="2" spans="2:13" ht="15.75" thickBot="1" x14ac:dyDescent="0.3"/>
    <row r="3" spans="2:13" ht="15.75" thickBot="1" x14ac:dyDescent="0.3">
      <c r="D3" s="19" t="s">
        <v>0</v>
      </c>
      <c r="E3" s="20"/>
      <c r="F3" s="20"/>
      <c r="G3" s="20"/>
      <c r="H3" s="20"/>
      <c r="I3" s="20"/>
      <c r="J3" s="20"/>
      <c r="K3" s="21">
        <f>FV(0.01,12,-15000)</f>
        <v>190237.54519795463</v>
      </c>
      <c r="L3" t="s">
        <v>74</v>
      </c>
    </row>
    <row r="4" spans="2:13" ht="15.75" thickBot="1" x14ac:dyDescent="0.3"/>
    <row r="5" spans="2:13" ht="15.75" thickBot="1" x14ac:dyDescent="0.3">
      <c r="D5" s="19" t="s">
        <v>1</v>
      </c>
      <c r="E5" s="20"/>
      <c r="F5" s="20"/>
      <c r="G5" s="20"/>
      <c r="H5" s="20"/>
      <c r="I5" s="20"/>
      <c r="J5" s="20"/>
      <c r="K5" s="21">
        <f>400000-K3</f>
        <v>209762.45480204537</v>
      </c>
    </row>
    <row r="6" spans="2:13" x14ac:dyDescent="0.25">
      <c r="B6" t="s">
        <v>46</v>
      </c>
      <c r="E6" t="s">
        <v>11</v>
      </c>
    </row>
    <row r="7" spans="2:13" x14ac:dyDescent="0.25">
      <c r="B7" s="37"/>
      <c r="C7" s="3" t="s">
        <v>10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3" x14ac:dyDescent="0.25">
      <c r="C8" s="1"/>
      <c r="D8" s="1"/>
      <c r="E8" s="1"/>
      <c r="F8" s="1"/>
      <c r="G8" s="1"/>
      <c r="H8" s="1"/>
      <c r="I8" s="1"/>
      <c r="J8" s="1"/>
      <c r="K8" s="4">
        <f>+K5-0.01*400000-0.21*0.01*400000</f>
        <v>204922.45480204537</v>
      </c>
      <c r="L8" t="s">
        <v>12</v>
      </c>
      <c r="M8" t="s">
        <v>13</v>
      </c>
    </row>
    <row r="9" spans="2:13" x14ac:dyDescent="0.25">
      <c r="C9" s="1">
        <v>1</v>
      </c>
      <c r="D9" s="2">
        <f>+K5</f>
        <v>209762.45480204537</v>
      </c>
      <c r="E9" s="2">
        <f>0.02*D9</f>
        <v>4195.2490960409077</v>
      </c>
      <c r="F9" s="4">
        <f>+$K$5/4</f>
        <v>52440.613700511341</v>
      </c>
      <c r="G9" s="4">
        <f>+E9+F9</f>
        <v>56635.862796552246</v>
      </c>
      <c r="H9" s="4">
        <f>0.21*E9</f>
        <v>881.00231016859061</v>
      </c>
      <c r="I9" s="4">
        <f>+(0.03/100)*D9</f>
        <v>62.928736440613605</v>
      </c>
      <c r="J9" s="4">
        <f>+E9+F9+H9+I9</f>
        <v>57579.793843161446</v>
      </c>
      <c r="K9" s="4">
        <f>-J9</f>
        <v>-57579.793843161446</v>
      </c>
    </row>
    <row r="10" spans="2:13" x14ac:dyDescent="0.25">
      <c r="C10" s="1">
        <v>2</v>
      </c>
      <c r="D10" s="2">
        <f>+D9-F9</f>
        <v>157321.84110153402</v>
      </c>
      <c r="E10" s="2">
        <f t="shared" ref="E10:E12" si="0">0.02*D10</f>
        <v>3146.4368220306806</v>
      </c>
      <c r="F10" s="4">
        <f t="shared" ref="F10:F12" si="1">+$K$5/4</f>
        <v>52440.613700511341</v>
      </c>
      <c r="G10" s="4">
        <f t="shared" ref="G10:G12" si="2">+E10+F10</f>
        <v>55587.05052254202</v>
      </c>
      <c r="H10" s="4">
        <f t="shared" ref="H10:H12" si="3">0.21*E10</f>
        <v>660.75173262644284</v>
      </c>
      <c r="I10" s="4">
        <f t="shared" ref="I10:I12" si="4">+(0.03/100)*D10</f>
        <v>47.1965523304602</v>
      </c>
      <c r="J10" s="4">
        <f t="shared" ref="J10:J12" si="5">+G10+H10+I10</f>
        <v>56294.998807498923</v>
      </c>
      <c r="K10" s="4">
        <f t="shared" ref="K10:K12" si="6">-J10</f>
        <v>-56294.998807498923</v>
      </c>
    </row>
    <row r="11" spans="2:13" x14ac:dyDescent="0.25">
      <c r="C11" s="1">
        <v>3</v>
      </c>
      <c r="D11" s="2">
        <f t="shared" ref="D11:D12" si="7">+D10-F10</f>
        <v>104881.22740102268</v>
      </c>
      <c r="E11" s="2">
        <f t="shared" si="0"/>
        <v>2097.6245480204539</v>
      </c>
      <c r="F11" s="4">
        <f t="shared" si="1"/>
        <v>52440.613700511341</v>
      </c>
      <c r="G11" s="4">
        <f t="shared" si="2"/>
        <v>54538.238248531794</v>
      </c>
      <c r="H11" s="4">
        <f t="shared" si="3"/>
        <v>440.50115508429531</v>
      </c>
      <c r="I11" s="4">
        <f t="shared" si="4"/>
        <v>31.464368220306802</v>
      </c>
      <c r="J11" s="4">
        <f t="shared" si="5"/>
        <v>55010.203771836401</v>
      </c>
      <c r="K11" s="4">
        <f t="shared" si="6"/>
        <v>-55010.203771836401</v>
      </c>
    </row>
    <row r="12" spans="2:13" x14ac:dyDescent="0.25">
      <c r="C12" s="1">
        <v>4</v>
      </c>
      <c r="D12" s="2">
        <f t="shared" si="7"/>
        <v>52440.613700511341</v>
      </c>
      <c r="E12" s="2">
        <f t="shared" si="0"/>
        <v>1048.8122740102269</v>
      </c>
      <c r="F12" s="4">
        <f t="shared" si="1"/>
        <v>52440.613700511341</v>
      </c>
      <c r="G12" s="4">
        <f t="shared" si="2"/>
        <v>53489.425974521568</v>
      </c>
      <c r="H12" s="4">
        <f t="shared" si="3"/>
        <v>220.25057754214765</v>
      </c>
      <c r="I12" s="4">
        <f t="shared" si="4"/>
        <v>15.732184110153401</v>
      </c>
      <c r="J12" s="4">
        <f t="shared" si="5"/>
        <v>53725.408736173864</v>
      </c>
      <c r="K12" s="4">
        <f t="shared" si="6"/>
        <v>-53725.408736173864</v>
      </c>
    </row>
    <row r="13" spans="2:13" ht="15.75" thickBot="1" x14ac:dyDescent="0.3">
      <c r="J13" t="s">
        <v>14</v>
      </c>
      <c r="K13" s="5">
        <f>+IRR(K8:K12)</f>
        <v>3.4369212594574705E-2</v>
      </c>
    </row>
    <row r="14" spans="2:13" ht="15.75" thickBot="1" x14ac:dyDescent="0.3">
      <c r="I14" t="s">
        <v>45</v>
      </c>
      <c r="J14" s="19" t="s">
        <v>15</v>
      </c>
      <c r="K14" s="25">
        <f>+((1+K13)^12)-1</f>
        <v>0.50005445969867135</v>
      </c>
    </row>
    <row r="15" spans="2:13" x14ac:dyDescent="0.25">
      <c r="J15" t="s">
        <v>16</v>
      </c>
      <c r="K15" s="6">
        <f>+K13*12</f>
        <v>0.41243055113489646</v>
      </c>
    </row>
    <row r="17" spans="1:10" ht="15.75" thickBot="1" x14ac:dyDescent="0.3"/>
    <row r="18" spans="1:10" ht="15.75" thickBot="1" x14ac:dyDescent="0.3">
      <c r="A18" t="s">
        <v>44</v>
      </c>
      <c r="B18" s="23" t="s">
        <v>42</v>
      </c>
      <c r="C18" s="24">
        <f>+NPV(0.04,K9:K12)+K8</f>
        <v>2680.8021097160527</v>
      </c>
      <c r="D18" t="s">
        <v>75</v>
      </c>
    </row>
    <row r="19" spans="1:10" x14ac:dyDescent="0.25">
      <c r="J19" s="7"/>
    </row>
    <row r="20" spans="1:10" x14ac:dyDescent="0.25">
      <c r="J20" s="7"/>
    </row>
    <row r="21" spans="1:10" x14ac:dyDescent="0.25">
      <c r="J21" s="7"/>
    </row>
    <row r="22" spans="1:10" x14ac:dyDescent="0.25">
      <c r="J22" s="7"/>
    </row>
    <row r="23" spans="1:10" x14ac:dyDescent="0.25">
      <c r="J23" s="7"/>
    </row>
    <row r="24" spans="1:10" x14ac:dyDescent="0.25">
      <c r="I24" s="5"/>
      <c r="J24" s="7"/>
    </row>
    <row r="25" spans="1:10" x14ac:dyDescent="0.25">
      <c r="J25" s="7"/>
    </row>
    <row r="26" spans="1:10" x14ac:dyDescent="0.25">
      <c r="J26" s="7"/>
    </row>
    <row r="27" spans="1:10" x14ac:dyDescent="0.25">
      <c r="J27" s="7"/>
    </row>
    <row r="28" spans="1:10" x14ac:dyDescent="0.25">
      <c r="J28" s="7"/>
    </row>
    <row r="29" spans="1:10" x14ac:dyDescent="0.25">
      <c r="J29" s="7"/>
    </row>
    <row r="30" spans="1:10" x14ac:dyDescent="0.25">
      <c r="J30" s="7"/>
    </row>
    <row r="31" spans="1:10" x14ac:dyDescent="0.25">
      <c r="J31" s="7"/>
    </row>
    <row r="32" spans="1:10" x14ac:dyDescent="0.25">
      <c r="J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72"/>
  <sheetViews>
    <sheetView tabSelected="1" topLeftCell="A37" zoomScale="55" zoomScaleNormal="55" workbookViewId="0">
      <selection activeCell="K34" sqref="K34"/>
    </sheetView>
  </sheetViews>
  <sheetFormatPr defaultColWidth="11.42578125" defaultRowHeight="15" x14ac:dyDescent="0.25"/>
  <cols>
    <col min="3" max="3" width="20.140625" customWidth="1"/>
    <col min="4" max="4" width="16.42578125" customWidth="1"/>
    <col min="5" max="5" width="39.7109375" bestFit="1" customWidth="1"/>
    <col min="6" max="6" width="16.28515625" bestFit="1" customWidth="1"/>
    <col min="7" max="7" width="19.85546875" customWidth="1"/>
    <col min="8" max="8" width="16.7109375" customWidth="1"/>
    <col min="9" max="9" width="34.42578125" customWidth="1"/>
    <col min="10" max="10" width="38" customWidth="1"/>
    <col min="14" max="14" width="14.85546875" customWidth="1"/>
    <col min="15" max="16" width="26" customWidth="1"/>
  </cols>
  <sheetData>
    <row r="3" spans="2:10" x14ac:dyDescent="0.25">
      <c r="B3" s="8" t="s">
        <v>18</v>
      </c>
      <c r="C3" s="8"/>
      <c r="D3" s="8"/>
      <c r="E3" s="8" t="s">
        <v>19</v>
      </c>
      <c r="F3" s="8"/>
      <c r="I3">
        <f>-1500000-(-9500000)</f>
        <v>8000000</v>
      </c>
    </row>
    <row r="4" spans="2:10" x14ac:dyDescent="0.25">
      <c r="I4" t="s">
        <v>24</v>
      </c>
    </row>
    <row r="5" spans="2:10" x14ac:dyDescent="0.25">
      <c r="F5" t="s">
        <v>47</v>
      </c>
      <c r="I5" t="s">
        <v>76</v>
      </c>
    </row>
    <row r="6" spans="2:10" x14ac:dyDescent="0.25">
      <c r="B6" s="9" t="s">
        <v>10</v>
      </c>
      <c r="C6" s="9" t="s">
        <v>2</v>
      </c>
      <c r="D6" s="9" t="s">
        <v>20</v>
      </c>
      <c r="E6" s="9" t="s">
        <v>4</v>
      </c>
      <c r="F6" s="9" t="s">
        <v>5</v>
      </c>
      <c r="G6" s="9" t="s">
        <v>6</v>
      </c>
      <c r="H6" s="9" t="s">
        <v>21</v>
      </c>
      <c r="I6" s="9" t="s">
        <v>22</v>
      </c>
      <c r="J6" s="9" t="s">
        <v>23</v>
      </c>
    </row>
    <row r="7" spans="2:10" x14ac:dyDescent="0.25">
      <c r="B7" s="1">
        <v>0</v>
      </c>
      <c r="C7" s="1"/>
      <c r="D7" s="1"/>
      <c r="E7" s="1"/>
      <c r="F7" s="1"/>
      <c r="G7" s="4"/>
      <c r="H7" s="4"/>
      <c r="I7" s="4">
        <v>8000000</v>
      </c>
      <c r="J7" s="4">
        <v>8000000</v>
      </c>
    </row>
    <row r="8" spans="2:10" x14ac:dyDescent="0.25">
      <c r="B8" s="1">
        <v>1</v>
      </c>
      <c r="C8" s="4">
        <v>8500000</v>
      </c>
      <c r="D8" s="4">
        <f>+C8*0.16/12</f>
        <v>113333.33333333333</v>
      </c>
      <c r="E8" s="4">
        <f>+F8-D8</f>
        <v>302853.10606635205</v>
      </c>
      <c r="F8" s="2">
        <f>PMT(0.16/12,24,-8500000)</f>
        <v>416186.43939968536</v>
      </c>
      <c r="G8" s="4"/>
      <c r="H8" s="4">
        <f>0.35*D8</f>
        <v>39666.666666666664</v>
      </c>
      <c r="I8" s="4">
        <f>-G8-F8</f>
        <v>-416186.43939968536</v>
      </c>
      <c r="J8" s="4">
        <f>+H8+I8</f>
        <v>-376519.77273301868</v>
      </c>
    </row>
    <row r="9" spans="2:10" x14ac:dyDescent="0.25">
      <c r="B9" s="1">
        <v>2</v>
      </c>
      <c r="C9" s="4">
        <f>+C8-E8</f>
        <v>8197146.8939336482</v>
      </c>
      <c r="D9" s="4">
        <f>+C9*0.16/12</f>
        <v>109295.29191911531</v>
      </c>
      <c r="E9" s="4">
        <f t="shared" ref="E9:E31" si="0">+F9-D9</f>
        <v>306891.14748057007</v>
      </c>
      <c r="F9" s="2">
        <f t="shared" ref="F9:F31" si="1">PMT(0.16/12,24,-8500000)</f>
        <v>416186.43939968536</v>
      </c>
      <c r="G9" s="4"/>
      <c r="H9" s="4">
        <f t="shared" ref="H9:H31" si="2">0.35*D9</f>
        <v>38253.352171690356</v>
      </c>
      <c r="I9" s="4">
        <f t="shared" ref="I9:I31" si="3">-G9-F9</f>
        <v>-416186.43939968536</v>
      </c>
      <c r="J9" s="4">
        <f t="shared" ref="J9:J31" si="4">+H9+I9</f>
        <v>-377933.08722799498</v>
      </c>
    </row>
    <row r="10" spans="2:10" x14ac:dyDescent="0.25">
      <c r="B10" s="1">
        <v>3</v>
      </c>
      <c r="C10" s="4">
        <f t="shared" ref="C10:C31" si="5">+C9-E9</f>
        <v>7890255.7464530785</v>
      </c>
      <c r="D10" s="4">
        <f t="shared" ref="D10:D31" si="6">+C10*0.16/12</f>
        <v>105203.40995270772</v>
      </c>
      <c r="E10" s="4">
        <f t="shared" si="0"/>
        <v>310983.02944697766</v>
      </c>
      <c r="F10" s="2">
        <f t="shared" si="1"/>
        <v>416186.43939968536</v>
      </c>
      <c r="G10" s="4"/>
      <c r="H10" s="4">
        <f t="shared" si="2"/>
        <v>36821.1934834477</v>
      </c>
      <c r="I10" s="4">
        <f t="shared" si="3"/>
        <v>-416186.43939968536</v>
      </c>
      <c r="J10" s="4">
        <f t="shared" si="4"/>
        <v>-379365.24591623765</v>
      </c>
    </row>
    <row r="11" spans="2:10" x14ac:dyDescent="0.25">
      <c r="B11" s="1">
        <v>4</v>
      </c>
      <c r="C11" s="4">
        <f t="shared" si="5"/>
        <v>7579272.7170061003</v>
      </c>
      <c r="D11" s="4">
        <f t="shared" si="6"/>
        <v>101056.96956008133</v>
      </c>
      <c r="E11" s="4">
        <f t="shared" si="0"/>
        <v>315129.46983960405</v>
      </c>
      <c r="F11" s="2">
        <f t="shared" si="1"/>
        <v>416186.43939968536</v>
      </c>
      <c r="G11" s="4"/>
      <c r="H11" s="4">
        <f t="shared" si="2"/>
        <v>35369.939346028463</v>
      </c>
      <c r="I11" s="4">
        <f t="shared" si="3"/>
        <v>-416186.43939968536</v>
      </c>
      <c r="J11" s="4">
        <f t="shared" si="4"/>
        <v>-380816.50005365687</v>
      </c>
    </row>
    <row r="12" spans="2:10" x14ac:dyDescent="0.25">
      <c r="B12" s="1">
        <v>5</v>
      </c>
      <c r="C12" s="4">
        <f t="shared" si="5"/>
        <v>7264143.2471664967</v>
      </c>
      <c r="D12" s="4">
        <f t="shared" si="6"/>
        <v>96855.2432955533</v>
      </c>
      <c r="E12" s="4">
        <f t="shared" si="0"/>
        <v>319331.19610413205</v>
      </c>
      <c r="F12" s="2">
        <f t="shared" si="1"/>
        <v>416186.43939968536</v>
      </c>
      <c r="G12" s="4"/>
      <c r="H12" s="4">
        <f t="shared" si="2"/>
        <v>33899.335153443652</v>
      </c>
      <c r="I12" s="4">
        <f t="shared" si="3"/>
        <v>-416186.43939968536</v>
      </c>
      <c r="J12" s="4">
        <f t="shared" si="4"/>
        <v>-382287.10424624174</v>
      </c>
    </row>
    <row r="13" spans="2:10" x14ac:dyDescent="0.25">
      <c r="B13" s="1">
        <v>6</v>
      </c>
      <c r="C13" s="4">
        <f t="shared" si="5"/>
        <v>6944812.0510623651</v>
      </c>
      <c r="D13" s="4">
        <f t="shared" si="6"/>
        <v>92597.494014164855</v>
      </c>
      <c r="E13" s="4">
        <f t="shared" si="0"/>
        <v>323588.94538552052</v>
      </c>
      <c r="F13" s="2">
        <f t="shared" si="1"/>
        <v>416186.43939968536</v>
      </c>
      <c r="G13" s="4"/>
      <c r="H13" s="4">
        <f t="shared" si="2"/>
        <v>32409.122904957698</v>
      </c>
      <c r="I13" s="4">
        <f t="shared" si="3"/>
        <v>-416186.43939968536</v>
      </c>
      <c r="J13" s="4">
        <f t="shared" si="4"/>
        <v>-383777.31649472768</v>
      </c>
    </row>
    <row r="14" spans="2:10" x14ac:dyDescent="0.25">
      <c r="B14" s="1">
        <v>7</v>
      </c>
      <c r="C14" s="4">
        <f t="shared" si="5"/>
        <v>6621223.1056768447</v>
      </c>
      <c r="D14" s="4">
        <f t="shared" si="6"/>
        <v>88282.974742357925</v>
      </c>
      <c r="E14" s="4">
        <f t="shared" si="0"/>
        <v>327903.46465732745</v>
      </c>
      <c r="F14" s="2">
        <f t="shared" si="1"/>
        <v>416186.43939968536</v>
      </c>
      <c r="G14" s="4"/>
      <c r="H14" s="4">
        <f t="shared" si="2"/>
        <v>30899.041159825272</v>
      </c>
      <c r="I14" s="4">
        <f t="shared" si="3"/>
        <v>-416186.43939968536</v>
      </c>
      <c r="J14" s="4">
        <f t="shared" si="4"/>
        <v>-385287.39823986008</v>
      </c>
    </row>
    <row r="15" spans="2:10" x14ac:dyDescent="0.25">
      <c r="B15" s="1">
        <v>8</v>
      </c>
      <c r="C15" s="4">
        <f t="shared" si="5"/>
        <v>6293319.6410195176</v>
      </c>
      <c r="D15" s="4">
        <f t="shared" si="6"/>
        <v>83910.928546926894</v>
      </c>
      <c r="E15" s="4">
        <f t="shared" si="0"/>
        <v>332275.51085275848</v>
      </c>
      <c r="F15" s="2">
        <f t="shared" si="1"/>
        <v>416186.43939968536</v>
      </c>
      <c r="G15" s="4"/>
      <c r="H15" s="4">
        <f t="shared" si="2"/>
        <v>29368.824991424412</v>
      </c>
      <c r="I15" s="4">
        <f t="shared" si="3"/>
        <v>-416186.43939968536</v>
      </c>
      <c r="J15" s="4">
        <f t="shared" si="4"/>
        <v>-386817.61440826097</v>
      </c>
    </row>
    <row r="16" spans="2:10" x14ac:dyDescent="0.25">
      <c r="B16" s="1">
        <v>9</v>
      </c>
      <c r="C16" s="4">
        <f t="shared" si="5"/>
        <v>5961044.1301667588</v>
      </c>
      <c r="D16" s="4">
        <f t="shared" si="6"/>
        <v>79480.588402223453</v>
      </c>
      <c r="E16" s="4">
        <f t="shared" si="0"/>
        <v>336705.85099746194</v>
      </c>
      <c r="F16" s="2">
        <f t="shared" si="1"/>
        <v>416186.43939968536</v>
      </c>
      <c r="G16" s="4"/>
      <c r="H16" s="4">
        <f t="shared" si="2"/>
        <v>27818.205940778207</v>
      </c>
      <c r="I16" s="4">
        <f t="shared" si="3"/>
        <v>-416186.43939968536</v>
      </c>
      <c r="J16" s="4">
        <f t="shared" si="4"/>
        <v>-388368.23345890717</v>
      </c>
    </row>
    <row r="17" spans="2:10" x14ac:dyDescent="0.25">
      <c r="B17" s="1">
        <v>10</v>
      </c>
      <c r="C17" s="4">
        <f t="shared" si="5"/>
        <v>5624338.2791692968</v>
      </c>
      <c r="D17" s="4">
        <f t="shared" si="6"/>
        <v>74991.177055590626</v>
      </c>
      <c r="E17" s="4">
        <f t="shared" si="0"/>
        <v>341195.26234409475</v>
      </c>
      <c r="F17" s="2">
        <f t="shared" si="1"/>
        <v>416186.43939968536</v>
      </c>
      <c r="G17" s="4"/>
      <c r="H17" s="4">
        <f t="shared" si="2"/>
        <v>26246.911969456716</v>
      </c>
      <c r="I17" s="4">
        <f t="shared" si="3"/>
        <v>-416186.43939968536</v>
      </c>
      <c r="J17" s="4">
        <f t="shared" si="4"/>
        <v>-389939.52743022866</v>
      </c>
    </row>
    <row r="18" spans="2:10" x14ac:dyDescent="0.25">
      <c r="B18" s="1">
        <v>11</v>
      </c>
      <c r="C18" s="4">
        <f t="shared" si="5"/>
        <v>5283143.0168252019</v>
      </c>
      <c r="D18" s="4">
        <f t="shared" si="6"/>
        <v>70441.906891002698</v>
      </c>
      <c r="E18" s="4">
        <f t="shared" si="0"/>
        <v>345744.53250868269</v>
      </c>
      <c r="F18" s="2">
        <f t="shared" si="1"/>
        <v>416186.43939968536</v>
      </c>
      <c r="G18" s="4"/>
      <c r="H18" s="4">
        <f t="shared" si="2"/>
        <v>24654.667411850944</v>
      </c>
      <c r="I18" s="4">
        <f t="shared" si="3"/>
        <v>-416186.43939968536</v>
      </c>
      <c r="J18" s="4">
        <f t="shared" si="4"/>
        <v>-391531.77198783442</v>
      </c>
    </row>
    <row r="19" spans="2:10" x14ac:dyDescent="0.25">
      <c r="B19" s="1">
        <v>12</v>
      </c>
      <c r="C19" s="4">
        <f t="shared" si="5"/>
        <v>4937398.4843165195</v>
      </c>
      <c r="D19" s="4">
        <f t="shared" si="6"/>
        <v>65831.979790886937</v>
      </c>
      <c r="E19" s="4">
        <f t="shared" si="0"/>
        <v>350354.45960879844</v>
      </c>
      <c r="F19" s="2">
        <f t="shared" si="1"/>
        <v>416186.43939968536</v>
      </c>
      <c r="G19" s="4"/>
      <c r="H19" s="4">
        <f t="shared" si="2"/>
        <v>23041.192926810425</v>
      </c>
      <c r="I19" s="4">
        <f t="shared" si="3"/>
        <v>-416186.43939968536</v>
      </c>
      <c r="J19" s="4">
        <f t="shared" si="4"/>
        <v>-393145.24647287495</v>
      </c>
    </row>
    <row r="20" spans="2:10" x14ac:dyDescent="0.25">
      <c r="B20" s="1">
        <v>13</v>
      </c>
      <c r="C20" s="4">
        <f t="shared" si="5"/>
        <v>4587044.0247077206</v>
      </c>
      <c r="D20" s="4">
        <f t="shared" si="6"/>
        <v>61160.586996102938</v>
      </c>
      <c r="E20" s="4">
        <f t="shared" si="0"/>
        <v>355025.85240358242</v>
      </c>
      <c r="F20" s="2">
        <f t="shared" si="1"/>
        <v>416186.43939968536</v>
      </c>
      <c r="G20" s="4"/>
      <c r="H20" s="4">
        <f t="shared" si="2"/>
        <v>21406.205448636028</v>
      </c>
      <c r="I20" s="4">
        <f t="shared" si="3"/>
        <v>-416186.43939968536</v>
      </c>
      <c r="J20" s="4">
        <f t="shared" si="4"/>
        <v>-394780.23395104933</v>
      </c>
    </row>
    <row r="21" spans="2:10" x14ac:dyDescent="0.25">
      <c r="B21" s="1">
        <v>14</v>
      </c>
      <c r="C21" s="4">
        <f t="shared" si="5"/>
        <v>4232018.1723041385</v>
      </c>
      <c r="D21" s="4">
        <f t="shared" si="6"/>
        <v>56426.908964055183</v>
      </c>
      <c r="E21" s="4">
        <f t="shared" si="0"/>
        <v>359759.53043563018</v>
      </c>
      <c r="F21" s="2">
        <f t="shared" si="1"/>
        <v>416186.43939968536</v>
      </c>
      <c r="G21" s="4"/>
      <c r="H21" s="4">
        <f t="shared" si="2"/>
        <v>19749.418137419314</v>
      </c>
      <c r="I21" s="4">
        <f t="shared" si="3"/>
        <v>-416186.43939968536</v>
      </c>
      <c r="J21" s="4">
        <f t="shared" si="4"/>
        <v>-396437.02126226603</v>
      </c>
    </row>
    <row r="22" spans="2:10" x14ac:dyDescent="0.25">
      <c r="B22" s="1">
        <v>15</v>
      </c>
      <c r="C22" s="4">
        <f t="shared" si="5"/>
        <v>3872258.6418685084</v>
      </c>
      <c r="D22" s="4">
        <f t="shared" si="6"/>
        <v>51630.115224913454</v>
      </c>
      <c r="E22" s="4">
        <f t="shared" si="0"/>
        <v>364556.3241747719</v>
      </c>
      <c r="F22" s="2">
        <f t="shared" si="1"/>
        <v>416186.43939968536</v>
      </c>
      <c r="G22" s="4"/>
      <c r="H22" s="4">
        <f t="shared" si="2"/>
        <v>18070.540328719708</v>
      </c>
      <c r="I22" s="4">
        <f t="shared" si="3"/>
        <v>-416186.43939968536</v>
      </c>
      <c r="J22" s="4">
        <f t="shared" si="4"/>
        <v>-398115.89907096565</v>
      </c>
    </row>
    <row r="23" spans="2:10" x14ac:dyDescent="0.25">
      <c r="B23" s="1">
        <v>16</v>
      </c>
      <c r="C23" s="4">
        <f t="shared" si="5"/>
        <v>3507702.3176937364</v>
      </c>
      <c r="D23" s="4">
        <f t="shared" si="6"/>
        <v>46769.364235916488</v>
      </c>
      <c r="E23" s="4">
        <f t="shared" si="0"/>
        <v>369417.0751637689</v>
      </c>
      <c r="F23" s="2">
        <f t="shared" si="1"/>
        <v>416186.43939968536</v>
      </c>
      <c r="G23" s="4"/>
      <c r="H23" s="4">
        <f t="shared" si="2"/>
        <v>16369.277482570769</v>
      </c>
      <c r="I23" s="4">
        <f t="shared" si="3"/>
        <v>-416186.43939968536</v>
      </c>
      <c r="J23" s="4">
        <f t="shared" si="4"/>
        <v>-399817.16191711457</v>
      </c>
    </row>
    <row r="24" spans="2:10" x14ac:dyDescent="0.25">
      <c r="B24" s="1">
        <v>17</v>
      </c>
      <c r="C24" s="4">
        <f t="shared" si="5"/>
        <v>3138285.2425299673</v>
      </c>
      <c r="D24" s="4">
        <f t="shared" si="6"/>
        <v>41843.803233732899</v>
      </c>
      <c r="E24" s="4">
        <f t="shared" si="0"/>
        <v>374342.63616595248</v>
      </c>
      <c r="F24" s="2">
        <f t="shared" si="1"/>
        <v>416186.43939968536</v>
      </c>
      <c r="G24" s="4"/>
      <c r="H24" s="4">
        <f t="shared" si="2"/>
        <v>14645.331131806513</v>
      </c>
      <c r="I24" s="4">
        <f t="shared" si="3"/>
        <v>-416186.43939968536</v>
      </c>
      <c r="J24" s="4">
        <f t="shared" si="4"/>
        <v>-401541.10826787882</v>
      </c>
    </row>
    <row r="25" spans="2:10" x14ac:dyDescent="0.25">
      <c r="B25" s="1">
        <v>18</v>
      </c>
      <c r="C25" s="4">
        <f t="shared" si="5"/>
        <v>2763942.606364015</v>
      </c>
      <c r="D25" s="4">
        <f t="shared" si="6"/>
        <v>36852.568084853534</v>
      </c>
      <c r="E25" s="4">
        <f t="shared" si="0"/>
        <v>379333.87131483183</v>
      </c>
      <c r="F25" s="2">
        <f t="shared" si="1"/>
        <v>416186.43939968536</v>
      </c>
      <c r="G25" s="4"/>
      <c r="H25" s="4">
        <f t="shared" si="2"/>
        <v>12898.398829698735</v>
      </c>
      <c r="I25" s="4">
        <f t="shared" si="3"/>
        <v>-416186.43939968536</v>
      </c>
      <c r="J25" s="4">
        <f t="shared" si="4"/>
        <v>-403288.04056998662</v>
      </c>
    </row>
    <row r="26" spans="2:10" x14ac:dyDescent="0.25">
      <c r="B26" s="1">
        <v>19</v>
      </c>
      <c r="C26" s="4">
        <f t="shared" si="5"/>
        <v>2384608.735049183</v>
      </c>
      <c r="D26" s="4">
        <f t="shared" si="6"/>
        <v>31794.783133989109</v>
      </c>
      <c r="E26" s="4">
        <f t="shared" si="0"/>
        <v>384391.65626569628</v>
      </c>
      <c r="F26" s="2">
        <f t="shared" si="1"/>
        <v>416186.43939968536</v>
      </c>
      <c r="G26" s="4"/>
      <c r="H26" s="4">
        <f t="shared" si="2"/>
        <v>11128.174096896188</v>
      </c>
      <c r="I26" s="4">
        <f t="shared" si="3"/>
        <v>-416186.43939968536</v>
      </c>
      <c r="J26" s="4">
        <f t="shared" si="4"/>
        <v>-405058.26530278916</v>
      </c>
    </row>
    <row r="27" spans="2:10" x14ac:dyDescent="0.25">
      <c r="B27" s="1">
        <v>20</v>
      </c>
      <c r="C27" s="4">
        <f t="shared" si="5"/>
        <v>2000217.0787834867</v>
      </c>
      <c r="D27" s="4">
        <f t="shared" si="6"/>
        <v>26669.561050446489</v>
      </c>
      <c r="E27" s="4">
        <f t="shared" si="0"/>
        <v>389516.87834923889</v>
      </c>
      <c r="F27" s="2">
        <f t="shared" si="1"/>
        <v>416186.43939968536</v>
      </c>
      <c r="G27" s="4"/>
      <c r="H27" s="4">
        <f t="shared" si="2"/>
        <v>9334.3463676562715</v>
      </c>
      <c r="I27" s="4">
        <f t="shared" si="3"/>
        <v>-416186.43939968536</v>
      </c>
      <c r="J27" s="4">
        <f t="shared" si="4"/>
        <v>-406852.09303202911</v>
      </c>
    </row>
    <row r="28" spans="2:10" x14ac:dyDescent="0.25">
      <c r="B28" s="1">
        <v>21</v>
      </c>
      <c r="C28" s="4">
        <f t="shared" si="5"/>
        <v>1610700.200434248</v>
      </c>
      <c r="D28" s="4">
        <f t="shared" si="6"/>
        <v>21476.002672456638</v>
      </c>
      <c r="E28" s="4">
        <f t="shared" si="0"/>
        <v>394710.43672722875</v>
      </c>
      <c r="F28" s="2">
        <f t="shared" si="1"/>
        <v>416186.43939968536</v>
      </c>
      <c r="G28" s="4"/>
      <c r="H28" s="4">
        <f t="shared" si="2"/>
        <v>7516.6009353598229</v>
      </c>
      <c r="I28" s="4">
        <f t="shared" si="3"/>
        <v>-416186.43939968536</v>
      </c>
      <c r="J28" s="4">
        <f t="shared" si="4"/>
        <v>-408669.83846432553</v>
      </c>
    </row>
    <row r="29" spans="2:10" x14ac:dyDescent="0.25">
      <c r="B29" s="1">
        <v>22</v>
      </c>
      <c r="C29" s="4">
        <f t="shared" si="5"/>
        <v>1215989.7637070192</v>
      </c>
      <c r="D29" s="4">
        <f t="shared" si="6"/>
        <v>16213.196849426922</v>
      </c>
      <c r="E29" s="4">
        <f t="shared" si="0"/>
        <v>399973.24255025847</v>
      </c>
      <c r="F29" s="2">
        <f t="shared" si="1"/>
        <v>416186.43939968536</v>
      </c>
      <c r="G29" s="4"/>
      <c r="H29" s="4">
        <f t="shared" si="2"/>
        <v>5674.6188972994223</v>
      </c>
      <c r="I29" s="4">
        <f t="shared" si="3"/>
        <v>-416186.43939968536</v>
      </c>
      <c r="J29" s="4">
        <f t="shared" si="4"/>
        <v>-410511.82050238596</v>
      </c>
    </row>
    <row r="30" spans="2:10" x14ac:dyDescent="0.25">
      <c r="B30" s="1">
        <v>23</v>
      </c>
      <c r="C30" s="4">
        <f t="shared" si="5"/>
        <v>816016.52115676063</v>
      </c>
      <c r="D30" s="4">
        <f t="shared" si="6"/>
        <v>10880.220282090142</v>
      </c>
      <c r="E30" s="4">
        <f t="shared" si="0"/>
        <v>405306.21911759523</v>
      </c>
      <c r="F30" s="2">
        <f t="shared" si="1"/>
        <v>416186.43939968536</v>
      </c>
      <c r="G30" s="4"/>
      <c r="H30" s="4">
        <f t="shared" si="2"/>
        <v>3808.0770987315495</v>
      </c>
      <c r="I30" s="4">
        <f t="shared" si="3"/>
        <v>-416186.43939968536</v>
      </c>
      <c r="J30" s="4">
        <f t="shared" si="4"/>
        <v>-412378.36230095383</v>
      </c>
    </row>
    <row r="31" spans="2:10" x14ac:dyDescent="0.25">
      <c r="B31" s="1">
        <v>24</v>
      </c>
      <c r="C31" s="10">
        <f t="shared" si="5"/>
        <v>410710.3020391654</v>
      </c>
      <c r="D31" s="4">
        <f t="shared" si="6"/>
        <v>5476.1373605222061</v>
      </c>
      <c r="E31" s="10">
        <f t="shared" si="0"/>
        <v>410710.30203916313</v>
      </c>
      <c r="F31" s="2">
        <f t="shared" si="1"/>
        <v>416186.43939968536</v>
      </c>
      <c r="G31" s="4"/>
      <c r="H31" s="4">
        <f t="shared" si="2"/>
        <v>1916.648076182772</v>
      </c>
      <c r="I31" s="4">
        <f t="shared" si="3"/>
        <v>-416186.43939968536</v>
      </c>
      <c r="J31" s="4">
        <f t="shared" si="4"/>
        <v>-414269.79132350261</v>
      </c>
    </row>
    <row r="32" spans="2:10" x14ac:dyDescent="0.25">
      <c r="H32" s="11" t="s">
        <v>25</v>
      </c>
      <c r="I32" s="12">
        <f>+IRR(I7:I31)</f>
        <v>1.8578080953558507E-2</v>
      </c>
      <c r="J32" s="12">
        <f>+IRR(J7:J31)</f>
        <v>1.3705496659011773E-2</v>
      </c>
    </row>
    <row r="33" spans="2:15" x14ac:dyDescent="0.25">
      <c r="G33" t="s">
        <v>48</v>
      </c>
      <c r="H33" s="11" t="s">
        <v>26</v>
      </c>
      <c r="I33" s="13">
        <f>+((1+I32)^12)-1</f>
        <v>0.24718797520253788</v>
      </c>
      <c r="J33" s="13">
        <f>+((1+J32)^12)-1</f>
        <v>0.17744767572357523</v>
      </c>
      <c r="K33" s="11" t="s">
        <v>27</v>
      </c>
      <c r="L33" s="11"/>
      <c r="M33" s="11" t="s">
        <v>28</v>
      </c>
    </row>
    <row r="34" spans="2:15" x14ac:dyDescent="0.25">
      <c r="H34" s="11" t="s">
        <v>29</v>
      </c>
      <c r="I34" s="14">
        <f>12*I32</f>
        <v>0.22293697144270208</v>
      </c>
      <c r="J34" s="14">
        <f>12*J32</f>
        <v>0.16446595990814128</v>
      </c>
      <c r="K34" s="11" t="s">
        <v>27</v>
      </c>
      <c r="L34" s="11"/>
      <c r="M34" s="11" t="s">
        <v>30</v>
      </c>
    </row>
    <row r="35" spans="2:15" x14ac:dyDescent="0.25">
      <c r="B35" s="8" t="s">
        <v>31</v>
      </c>
      <c r="C35" s="8"/>
      <c r="D35" t="s">
        <v>32</v>
      </c>
      <c r="F35" s="15" t="s">
        <v>12</v>
      </c>
      <c r="G35" s="16">
        <v>9500000</v>
      </c>
      <c r="H35" s="15" t="s">
        <v>33</v>
      </c>
      <c r="I35" s="15" t="s">
        <v>34</v>
      </c>
      <c r="J35" s="15"/>
    </row>
    <row r="36" spans="2:15" x14ac:dyDescent="0.25">
      <c r="B36" t="s">
        <v>36</v>
      </c>
      <c r="C36">
        <f>+((1+0.24)^(1/12))-1</f>
        <v>1.8087582483510722E-2</v>
      </c>
      <c r="F36" s="15" t="s">
        <v>12</v>
      </c>
      <c r="G36" s="17">
        <f>+G35</f>
        <v>9500000</v>
      </c>
      <c r="H36" s="15" t="s">
        <v>33</v>
      </c>
      <c r="I36" s="15" t="s">
        <v>35</v>
      </c>
      <c r="J36" s="15"/>
    </row>
    <row r="37" spans="2:15" x14ac:dyDescent="0.25">
      <c r="B37" s="9" t="s">
        <v>10</v>
      </c>
      <c r="C37" s="9" t="s">
        <v>2</v>
      </c>
      <c r="D37" s="9" t="s">
        <v>20</v>
      </c>
      <c r="E37" s="9" t="s">
        <v>4</v>
      </c>
      <c r="F37" s="9" t="s">
        <v>5</v>
      </c>
      <c r="G37" s="9" t="s">
        <v>6</v>
      </c>
      <c r="H37" s="9" t="s">
        <v>21</v>
      </c>
      <c r="I37" s="9" t="s">
        <v>22</v>
      </c>
      <c r="J37" s="9" t="s">
        <v>23</v>
      </c>
    </row>
    <row r="38" spans="2:15" x14ac:dyDescent="0.25">
      <c r="B38" s="1">
        <v>0</v>
      </c>
      <c r="C38" s="1"/>
      <c r="D38" s="1"/>
      <c r="E38" s="1"/>
      <c r="F38" s="1"/>
      <c r="G38" s="4"/>
      <c r="H38" s="4"/>
      <c r="I38" s="4">
        <v>9500000</v>
      </c>
      <c r="J38" s="4">
        <v>9500000</v>
      </c>
      <c r="M38" t="s">
        <v>17</v>
      </c>
      <c r="N38" t="s">
        <v>40</v>
      </c>
      <c r="O38" t="s">
        <v>41</v>
      </c>
    </row>
    <row r="39" spans="2:15" x14ac:dyDescent="0.25">
      <c r="B39" s="1">
        <v>1</v>
      </c>
      <c r="C39" s="4">
        <f>+G36/(1-0.008-0.21*0.008)</f>
        <v>9592858.8738993462</v>
      </c>
      <c r="D39" s="4">
        <f>+C39*$C$36</f>
        <v>173511.62613433221</v>
      </c>
      <c r="E39" s="4">
        <f>+$C$39/24</f>
        <v>399702.45307913941</v>
      </c>
      <c r="F39" s="18">
        <f>+E39+D39</f>
        <v>573214.07921347162</v>
      </c>
      <c r="G39" s="4"/>
      <c r="H39" s="4">
        <f>0.35*D39</f>
        <v>60729.069147016271</v>
      </c>
      <c r="I39" s="4">
        <f>-G39-F39</f>
        <v>-573214.07921347162</v>
      </c>
      <c r="J39" s="4">
        <f>+H39+I39</f>
        <v>-512485.01006645535</v>
      </c>
      <c r="M39">
        <v>0</v>
      </c>
      <c r="N39" s="7">
        <f>+NPV(M39,$J$8:$J$31)+$J$7</f>
        <v>-1467508.454635093</v>
      </c>
      <c r="O39" s="7">
        <f>+NPV(M39,$J$39:$J$62)+$J$38</f>
        <v>-1502640.8362407926</v>
      </c>
    </row>
    <row r="40" spans="2:15" x14ac:dyDescent="0.25">
      <c r="B40" s="1">
        <v>2</v>
      </c>
      <c r="C40" s="4">
        <f>+C39-E39</f>
        <v>9193156.4208202064</v>
      </c>
      <c r="D40" s="4">
        <f>+C40*$C$36</f>
        <v>166281.97504540169</v>
      </c>
      <c r="E40" s="4">
        <f t="shared" ref="E40:E62" si="7">+$C$39/24</f>
        <v>399702.45307913941</v>
      </c>
      <c r="F40" s="18">
        <f t="shared" ref="F40:F61" si="8">+E40+D40</f>
        <v>565984.42812454107</v>
      </c>
      <c r="G40" s="4"/>
      <c r="H40" s="4">
        <f t="shared" ref="H40:H62" si="9">0.35*D40</f>
        <v>58198.691265890586</v>
      </c>
      <c r="I40" s="4">
        <f t="shared" ref="I40:I62" si="10">-G40-F40</f>
        <v>-565984.42812454107</v>
      </c>
      <c r="J40" s="4">
        <f t="shared" ref="J40:J62" si="11">+H40+I40</f>
        <v>-507785.73685865046</v>
      </c>
      <c r="M40">
        <f>+M39+0.005</f>
        <v>5.0000000000000001E-3</v>
      </c>
      <c r="N40" s="7">
        <f t="shared" ref="N40:N46" si="12">+NPV(M40,$J$8:$J$31)+$J$7</f>
        <v>-891757.94041489437</v>
      </c>
      <c r="O40" s="7">
        <f t="shared" ref="O40:O46" si="13">+NPV(M40,$J$39:$J$62)+$J$38</f>
        <v>-869129.82935342565</v>
      </c>
    </row>
    <row r="41" spans="2:15" x14ac:dyDescent="0.25">
      <c r="B41" s="1">
        <v>3</v>
      </c>
      <c r="C41" s="4">
        <f t="shared" ref="C41:C62" si="14">+C40-E40</f>
        <v>8793453.9677410666</v>
      </c>
      <c r="D41" s="4">
        <f t="shared" ref="D41:D62" si="15">+C41*$C$36</f>
        <v>159052.32395647117</v>
      </c>
      <c r="E41" s="4">
        <f t="shared" si="7"/>
        <v>399702.45307913941</v>
      </c>
      <c r="F41" s="18">
        <f t="shared" si="8"/>
        <v>558754.77703561052</v>
      </c>
      <c r="G41" s="4"/>
      <c r="H41" s="4">
        <f t="shared" si="9"/>
        <v>55668.313384764908</v>
      </c>
      <c r="I41" s="4">
        <f t="shared" si="10"/>
        <v>-558754.77703561052</v>
      </c>
      <c r="J41" s="4">
        <f t="shared" si="11"/>
        <v>-503086.46365084563</v>
      </c>
      <c r="M41">
        <f t="shared" ref="M41:M47" si="16">+M40+0.005</f>
        <v>0.01</v>
      </c>
      <c r="N41" s="7">
        <f t="shared" si="12"/>
        <v>-363516.11858368572</v>
      </c>
      <c r="O41" s="7">
        <f t="shared" si="13"/>
        <v>-286441.63903626613</v>
      </c>
    </row>
    <row r="42" spans="2:15" x14ac:dyDescent="0.25">
      <c r="B42" s="1">
        <v>4</v>
      </c>
      <c r="C42" s="4">
        <f t="shared" si="14"/>
        <v>8393751.5146619268</v>
      </c>
      <c r="D42" s="4">
        <f t="shared" si="15"/>
        <v>151822.67286754065</v>
      </c>
      <c r="E42" s="4">
        <f t="shared" si="7"/>
        <v>399702.45307913941</v>
      </c>
      <c r="F42" s="18">
        <f t="shared" si="8"/>
        <v>551525.12594668008</v>
      </c>
      <c r="G42" s="4"/>
      <c r="H42" s="4">
        <f t="shared" si="9"/>
        <v>53137.935503639223</v>
      </c>
      <c r="I42" s="4">
        <f t="shared" si="10"/>
        <v>-551525.12594668008</v>
      </c>
      <c r="J42" s="4">
        <f t="shared" si="11"/>
        <v>-498387.19044304086</v>
      </c>
      <c r="M42" s="5">
        <f>+J63</f>
        <v>1.2618006525312309E-2</v>
      </c>
      <c r="N42" s="7">
        <f t="shared" si="12"/>
        <v>-104339.63113461714</v>
      </c>
      <c r="O42" s="7">
        <f t="shared" si="13"/>
        <v>1.6763806343078613E-8</v>
      </c>
    </row>
    <row r="43" spans="2:15" x14ac:dyDescent="0.25">
      <c r="B43" s="1">
        <v>5</v>
      </c>
      <c r="C43" s="4">
        <f t="shared" si="14"/>
        <v>7994049.061582787</v>
      </c>
      <c r="D43" s="4">
        <f t="shared" si="15"/>
        <v>144593.02177861016</v>
      </c>
      <c r="E43" s="4">
        <f t="shared" si="7"/>
        <v>399702.45307913941</v>
      </c>
      <c r="F43" s="18">
        <f t="shared" si="8"/>
        <v>544295.47485774953</v>
      </c>
      <c r="G43" s="4"/>
      <c r="H43" s="4">
        <f t="shared" si="9"/>
        <v>50607.557622513552</v>
      </c>
      <c r="I43" s="4">
        <f t="shared" si="10"/>
        <v>-544295.47485774953</v>
      </c>
      <c r="J43" s="4">
        <f t="shared" si="11"/>
        <v>-493687.91723523597</v>
      </c>
      <c r="M43" s="5">
        <f>+J32</f>
        <v>1.3705496659011773E-2</v>
      </c>
      <c r="N43" s="7">
        <f t="shared" si="12"/>
        <v>-8.3819031715393066E-9</v>
      </c>
      <c r="O43" s="7">
        <f t="shared" si="13"/>
        <v>115424.49366500787</v>
      </c>
    </row>
    <row r="44" spans="2:15" x14ac:dyDescent="0.25">
      <c r="B44" s="1">
        <v>6</v>
      </c>
      <c r="C44" s="4">
        <f t="shared" si="14"/>
        <v>7594346.6085036471</v>
      </c>
      <c r="D44" s="4">
        <f t="shared" si="15"/>
        <v>137363.37068967964</v>
      </c>
      <c r="E44" s="4">
        <f t="shared" si="7"/>
        <v>399702.45307913941</v>
      </c>
      <c r="F44" s="18">
        <f t="shared" si="8"/>
        <v>537065.82376881898</v>
      </c>
      <c r="G44" s="4"/>
      <c r="H44" s="4">
        <f t="shared" si="9"/>
        <v>48077.179741387867</v>
      </c>
      <c r="I44" s="4">
        <f t="shared" si="10"/>
        <v>-537065.82376881898</v>
      </c>
      <c r="J44" s="4">
        <f t="shared" si="11"/>
        <v>-488988.64402743115</v>
      </c>
      <c r="M44">
        <v>0.02</v>
      </c>
      <c r="N44" s="7">
        <f t="shared" si="12"/>
        <v>568077.10192783549</v>
      </c>
      <c r="O44" s="7">
        <f t="shared" si="13"/>
        <v>745014.88177883625</v>
      </c>
    </row>
    <row r="45" spans="2:15" x14ac:dyDescent="0.25">
      <c r="B45" s="1">
        <v>7</v>
      </c>
      <c r="C45" s="4">
        <f t="shared" si="14"/>
        <v>7194644.1554245073</v>
      </c>
      <c r="D45" s="4">
        <f t="shared" si="15"/>
        <v>130133.71960074911</v>
      </c>
      <c r="E45" s="4">
        <f t="shared" si="7"/>
        <v>399702.45307913941</v>
      </c>
      <c r="F45" s="18">
        <f t="shared" si="8"/>
        <v>529836.17267988855</v>
      </c>
      <c r="G45" s="4"/>
      <c r="H45" s="4">
        <f t="shared" si="9"/>
        <v>45546.801860262189</v>
      </c>
      <c r="I45" s="4">
        <f t="shared" si="10"/>
        <v>-529836.17267988855</v>
      </c>
      <c r="J45" s="4">
        <f t="shared" si="11"/>
        <v>-484289.37081962638</v>
      </c>
      <c r="M45">
        <f t="shared" si="16"/>
        <v>2.5000000000000001E-2</v>
      </c>
      <c r="N45" s="7">
        <f t="shared" si="12"/>
        <v>979115.99867484905</v>
      </c>
      <c r="O45" s="7">
        <f t="shared" si="13"/>
        <v>1201882.3997400571</v>
      </c>
    </row>
    <row r="46" spans="2:15" x14ac:dyDescent="0.25">
      <c r="B46" s="1">
        <v>8</v>
      </c>
      <c r="C46" s="4">
        <f t="shared" si="14"/>
        <v>6794941.7023453675</v>
      </c>
      <c r="D46" s="4">
        <f t="shared" si="15"/>
        <v>122904.06851181859</v>
      </c>
      <c r="E46" s="4">
        <f t="shared" si="7"/>
        <v>399702.45307913941</v>
      </c>
      <c r="F46" s="18">
        <f t="shared" si="8"/>
        <v>522606.521590958</v>
      </c>
      <c r="G46" s="4"/>
      <c r="H46" s="4">
        <f t="shared" si="9"/>
        <v>43016.423979136503</v>
      </c>
      <c r="I46" s="4">
        <f t="shared" si="10"/>
        <v>-522606.521590958</v>
      </c>
      <c r="J46" s="4">
        <f t="shared" si="11"/>
        <v>-479590.09761182149</v>
      </c>
      <c r="M46">
        <f t="shared" si="16"/>
        <v>3.0000000000000002E-2</v>
      </c>
      <c r="N46" s="7">
        <f t="shared" si="12"/>
        <v>1358120.9919163156</v>
      </c>
      <c r="O46" s="7">
        <f t="shared" si="13"/>
        <v>1624228.3484824924</v>
      </c>
    </row>
    <row r="47" spans="2:15" x14ac:dyDescent="0.25">
      <c r="B47" s="1">
        <v>9</v>
      </c>
      <c r="C47" s="4">
        <f t="shared" si="14"/>
        <v>6395239.2492662277</v>
      </c>
      <c r="D47" s="4">
        <f t="shared" si="15"/>
        <v>115674.41742288809</v>
      </c>
      <c r="E47" s="4">
        <f t="shared" si="7"/>
        <v>399702.45307913941</v>
      </c>
      <c r="F47" s="18">
        <f t="shared" si="8"/>
        <v>515376.87050202751</v>
      </c>
      <c r="G47" s="4"/>
      <c r="H47" s="4">
        <f t="shared" si="9"/>
        <v>40486.046098010826</v>
      </c>
      <c r="I47" s="4">
        <f t="shared" si="10"/>
        <v>-515376.87050202751</v>
      </c>
      <c r="J47" s="4">
        <f t="shared" si="11"/>
        <v>-474890.82440401666</v>
      </c>
      <c r="M47">
        <f t="shared" si="16"/>
        <v>3.5000000000000003E-2</v>
      </c>
      <c r="N47" s="7">
        <f>+NPV(M47,$J$8:$J$31)+$J$7</f>
        <v>1708019.8155942876</v>
      </c>
      <c r="O47" s="7">
        <f>+NPV(M47,$J$39:$J$62)+$J$38</f>
        <v>2015148.2095027072</v>
      </c>
    </row>
    <row r="48" spans="2:15" x14ac:dyDescent="0.25">
      <c r="B48" s="1">
        <v>10</v>
      </c>
      <c r="C48" s="4">
        <f t="shared" si="14"/>
        <v>5995536.7961870879</v>
      </c>
      <c r="D48" s="4">
        <f t="shared" si="15"/>
        <v>108444.76633395757</v>
      </c>
      <c r="E48" s="4">
        <f t="shared" si="7"/>
        <v>399702.45307913941</v>
      </c>
      <c r="F48" s="18">
        <f t="shared" si="8"/>
        <v>508147.21941309696</v>
      </c>
      <c r="G48" s="4"/>
      <c r="H48" s="4">
        <f t="shared" si="9"/>
        <v>37955.668216885148</v>
      </c>
      <c r="I48" s="4">
        <f t="shared" si="10"/>
        <v>-508147.21941309696</v>
      </c>
      <c r="J48" s="4">
        <f t="shared" si="11"/>
        <v>-470191.55119621183</v>
      </c>
      <c r="M48">
        <v>0.04</v>
      </c>
      <c r="N48" s="7">
        <f>+NPV(M48,$J$8:$J$31)+$J$7</f>
        <v>2031444.3207654338</v>
      </c>
      <c r="O48" s="7">
        <f>+NPV(M48,$J$39:$J$62)+$J$38</f>
        <v>2377428.6404623892</v>
      </c>
    </row>
    <row r="49" spans="2:13" x14ac:dyDescent="0.25">
      <c r="B49" s="1">
        <v>11</v>
      </c>
      <c r="C49" s="4">
        <f t="shared" si="14"/>
        <v>5595834.3431079481</v>
      </c>
      <c r="D49" s="4">
        <f t="shared" si="15"/>
        <v>101215.11524502705</v>
      </c>
      <c r="E49" s="4">
        <f t="shared" si="7"/>
        <v>399702.45307913941</v>
      </c>
      <c r="F49" s="18">
        <f t="shared" si="8"/>
        <v>500917.56832416647</v>
      </c>
      <c r="G49" s="4"/>
      <c r="H49" s="4">
        <f t="shared" si="9"/>
        <v>35425.290335759462</v>
      </c>
      <c r="I49" s="4">
        <f t="shared" si="10"/>
        <v>-500917.56832416647</v>
      </c>
      <c r="J49" s="4">
        <f t="shared" si="11"/>
        <v>-465492.277988407</v>
      </c>
    </row>
    <row r="50" spans="2:13" x14ac:dyDescent="0.25">
      <c r="B50" s="1">
        <v>12</v>
      </c>
      <c r="C50" s="4">
        <f t="shared" si="14"/>
        <v>5196131.8900288083</v>
      </c>
      <c r="D50" s="4">
        <f t="shared" si="15"/>
        <v>93985.464156096539</v>
      </c>
      <c r="E50" s="4">
        <f t="shared" si="7"/>
        <v>399702.45307913941</v>
      </c>
      <c r="F50" s="18">
        <f t="shared" si="8"/>
        <v>493687.91723523592</v>
      </c>
      <c r="G50" s="4"/>
      <c r="H50" s="4">
        <f t="shared" si="9"/>
        <v>32894.912454633784</v>
      </c>
      <c r="I50" s="4">
        <f t="shared" si="10"/>
        <v>-493687.91723523592</v>
      </c>
      <c r="J50" s="4">
        <f t="shared" si="11"/>
        <v>-460793.00478060212</v>
      </c>
    </row>
    <row r="51" spans="2:13" x14ac:dyDescent="0.25">
      <c r="B51" s="1">
        <v>13</v>
      </c>
      <c r="C51" s="4">
        <f t="shared" si="14"/>
        <v>4796429.4369496685</v>
      </c>
      <c r="D51" s="4">
        <f t="shared" si="15"/>
        <v>86755.813067166018</v>
      </c>
      <c r="E51" s="4">
        <f t="shared" si="7"/>
        <v>399702.45307913941</v>
      </c>
      <c r="F51" s="18">
        <f t="shared" si="8"/>
        <v>486458.26614630542</v>
      </c>
      <c r="G51" s="4"/>
      <c r="H51" s="4">
        <f t="shared" si="9"/>
        <v>30364.534573508103</v>
      </c>
      <c r="I51" s="4">
        <f t="shared" si="10"/>
        <v>-486458.26614630542</v>
      </c>
      <c r="J51" s="4">
        <f t="shared" si="11"/>
        <v>-456093.73157279735</v>
      </c>
    </row>
    <row r="52" spans="2:13" x14ac:dyDescent="0.25">
      <c r="B52" s="1">
        <v>14</v>
      </c>
      <c r="C52" s="4">
        <f t="shared" si="14"/>
        <v>4396726.9838705286</v>
      </c>
      <c r="D52" s="4">
        <f t="shared" si="15"/>
        <v>79526.161978235497</v>
      </c>
      <c r="E52" s="4">
        <f t="shared" si="7"/>
        <v>399702.45307913941</v>
      </c>
      <c r="F52" s="18">
        <f t="shared" si="8"/>
        <v>479228.61505737493</v>
      </c>
      <c r="G52" s="4"/>
      <c r="H52" s="4">
        <f t="shared" si="9"/>
        <v>27834.156692382421</v>
      </c>
      <c r="I52" s="4">
        <f t="shared" si="10"/>
        <v>-479228.61505737493</v>
      </c>
      <c r="J52" s="4">
        <f t="shared" si="11"/>
        <v>-451394.45836499252</v>
      </c>
    </row>
    <row r="53" spans="2:13" x14ac:dyDescent="0.25">
      <c r="B53" s="1">
        <v>15</v>
      </c>
      <c r="C53" s="4">
        <f t="shared" si="14"/>
        <v>3997024.5307913893</v>
      </c>
      <c r="D53" s="4">
        <f t="shared" si="15"/>
        <v>72296.510889304991</v>
      </c>
      <c r="E53" s="4">
        <f t="shared" si="7"/>
        <v>399702.45307913941</v>
      </c>
      <c r="F53" s="18">
        <f t="shared" si="8"/>
        <v>471998.96396844438</v>
      </c>
      <c r="G53" s="4"/>
      <c r="H53" s="4">
        <f t="shared" si="9"/>
        <v>25303.778811256747</v>
      </c>
      <c r="I53" s="4">
        <f t="shared" si="10"/>
        <v>-471998.96396844438</v>
      </c>
      <c r="J53" s="4">
        <f t="shared" si="11"/>
        <v>-446695.18515718763</v>
      </c>
    </row>
    <row r="54" spans="2:13" x14ac:dyDescent="0.25">
      <c r="B54" s="1">
        <v>16</v>
      </c>
      <c r="C54" s="4">
        <f t="shared" si="14"/>
        <v>3597322.0777122499</v>
      </c>
      <c r="D54" s="4">
        <f t="shared" si="15"/>
        <v>65066.859800374492</v>
      </c>
      <c r="E54" s="4">
        <f t="shared" si="7"/>
        <v>399702.45307913941</v>
      </c>
      <c r="F54" s="18">
        <f t="shared" si="8"/>
        <v>464769.31287951389</v>
      </c>
      <c r="G54" s="4"/>
      <c r="H54" s="4">
        <f t="shared" si="9"/>
        <v>22773.400930131073</v>
      </c>
      <c r="I54" s="4">
        <f t="shared" si="10"/>
        <v>-464769.31287951389</v>
      </c>
      <c r="J54" s="4">
        <f t="shared" si="11"/>
        <v>-441995.9119493828</v>
      </c>
    </row>
    <row r="55" spans="2:13" x14ac:dyDescent="0.25">
      <c r="B55" s="1">
        <v>17</v>
      </c>
      <c r="C55" s="4">
        <f t="shared" si="14"/>
        <v>3197619.6246331106</v>
      </c>
      <c r="D55" s="4">
        <f t="shared" si="15"/>
        <v>57837.208711443986</v>
      </c>
      <c r="E55" s="4">
        <f t="shared" si="7"/>
        <v>399702.45307913941</v>
      </c>
      <c r="F55" s="18">
        <f t="shared" si="8"/>
        <v>457539.6617905834</v>
      </c>
      <c r="G55" s="4"/>
      <c r="H55" s="4">
        <f t="shared" si="9"/>
        <v>20243.023049005395</v>
      </c>
      <c r="I55" s="4">
        <f t="shared" si="10"/>
        <v>-457539.6617905834</v>
      </c>
      <c r="J55" s="4">
        <f t="shared" si="11"/>
        <v>-437296.63874157798</v>
      </c>
    </row>
    <row r="56" spans="2:13" x14ac:dyDescent="0.25">
      <c r="B56" s="1">
        <v>18</v>
      </c>
      <c r="C56" s="4">
        <f t="shared" si="14"/>
        <v>2797917.1715539712</v>
      </c>
      <c r="D56" s="4">
        <f t="shared" si="15"/>
        <v>50607.557622513472</v>
      </c>
      <c r="E56" s="4">
        <f t="shared" si="7"/>
        <v>399702.45307913941</v>
      </c>
      <c r="F56" s="18">
        <f t="shared" si="8"/>
        <v>450310.01070165285</v>
      </c>
      <c r="G56" s="4"/>
      <c r="H56" s="4">
        <f t="shared" si="9"/>
        <v>17712.645167879713</v>
      </c>
      <c r="I56" s="4">
        <f t="shared" si="10"/>
        <v>-450310.01070165285</v>
      </c>
      <c r="J56" s="4">
        <f t="shared" si="11"/>
        <v>-432597.36553377315</v>
      </c>
    </row>
    <row r="57" spans="2:13" x14ac:dyDescent="0.25">
      <c r="B57" s="1">
        <v>19</v>
      </c>
      <c r="C57" s="4">
        <f t="shared" si="14"/>
        <v>2398214.7184748319</v>
      </c>
      <c r="D57" s="4">
        <f t="shared" si="15"/>
        <v>43377.906533582965</v>
      </c>
      <c r="E57" s="4">
        <f t="shared" si="7"/>
        <v>399702.45307913941</v>
      </c>
      <c r="F57" s="18">
        <f t="shared" si="8"/>
        <v>443080.35961272236</v>
      </c>
      <c r="G57" s="4"/>
      <c r="H57" s="4">
        <f t="shared" si="9"/>
        <v>15182.267286754037</v>
      </c>
      <c r="I57" s="4">
        <f t="shared" si="10"/>
        <v>-443080.35961272236</v>
      </c>
      <c r="J57" s="4">
        <f t="shared" si="11"/>
        <v>-427898.09232596832</v>
      </c>
    </row>
    <row r="58" spans="2:13" x14ac:dyDescent="0.25">
      <c r="B58" s="1">
        <v>20</v>
      </c>
      <c r="C58" s="4">
        <f t="shared" si="14"/>
        <v>1998512.2653956925</v>
      </c>
      <c r="D58" s="4">
        <f t="shared" si="15"/>
        <v>36148.255444652459</v>
      </c>
      <c r="E58" s="4">
        <f t="shared" si="7"/>
        <v>399702.45307913941</v>
      </c>
      <c r="F58" s="18">
        <f t="shared" si="8"/>
        <v>435850.70852379187</v>
      </c>
      <c r="G58" s="4"/>
      <c r="H58" s="4">
        <f t="shared" si="9"/>
        <v>12651.889405628361</v>
      </c>
      <c r="I58" s="4">
        <f t="shared" si="10"/>
        <v>-435850.70852379187</v>
      </c>
      <c r="J58" s="4">
        <f t="shared" si="11"/>
        <v>-423198.81911816349</v>
      </c>
    </row>
    <row r="59" spans="2:13" x14ac:dyDescent="0.25">
      <c r="B59" s="1">
        <v>21</v>
      </c>
      <c r="C59" s="4">
        <f t="shared" si="14"/>
        <v>1598809.8123165532</v>
      </c>
      <c r="D59" s="4">
        <f t="shared" si="15"/>
        <v>28918.604355721953</v>
      </c>
      <c r="E59" s="4">
        <f t="shared" si="7"/>
        <v>399702.45307913941</v>
      </c>
      <c r="F59" s="18">
        <f t="shared" si="8"/>
        <v>428621.05743486137</v>
      </c>
      <c r="G59" s="4"/>
      <c r="H59" s="4">
        <f t="shared" si="9"/>
        <v>10121.511524502683</v>
      </c>
      <c r="I59" s="4">
        <f t="shared" si="10"/>
        <v>-428621.05743486137</v>
      </c>
      <c r="J59" s="4">
        <f t="shared" si="11"/>
        <v>-418499.54591035866</v>
      </c>
    </row>
    <row r="60" spans="2:13" x14ac:dyDescent="0.25">
      <c r="B60" s="1">
        <v>22</v>
      </c>
      <c r="C60" s="4">
        <f t="shared" si="14"/>
        <v>1199107.3592374139</v>
      </c>
      <c r="D60" s="4">
        <f t="shared" si="15"/>
        <v>21688.953266791446</v>
      </c>
      <c r="E60" s="4">
        <f t="shared" si="7"/>
        <v>399702.45307913941</v>
      </c>
      <c r="F60" s="18">
        <f t="shared" si="8"/>
        <v>421391.40634593088</v>
      </c>
      <c r="G60" s="4"/>
      <c r="H60" s="4">
        <f t="shared" si="9"/>
        <v>7591.1336433770057</v>
      </c>
      <c r="I60" s="4">
        <f t="shared" si="10"/>
        <v>-421391.40634593088</v>
      </c>
      <c r="J60" s="4">
        <f t="shared" si="11"/>
        <v>-413800.27270255389</v>
      </c>
    </row>
    <row r="61" spans="2:13" x14ac:dyDescent="0.25">
      <c r="B61" s="1">
        <v>23</v>
      </c>
      <c r="C61" s="4">
        <f t="shared" si="14"/>
        <v>799404.90615827451</v>
      </c>
      <c r="D61" s="4">
        <f t="shared" si="15"/>
        <v>14459.302177860938</v>
      </c>
      <c r="E61" s="4">
        <f t="shared" si="7"/>
        <v>399702.45307913941</v>
      </c>
      <c r="F61" s="18">
        <f t="shared" si="8"/>
        <v>414161.75525700033</v>
      </c>
      <c r="G61" s="4"/>
      <c r="H61" s="4">
        <f t="shared" si="9"/>
        <v>5060.7557622513277</v>
      </c>
      <c r="I61" s="4">
        <f t="shared" si="10"/>
        <v>-414161.75525700033</v>
      </c>
      <c r="J61" s="4">
        <f t="shared" si="11"/>
        <v>-409100.999494749</v>
      </c>
    </row>
    <row r="62" spans="2:13" x14ac:dyDescent="0.25">
      <c r="B62" s="1">
        <v>24</v>
      </c>
      <c r="C62" s="10">
        <f t="shared" si="14"/>
        <v>399702.4530791351</v>
      </c>
      <c r="D62" s="4">
        <f t="shared" si="15"/>
        <v>7229.65108893043</v>
      </c>
      <c r="E62" s="10">
        <f t="shared" si="7"/>
        <v>399702.45307913941</v>
      </c>
      <c r="F62" s="18">
        <f>+E62+D62</f>
        <v>406932.10416806984</v>
      </c>
      <c r="G62" s="4"/>
      <c r="H62" s="4">
        <f t="shared" si="9"/>
        <v>2530.3778811256502</v>
      </c>
      <c r="I62" s="4">
        <f t="shared" si="10"/>
        <v>-406932.10416806984</v>
      </c>
      <c r="J62" s="4">
        <f t="shared" si="11"/>
        <v>-404401.72628694418</v>
      </c>
    </row>
    <row r="63" spans="2:13" x14ac:dyDescent="0.25">
      <c r="H63" s="11" t="s">
        <v>25</v>
      </c>
      <c r="I63" s="12">
        <f>+IRR(I38:I62)</f>
        <v>1.8993910603564812E-2</v>
      </c>
      <c r="J63" s="12">
        <f>+IRR(J38:J62)</f>
        <v>1.2618006525312309E-2</v>
      </c>
    </row>
    <row r="64" spans="2:13" x14ac:dyDescent="0.25">
      <c r="G64" t="s">
        <v>48</v>
      </c>
      <c r="H64" s="11" t="s">
        <v>26</v>
      </c>
      <c r="I64" s="13">
        <f>+((1+I63)^12)-1</f>
        <v>0.25331161535649227</v>
      </c>
      <c r="J64" s="13">
        <f>+((1+J63)^12)-1</f>
        <v>0.16237898523906091</v>
      </c>
      <c r="K64" s="11" t="s">
        <v>27</v>
      </c>
      <c r="L64" s="11"/>
      <c r="M64" s="11" t="s">
        <v>28</v>
      </c>
    </row>
    <row r="65" spans="4:13" x14ac:dyDescent="0.25">
      <c r="H65" s="11" t="s">
        <v>29</v>
      </c>
      <c r="I65" s="14">
        <f>12*I63</f>
        <v>0.22792692724277774</v>
      </c>
      <c r="J65" s="14">
        <f>12*J63</f>
        <v>0.1514160783037477</v>
      </c>
      <c r="K65" s="11" t="s">
        <v>27</v>
      </c>
      <c r="L65" s="11"/>
      <c r="M65" s="11" t="s">
        <v>30</v>
      </c>
    </row>
    <row r="68" spans="4:13" x14ac:dyDescent="0.25">
      <c r="D68" t="s">
        <v>49</v>
      </c>
      <c r="E68" t="s">
        <v>37</v>
      </c>
      <c r="H68" s="7">
        <f>+NPV(J63,J39:J62)+J38</f>
        <v>1.6763806343078613E-8</v>
      </c>
    </row>
    <row r="70" spans="4:13" x14ac:dyDescent="0.25">
      <c r="E70" t="s">
        <v>38</v>
      </c>
      <c r="H70" s="7">
        <f>+NPV(J63,J8:J31)+J7</f>
        <v>-104339.63113461714</v>
      </c>
    </row>
    <row r="72" spans="4:13" x14ac:dyDescent="0.25">
      <c r="E72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2"/>
  <sheetViews>
    <sheetView zoomScaleNormal="100" workbookViewId="0">
      <selection activeCell="C10" sqref="C10"/>
    </sheetView>
  </sheetViews>
  <sheetFormatPr defaultColWidth="11.42578125" defaultRowHeight="15" x14ac:dyDescent="0.25"/>
  <cols>
    <col min="3" max="3" width="18.5703125" customWidth="1"/>
    <col min="5" max="5" width="20.140625" customWidth="1"/>
    <col min="6" max="6" width="23.28515625" customWidth="1"/>
    <col min="8" max="8" width="18.5703125" customWidth="1"/>
    <col min="12" max="12" width="22.85546875" customWidth="1"/>
  </cols>
  <sheetData>
    <row r="2" spans="2:6" x14ac:dyDescent="0.25">
      <c r="C2" s="30" t="s">
        <v>50</v>
      </c>
      <c r="D2" s="30" t="s">
        <v>51</v>
      </c>
      <c r="E2" s="30" t="s">
        <v>52</v>
      </c>
      <c r="F2" s="30" t="s">
        <v>53</v>
      </c>
    </row>
    <row r="3" spans="2:6" x14ac:dyDescent="0.25">
      <c r="C3" s="26">
        <v>44681</v>
      </c>
    </row>
    <row r="4" spans="2:6" x14ac:dyDescent="0.25">
      <c r="B4">
        <v>1</v>
      </c>
      <c r="C4" s="26">
        <v>44864</v>
      </c>
      <c r="D4" s="27">
        <f>100*0.04/2</f>
        <v>2</v>
      </c>
      <c r="E4">
        <v>2.3400000000000001E-2</v>
      </c>
      <c r="F4" s="27">
        <f>+D4/(1+E4)^B4</f>
        <v>1.9542700801250732</v>
      </c>
    </row>
    <row r="5" spans="2:6" x14ac:dyDescent="0.25">
      <c r="B5">
        <v>2</v>
      </c>
      <c r="C5" s="26">
        <v>45046</v>
      </c>
      <c r="D5" s="27">
        <f t="shared" ref="D5:D7" si="0">100*0.04/2</f>
        <v>2</v>
      </c>
      <c r="E5">
        <v>2.24E-2</v>
      </c>
      <c r="F5" s="27">
        <f t="shared" ref="F5:F8" si="1">+D5/(1+E5)^B5</f>
        <v>1.9133230962894392</v>
      </c>
    </row>
    <row r="6" spans="2:6" x14ac:dyDescent="0.25">
      <c r="B6">
        <v>3</v>
      </c>
      <c r="C6" s="26">
        <v>45229</v>
      </c>
      <c r="D6" s="27">
        <f t="shared" si="0"/>
        <v>2</v>
      </c>
      <c r="E6">
        <v>2.1000000000000001E-2</v>
      </c>
      <c r="F6" s="27">
        <f t="shared" si="1"/>
        <v>1.8791124475743017</v>
      </c>
    </row>
    <row r="7" spans="2:6" x14ac:dyDescent="0.25">
      <c r="B7">
        <v>4</v>
      </c>
      <c r="C7" s="26">
        <v>45412</v>
      </c>
      <c r="D7" s="27">
        <f t="shared" si="0"/>
        <v>2</v>
      </c>
      <c r="E7">
        <v>2.0299999999999999E-2</v>
      </c>
      <c r="F7" s="27">
        <f t="shared" si="1"/>
        <v>1.8455186955182035</v>
      </c>
    </row>
    <row r="8" spans="2:6" x14ac:dyDescent="0.25">
      <c r="B8">
        <v>5</v>
      </c>
      <c r="C8" s="26">
        <v>45595</v>
      </c>
      <c r="D8" s="27">
        <f>100+D7</f>
        <v>102</v>
      </c>
      <c r="E8">
        <v>0.02</v>
      </c>
      <c r="F8" s="27">
        <f t="shared" si="1"/>
        <v>92.384542602651422</v>
      </c>
    </row>
    <row r="9" spans="2:6" ht="15.75" thickBot="1" x14ac:dyDescent="0.3"/>
    <row r="10" spans="2:6" ht="15.75" thickBot="1" x14ac:dyDescent="0.3">
      <c r="D10" t="s">
        <v>60</v>
      </c>
      <c r="E10" s="28" t="s">
        <v>54</v>
      </c>
      <c r="F10" s="29">
        <f>+SUM(F4:F8)</f>
        <v>99.976766922158447</v>
      </c>
    </row>
    <row r="15" spans="2:6" x14ac:dyDescent="0.25">
      <c r="C15" s="30" t="s">
        <v>50</v>
      </c>
      <c r="D15" s="30" t="s">
        <v>51</v>
      </c>
    </row>
    <row r="16" spans="2:6" x14ac:dyDescent="0.25">
      <c r="C16" s="26">
        <v>44681</v>
      </c>
    </row>
    <row r="17" spans="2:4" x14ac:dyDescent="0.25">
      <c r="B17">
        <v>1</v>
      </c>
      <c r="C17" s="26">
        <v>44864</v>
      </c>
      <c r="D17" s="27">
        <f>100*0.04/2</f>
        <v>2</v>
      </c>
    </row>
    <row r="18" spans="2:4" x14ac:dyDescent="0.25">
      <c r="B18">
        <v>2</v>
      </c>
      <c r="C18" s="26">
        <v>45046</v>
      </c>
      <c r="D18" s="27">
        <f t="shared" ref="D18:D20" si="2">100*0.04/2</f>
        <v>2</v>
      </c>
    </row>
    <row r="19" spans="2:4" x14ac:dyDescent="0.25">
      <c r="B19">
        <v>3</v>
      </c>
      <c r="C19" s="26">
        <v>45229</v>
      </c>
      <c r="D19" s="27">
        <f t="shared" si="2"/>
        <v>2</v>
      </c>
    </row>
    <row r="20" spans="2:4" x14ac:dyDescent="0.25">
      <c r="B20">
        <v>4</v>
      </c>
      <c r="C20" s="26">
        <v>45412</v>
      </c>
      <c r="D20" s="27">
        <f t="shared" si="2"/>
        <v>2</v>
      </c>
    </row>
    <row r="21" spans="2:4" x14ac:dyDescent="0.25">
      <c r="B21">
        <v>5</v>
      </c>
      <c r="C21" s="26">
        <v>45595</v>
      </c>
      <c r="D21" s="27">
        <f>100+D20</f>
        <v>102</v>
      </c>
    </row>
    <row r="23" spans="2:4" ht="15.75" thickBot="1" x14ac:dyDescent="0.3"/>
    <row r="24" spans="2:4" ht="15.75" thickBot="1" x14ac:dyDescent="0.3">
      <c r="B24" t="s">
        <v>58</v>
      </c>
      <c r="C24" s="28" t="s">
        <v>55</v>
      </c>
      <c r="D24" s="31">
        <f>+NPV(0.05/2,D17:D21)</f>
        <v>97.677085752190365</v>
      </c>
    </row>
    <row r="26" spans="2:4" ht="15.75" thickBot="1" x14ac:dyDescent="0.3"/>
    <row r="27" spans="2:4" ht="15.75" thickBot="1" x14ac:dyDescent="0.3">
      <c r="B27" t="s">
        <v>59</v>
      </c>
      <c r="C27" s="28" t="s">
        <v>56</v>
      </c>
      <c r="D27" s="31">
        <f>+F10-D24</f>
        <v>2.2996811699680819</v>
      </c>
    </row>
    <row r="29" spans="2:4" x14ac:dyDescent="0.25">
      <c r="D29" t="s">
        <v>57</v>
      </c>
    </row>
    <row r="32" spans="2:4" ht="15.75" thickBot="1" x14ac:dyDescent="0.3"/>
    <row r="33" spans="2:7" ht="15.75" thickBot="1" x14ac:dyDescent="0.3">
      <c r="B33" t="s">
        <v>61</v>
      </c>
      <c r="C33" s="19" t="s">
        <v>62</v>
      </c>
      <c r="D33" s="20"/>
      <c r="E33" s="20"/>
      <c r="F33" s="21">
        <f>+D24</f>
        <v>97.677085752190365</v>
      </c>
    </row>
    <row r="35" spans="2:7" x14ac:dyDescent="0.25">
      <c r="C35" t="s">
        <v>63</v>
      </c>
    </row>
    <row r="37" spans="2:7" x14ac:dyDescent="0.25">
      <c r="C37" t="s">
        <v>64</v>
      </c>
      <c r="F37" s="27">
        <f>+D21/(1+0.035/2)</f>
        <v>100.24570024570023</v>
      </c>
    </row>
    <row r="39" spans="2:7" x14ac:dyDescent="0.25">
      <c r="C39" t="s">
        <v>65</v>
      </c>
      <c r="G39" s="7">
        <f>+D17*1.01^3+D18*1.01^2+D19*1.01+D20</f>
        <v>8.1208019999999994</v>
      </c>
    </row>
    <row r="40" spans="2:7" ht="15.75" thickBot="1" x14ac:dyDescent="0.3"/>
    <row r="41" spans="2:7" ht="15.75" thickBot="1" x14ac:dyDescent="0.3">
      <c r="C41" s="19" t="s">
        <v>66</v>
      </c>
      <c r="D41" s="20"/>
      <c r="E41" s="20"/>
      <c r="F41" s="22">
        <f>+F37+G39</f>
        <v>108.36650224570023</v>
      </c>
    </row>
    <row r="42" spans="2:7" ht="15.75" thickBot="1" x14ac:dyDescent="0.3"/>
    <row r="43" spans="2:7" ht="15.75" thickBot="1" x14ac:dyDescent="0.3">
      <c r="C43" s="32">
        <f>+F41</f>
        <v>108.36650224570023</v>
      </c>
      <c r="D43" s="33" t="s">
        <v>33</v>
      </c>
      <c r="E43" s="34">
        <f>+F33</f>
        <v>97.677085752190365</v>
      </c>
      <c r="F43" s="35" t="s">
        <v>67</v>
      </c>
    </row>
    <row r="44" spans="2:7" ht="15.75" thickBot="1" x14ac:dyDescent="0.3"/>
    <row r="45" spans="2:7" ht="15.75" thickBot="1" x14ac:dyDescent="0.3">
      <c r="C45" s="28" t="s">
        <v>68</v>
      </c>
      <c r="D45" s="36">
        <f>+((C43/E43)^0.5)-1</f>
        <v>5.329780963287134E-2</v>
      </c>
    </row>
    <row r="49" spans="4:5" x14ac:dyDescent="0.25">
      <c r="D49" s="30"/>
      <c r="E49" s="30"/>
    </row>
    <row r="50" spans="4:5" x14ac:dyDescent="0.25">
      <c r="D50" s="26"/>
    </row>
    <row r="51" spans="4:5" x14ac:dyDescent="0.25">
      <c r="D51" s="26"/>
      <c r="E51" s="27"/>
    </row>
    <row r="52" spans="4:5" x14ac:dyDescent="0.25">
      <c r="D52" s="26"/>
      <c r="E52" s="27"/>
    </row>
    <row r="53" spans="4:5" x14ac:dyDescent="0.25">
      <c r="D53" s="26"/>
      <c r="E53" s="27"/>
    </row>
    <row r="54" spans="4:5" x14ac:dyDescent="0.25">
      <c r="D54" s="26"/>
      <c r="E54" s="27"/>
    </row>
    <row r="55" spans="4:5" x14ac:dyDescent="0.25">
      <c r="D55" s="26"/>
      <c r="E55" s="27"/>
    </row>
    <row r="63" spans="4:5" x14ac:dyDescent="0.25">
      <c r="D63" s="39"/>
    </row>
    <row r="68" spans="3:6" x14ac:dyDescent="0.25">
      <c r="F68" s="27"/>
    </row>
    <row r="76" spans="3:6" x14ac:dyDescent="0.25">
      <c r="C76" s="37"/>
      <c r="D76" s="37"/>
    </row>
    <row r="81" spans="3:12" x14ac:dyDescent="0.25">
      <c r="C81" s="37"/>
      <c r="D81" s="37"/>
    </row>
    <row r="86" spans="3:12" x14ac:dyDescent="0.25">
      <c r="C86" s="37"/>
      <c r="D86" s="37"/>
    </row>
    <row r="87" spans="3:12" ht="15.75" thickBot="1" x14ac:dyDescent="0.3"/>
    <row r="88" spans="3:12" x14ac:dyDescent="0.25">
      <c r="F88" s="57"/>
    </row>
    <row r="89" spans="3:12" ht="15.75" thickBot="1" x14ac:dyDescent="0.3">
      <c r="F89" s="58"/>
    </row>
    <row r="90" spans="3:12" x14ac:dyDescent="0.25">
      <c r="D90" s="30"/>
      <c r="E90" s="30"/>
      <c r="F90" s="41"/>
      <c r="H90" s="43"/>
      <c r="I90" s="44"/>
      <c r="J90" s="45"/>
      <c r="L90" s="53"/>
    </row>
    <row r="91" spans="3:12" ht="15.75" thickBot="1" x14ac:dyDescent="0.3">
      <c r="D91" s="26"/>
      <c r="E91" s="40"/>
      <c r="F91" s="42"/>
      <c r="H91" s="46"/>
      <c r="I91" s="47"/>
      <c r="J91" s="48"/>
      <c r="L91" s="54"/>
    </row>
    <row r="92" spans="3:12" x14ac:dyDescent="0.25">
      <c r="D92" s="26"/>
      <c r="E92" s="27"/>
      <c r="H92" s="49"/>
      <c r="I92" s="47"/>
      <c r="J92" s="48"/>
      <c r="L92" s="55"/>
    </row>
    <row r="93" spans="3:12" x14ac:dyDescent="0.25">
      <c r="D93" s="26"/>
      <c r="E93" s="27"/>
      <c r="H93" s="49"/>
      <c r="I93" s="47"/>
      <c r="J93" s="48"/>
      <c r="L93" s="55"/>
    </row>
    <row r="94" spans="3:12" x14ac:dyDescent="0.25">
      <c r="D94" s="26"/>
      <c r="E94" s="27"/>
      <c r="H94" s="49"/>
      <c r="I94" s="47"/>
      <c r="J94" s="48"/>
      <c r="L94" s="55"/>
    </row>
    <row r="95" spans="3:12" ht="15.75" thickBot="1" x14ac:dyDescent="0.3">
      <c r="D95" s="26"/>
      <c r="E95" s="27"/>
      <c r="H95" s="50"/>
      <c r="I95" s="51"/>
      <c r="J95" s="52"/>
      <c r="L95" s="56"/>
    </row>
    <row r="96" spans="3:12" x14ac:dyDescent="0.25">
      <c r="D96" s="26"/>
      <c r="E96" s="27"/>
    </row>
    <row r="101" spans="3:4" ht="15.75" thickBot="1" x14ac:dyDescent="0.3"/>
    <row r="102" spans="3:4" ht="15.75" thickBot="1" x14ac:dyDescent="0.3">
      <c r="C102" s="59"/>
      <c r="D102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Federico Lopez</cp:lastModifiedBy>
  <dcterms:created xsi:type="dcterms:W3CDTF">2021-10-14T17:17:48Z</dcterms:created>
  <dcterms:modified xsi:type="dcterms:W3CDTF">2022-10-31T19:58:59Z</dcterms:modified>
</cp:coreProperties>
</file>