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4 Cuatrimestre/Finanzas 1/000000000000000000000000000000000/aaaa/"/>
    </mc:Choice>
  </mc:AlternateContent>
  <xr:revisionPtr revIDLastSave="0" documentId="11_703EA9D162105260EF5A3DB35972243FA48E3A79" xr6:coauthVersionLast="47" xr6:coauthVersionMax="47" xr10:uidLastSave="{00000000-0000-0000-0000-000000000000}"/>
  <bookViews>
    <workbookView xWindow="4170" yWindow="16080" windowWidth="23280" windowHeight="12480" xr2:uid="{00000000-000D-0000-FFFF-FFFF00000000}"/>
  </bookViews>
  <sheets>
    <sheet name="Ejercicio 1" sheetId="1" r:id="rId1"/>
    <sheet name="Ejercicio 2" sheetId="2" r:id="rId2"/>
    <sheet name="Ejercicio 3" sheetId="3" r:id="rId3"/>
    <sheet name="Ejercicio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3" l="1"/>
  <c r="F20" i="3"/>
  <c r="G19" i="3"/>
  <c r="F19" i="3"/>
  <c r="F18" i="3"/>
  <c r="F17" i="3"/>
  <c r="G16" i="3"/>
  <c r="F16" i="3"/>
  <c r="G14" i="3"/>
  <c r="G8" i="3"/>
  <c r="G9" i="3" s="1"/>
  <c r="G7" i="3"/>
  <c r="G18" i="3" s="1"/>
  <c r="G6" i="3"/>
  <c r="G17" i="3" s="1"/>
  <c r="G5" i="3"/>
  <c r="H5" i="3" s="1"/>
  <c r="G21" i="3" l="1"/>
  <c r="H9" i="3"/>
  <c r="G20" i="3"/>
  <c r="H6" i="3"/>
  <c r="H10" i="3" s="1"/>
  <c r="H8" i="3"/>
  <c r="H7" i="3"/>
  <c r="G23" i="3" l="1"/>
  <c r="G22" i="3"/>
  <c r="E41" i="4" l="1"/>
  <c r="H40" i="4" s="1"/>
  <c r="H43" i="4" s="1"/>
  <c r="F15" i="4"/>
  <c r="F14" i="4"/>
  <c r="F13" i="4"/>
  <c r="F12" i="4"/>
  <c r="F11" i="4"/>
  <c r="K10" i="4"/>
  <c r="F10" i="4"/>
  <c r="H45" i="4" s="1"/>
  <c r="K9" i="4"/>
  <c r="F9" i="4"/>
  <c r="K8" i="4"/>
  <c r="F8" i="4"/>
  <c r="K7" i="4"/>
  <c r="K16" i="4" s="1"/>
  <c r="K17" i="4" s="1"/>
  <c r="K18" i="4" s="1"/>
  <c r="E28" i="4" s="1"/>
  <c r="F7" i="4"/>
  <c r="F17" i="4" s="1"/>
  <c r="F18" i="4" s="1"/>
  <c r="E27" i="4" s="1"/>
  <c r="H38" i="4" l="1"/>
  <c r="F47" i="4" s="1"/>
  <c r="H5" i="2" l="1"/>
  <c r="H6" i="2"/>
  <c r="H7" i="2"/>
  <c r="H8" i="2"/>
  <c r="H9" i="2"/>
  <c r="H10" i="2"/>
  <c r="H11" i="2"/>
  <c r="H12" i="2"/>
  <c r="H13" i="2"/>
  <c r="H14" i="2"/>
  <c r="H15" i="2"/>
  <c r="H16" i="2"/>
  <c r="H17" i="2" s="1"/>
  <c r="H4" i="2"/>
  <c r="H20" i="2" s="1"/>
  <c r="H21" i="1"/>
  <c r="J21" i="1" s="1"/>
  <c r="H22" i="1"/>
  <c r="J22" i="1" s="1"/>
  <c r="H20" i="1"/>
  <c r="I20" i="1" s="1"/>
  <c r="H5" i="1"/>
  <c r="H6" i="1" s="1"/>
  <c r="H4" i="1"/>
  <c r="I4" i="1" s="1"/>
  <c r="E5" i="1"/>
  <c r="E10" i="1"/>
  <c r="E11" i="1"/>
  <c r="E13" i="1"/>
  <c r="E15" i="1"/>
  <c r="E17" i="1"/>
  <c r="E18" i="1"/>
  <c r="E19" i="1"/>
  <c r="E21" i="1"/>
  <c r="E23" i="1"/>
  <c r="E3" i="1"/>
  <c r="D5" i="1"/>
  <c r="D6" i="1"/>
  <c r="D7" i="1"/>
  <c r="E7" i="1" s="1"/>
  <c r="D8" i="1"/>
  <c r="D9" i="1"/>
  <c r="D25" i="1" s="1"/>
  <c r="H18" i="1" s="1"/>
  <c r="D10" i="1"/>
  <c r="D11" i="1"/>
  <c r="D12" i="1"/>
  <c r="D4" i="1"/>
  <c r="J14" i="1" s="1"/>
  <c r="C5" i="1"/>
  <c r="I3" i="1" s="1"/>
  <c r="C6" i="1"/>
  <c r="E6" i="1" s="1"/>
  <c r="C7" i="1"/>
  <c r="C8" i="1"/>
  <c r="E8" i="1" s="1"/>
  <c r="C9" i="1"/>
  <c r="C10" i="1"/>
  <c r="C11" i="1"/>
  <c r="C12" i="1"/>
  <c r="E12" i="1" s="1"/>
  <c r="C13" i="1"/>
  <c r="C14" i="1"/>
  <c r="E14" i="1" s="1"/>
  <c r="C15" i="1"/>
  <c r="C16" i="1"/>
  <c r="E16" i="1" s="1"/>
  <c r="C17" i="1"/>
  <c r="C18" i="1"/>
  <c r="C19" i="1"/>
  <c r="C20" i="1"/>
  <c r="E20" i="1" s="1"/>
  <c r="C21" i="1"/>
  <c r="C22" i="1"/>
  <c r="E22" i="1" s="1"/>
  <c r="C4" i="1"/>
  <c r="I19" i="1" s="1"/>
  <c r="I18" i="1" l="1"/>
  <c r="J18" i="1"/>
  <c r="E25" i="1"/>
  <c r="H7" i="1" s="1"/>
  <c r="H8" i="1" s="1"/>
  <c r="E9" i="1"/>
  <c r="J20" i="1"/>
  <c r="J4" i="1"/>
  <c r="I22" i="1"/>
  <c r="I14" i="1"/>
  <c r="I6" i="1"/>
  <c r="J19" i="1"/>
  <c r="E4" i="1"/>
  <c r="I21" i="1"/>
  <c r="I5" i="1"/>
  <c r="C25" i="1"/>
  <c r="H13" i="1" s="1"/>
  <c r="H23" i="1"/>
  <c r="J3" i="1"/>
  <c r="J6" i="1"/>
  <c r="J5" i="1"/>
  <c r="H9" i="1" l="1"/>
  <c r="I8" i="1"/>
  <c r="J8" i="1"/>
  <c r="J23" i="1"/>
  <c r="I23" i="1"/>
  <c r="J13" i="1"/>
  <c r="I13" i="1"/>
  <c r="I7" i="1"/>
  <c r="J7" i="1"/>
  <c r="H10" i="1" l="1"/>
  <c r="I9" i="1"/>
  <c r="J9" i="1"/>
  <c r="H11" i="1" l="1"/>
  <c r="J10" i="1"/>
  <c r="I10" i="1"/>
  <c r="H12" i="1" l="1"/>
  <c r="I11" i="1"/>
  <c r="J11" i="1"/>
  <c r="H15" i="1" l="1"/>
  <c r="I12" i="1"/>
  <c r="J12" i="1"/>
  <c r="H16" i="1" l="1"/>
  <c r="J15" i="1"/>
  <c r="I15" i="1"/>
  <c r="H17" i="1" l="1"/>
  <c r="I16" i="1"/>
  <c r="J16" i="1"/>
  <c r="I17" i="1" l="1"/>
  <c r="J17" i="1"/>
</calcChain>
</file>

<file path=xl/sharedStrings.xml><?xml version="1.0" encoding="utf-8"?>
<sst xmlns="http://schemas.openxmlformats.org/spreadsheetml/2006/main" count="60" uniqueCount="51">
  <si>
    <t>Flujos de A</t>
  </si>
  <si>
    <t>Flujos de B</t>
  </si>
  <si>
    <t>Flujos de A - Flujos de B</t>
  </si>
  <si>
    <t>Semestre</t>
  </si>
  <si>
    <t>TIR</t>
  </si>
  <si>
    <t>Costo de oportunidad (TES)</t>
  </si>
  <si>
    <t>VAN de A</t>
  </si>
  <si>
    <t>VAN de B</t>
  </si>
  <si>
    <t>Si el costo de oportunidad Efectivo Semestral fuera menor que 1,96%, optaría por A</t>
  </si>
  <si>
    <t>Si el costo de oportunidad Efectivo Semestral fuera igual a 1,96%, estaría indiferente entre A o B</t>
  </si>
  <si>
    <t>Si el costo de oportunidad Efectivo Semestral  fuera mayor que 1,96% pero menor o igual que 7,21%, optaría por B</t>
  </si>
  <si>
    <t>Si el costo de oportunidad Efectivo Semestral fuera mayor que 7,21%, rechazaría ambas inversiones</t>
  </si>
  <si>
    <t>N =</t>
  </si>
  <si>
    <t>TC =</t>
  </si>
  <si>
    <t>TIR (TNA) =</t>
  </si>
  <si>
    <t>m =</t>
  </si>
  <si>
    <t>Fecha</t>
  </si>
  <si>
    <t>Flujo</t>
  </si>
  <si>
    <t>Precio :</t>
  </si>
  <si>
    <t>Flujos</t>
  </si>
  <si>
    <t>3.1)</t>
  </si>
  <si>
    <t>Tasa spot</t>
  </si>
  <si>
    <t>VA de cada Flujo</t>
  </si>
  <si>
    <t>Valor del Bono =</t>
  </si>
  <si>
    <t xml:space="preserve">3.2) </t>
  </si>
  <si>
    <t>TIR (TES) =</t>
  </si>
  <si>
    <t>TIR (TEA) =</t>
  </si>
  <si>
    <t>Bono A</t>
  </si>
  <si>
    <t>Bono B</t>
  </si>
  <si>
    <t xml:space="preserve">VALOR el </t>
  </si>
  <si>
    <t>VALOR el</t>
  </si>
  <si>
    <t>VAN el</t>
  </si>
  <si>
    <t>Supongo un capital disponible de $100.000, con el cual podría comprar las siguientes cantidades de cada Bono:</t>
  </si>
  <si>
    <t>N° A =</t>
  </si>
  <si>
    <t>N° B =</t>
  </si>
  <si>
    <t>Entonces, el VAN total de la inversión en cada uno sería:</t>
  </si>
  <si>
    <t>VAN total A =</t>
  </si>
  <si>
    <t>VAN total B =</t>
  </si>
  <si>
    <t>Por lo que compraría 1030 unidades de A</t>
  </si>
  <si>
    <t>VA de los flujos negativos el 30/09/2016 =</t>
  </si>
  <si>
    <t>(por cada Bono A que compre)</t>
  </si>
  <si>
    <t>VF de los flujos positivos el 30/12/2017 =</t>
  </si>
  <si>
    <t>VF de los cupones percibidos el 30/09/2017=</t>
  </si>
  <si>
    <t>TEC =</t>
  </si>
  <si>
    <t>VF de los cupones percibidos el 30/12/2017 =</t>
  </si>
  <si>
    <t>Precio de venta el 30/12/17 =</t>
  </si>
  <si>
    <t>TIR M (TEA )</t>
  </si>
  <si>
    <t>=</t>
  </si>
  <si>
    <t>4.1)</t>
  </si>
  <si>
    <t>4.2)</t>
  </si>
  <si>
    <t>RC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</si>
</sst>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;[Red]\-&quot;$&quot;\ #,##0.00"/>
    <numFmt numFmtId="165" formatCode="_-&quot;$&quot;\ * #,##0.00_-;\-&quot;$&quot;\ * #,##0.00_-;_-&quot;$&quot;\ * &quot;-&quot;??_-;_-@_-"/>
    <numFmt numFmtId="166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0" fontId="0" fillId="0" borderId="0" xfId="0" applyNumberFormat="1"/>
    <xf numFmtId="0" fontId="2" fillId="2" borderId="0" xfId="0" applyFont="1" applyFill="1" applyAlignment="1">
      <alignment horizontal="center"/>
    </xf>
    <xf numFmtId="10" fontId="0" fillId="0" borderId="0" xfId="2" applyNumberFormat="1" applyFont="1"/>
    <xf numFmtId="10" fontId="2" fillId="0" borderId="0" xfId="2" applyNumberFormat="1" applyFont="1"/>
    <xf numFmtId="164" fontId="0" fillId="0" borderId="0" xfId="0" applyNumberFormat="1"/>
    <xf numFmtId="166" fontId="0" fillId="0" borderId="0" xfId="0" applyNumberFormat="1"/>
    <xf numFmtId="14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0" fillId="0" borderId="0" xfId="1" applyFont="1"/>
    <xf numFmtId="0" fontId="2" fillId="3" borderId="1" xfId="0" applyFont="1" applyFill="1" applyBorder="1" applyAlignment="1">
      <alignment horizontal="center"/>
    </xf>
    <xf numFmtId="14" fontId="0" fillId="0" borderId="1" xfId="0" applyNumberFormat="1" applyBorder="1"/>
    <xf numFmtId="9" fontId="0" fillId="0" borderId="1" xfId="0" applyNumberFormat="1" applyBorder="1"/>
    <xf numFmtId="165" fontId="0" fillId="0" borderId="1" xfId="1" applyFont="1" applyBorder="1"/>
    <xf numFmtId="10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0" fontId="0" fillId="3" borderId="0" xfId="0" applyFill="1"/>
    <xf numFmtId="165" fontId="0" fillId="3" borderId="0" xfId="1" applyFont="1" applyFill="1"/>
    <xf numFmtId="164" fontId="0" fillId="3" borderId="0" xfId="0" applyNumberFormat="1" applyFill="1"/>
    <xf numFmtId="0" fontId="0" fillId="0" borderId="2" xfId="0" applyBorder="1"/>
    <xf numFmtId="0" fontId="0" fillId="0" borderId="3" xfId="0" applyBorder="1"/>
    <xf numFmtId="10" fontId="0" fillId="0" borderId="4" xfId="0" applyNumberFormat="1" applyBorder="1"/>
    <xf numFmtId="10" fontId="0" fillId="0" borderId="4" xfId="2" applyNumberFormat="1" applyFont="1" applyBorder="1"/>
    <xf numFmtId="14" fontId="0" fillId="0" borderId="5" xfId="0" applyNumberFormat="1" applyBorder="1"/>
    <xf numFmtId="165" fontId="0" fillId="0" borderId="5" xfId="0" applyNumberFormat="1" applyBorder="1"/>
    <xf numFmtId="166" fontId="0" fillId="0" borderId="4" xfId="0" applyNumberFormat="1" applyBorder="1"/>
    <xf numFmtId="165" fontId="0" fillId="0" borderId="5" xfId="1" applyFont="1" applyBorder="1"/>
    <xf numFmtId="0" fontId="0" fillId="0" borderId="2" xfId="0" applyBorder="1" applyAlignment="1">
      <alignment horizontal="right"/>
    </xf>
    <xf numFmtId="165" fontId="0" fillId="0" borderId="4" xfId="0" applyNumberFormat="1" applyBorder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'Ejercicio 1'!$I$2</c:f>
              <c:strCache>
                <c:ptCount val="1"/>
                <c:pt idx="0">
                  <c:v>VAN de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'Ejercicio 1'!$H$3:$H$23</c:f>
              <c:numCache>
                <c:formatCode>0.00%</c:formatCode>
                <c:ptCount val="2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1.9634241999492597E-2</c:v>
                </c:pt>
                <c:pt idx="5">
                  <c:v>2.4634241999492597E-2</c:v>
                </c:pt>
                <c:pt idx="6">
                  <c:v>2.9634241999492598E-2</c:v>
                </c:pt>
                <c:pt idx="7">
                  <c:v>3.4634241999492596E-2</c:v>
                </c:pt>
                <c:pt idx="8">
                  <c:v>3.9634241999492593E-2</c:v>
                </c:pt>
                <c:pt idx="9">
                  <c:v>4.4634241999492591E-2</c:v>
                </c:pt>
                <c:pt idx="10">
                  <c:v>4.8416623456077668E-2</c:v>
                </c:pt>
                <c:pt idx="11">
                  <c:v>0.05</c:v>
                </c:pt>
                <c:pt idx="12">
                  <c:v>5.5E-2</c:v>
                </c:pt>
                <c:pt idx="13">
                  <c:v>0.06</c:v>
                </c:pt>
                <c:pt idx="14">
                  <c:v>6.5000000000000002E-2</c:v>
                </c:pt>
                <c:pt idx="15">
                  <c:v>7.2124422450473791E-2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</c:numCache>
            </c:numRef>
          </c:xVal>
          <c:yVal>
            <c:numRef>
              <c:f>'Ejercicio 1'!$I$3:$I$23</c:f>
              <c:numCache>
                <c:formatCode>"$"\ #,##0.00;[Red]\-"$"\ #,##0.00</c:formatCode>
                <c:ptCount val="21"/>
                <c:pt idx="0">
                  <c:v>98</c:v>
                </c:pt>
                <c:pt idx="1">
                  <c:v>83.443386160014597</c:v>
                </c:pt>
                <c:pt idx="2">
                  <c:v>70.182211865081769</c:v>
                </c:pt>
                <c:pt idx="3">
                  <c:v>58.090235747787005</c:v>
                </c:pt>
                <c:pt idx="4">
                  <c:v>47.828069986949885</c:v>
                </c:pt>
                <c:pt idx="5">
                  <c:v>37.680057052084521</c:v>
                </c:pt>
                <c:pt idx="6">
                  <c:v>28.401819514397147</c:v>
                </c:pt>
                <c:pt idx="7">
                  <c:v>19.910886852969853</c:v>
                </c:pt>
                <c:pt idx="8">
                  <c:v>12.13313934994892</c:v>
                </c:pt>
                <c:pt idx="9">
                  <c:v>5.0019177672972575</c:v>
                </c:pt>
                <c:pt idx="10">
                  <c:v>1.6328272067767102E-11</c:v>
                </c:pt>
                <c:pt idx="11">
                  <c:v>-2.0000000000000568</c:v>
                </c:pt>
                <c:pt idx="12">
                  <c:v>-7.9751912424641063</c:v>
                </c:pt>
                <c:pt idx="13">
                  <c:v>-13.469921218565318</c:v>
                </c:pt>
                <c:pt idx="14">
                  <c:v>-18.527760871044123</c:v>
                </c:pt>
                <c:pt idx="15">
                  <c:v>-25.056568118187798</c:v>
                </c:pt>
                <c:pt idx="16">
                  <c:v>-31.454442222347922</c:v>
                </c:pt>
                <c:pt idx="17">
                  <c:v>-35.121678126585238</c:v>
                </c:pt>
                <c:pt idx="18">
                  <c:v>-38.514182676343744</c:v>
                </c:pt>
                <c:pt idx="19">
                  <c:v>-41.655719525789699</c:v>
                </c:pt>
                <c:pt idx="20">
                  <c:v>-44.567818598792854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F2-455C-8BD5-0B26DFDB1593}"/>
            </c:ext>
          </c:extLst>
        </c:ser>
        <c:ser>
          <c:idx val="1"/>
          <c:order val="1"/>
          <c:tx>
            <c:strRef>
              <c:f>'Ejercicio 1'!$J$2</c:f>
              <c:strCache>
                <c:ptCount val="1"/>
                <c:pt idx="0">
                  <c:v>VAN de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'Ejercicio 1'!$H$3:$H$23</c:f>
              <c:numCache>
                <c:formatCode>0.00%</c:formatCode>
                <c:ptCount val="2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1.9634241999492597E-2</c:v>
                </c:pt>
                <c:pt idx="5">
                  <c:v>2.4634241999492597E-2</c:v>
                </c:pt>
                <c:pt idx="6">
                  <c:v>2.9634241999492598E-2</c:v>
                </c:pt>
                <c:pt idx="7">
                  <c:v>3.4634241999492596E-2</c:v>
                </c:pt>
                <c:pt idx="8">
                  <c:v>3.9634241999492593E-2</c:v>
                </c:pt>
                <c:pt idx="9">
                  <c:v>4.4634241999492591E-2</c:v>
                </c:pt>
                <c:pt idx="10">
                  <c:v>4.8416623456077668E-2</c:v>
                </c:pt>
                <c:pt idx="11">
                  <c:v>0.05</c:v>
                </c:pt>
                <c:pt idx="12">
                  <c:v>5.5E-2</c:v>
                </c:pt>
                <c:pt idx="13">
                  <c:v>0.06</c:v>
                </c:pt>
                <c:pt idx="14">
                  <c:v>6.5000000000000002E-2</c:v>
                </c:pt>
                <c:pt idx="15">
                  <c:v>7.2124422450473791E-2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</c:numCache>
            </c:numRef>
          </c:xVal>
          <c:yVal>
            <c:numRef>
              <c:f>'Ejercicio 1'!$J$3:$J$23</c:f>
              <c:numCache>
                <c:formatCode>"$"\ #,##0.00;[Red]\-"$"\ #,##0.00</c:formatCode>
                <c:ptCount val="21"/>
                <c:pt idx="0">
                  <c:v>73</c:v>
                </c:pt>
                <c:pt idx="1">
                  <c:v>66.112883025503862</c:v>
                </c:pt>
                <c:pt idx="2">
                  <c:v>59.563479449560901</c:v>
                </c:pt>
                <c:pt idx="3">
                  <c:v>53.333107311126781</c:v>
                </c:pt>
                <c:pt idx="4">
                  <c:v>47.828069986953494</c:v>
                </c:pt>
                <c:pt idx="5">
                  <c:v>42.16386159198268</c:v>
                </c:pt>
                <c:pt idx="6">
                  <c:v>36.770245982450035</c:v>
                </c:pt>
                <c:pt idx="7">
                  <c:v>31.632581970927959</c:v>
                </c:pt>
                <c:pt idx="8">
                  <c:v>26.73709817153042</c:v>
                </c:pt>
                <c:pt idx="9">
                  <c:v>22.070837088651075</c:v>
                </c:pt>
                <c:pt idx="10">
                  <c:v>18.685737447324456</c:v>
                </c:pt>
                <c:pt idx="11">
                  <c:v>17.304337322961985</c:v>
                </c:pt>
                <c:pt idx="12">
                  <c:v>13.075251657177958</c:v>
                </c:pt>
                <c:pt idx="13">
                  <c:v>9.0401305771220137</c:v>
                </c:pt>
                <c:pt idx="14">
                  <c:v>5.1888302227611263</c:v>
                </c:pt>
                <c:pt idx="15">
                  <c:v>-3.8667735680064652E-11</c:v>
                </c:pt>
                <c:pt idx="16">
                  <c:v>-5.3550406994707771</c:v>
                </c:pt>
                <c:pt idx="17">
                  <c:v>-8.5613480583894415</c:v>
                </c:pt>
                <c:pt idx="18">
                  <c:v>-11.626486551738552</c:v>
                </c:pt>
                <c:pt idx="19">
                  <c:v>-14.55759606864325</c:v>
                </c:pt>
                <c:pt idx="20">
                  <c:v>-17.361417764261759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F2-455C-8BD5-0B26DFDB1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980719"/>
        <c:axId val="1763140847"/>
      </c:scatterChart>
      <c:valAx>
        <c:axId val="176498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140847"/>
        <c:crosses val="autoZero"/>
        <c:crossBetween val="midCat"/>
      </c:valAx>
      <c:valAx>
        <c:axId val="176314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.00;[Red]\-&quot;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98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53562716050209"/>
          <c:y val="0.90335593467483233"/>
          <c:w val="0.2385010925907954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1292224</xdr:colOff>
      <xdr:row>25</xdr:row>
      <xdr:rowOff>9525</xdr:rowOff>
    </xdr:from>
    <xdr:to>
      <xdr:col>12</xdr:col>
      <xdr:colOff>88899</xdr:colOff>
      <xdr:row>39</xdr:row>
      <xdr:rowOff>174625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262A7D-8BEA-40EE-9858-7DDF7F3524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"/>
  <sheetViews>
    <sheetView tabSelected="1" zoomScaleNormal="100" workbookViewId="0">
      <selection activeCell="I3" sqref="I3"/>
    </sheetView>
  </sheetViews>
  <sheetFormatPr defaultColWidth="11.42578125" defaultRowHeight="15" x14ac:dyDescent="0.25"/>
  <cols>
    <col min="5" max="5" width="24.28515625" customWidth="1"/>
    <col min="8" max="8" width="34.42578125" customWidth="1"/>
  </cols>
  <sheetData>
    <row r="2" spans="2:10" x14ac:dyDescent="0.25">
      <c r="B2" s="2" t="s">
        <v>3</v>
      </c>
      <c r="C2" s="2" t="s">
        <v>0</v>
      </c>
      <c r="D2" s="2" t="s">
        <v>1</v>
      </c>
      <c r="E2" s="2" t="s">
        <v>2</v>
      </c>
      <c r="H2" s="4" t="s">
        <v>5</v>
      </c>
      <c r="I2" s="4" t="s">
        <v>6</v>
      </c>
      <c r="J2" s="4" t="s">
        <v>7</v>
      </c>
    </row>
    <row r="3" spans="2:10" x14ac:dyDescent="0.25">
      <c r="B3" s="1">
        <v>0</v>
      </c>
      <c r="C3" s="1">
        <v>-102</v>
      </c>
      <c r="D3" s="1">
        <v>-102</v>
      </c>
      <c r="E3" s="1">
        <f>+C3-D3</f>
        <v>0</v>
      </c>
      <c r="H3" s="5">
        <v>0</v>
      </c>
      <c r="I3" s="7">
        <f>+NPV(H3,$C$4:$C$23)+$C$3</f>
        <v>98</v>
      </c>
      <c r="J3" s="7">
        <f>+NPV(H3,$D$4:$D$13)+$D$3</f>
        <v>73</v>
      </c>
    </row>
    <row r="4" spans="2:10" x14ac:dyDescent="0.25">
      <c r="B4" s="1">
        <v>1</v>
      </c>
      <c r="C4" s="1">
        <f>0.1*100/2</f>
        <v>5</v>
      </c>
      <c r="D4" s="1">
        <f>0.15*100/2</f>
        <v>7.5</v>
      </c>
      <c r="E4" s="1">
        <f t="shared" ref="E4:E23" si="0">+C4-D4</f>
        <v>-2.5</v>
      </c>
      <c r="H4" s="5">
        <f>0.005+H3</f>
        <v>5.0000000000000001E-3</v>
      </c>
      <c r="I4" s="7">
        <f t="shared" ref="I4:I23" si="1">+NPV(H4,$C$4:$C$23)+$C$3</f>
        <v>83.443386160014597</v>
      </c>
      <c r="J4" s="7">
        <f t="shared" ref="J4:J23" si="2">+NPV(H4,$D$4:$D$13)+$D$3</f>
        <v>66.112883025503862</v>
      </c>
    </row>
    <row r="5" spans="2:10" x14ac:dyDescent="0.25">
      <c r="B5" s="1">
        <v>2</v>
      </c>
      <c r="C5" s="1">
        <f t="shared" ref="C5:C22" si="3">0.1*100/2</f>
        <v>5</v>
      </c>
      <c r="D5" s="1">
        <f t="shared" ref="D5:D12" si="4">0.15*100/2</f>
        <v>7.5</v>
      </c>
      <c r="E5" s="1">
        <f t="shared" si="0"/>
        <v>-2.5</v>
      </c>
      <c r="H5" s="5">
        <f t="shared" ref="H5:H17" si="5">0.005+H4</f>
        <v>0.01</v>
      </c>
      <c r="I5" s="7">
        <f t="shared" si="1"/>
        <v>70.182211865081769</v>
      </c>
      <c r="J5" s="7">
        <f t="shared" si="2"/>
        <v>59.563479449560901</v>
      </c>
    </row>
    <row r="6" spans="2:10" x14ac:dyDescent="0.25">
      <c r="B6" s="1">
        <v>3</v>
      </c>
      <c r="C6" s="1">
        <f t="shared" si="3"/>
        <v>5</v>
      </c>
      <c r="D6" s="1">
        <f t="shared" si="4"/>
        <v>7.5</v>
      </c>
      <c r="E6" s="1">
        <f t="shared" si="0"/>
        <v>-2.5</v>
      </c>
      <c r="H6" s="5">
        <f t="shared" si="5"/>
        <v>1.4999999999999999E-2</v>
      </c>
      <c r="I6" s="7">
        <f t="shared" si="1"/>
        <v>58.090235747787005</v>
      </c>
      <c r="J6" s="7">
        <f t="shared" si="2"/>
        <v>53.333107311126781</v>
      </c>
    </row>
    <row r="7" spans="2:10" x14ac:dyDescent="0.25">
      <c r="B7" s="1">
        <v>4</v>
      </c>
      <c r="C7" s="1">
        <f t="shared" si="3"/>
        <v>5</v>
      </c>
      <c r="D7" s="1">
        <f t="shared" si="4"/>
        <v>7.5</v>
      </c>
      <c r="E7" s="1">
        <f t="shared" si="0"/>
        <v>-2.5</v>
      </c>
      <c r="H7" s="6">
        <f>+E25</f>
        <v>1.9634241999492597E-2</v>
      </c>
      <c r="I7" s="7">
        <f t="shared" si="1"/>
        <v>47.828069986949885</v>
      </c>
      <c r="J7" s="7">
        <f t="shared" si="2"/>
        <v>47.828069986953494</v>
      </c>
    </row>
    <row r="8" spans="2:10" x14ac:dyDescent="0.25">
      <c r="B8" s="1">
        <v>5</v>
      </c>
      <c r="C8" s="1">
        <f t="shared" si="3"/>
        <v>5</v>
      </c>
      <c r="D8" s="1">
        <f t="shared" si="4"/>
        <v>7.5</v>
      </c>
      <c r="E8" s="1">
        <f t="shared" si="0"/>
        <v>-2.5</v>
      </c>
      <c r="H8" s="5">
        <f t="shared" si="5"/>
        <v>2.4634241999492597E-2</v>
      </c>
      <c r="I8" s="7">
        <f t="shared" si="1"/>
        <v>37.680057052084521</v>
      </c>
      <c r="J8" s="7">
        <f t="shared" si="2"/>
        <v>42.16386159198268</v>
      </c>
    </row>
    <row r="9" spans="2:10" x14ac:dyDescent="0.25">
      <c r="B9" s="1">
        <v>6</v>
      </c>
      <c r="C9" s="1">
        <f t="shared" si="3"/>
        <v>5</v>
      </c>
      <c r="D9" s="1">
        <f t="shared" si="4"/>
        <v>7.5</v>
      </c>
      <c r="E9" s="1">
        <f t="shared" si="0"/>
        <v>-2.5</v>
      </c>
      <c r="H9" s="5">
        <f t="shared" si="5"/>
        <v>2.9634241999492598E-2</v>
      </c>
      <c r="I9" s="7">
        <f t="shared" si="1"/>
        <v>28.401819514397147</v>
      </c>
      <c r="J9" s="7">
        <f t="shared" si="2"/>
        <v>36.770245982450035</v>
      </c>
    </row>
    <row r="10" spans="2:10" x14ac:dyDescent="0.25">
      <c r="B10" s="1">
        <v>7</v>
      </c>
      <c r="C10" s="1">
        <f t="shared" si="3"/>
        <v>5</v>
      </c>
      <c r="D10" s="1">
        <f t="shared" si="4"/>
        <v>7.5</v>
      </c>
      <c r="E10" s="1">
        <f t="shared" si="0"/>
        <v>-2.5</v>
      </c>
      <c r="H10" s="5">
        <f t="shared" si="5"/>
        <v>3.4634241999492596E-2</v>
      </c>
      <c r="I10" s="7">
        <f t="shared" si="1"/>
        <v>19.910886852969853</v>
      </c>
      <c r="J10" s="7">
        <f t="shared" si="2"/>
        <v>31.632581970927959</v>
      </c>
    </row>
    <row r="11" spans="2:10" x14ac:dyDescent="0.25">
      <c r="B11" s="1">
        <v>8</v>
      </c>
      <c r="C11" s="1">
        <f t="shared" si="3"/>
        <v>5</v>
      </c>
      <c r="D11" s="1">
        <f t="shared" si="4"/>
        <v>7.5</v>
      </c>
      <c r="E11" s="1">
        <f t="shared" si="0"/>
        <v>-2.5</v>
      </c>
      <c r="H11" s="5">
        <f t="shared" si="5"/>
        <v>3.9634241999492593E-2</v>
      </c>
      <c r="I11" s="7">
        <f t="shared" si="1"/>
        <v>12.13313934994892</v>
      </c>
      <c r="J11" s="7">
        <f t="shared" si="2"/>
        <v>26.73709817153042</v>
      </c>
    </row>
    <row r="12" spans="2:10" x14ac:dyDescent="0.25">
      <c r="B12" s="1">
        <v>9</v>
      </c>
      <c r="C12" s="1">
        <f t="shared" si="3"/>
        <v>5</v>
      </c>
      <c r="D12" s="1">
        <f t="shared" si="4"/>
        <v>7.5</v>
      </c>
      <c r="E12" s="1">
        <f t="shared" si="0"/>
        <v>-2.5</v>
      </c>
      <c r="H12" s="5">
        <f t="shared" si="5"/>
        <v>4.4634241999492591E-2</v>
      </c>
      <c r="I12" s="7">
        <f t="shared" si="1"/>
        <v>5.0019177672972575</v>
      </c>
      <c r="J12" s="7">
        <f t="shared" si="2"/>
        <v>22.070837088651075</v>
      </c>
    </row>
    <row r="13" spans="2:10" x14ac:dyDescent="0.25">
      <c r="B13" s="1">
        <v>10</v>
      </c>
      <c r="C13" s="1">
        <f t="shared" si="3"/>
        <v>5</v>
      </c>
      <c r="D13" s="1">
        <v>107.5</v>
      </c>
      <c r="E13" s="1">
        <f t="shared" si="0"/>
        <v>-102.5</v>
      </c>
      <c r="H13" s="6">
        <f>+C25</f>
        <v>4.8416623456077668E-2</v>
      </c>
      <c r="I13" s="7">
        <f t="shared" si="1"/>
        <v>1.6328272067767102E-11</v>
      </c>
      <c r="J13" s="7">
        <f t="shared" si="2"/>
        <v>18.685737447324456</v>
      </c>
    </row>
    <row r="14" spans="2:10" x14ac:dyDescent="0.25">
      <c r="B14" s="1">
        <v>11</v>
      </c>
      <c r="C14" s="1">
        <f t="shared" si="3"/>
        <v>5</v>
      </c>
      <c r="D14" s="1"/>
      <c r="E14" s="1">
        <f t="shared" si="0"/>
        <v>5</v>
      </c>
      <c r="H14" s="5">
        <v>0.05</v>
      </c>
      <c r="I14" s="7">
        <f t="shared" si="1"/>
        <v>-2.0000000000000568</v>
      </c>
      <c r="J14" s="7">
        <f t="shared" si="2"/>
        <v>17.304337322961985</v>
      </c>
    </row>
    <row r="15" spans="2:10" x14ac:dyDescent="0.25">
      <c r="B15" s="1">
        <v>12</v>
      </c>
      <c r="C15" s="1">
        <f t="shared" si="3"/>
        <v>5</v>
      </c>
      <c r="D15" s="1"/>
      <c r="E15" s="1">
        <f t="shared" si="0"/>
        <v>5</v>
      </c>
      <c r="H15" s="5">
        <f t="shared" si="5"/>
        <v>5.5E-2</v>
      </c>
      <c r="I15" s="7">
        <f t="shared" si="1"/>
        <v>-7.9751912424641063</v>
      </c>
      <c r="J15" s="7">
        <f t="shared" si="2"/>
        <v>13.075251657177958</v>
      </c>
    </row>
    <row r="16" spans="2:10" x14ac:dyDescent="0.25">
      <c r="B16" s="1">
        <v>13</v>
      </c>
      <c r="C16" s="1">
        <f t="shared" si="3"/>
        <v>5</v>
      </c>
      <c r="D16" s="1"/>
      <c r="E16" s="1">
        <f t="shared" si="0"/>
        <v>5</v>
      </c>
      <c r="H16" s="5">
        <f t="shared" si="5"/>
        <v>0.06</v>
      </c>
      <c r="I16" s="7">
        <f t="shared" si="1"/>
        <v>-13.469921218565318</v>
      </c>
      <c r="J16" s="7">
        <f t="shared" si="2"/>
        <v>9.0401305771220137</v>
      </c>
    </row>
    <row r="17" spans="2:10" x14ac:dyDescent="0.25">
      <c r="B17" s="1">
        <v>14</v>
      </c>
      <c r="C17" s="1">
        <f t="shared" si="3"/>
        <v>5</v>
      </c>
      <c r="D17" s="1"/>
      <c r="E17" s="1">
        <f t="shared" si="0"/>
        <v>5</v>
      </c>
      <c r="H17" s="5">
        <f t="shared" si="5"/>
        <v>6.5000000000000002E-2</v>
      </c>
      <c r="I17" s="7">
        <f t="shared" si="1"/>
        <v>-18.527760871044123</v>
      </c>
      <c r="J17" s="7">
        <f t="shared" si="2"/>
        <v>5.1888302227611263</v>
      </c>
    </row>
    <row r="18" spans="2:10" x14ac:dyDescent="0.25">
      <c r="B18" s="1">
        <v>15</v>
      </c>
      <c r="C18" s="1">
        <f t="shared" si="3"/>
        <v>5</v>
      </c>
      <c r="D18" s="1"/>
      <c r="E18" s="1">
        <f t="shared" si="0"/>
        <v>5</v>
      </c>
      <c r="H18" s="6">
        <f>+D25</f>
        <v>7.2124422450473791E-2</v>
      </c>
      <c r="I18" s="7">
        <f t="shared" si="1"/>
        <v>-25.056568118187798</v>
      </c>
      <c r="J18" s="7">
        <f t="shared" si="2"/>
        <v>-3.8667735680064652E-11</v>
      </c>
    </row>
    <row r="19" spans="2:10" x14ac:dyDescent="0.25">
      <c r="B19" s="1">
        <v>16</v>
      </c>
      <c r="C19" s="1">
        <f t="shared" si="3"/>
        <v>5</v>
      </c>
      <c r="D19" s="1"/>
      <c r="E19" s="1">
        <f t="shared" si="0"/>
        <v>5</v>
      </c>
      <c r="H19" s="5">
        <v>0.08</v>
      </c>
      <c r="I19" s="7">
        <f t="shared" si="1"/>
        <v>-31.454442222347922</v>
      </c>
      <c r="J19" s="7">
        <f t="shared" si="2"/>
        <v>-5.3550406994707771</v>
      </c>
    </row>
    <row r="20" spans="2:10" x14ac:dyDescent="0.25">
      <c r="B20" s="1">
        <v>17</v>
      </c>
      <c r="C20" s="1">
        <f t="shared" si="3"/>
        <v>5</v>
      </c>
      <c r="D20" s="1"/>
      <c r="E20" s="1">
        <f t="shared" si="0"/>
        <v>5</v>
      </c>
      <c r="H20" s="5">
        <f>0.005+H19</f>
        <v>8.5000000000000006E-2</v>
      </c>
      <c r="I20" s="7">
        <f t="shared" si="1"/>
        <v>-35.121678126585238</v>
      </c>
      <c r="J20" s="7">
        <f t="shared" si="2"/>
        <v>-8.5613480583894415</v>
      </c>
    </row>
    <row r="21" spans="2:10" x14ac:dyDescent="0.25">
      <c r="B21" s="1">
        <v>18</v>
      </c>
      <c r="C21" s="1">
        <f t="shared" si="3"/>
        <v>5</v>
      </c>
      <c r="D21" s="1"/>
      <c r="E21" s="1">
        <f t="shared" si="0"/>
        <v>5</v>
      </c>
      <c r="H21" s="5">
        <f t="shared" ref="H21:H23" si="6">0.005+H20</f>
        <v>9.0000000000000011E-2</v>
      </c>
      <c r="I21" s="7">
        <f t="shared" si="1"/>
        <v>-38.514182676343744</v>
      </c>
      <c r="J21" s="7">
        <f t="shared" si="2"/>
        <v>-11.626486551738552</v>
      </c>
    </row>
    <row r="22" spans="2:10" x14ac:dyDescent="0.25">
      <c r="B22" s="1">
        <v>19</v>
      </c>
      <c r="C22" s="1">
        <f t="shared" si="3"/>
        <v>5</v>
      </c>
      <c r="D22" s="1"/>
      <c r="E22" s="1">
        <f t="shared" si="0"/>
        <v>5</v>
      </c>
      <c r="H22" s="5">
        <f t="shared" si="6"/>
        <v>9.5000000000000015E-2</v>
      </c>
      <c r="I22" s="7">
        <f t="shared" si="1"/>
        <v>-41.655719525789699</v>
      </c>
      <c r="J22" s="7">
        <f t="shared" si="2"/>
        <v>-14.55759606864325</v>
      </c>
    </row>
    <row r="23" spans="2:10" x14ac:dyDescent="0.25">
      <c r="B23" s="1">
        <v>20</v>
      </c>
      <c r="C23" s="1">
        <v>105</v>
      </c>
      <c r="D23" s="1"/>
      <c r="E23" s="1">
        <f t="shared" si="0"/>
        <v>105</v>
      </c>
      <c r="H23" s="5">
        <f t="shared" si="6"/>
        <v>0.10000000000000002</v>
      </c>
      <c r="I23" s="7">
        <f t="shared" si="1"/>
        <v>-44.567818598792854</v>
      </c>
      <c r="J23" s="7">
        <f t="shared" si="2"/>
        <v>-17.361417764261759</v>
      </c>
    </row>
    <row r="25" spans="2:10" x14ac:dyDescent="0.25">
      <c r="B25" t="s">
        <v>4</v>
      </c>
      <c r="C25" s="3">
        <f>+IRR(C3:C23)</f>
        <v>4.8416623456077668E-2</v>
      </c>
      <c r="D25" s="3">
        <f t="shared" ref="D25:E25" si="7">+IRR(D3:D23)</f>
        <v>7.2124422450473791E-2</v>
      </c>
      <c r="E25" s="3">
        <f t="shared" si="7"/>
        <v>1.9634241999492597E-2</v>
      </c>
    </row>
    <row r="42" spans="2:2" x14ac:dyDescent="0.25">
      <c r="B42" t="s">
        <v>8</v>
      </c>
    </row>
    <row r="43" spans="2:2" x14ac:dyDescent="0.25">
      <c r="B43" t="s">
        <v>9</v>
      </c>
    </row>
    <row r="44" spans="2:2" x14ac:dyDescent="0.25">
      <c r="B44" t="s">
        <v>10</v>
      </c>
    </row>
    <row r="45" spans="2:2" x14ac:dyDescent="0.25">
      <c r="B45" t="s">
        <v>11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H20"/>
  <sheetViews>
    <sheetView workbookViewId="0">
      <selection activeCell="H22" sqref="C2:H22"/>
    </sheetView>
  </sheetViews>
  <sheetFormatPr defaultColWidth="11.42578125" defaultRowHeight="15" x14ac:dyDescent="0.25"/>
  <cols>
    <col min="8" max="8" width="11.140625" bestFit="1" customWidth="1"/>
  </cols>
  <sheetData>
    <row r="2" spans="3:8" x14ac:dyDescent="0.25">
      <c r="C2" t="s">
        <v>12</v>
      </c>
      <c r="D2">
        <v>100</v>
      </c>
      <c r="G2" t="s">
        <v>16</v>
      </c>
      <c r="H2" t="s">
        <v>17</v>
      </c>
    </row>
    <row r="3" spans="3:8" x14ac:dyDescent="0.25">
      <c r="C3" t="s">
        <v>13</v>
      </c>
      <c r="D3" s="8">
        <v>6.8750000000000006E-2</v>
      </c>
      <c r="G3" s="9">
        <v>43856</v>
      </c>
    </row>
    <row r="4" spans="3:8" x14ac:dyDescent="0.25">
      <c r="C4" t="s">
        <v>15</v>
      </c>
      <c r="D4">
        <v>2</v>
      </c>
      <c r="G4" s="9">
        <v>44038</v>
      </c>
      <c r="H4">
        <f>100*0.06875/2</f>
        <v>3.4375000000000004</v>
      </c>
    </row>
    <row r="5" spans="3:8" x14ac:dyDescent="0.25">
      <c r="C5" t="s">
        <v>14</v>
      </c>
      <c r="D5" s="3">
        <v>0.16350000000000001</v>
      </c>
      <c r="G5" s="9">
        <v>44222</v>
      </c>
      <c r="H5">
        <f t="shared" ref="H5:H16" si="0">100*0.06875/2</f>
        <v>3.4375000000000004</v>
      </c>
    </row>
    <row r="6" spans="3:8" x14ac:dyDescent="0.25">
      <c r="G6" s="9">
        <v>44403</v>
      </c>
      <c r="H6">
        <f t="shared" si="0"/>
        <v>3.4375000000000004</v>
      </c>
    </row>
    <row r="7" spans="3:8" x14ac:dyDescent="0.25">
      <c r="G7" s="9">
        <v>44587</v>
      </c>
      <c r="H7">
        <f t="shared" si="0"/>
        <v>3.4375000000000004</v>
      </c>
    </row>
    <row r="8" spans="3:8" x14ac:dyDescent="0.25">
      <c r="G8" s="9">
        <v>44768</v>
      </c>
      <c r="H8">
        <f t="shared" si="0"/>
        <v>3.4375000000000004</v>
      </c>
    </row>
    <row r="9" spans="3:8" x14ac:dyDescent="0.25">
      <c r="G9" s="9">
        <v>44952</v>
      </c>
      <c r="H9">
        <f t="shared" si="0"/>
        <v>3.4375000000000004</v>
      </c>
    </row>
    <row r="10" spans="3:8" x14ac:dyDescent="0.25">
      <c r="G10" s="9">
        <v>45133</v>
      </c>
      <c r="H10">
        <f t="shared" si="0"/>
        <v>3.4375000000000004</v>
      </c>
    </row>
    <row r="11" spans="3:8" x14ac:dyDescent="0.25">
      <c r="G11" s="9">
        <v>45317</v>
      </c>
      <c r="H11">
        <f t="shared" si="0"/>
        <v>3.4375000000000004</v>
      </c>
    </row>
    <row r="12" spans="3:8" x14ac:dyDescent="0.25">
      <c r="G12" s="9">
        <v>45499</v>
      </c>
      <c r="H12">
        <f t="shared" si="0"/>
        <v>3.4375000000000004</v>
      </c>
    </row>
    <row r="13" spans="3:8" x14ac:dyDescent="0.25">
      <c r="G13" s="9">
        <v>45683</v>
      </c>
      <c r="H13">
        <f t="shared" si="0"/>
        <v>3.4375000000000004</v>
      </c>
    </row>
    <row r="14" spans="3:8" x14ac:dyDescent="0.25">
      <c r="G14" s="9">
        <v>45864</v>
      </c>
      <c r="H14">
        <f t="shared" si="0"/>
        <v>3.4375000000000004</v>
      </c>
    </row>
    <row r="15" spans="3:8" x14ac:dyDescent="0.25">
      <c r="G15" s="9">
        <v>46048</v>
      </c>
      <c r="H15">
        <f t="shared" si="0"/>
        <v>3.4375000000000004</v>
      </c>
    </row>
    <row r="16" spans="3:8" x14ac:dyDescent="0.25">
      <c r="G16" s="9">
        <v>46229</v>
      </c>
      <c r="H16">
        <f t="shared" si="0"/>
        <v>3.4375000000000004</v>
      </c>
    </row>
    <row r="17" spans="7:8" x14ac:dyDescent="0.25">
      <c r="G17" s="9">
        <v>46413</v>
      </c>
      <c r="H17">
        <f>100+H16</f>
        <v>103.4375</v>
      </c>
    </row>
    <row r="20" spans="7:8" x14ac:dyDescent="0.25">
      <c r="G20" s="10" t="s">
        <v>18</v>
      </c>
      <c r="H20" s="11">
        <f>+NPV(D5/2,H4:H17)</f>
        <v>61.336823522315328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4:H30"/>
  <sheetViews>
    <sheetView topLeftCell="A4" workbookViewId="0">
      <selection activeCell="D4" sqref="D4:H25"/>
    </sheetView>
  </sheetViews>
  <sheetFormatPr defaultColWidth="11.42578125" defaultRowHeight="15" x14ac:dyDescent="0.25"/>
  <cols>
    <col min="7" max="7" width="20.42578125" customWidth="1"/>
    <col min="8" max="8" width="16" customWidth="1"/>
  </cols>
  <sheetData>
    <row r="4" spans="4:8" x14ac:dyDescent="0.25">
      <c r="D4" t="s">
        <v>20</v>
      </c>
      <c r="E4" s="13" t="s">
        <v>16</v>
      </c>
      <c r="F4" s="13" t="s">
        <v>21</v>
      </c>
      <c r="G4" s="13" t="s">
        <v>17</v>
      </c>
      <c r="H4" s="13" t="s">
        <v>22</v>
      </c>
    </row>
    <row r="5" spans="4:8" x14ac:dyDescent="0.25">
      <c r="D5">
        <v>1</v>
      </c>
      <c r="E5" s="14">
        <v>44104</v>
      </c>
      <c r="F5" s="15">
        <v>0.02</v>
      </c>
      <c r="G5" s="16">
        <f>100*0.03/2</f>
        <v>1.5</v>
      </c>
      <c r="H5" s="16">
        <f>+G5/(1+F5)^D5</f>
        <v>1.4705882352941175</v>
      </c>
    </row>
    <row r="6" spans="4:8" x14ac:dyDescent="0.25">
      <c r="D6">
        <v>2</v>
      </c>
      <c r="E6" s="14">
        <v>44285</v>
      </c>
      <c r="F6" s="17">
        <v>2.1999999999999999E-2</v>
      </c>
      <c r="G6" s="16">
        <f>100*0.03/2</f>
        <v>1.5</v>
      </c>
      <c r="H6" s="16">
        <f>+G6/(1+F6)^D6</f>
        <v>1.4361158236985918</v>
      </c>
    </row>
    <row r="7" spans="4:8" x14ac:dyDescent="0.25">
      <c r="D7">
        <v>3</v>
      </c>
      <c r="E7" s="14">
        <v>44469</v>
      </c>
      <c r="F7" s="17">
        <v>2.5000000000000001E-2</v>
      </c>
      <c r="G7" s="16">
        <f>100*0.03/2</f>
        <v>1.5</v>
      </c>
      <c r="H7" s="16">
        <f>+G7/(1+F7)^D7</f>
        <v>1.3928991163796232</v>
      </c>
    </row>
    <row r="8" spans="4:8" x14ac:dyDescent="0.25">
      <c r="D8">
        <v>4</v>
      </c>
      <c r="E8" s="14">
        <v>44650</v>
      </c>
      <c r="F8" s="17">
        <v>2.8000000000000001E-2</v>
      </c>
      <c r="G8" s="16">
        <f>100*0.03/2</f>
        <v>1.5</v>
      </c>
      <c r="H8" s="16">
        <f>+G8/(1+F8)^D8</f>
        <v>1.3431323221486771</v>
      </c>
    </row>
    <row r="9" spans="4:8" ht="15.75" thickBot="1" x14ac:dyDescent="0.3">
      <c r="D9">
        <v>5</v>
      </c>
      <c r="E9" s="14">
        <v>44834</v>
      </c>
      <c r="F9" s="17">
        <v>3.2000000000000001E-2</v>
      </c>
      <c r="G9" s="30">
        <f>100+G8</f>
        <v>101.5</v>
      </c>
      <c r="H9" s="16">
        <f>+G9/(1+F9)^D9</f>
        <v>86.709674473575092</v>
      </c>
    </row>
    <row r="10" spans="4:8" ht="15.75" thickBot="1" x14ac:dyDescent="0.3">
      <c r="G10" s="31" t="s">
        <v>23</v>
      </c>
      <c r="H10" s="32">
        <f>SUM(H5:H9)</f>
        <v>92.352409971096108</v>
      </c>
    </row>
    <row r="14" spans="4:8" x14ac:dyDescent="0.25">
      <c r="D14" t="s">
        <v>24</v>
      </c>
      <c r="F14" s="13" t="s">
        <v>16</v>
      </c>
      <c r="G14" s="13" t="str">
        <f>+G4</f>
        <v>Flujo</v>
      </c>
    </row>
    <row r="15" spans="4:8" x14ac:dyDescent="0.25">
      <c r="F15" s="14">
        <v>43920</v>
      </c>
      <c r="G15" s="16">
        <v>-92.35</v>
      </c>
    </row>
    <row r="16" spans="4:8" x14ac:dyDescent="0.25">
      <c r="F16" s="14">
        <f>+E5</f>
        <v>44104</v>
      </c>
      <c r="G16" s="18">
        <f>+G5</f>
        <v>1.5</v>
      </c>
    </row>
    <row r="17" spans="4:7" x14ac:dyDescent="0.25">
      <c r="F17" s="14">
        <f>+E6</f>
        <v>44285</v>
      </c>
      <c r="G17" s="18">
        <f>+G6</f>
        <v>1.5</v>
      </c>
    </row>
    <row r="18" spans="4:7" x14ac:dyDescent="0.25">
      <c r="F18" s="14">
        <f>+E7</f>
        <v>44469</v>
      </c>
      <c r="G18" s="18">
        <f>+G7</f>
        <v>1.5</v>
      </c>
    </row>
    <row r="19" spans="4:7" x14ac:dyDescent="0.25">
      <c r="F19" s="14">
        <f>+E8</f>
        <v>44650</v>
      </c>
      <c r="G19" s="18">
        <f>+G8</f>
        <v>1.5</v>
      </c>
    </row>
    <row r="20" spans="4:7" ht="15.75" thickBot="1" x14ac:dyDescent="0.3">
      <c r="F20" s="27">
        <f>+E9</f>
        <v>44834</v>
      </c>
      <c r="G20" s="28">
        <f>+G9</f>
        <v>101.5</v>
      </c>
    </row>
    <row r="21" spans="4:7" ht="15.75" thickBot="1" x14ac:dyDescent="0.3">
      <c r="F21" s="23" t="s">
        <v>25</v>
      </c>
      <c r="G21" s="29">
        <f>+IRR(G15:G20)</f>
        <v>3.1789570684347845E-2</v>
      </c>
    </row>
    <row r="22" spans="4:7" ht="15.75" thickBot="1" x14ac:dyDescent="0.3">
      <c r="F22" s="23" t="s">
        <v>14</v>
      </c>
      <c r="G22" s="26">
        <f>+G21*2</f>
        <v>6.3579141368695691E-2</v>
      </c>
    </row>
    <row r="23" spans="4:7" ht="15.75" thickBot="1" x14ac:dyDescent="0.3">
      <c r="F23" s="23" t="s">
        <v>26</v>
      </c>
      <c r="G23" s="26">
        <f>+((1+G21)^2)-1</f>
        <v>6.4589718172990862E-2</v>
      </c>
    </row>
    <row r="24" spans="4:7" ht="15.75" thickBot="1" x14ac:dyDescent="0.3"/>
    <row r="25" spans="4:7" ht="15.75" thickBot="1" x14ac:dyDescent="0.3">
      <c r="F25" s="23" t="s">
        <v>50</v>
      </c>
      <c r="G25" s="26">
        <f>100*0.03/92.35</f>
        <v>3.2485110990795887E-2</v>
      </c>
    </row>
    <row r="27" spans="4:7" x14ac:dyDescent="0.25">
      <c r="D27" s="9"/>
    </row>
    <row r="28" spans="4:7" x14ac:dyDescent="0.25">
      <c r="D28" s="9"/>
    </row>
    <row r="29" spans="4:7" x14ac:dyDescent="0.25">
      <c r="D29" s="9"/>
    </row>
    <row r="30" spans="4:7" x14ac:dyDescent="0.25">
      <c r="D3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K47"/>
  <sheetViews>
    <sheetView topLeftCell="A2" zoomScale="85" zoomScaleNormal="85" workbookViewId="0">
      <selection activeCell="K11" sqref="K11"/>
    </sheetView>
  </sheetViews>
  <sheetFormatPr defaultColWidth="11.42578125" defaultRowHeight="15" x14ac:dyDescent="0.25"/>
  <sheetData>
    <row r="4" spans="5:11" x14ac:dyDescent="0.25">
      <c r="F4" t="s">
        <v>27</v>
      </c>
      <c r="K4" t="s">
        <v>28</v>
      </c>
    </row>
    <row r="5" spans="5:11" x14ac:dyDescent="0.25">
      <c r="E5" t="s">
        <v>16</v>
      </c>
      <c r="F5" t="s">
        <v>19</v>
      </c>
      <c r="J5" t="s">
        <v>16</v>
      </c>
      <c r="K5" t="s">
        <v>19</v>
      </c>
    </row>
    <row r="6" spans="5:11" x14ac:dyDescent="0.25">
      <c r="E6" s="9">
        <v>42643</v>
      </c>
      <c r="F6">
        <v>-97</v>
      </c>
      <c r="J6" s="9">
        <v>42643</v>
      </c>
      <c r="K6">
        <v>-104</v>
      </c>
    </row>
    <row r="7" spans="5:11" x14ac:dyDescent="0.25">
      <c r="E7" s="9">
        <v>42765</v>
      </c>
      <c r="F7">
        <f t="shared" ref="F7:F14" si="0">0.123*100/3</f>
        <v>4.1000000000000005</v>
      </c>
      <c r="J7" s="9">
        <v>42673</v>
      </c>
      <c r="K7">
        <f>100*0.145/2</f>
        <v>7.2499999999999991</v>
      </c>
    </row>
    <row r="8" spans="5:11" x14ac:dyDescent="0.25">
      <c r="E8" s="9">
        <v>42885</v>
      </c>
      <c r="F8">
        <f t="shared" si="0"/>
        <v>4.1000000000000005</v>
      </c>
      <c r="J8" s="9">
        <v>42855</v>
      </c>
      <c r="K8">
        <f t="shared" ref="K8:K9" si="1">100*0.145/2</f>
        <v>7.2499999999999991</v>
      </c>
    </row>
    <row r="9" spans="5:11" x14ac:dyDescent="0.25">
      <c r="E9" s="9">
        <v>43008</v>
      </c>
      <c r="F9">
        <f t="shared" si="0"/>
        <v>4.1000000000000005</v>
      </c>
      <c r="J9" s="9">
        <v>43038</v>
      </c>
      <c r="K9">
        <f t="shared" si="1"/>
        <v>7.2499999999999991</v>
      </c>
    </row>
    <row r="10" spans="5:11" x14ac:dyDescent="0.25">
      <c r="E10" s="9">
        <v>43130</v>
      </c>
      <c r="F10">
        <f t="shared" si="0"/>
        <v>4.1000000000000005</v>
      </c>
      <c r="J10" s="9">
        <v>43220</v>
      </c>
      <c r="K10">
        <f>100*0.145/2+100</f>
        <v>107.25</v>
      </c>
    </row>
    <row r="11" spans="5:11" x14ac:dyDescent="0.25">
      <c r="E11" s="9">
        <v>43250</v>
      </c>
      <c r="F11">
        <f t="shared" si="0"/>
        <v>4.1000000000000005</v>
      </c>
      <c r="J11" s="9"/>
    </row>
    <row r="12" spans="5:11" x14ac:dyDescent="0.25">
      <c r="E12" s="9">
        <v>43373</v>
      </c>
      <c r="F12">
        <f t="shared" si="0"/>
        <v>4.1000000000000005</v>
      </c>
      <c r="J12" s="9"/>
    </row>
    <row r="13" spans="5:11" x14ac:dyDescent="0.25">
      <c r="E13" s="9">
        <v>43495</v>
      </c>
      <c r="F13">
        <f t="shared" si="0"/>
        <v>4.1000000000000005</v>
      </c>
    </row>
    <row r="14" spans="5:11" x14ac:dyDescent="0.25">
      <c r="E14" s="9">
        <v>43615</v>
      </c>
      <c r="F14">
        <f t="shared" si="0"/>
        <v>4.1000000000000005</v>
      </c>
    </row>
    <row r="15" spans="5:11" x14ac:dyDescent="0.25">
      <c r="E15" s="9">
        <v>43738</v>
      </c>
      <c r="F15">
        <f>0.123*100/3+100</f>
        <v>104.1</v>
      </c>
    </row>
    <row r="16" spans="5:11" x14ac:dyDescent="0.25">
      <c r="I16" t="s">
        <v>29</v>
      </c>
      <c r="J16" s="9">
        <v>42490</v>
      </c>
      <c r="K16" s="7">
        <f>+NPV(0.14/2,K7:K10)</f>
        <v>100.84680281411596</v>
      </c>
    </row>
    <row r="17" spans="3:11" x14ac:dyDescent="0.25">
      <c r="D17" t="s">
        <v>30</v>
      </c>
      <c r="E17" s="9">
        <v>42643</v>
      </c>
      <c r="F17" s="7">
        <f>+NPV(0.12/3,F7:F15)</f>
        <v>100.74353316105289</v>
      </c>
      <c r="I17" t="s">
        <v>29</v>
      </c>
      <c r="J17" s="9">
        <v>42643</v>
      </c>
      <c r="K17" s="12">
        <f>+K16*(1+0.14/2)^(2*5/12)</f>
        <v>106.69611728570335</v>
      </c>
    </row>
    <row r="18" spans="3:11" x14ac:dyDescent="0.25">
      <c r="D18" t="s">
        <v>31</v>
      </c>
      <c r="E18" s="9">
        <v>42643</v>
      </c>
      <c r="F18" s="7">
        <f>+F17+F6</f>
        <v>3.7435331610528948</v>
      </c>
      <c r="I18" t="s">
        <v>31</v>
      </c>
      <c r="J18" s="9">
        <v>42643</v>
      </c>
      <c r="K18" s="19">
        <f>+K17+K6</f>
        <v>2.6961172857033517</v>
      </c>
    </row>
    <row r="20" spans="3:11" x14ac:dyDescent="0.25">
      <c r="C20" t="s">
        <v>48</v>
      </c>
      <c r="D20" t="s">
        <v>32</v>
      </c>
    </row>
    <row r="22" spans="3:11" x14ac:dyDescent="0.25">
      <c r="D22" t="s">
        <v>33</v>
      </c>
      <c r="E22">
        <v>1030</v>
      </c>
    </row>
    <row r="23" spans="3:11" x14ac:dyDescent="0.25">
      <c r="D23" t="s">
        <v>34</v>
      </c>
      <c r="E23">
        <v>961</v>
      </c>
    </row>
    <row r="25" spans="3:11" x14ac:dyDescent="0.25">
      <c r="D25" t="s">
        <v>35</v>
      </c>
    </row>
    <row r="27" spans="3:11" x14ac:dyDescent="0.25">
      <c r="D27" t="s">
        <v>36</v>
      </c>
      <c r="E27" s="7">
        <f>+E22*F18</f>
        <v>3855.8391558844814</v>
      </c>
    </row>
    <row r="28" spans="3:11" x14ac:dyDescent="0.25">
      <c r="D28" t="s">
        <v>37</v>
      </c>
      <c r="E28" s="19">
        <f>+E23*K18</f>
        <v>2590.9687115609208</v>
      </c>
    </row>
    <row r="30" spans="3:11" x14ac:dyDescent="0.25">
      <c r="D30" t="s">
        <v>38</v>
      </c>
    </row>
    <row r="32" spans="3:11" x14ac:dyDescent="0.25">
      <c r="C32" t="s">
        <v>49</v>
      </c>
    </row>
    <row r="35" spans="4:8" x14ac:dyDescent="0.25">
      <c r="D35" s="20" t="s">
        <v>39</v>
      </c>
      <c r="E35" s="20"/>
      <c r="F35" s="20"/>
      <c r="G35" s="20"/>
      <c r="H35" s="21">
        <v>97</v>
      </c>
    </row>
    <row r="36" spans="4:8" x14ac:dyDescent="0.25">
      <c r="D36" s="20" t="s">
        <v>40</v>
      </c>
      <c r="E36" s="20"/>
      <c r="F36" s="20"/>
      <c r="G36" s="20"/>
      <c r="H36" s="20"/>
    </row>
    <row r="38" spans="4:8" x14ac:dyDescent="0.25">
      <c r="D38" s="20" t="s">
        <v>41</v>
      </c>
      <c r="E38" s="20"/>
      <c r="F38" s="20"/>
      <c r="G38" s="20"/>
      <c r="H38" s="22">
        <f>+H43+H45</f>
        <v>116.40393418578263</v>
      </c>
    </row>
    <row r="40" spans="4:8" x14ac:dyDescent="0.25">
      <c r="D40" t="s">
        <v>42</v>
      </c>
      <c r="H40" s="7">
        <f>FV(E41,3,-4.1)</f>
        <v>12.628728805841179</v>
      </c>
    </row>
    <row r="41" spans="4:8" x14ac:dyDescent="0.25">
      <c r="D41" t="s">
        <v>43</v>
      </c>
      <c r="E41">
        <f>+((1+0.0816)^(1/3))-1</f>
        <v>2.6491977549256918E-2</v>
      </c>
    </row>
    <row r="43" spans="4:8" x14ac:dyDescent="0.25">
      <c r="D43" t="s">
        <v>44</v>
      </c>
      <c r="H43" s="12">
        <f>+H40*(1+0.0816)^(3/12)</f>
        <v>12.878826922571097</v>
      </c>
    </row>
    <row r="45" spans="4:8" x14ac:dyDescent="0.25">
      <c r="D45" t="s">
        <v>45</v>
      </c>
      <c r="H45" s="7">
        <f>+NPV(0.12/3,F10:F15)*(1+0.12/3)^(3*3/12)</f>
        <v>103.52510726321154</v>
      </c>
    </row>
    <row r="46" spans="4:8" ht="15.75" thickBot="1" x14ac:dyDescent="0.3"/>
    <row r="47" spans="4:8" ht="15.75" thickBot="1" x14ac:dyDescent="0.3">
      <c r="D47" s="23" t="s">
        <v>46</v>
      </c>
      <c r="E47" s="24" t="s">
        <v>47</v>
      </c>
      <c r="F47" s="25">
        <f>+RATE(15/12,,-H35,H38)</f>
        <v>0.15706228974847378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Ejercicio 1</vt:lpstr>
      <vt:lpstr>Ejercicio 2</vt:lpstr>
      <vt:lpstr>Ejercicio 3</vt:lpstr>
      <vt:lpstr>Ejercicio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FERNANDEZ MOLERO</dc:creator>
  <cp:lastModifiedBy>Federico Lopez</cp:lastModifiedBy>
  <dcterms:created xsi:type="dcterms:W3CDTF">2020-06-06T18:38:32Z</dcterms:created>
  <dcterms:modified xsi:type="dcterms:W3CDTF">2022-10-31T19:54:25Z</dcterms:modified>
</cp:coreProperties>
</file>