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fmolero\Documents\"/>
    </mc:Choice>
  </mc:AlternateContent>
  <bookViews>
    <workbookView xWindow="0" yWindow="0" windowWidth="20490" windowHeight="7620" firstSheet="4" activeTab="6"/>
  </bookViews>
  <sheets>
    <sheet name="Hectáreas" sheetId="1" r:id="rId1"/>
    <sheet name="Tasa variable 1" sheetId="2" r:id="rId2"/>
    <sheet name="Tasa variable 2" sheetId="3" r:id="rId3"/>
    <sheet name="Tasa variable 3" sheetId="5" r:id="rId4"/>
    <sheet name="Tasa variable 4" sheetId="6" r:id="rId5"/>
    <sheet name="Tasa variable 5" sheetId="7" r:id="rId6"/>
    <sheet name="Edificios 1" sheetId="8" r:id="rId7"/>
    <sheet name="Edificios 2" sheetId="9" r:id="rId8"/>
    <sheet name="Ecuaciones 1" sheetId="10" r:id="rId9"/>
    <sheet name="Ecuaciones 2" sheetId="11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" i="9" l="1"/>
  <c r="J71" i="9"/>
  <c r="E59" i="9"/>
  <c r="H61" i="9" s="1"/>
  <c r="G43" i="9"/>
  <c r="F39" i="9"/>
  <c r="F41" i="9" s="1"/>
  <c r="E45" i="9" s="1"/>
  <c r="E80" i="9" s="1"/>
  <c r="E81" i="9" s="1"/>
  <c r="L76" i="9" s="1"/>
  <c r="K75" i="8"/>
  <c r="D80" i="8"/>
  <c r="D79" i="8"/>
  <c r="I70" i="8"/>
  <c r="G66" i="8"/>
  <c r="G62" i="8"/>
  <c r="G63" i="8" s="1"/>
  <c r="G61" i="8"/>
  <c r="G60" i="8"/>
  <c r="D58" i="8"/>
  <c r="E49" i="8"/>
  <c r="D44" i="8"/>
  <c r="F42" i="8"/>
  <c r="E40" i="8"/>
  <c r="E38" i="8"/>
  <c r="H62" i="9" l="1"/>
  <c r="H63" i="9" s="1"/>
  <c r="H64" i="9" s="1"/>
  <c r="D22" i="7"/>
  <c r="D20" i="7"/>
  <c r="C18" i="7"/>
  <c r="D22" i="6"/>
  <c r="D20" i="6"/>
  <c r="C18" i="6"/>
  <c r="E24" i="5"/>
  <c r="E22" i="5"/>
  <c r="D20" i="5"/>
  <c r="H67" i="9" l="1"/>
  <c r="K17" i="3"/>
  <c r="F21" i="3"/>
  <c r="F19" i="3"/>
  <c r="F17" i="3"/>
  <c r="K17" i="2"/>
  <c r="J15" i="2"/>
  <c r="E19" i="2"/>
  <c r="E17" i="2"/>
  <c r="E15" i="2"/>
  <c r="F34" i="1"/>
  <c r="F31" i="1"/>
  <c r="F27" i="1"/>
  <c r="F28" i="1"/>
  <c r="F29" i="1"/>
  <c r="F26" i="1"/>
  <c r="E28" i="1"/>
  <c r="E29" i="1" s="1"/>
  <c r="E27" i="1"/>
  <c r="E26" i="1"/>
  <c r="N20" i="1"/>
  <c r="N17" i="1"/>
  <c r="H21" i="1"/>
  <c r="F18" i="1"/>
  <c r="F19" i="1"/>
  <c r="F20" i="1"/>
  <c r="F21" i="1"/>
  <c r="F17" i="1"/>
  <c r="E23" i="1"/>
  <c r="E22" i="1"/>
  <c r="E21" i="1"/>
  <c r="E19" i="1"/>
  <c r="E20" i="1" s="1"/>
  <c r="E18" i="1"/>
  <c r="L19" i="3" l="1"/>
</calcChain>
</file>

<file path=xl/sharedStrings.xml><?xml version="1.0" encoding="utf-8"?>
<sst xmlns="http://schemas.openxmlformats.org/spreadsheetml/2006/main" count="120" uniqueCount="68">
  <si>
    <t>Año</t>
  </si>
  <si>
    <t>Flujo</t>
  </si>
  <si>
    <t>VA de cada flujo</t>
  </si>
  <si>
    <t>TEA = 10%</t>
  </si>
  <si>
    <t>VA de la perpetuidad</t>
  </si>
  <si>
    <t>VA de los flujos de cada hectárea</t>
  </si>
  <si>
    <t>un año antes del primero =</t>
  </si>
  <si>
    <t>VA de los flujos de las primeras</t>
  </si>
  <si>
    <t>1.000 hectáreas =</t>
  </si>
  <si>
    <t>Mes</t>
  </si>
  <si>
    <t>Valor de 1.000 Has</t>
  </si>
  <si>
    <t>VA de cada campo de 1.000 Has</t>
  </si>
  <si>
    <t>VA Total =</t>
  </si>
  <si>
    <t>Estaría dispuesto a invertir :</t>
  </si>
  <si>
    <t>TEM aparente 1 =</t>
  </si>
  <si>
    <t>1    +</t>
  </si>
  <si>
    <t>1 +</t>
  </si>
  <si>
    <t>TEA aparente 2 =</t>
  </si>
  <si>
    <t xml:space="preserve">a) </t>
  </si>
  <si>
    <t>Monto =</t>
  </si>
  <si>
    <t>b)</t>
  </si>
  <si>
    <t>TEA aparente =</t>
  </si>
  <si>
    <t>TES aparente 1 =</t>
  </si>
  <si>
    <t>TEM aparente 2 =</t>
  </si>
  <si>
    <t>TE 120 días aparente 3 =</t>
  </si>
  <si>
    <t>a) Monto =</t>
  </si>
  <si>
    <t>b) TEA aparente promedio =</t>
  </si>
  <si>
    <t>c) TEA real promedio =</t>
  </si>
  <si>
    <t>b) TEA aprente promedio =</t>
  </si>
  <si>
    <t>Flujos de Fondos</t>
  </si>
  <si>
    <t>+</t>
  </si>
  <si>
    <t>X</t>
  </si>
  <si>
    <t>El valor en el momento 5 es:</t>
  </si>
  <si>
    <t>X es la diferencia entre</t>
  </si>
  <si>
    <t>y el valor en el momento 5 de los otros cuatro edificios</t>
  </si>
  <si>
    <t>Valor en el momento 5 de los otros cuatro edificios:</t>
  </si>
  <si>
    <t>Entonces, X =</t>
  </si>
  <si>
    <t>1)</t>
  </si>
  <si>
    <t>2)</t>
  </si>
  <si>
    <t>Para calcular C1, debo tener el VA un año antes de dicha cuota.</t>
  </si>
  <si>
    <t>Por lo que debo descontar el VA un año</t>
  </si>
  <si>
    <t>VA 0 = VA 1 /(1+0,14) =</t>
  </si>
  <si>
    <t>VA 1 =</t>
  </si>
  <si>
    <t>VA 0 =</t>
  </si>
  <si>
    <t>i = 0,14</t>
  </si>
  <si>
    <t>g = 0,25</t>
  </si>
  <si>
    <t>n = 4</t>
  </si>
  <si>
    <t>C1 =</t>
  </si>
  <si>
    <t>C2 =</t>
  </si>
  <si>
    <t xml:space="preserve">C3 = </t>
  </si>
  <si>
    <t>C4 =</t>
  </si>
  <si>
    <t>Control:</t>
  </si>
  <si>
    <t>VA =</t>
  </si>
  <si>
    <t>3)</t>
  </si>
  <si>
    <t>VAN = valor - precio =</t>
  </si>
  <si>
    <t>-</t>
  </si>
  <si>
    <t>=</t>
  </si>
  <si>
    <t>TIR =</t>
  </si>
  <si>
    <t>Criterio del VAN: dado que el VAN es positivo, se recomienda aceptar el proyecto</t>
  </si>
  <si>
    <t>Criterio de la TIR:</t>
  </si>
  <si>
    <t>&gt;</t>
  </si>
  <si>
    <t>14% )</t>
  </si>
  <si>
    <t>y dado que se trata de un proyecto de inversión simple, se recomienda aceptar el proyecto.</t>
  </si>
  <si>
    <t>dado que la TIR es mayor que el costo de oportunidad        (</t>
  </si>
  <si>
    <t>Por lo que debo descontar el VA 10 meses.</t>
  </si>
  <si>
    <t>VA 0 = 10.450.000 /(1+0,14)^(10/12)  =</t>
  </si>
  <si>
    <t>dado que la TIR es mayor que el costo de oportunidad    (</t>
  </si>
  <si>
    <t>es el valor actual de los cinco precios de venta, incluyendo el que es incógnita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</si>
</sst>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\ #,##0.00;[Red]\-&quot;$&quot;\ #,##0.00"/>
    <numFmt numFmtId="44" formatCode="_-&quot;$&quot;\ * #,##0.00_-;\-&quot;$&quot;\ * #,##0.0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44" fontId="0" fillId="0" borderId="0" xfId="1" applyFont="1"/>
    <xf numFmtId="0" fontId="2" fillId="2" borderId="0" xfId="0" applyFont="1" applyFill="1"/>
    <xf numFmtId="44" fontId="2" fillId="2" borderId="0" xfId="1" applyFont="1" applyFill="1"/>
    <xf numFmtId="44" fontId="0" fillId="0" borderId="0" xfId="0" applyNumberFormat="1"/>
    <xf numFmtId="44" fontId="2" fillId="2" borderId="0" xfId="0" applyNumberFormat="1" applyFont="1" applyFill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2" borderId="8" xfId="0" applyFont="1" applyFill="1" applyBorder="1"/>
    <xf numFmtId="44" fontId="2" fillId="2" borderId="9" xfId="0" applyNumberFormat="1" applyFont="1" applyFill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5" xfId="0" applyFont="1" applyFill="1" applyBorder="1"/>
    <xf numFmtId="44" fontId="2" fillId="2" borderId="6" xfId="0" applyNumberFormat="1" applyFont="1" applyFill="1" applyBorder="1"/>
    <xf numFmtId="0" fontId="0" fillId="0" borderId="10" xfId="0" applyBorder="1"/>
    <xf numFmtId="0" fontId="2" fillId="0" borderId="8" xfId="0" applyFont="1" applyBorder="1"/>
    <xf numFmtId="0" fontId="2" fillId="0" borderId="10" xfId="0" applyFont="1" applyBorder="1"/>
    <xf numFmtId="0" fontId="2" fillId="0" borderId="9" xfId="0" applyFont="1" applyBorder="1"/>
    <xf numFmtId="0" fontId="2" fillId="2" borderId="10" xfId="0" applyFont="1" applyFill="1" applyBorder="1"/>
    <xf numFmtId="10" fontId="2" fillId="2" borderId="9" xfId="0" applyNumberFormat="1" applyFont="1" applyFill="1" applyBorder="1"/>
    <xf numFmtId="44" fontId="2" fillId="2" borderId="10" xfId="1" applyFont="1" applyFill="1" applyBorder="1"/>
    <xf numFmtId="0" fontId="2" fillId="2" borderId="9" xfId="0" applyFont="1" applyFill="1" applyBorder="1"/>
    <xf numFmtId="10" fontId="0" fillId="0" borderId="0" xfId="0" applyNumberFormat="1"/>
    <xf numFmtId="10" fontId="0" fillId="0" borderId="0" xfId="2" applyNumberFormat="1" applyFont="1"/>
    <xf numFmtId="0" fontId="0" fillId="0" borderId="0" xfId="0" applyAlignment="1">
      <alignment horizontal="center"/>
    </xf>
    <xf numFmtId="0" fontId="0" fillId="3" borderId="8" xfId="0" applyFill="1" applyBorder="1"/>
    <xf numFmtId="0" fontId="0" fillId="3" borderId="10" xfId="0" applyFill="1" applyBorder="1"/>
    <xf numFmtId="0" fontId="2" fillId="3" borderId="11" xfId="0" applyFont="1" applyFill="1" applyBorder="1" applyAlignment="1">
      <alignment horizontal="center"/>
    </xf>
    <xf numFmtId="0" fontId="2" fillId="3" borderId="8" xfId="0" applyFont="1" applyFill="1" applyBorder="1"/>
    <xf numFmtId="0" fontId="2" fillId="3" borderId="10" xfId="0" applyFont="1" applyFill="1" applyBorder="1"/>
    <xf numFmtId="0" fontId="2" fillId="3" borderId="9" xfId="0" applyFont="1" applyFill="1" applyBorder="1"/>
    <xf numFmtId="44" fontId="2" fillId="0" borderId="9" xfId="0" applyNumberFormat="1" applyFont="1" applyBorder="1"/>
    <xf numFmtId="0" fontId="0" fillId="0" borderId="1" xfId="0" applyBorder="1"/>
    <xf numFmtId="0" fontId="0" fillId="0" borderId="2" xfId="0" applyBorder="1"/>
    <xf numFmtId="8" fontId="0" fillId="0" borderId="6" xfId="0" applyNumberFormat="1" applyBorder="1"/>
    <xf numFmtId="10" fontId="2" fillId="3" borderId="9" xfId="0" applyNumberFormat="1" applyFont="1" applyFill="1" applyBorder="1"/>
    <xf numFmtId="44" fontId="0" fillId="3" borderId="10" xfId="1" applyFont="1" applyFill="1" applyBorder="1"/>
    <xf numFmtId="44" fontId="0" fillId="3" borderId="9" xfId="1" applyFont="1" applyFill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9</xdr:col>
      <xdr:colOff>275328</xdr:colOff>
      <xdr:row>11</xdr:row>
      <xdr:rowOff>37881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381000"/>
          <a:ext cx="7171428" cy="175238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9</xdr:col>
      <xdr:colOff>160955</xdr:colOff>
      <xdr:row>11</xdr:row>
      <xdr:rowOff>190262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81000"/>
          <a:ext cx="7761905" cy="19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13</xdr:col>
      <xdr:colOff>131943</xdr:colOff>
      <xdr:row>28</xdr:row>
      <xdr:rowOff>47262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2476500"/>
          <a:ext cx="11257143" cy="29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14</xdr:col>
      <xdr:colOff>713021</xdr:colOff>
      <xdr:row>11</xdr:row>
      <xdr:rowOff>95024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81000"/>
          <a:ext cx="10828571" cy="18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15</xdr:col>
      <xdr:colOff>8164</xdr:colOff>
      <xdr:row>12</xdr:row>
      <xdr:rowOff>123571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81000"/>
          <a:ext cx="10885714" cy="20285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15</xdr:col>
      <xdr:colOff>598736</xdr:colOff>
      <xdr:row>16</xdr:row>
      <xdr:rowOff>47309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571500"/>
          <a:ext cx="10714286" cy="25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14</xdr:col>
      <xdr:colOff>560640</xdr:colOff>
      <xdr:row>14</xdr:row>
      <xdr:rowOff>75905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81000"/>
          <a:ext cx="10676190" cy="236190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15</xdr:col>
      <xdr:colOff>93878</xdr:colOff>
      <xdr:row>14</xdr:row>
      <xdr:rowOff>123524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81000"/>
          <a:ext cx="10971428" cy="240952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9</xdr:col>
      <xdr:colOff>106983</xdr:colOff>
      <xdr:row>22</xdr:row>
      <xdr:rowOff>85682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81000"/>
          <a:ext cx="7888908" cy="389568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4</xdr:col>
      <xdr:colOff>649859</xdr:colOff>
      <xdr:row>54</xdr:row>
      <xdr:rowOff>135697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9753600"/>
          <a:ext cx="2926334" cy="707197"/>
        </a:xfrm>
        <a:prstGeom prst="rect">
          <a:avLst/>
        </a:prstGeom>
      </xdr:spPr>
    </xdr:pic>
    <xdr:clientData/>
  </xdr:twoCellAnchor>
  <xdr:twoCellAnchor>
    <xdr:from>
      <xdr:col>4</xdr:col>
      <xdr:colOff>85725</xdr:colOff>
      <xdr:row>56</xdr:row>
      <xdr:rowOff>9525</xdr:rowOff>
    </xdr:from>
    <xdr:to>
      <xdr:col>4</xdr:col>
      <xdr:colOff>152400</xdr:colOff>
      <xdr:row>63</xdr:row>
      <xdr:rowOff>104775</xdr:rowOff>
    </xdr:to>
    <xdr:sp macro="" textlink="">
      <xdr:nvSpPr>
        <xdr:cNvPr id="6" name="Cerrar llave 5"/>
        <xdr:cNvSpPr/>
      </xdr:nvSpPr>
      <xdr:spPr>
        <a:xfrm>
          <a:off x="3686175" y="10715625"/>
          <a:ext cx="66675" cy="14287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675284</xdr:colOff>
      <xdr:row>22</xdr:row>
      <xdr:rowOff>75690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7923809" cy="40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5</xdr:col>
      <xdr:colOff>516509</xdr:colOff>
      <xdr:row>55</xdr:row>
      <xdr:rowOff>135697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9753600"/>
          <a:ext cx="2926334" cy="707197"/>
        </a:xfrm>
        <a:prstGeom prst="rect">
          <a:avLst/>
        </a:prstGeom>
      </xdr:spPr>
    </xdr:pic>
    <xdr:clientData/>
  </xdr:twoCellAnchor>
  <xdr:twoCellAnchor>
    <xdr:from>
      <xdr:col>5</xdr:col>
      <xdr:colOff>85725</xdr:colOff>
      <xdr:row>57</xdr:row>
      <xdr:rowOff>9525</xdr:rowOff>
    </xdr:from>
    <xdr:to>
      <xdr:col>5</xdr:col>
      <xdr:colOff>152400</xdr:colOff>
      <xdr:row>64</xdr:row>
      <xdr:rowOff>104775</xdr:rowOff>
    </xdr:to>
    <xdr:sp macro="" textlink="">
      <xdr:nvSpPr>
        <xdr:cNvPr id="7" name="Cerrar llave 6"/>
        <xdr:cNvSpPr/>
      </xdr:nvSpPr>
      <xdr:spPr>
        <a:xfrm>
          <a:off x="3886200" y="10715625"/>
          <a:ext cx="66675" cy="14287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9</xdr:col>
      <xdr:colOff>180002</xdr:colOff>
      <xdr:row>11</xdr:row>
      <xdr:rowOff>85500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81000"/>
          <a:ext cx="7780952" cy="18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142875</xdr:rowOff>
    </xdr:from>
    <xdr:to>
      <xdr:col>12</xdr:col>
      <xdr:colOff>590550</xdr:colOff>
      <xdr:row>34</xdr:row>
      <xdr:rowOff>79026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19375"/>
          <a:ext cx="11601450" cy="39366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3:N34"/>
  <sheetViews>
    <sheetView topLeftCell="A20" workbookViewId="0">
      <selection activeCell="J40" sqref="J40"/>
    </sheetView>
  </sheetViews>
  <sheetFormatPr baseColWidth="10" defaultRowHeight="15" x14ac:dyDescent="0.25"/>
  <cols>
    <col min="5" max="5" width="16.85546875" customWidth="1"/>
    <col min="6" max="6" width="29.42578125" customWidth="1"/>
    <col min="14" max="14" width="15.5703125" bestFit="1" customWidth="1"/>
  </cols>
  <sheetData>
    <row r="13" spans="4:14" x14ac:dyDescent="0.25">
      <c r="D13" t="s">
        <v>3</v>
      </c>
    </row>
    <row r="15" spans="4:14" ht="15.75" thickBot="1" x14ac:dyDescent="0.3"/>
    <row r="16" spans="4:14" x14ac:dyDescent="0.25">
      <c r="D16" s="15" t="s">
        <v>0</v>
      </c>
      <c r="E16" s="15" t="s">
        <v>1</v>
      </c>
      <c r="F16" s="15" t="s">
        <v>2</v>
      </c>
      <c r="G16" s="6"/>
      <c r="H16" s="7" t="s">
        <v>4</v>
      </c>
      <c r="I16" s="8"/>
      <c r="K16" s="2" t="s">
        <v>5</v>
      </c>
      <c r="L16" s="2"/>
      <c r="M16" s="2"/>
      <c r="N16" s="2"/>
    </row>
    <row r="17" spans="4:14" x14ac:dyDescent="0.25">
      <c r="D17" s="13">
        <v>1</v>
      </c>
      <c r="E17" s="13">
        <v>2000</v>
      </c>
      <c r="F17" s="13">
        <f>+E17/1.1^D17</f>
        <v>1818.181818181818</v>
      </c>
      <c r="H17" s="9"/>
      <c r="I17" s="10"/>
      <c r="K17" s="2" t="s">
        <v>6</v>
      </c>
      <c r="L17" s="2"/>
      <c r="M17" s="2"/>
      <c r="N17" s="3">
        <f>+SUM(F17:F21)+H21/1.1^5</f>
        <v>41802.037863782258</v>
      </c>
    </row>
    <row r="18" spans="4:14" x14ac:dyDescent="0.25">
      <c r="D18" s="13">
        <v>2</v>
      </c>
      <c r="E18" s="13">
        <f>1.2*E17</f>
        <v>2400</v>
      </c>
      <c r="F18" s="13">
        <f t="shared" ref="F18:F21" si="0">+E18/1.1^D18</f>
        <v>1983.471074380165</v>
      </c>
      <c r="H18" s="9"/>
      <c r="I18" s="10"/>
    </row>
    <row r="19" spans="4:14" x14ac:dyDescent="0.25">
      <c r="D19" s="13">
        <v>3</v>
      </c>
      <c r="E19" s="13">
        <f t="shared" ref="E19:E20" si="1">1.2*E18</f>
        <v>2880</v>
      </c>
      <c r="F19" s="13">
        <f t="shared" si="0"/>
        <v>2163.7866265965431</v>
      </c>
      <c r="H19" s="9"/>
      <c r="I19" s="10"/>
      <c r="K19" s="2" t="s">
        <v>7</v>
      </c>
      <c r="L19" s="2"/>
      <c r="M19" s="2"/>
      <c r="N19" s="2"/>
    </row>
    <row r="20" spans="4:14" x14ac:dyDescent="0.25">
      <c r="D20" s="13">
        <v>4</v>
      </c>
      <c r="E20" s="13">
        <f t="shared" si="1"/>
        <v>3456</v>
      </c>
      <c r="F20" s="13">
        <f t="shared" si="0"/>
        <v>2360.4945017416835</v>
      </c>
      <c r="H20" s="9"/>
      <c r="I20" s="10"/>
      <c r="K20" s="2" t="s">
        <v>8</v>
      </c>
      <c r="L20" s="2"/>
      <c r="M20" s="2"/>
      <c r="N20" s="5">
        <f>1000*N17</f>
        <v>41802037.863782257</v>
      </c>
    </row>
    <row r="21" spans="4:14" ht="15.75" thickBot="1" x14ac:dyDescent="0.3">
      <c r="D21" s="13">
        <v>5</v>
      </c>
      <c r="E21" s="13">
        <f>1.2*E20</f>
        <v>4147.2</v>
      </c>
      <c r="F21" s="13">
        <f t="shared" si="0"/>
        <v>2575.0849109909273</v>
      </c>
      <c r="H21" s="11">
        <f>+E22/0.1</f>
        <v>49766.399999999994</v>
      </c>
      <c r="I21" s="12"/>
    </row>
    <row r="22" spans="4:14" x14ac:dyDescent="0.25">
      <c r="D22" s="13">
        <v>6</v>
      </c>
      <c r="E22" s="13">
        <f>1.2*E21</f>
        <v>4976.6399999999994</v>
      </c>
      <c r="F22" s="13"/>
    </row>
    <row r="23" spans="4:14" x14ac:dyDescent="0.25">
      <c r="D23" s="13">
        <v>7</v>
      </c>
      <c r="E23" s="13">
        <f>+E22</f>
        <v>4976.6399999999994</v>
      </c>
      <c r="F23" s="13"/>
    </row>
    <row r="25" spans="4:14" x14ac:dyDescent="0.25">
      <c r="D25" s="14" t="s">
        <v>9</v>
      </c>
      <c r="E25" s="14" t="s">
        <v>10</v>
      </c>
      <c r="F25" s="14" t="s">
        <v>11</v>
      </c>
    </row>
    <row r="26" spans="4:14" x14ac:dyDescent="0.25">
      <c r="D26">
        <v>0</v>
      </c>
      <c r="E26" s="4">
        <f>+N20</f>
        <v>41802037.863782257</v>
      </c>
      <c r="F26" s="1">
        <f>+E26/(1+0.1)^(D26/12)</f>
        <v>41802037.863782257</v>
      </c>
    </row>
    <row r="27" spans="4:14" x14ac:dyDescent="0.25">
      <c r="D27">
        <v>1</v>
      </c>
      <c r="E27" s="4">
        <f>+E26</f>
        <v>41802037.863782257</v>
      </c>
      <c r="F27" s="1">
        <f>+E27/(1+0.1)^(D27/12)</f>
        <v>41471339.578210846</v>
      </c>
    </row>
    <row r="28" spans="4:14" x14ac:dyDescent="0.25">
      <c r="D28">
        <v>2</v>
      </c>
      <c r="E28" s="4">
        <f t="shared" ref="E28:E29" si="2">+E27</f>
        <v>41802037.863782257</v>
      </c>
      <c r="F28" s="1">
        <f t="shared" ref="F28:F29" si="3">+E28/(1+0.1)^(D28/12)</f>
        <v>41143257.465478584</v>
      </c>
    </row>
    <row r="29" spans="4:14" x14ac:dyDescent="0.25">
      <c r="D29">
        <v>3</v>
      </c>
      <c r="E29" s="4">
        <f t="shared" si="2"/>
        <v>41802037.863782257</v>
      </c>
      <c r="F29" s="1">
        <f t="shared" si="3"/>
        <v>40817770.828894168</v>
      </c>
    </row>
    <row r="30" spans="4:14" ht="15.75" thickBot="1" x14ac:dyDescent="0.3"/>
    <row r="31" spans="4:14" ht="15.75" thickBot="1" x14ac:dyDescent="0.3">
      <c r="E31" s="16" t="s">
        <v>12</v>
      </c>
      <c r="F31" s="17">
        <f>+SUM(F26:F29)</f>
        <v>165234405.73636585</v>
      </c>
    </row>
    <row r="32" spans="4:14" ht="15.75" thickBot="1" x14ac:dyDescent="0.3"/>
    <row r="33" spans="5:6" x14ac:dyDescent="0.25">
      <c r="E33" s="18" t="s">
        <v>13</v>
      </c>
      <c r="F33" s="19"/>
    </row>
    <row r="34" spans="5:6" ht="15.75" thickBot="1" x14ac:dyDescent="0.3">
      <c r="E34" s="20"/>
      <c r="F34" s="21">
        <f>+F31</f>
        <v>165234405.73636585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7" workbookViewId="0">
      <selection activeCell="L49" sqref="L49"/>
    </sheetView>
  </sheetViews>
  <sheetFormatPr baseColWidth="10" defaultRowHeight="15" x14ac:dyDescent="0.25"/>
  <cols>
    <col min="3" max="3" width="16.7109375" customWidth="1"/>
    <col min="5" max="5" width="18" customWidth="1"/>
    <col min="7" max="7" width="15.85546875" customWidth="1"/>
    <col min="9" max="9" width="17.7109375" customWidth="1"/>
    <col min="11" max="11" width="18.57031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K19"/>
  <sheetViews>
    <sheetView workbookViewId="0">
      <selection activeCell="C20" sqref="C20"/>
    </sheetView>
  </sheetViews>
  <sheetFormatPr baseColWidth="10" defaultRowHeight="15" x14ac:dyDescent="0.25"/>
  <cols>
    <col min="10" max="10" width="14.5703125" bestFit="1" customWidth="1"/>
  </cols>
  <sheetData>
    <row r="14" spans="2:11" ht="15.75" thickBot="1" x14ac:dyDescent="0.3"/>
    <row r="15" spans="2:11" ht="15.75" thickBot="1" x14ac:dyDescent="0.3">
      <c r="B15" s="23" t="s">
        <v>15</v>
      </c>
      <c r="C15" s="24" t="s">
        <v>14</v>
      </c>
      <c r="D15" s="24"/>
      <c r="E15" s="25">
        <f>+(1+0.01)*(1+0.6)^(30/365)</f>
        <v>1.0497801550807684</v>
      </c>
      <c r="H15" t="s">
        <v>18</v>
      </c>
      <c r="I15" s="16" t="s">
        <v>19</v>
      </c>
      <c r="J15" s="28">
        <f>1000000*E15*(E17^(30/365))*E19</f>
        <v>1298559.6015092446</v>
      </c>
      <c r="K15" s="29"/>
    </row>
    <row r="16" spans="2:11" ht="15.75" thickBot="1" x14ac:dyDescent="0.3"/>
    <row r="17" spans="2:11" ht="15.75" thickBot="1" x14ac:dyDescent="0.3">
      <c r="B17" s="23" t="s">
        <v>16</v>
      </c>
      <c r="C17" s="24" t="s">
        <v>17</v>
      </c>
      <c r="D17" s="24"/>
      <c r="E17" s="25">
        <f>+(1+0.1)*(1+0.6)</f>
        <v>1.7600000000000002</v>
      </c>
      <c r="H17" t="s">
        <v>20</v>
      </c>
      <c r="I17" s="16" t="s">
        <v>21</v>
      </c>
      <c r="J17" s="26"/>
      <c r="K17" s="27">
        <f>RATE(180/365,,-1000000,J15)</f>
        <v>0.6985388884444651</v>
      </c>
    </row>
    <row r="18" spans="2:11" ht="15.75" thickBot="1" x14ac:dyDescent="0.3"/>
    <row r="19" spans="2:11" ht="15.75" thickBot="1" x14ac:dyDescent="0.3">
      <c r="B19" s="23" t="s">
        <v>16</v>
      </c>
      <c r="C19" s="24" t="s">
        <v>24</v>
      </c>
      <c r="D19" s="24"/>
      <c r="E19" s="25">
        <f>1+0.55*120/365</f>
        <v>1.1808219178082191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6:L21"/>
  <sheetViews>
    <sheetView topLeftCell="A2" workbookViewId="0">
      <selection activeCell="B17" sqref="B17:M22"/>
    </sheetView>
  </sheetViews>
  <sheetFormatPr baseColWidth="10" defaultRowHeight="15" x14ac:dyDescent="0.25"/>
  <cols>
    <col min="11" max="11" width="14.5703125" bestFit="1" customWidth="1"/>
  </cols>
  <sheetData>
    <row r="16" ht="15.75" thickBot="1" x14ac:dyDescent="0.3"/>
    <row r="17" spans="3:12" ht="15.75" thickBot="1" x14ac:dyDescent="0.3">
      <c r="C17" s="23" t="s">
        <v>15</v>
      </c>
      <c r="D17" s="24" t="s">
        <v>22</v>
      </c>
      <c r="E17" s="24"/>
      <c r="F17" s="25">
        <f>+(1+0.04)*(1+0.6)^(180/365)</f>
        <v>1.3112794301665398</v>
      </c>
      <c r="I17" t="s">
        <v>18</v>
      </c>
      <c r="J17" s="16" t="s">
        <v>19</v>
      </c>
      <c r="K17" s="28">
        <f>1000000*(F17^(1/6))*F19*F21</f>
        <v>1260768.6230598257</v>
      </c>
      <c r="L17" s="29"/>
    </row>
    <row r="18" spans="3:12" ht="15.75" thickBot="1" x14ac:dyDescent="0.3"/>
    <row r="19" spans="3:12" ht="15.75" thickBot="1" x14ac:dyDescent="0.3">
      <c r="C19" s="23" t="s">
        <v>16</v>
      </c>
      <c r="D19" s="24" t="s">
        <v>23</v>
      </c>
      <c r="E19" s="24"/>
      <c r="F19" s="25">
        <f>+(1+0.01)*(1+0.6)^(30/365)</f>
        <v>1.0497801550807684</v>
      </c>
      <c r="I19" t="s">
        <v>20</v>
      </c>
      <c r="J19" s="16" t="s">
        <v>21</v>
      </c>
      <c r="K19" s="26"/>
      <c r="L19" s="27">
        <f>RATE(180/365,,-1000000,K17)</f>
        <v>0.59980191166499319</v>
      </c>
    </row>
    <row r="20" spans="3:12" ht="15.75" thickBot="1" x14ac:dyDescent="0.3"/>
    <row r="21" spans="3:12" ht="15.75" thickBot="1" x14ac:dyDescent="0.3">
      <c r="C21" s="23" t="s">
        <v>16</v>
      </c>
      <c r="D21" s="24" t="s">
        <v>24</v>
      </c>
      <c r="E21" s="22"/>
      <c r="F21" s="25">
        <f>1+0.45*120/365</f>
        <v>1.1479452054794521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0:E24"/>
  <sheetViews>
    <sheetView topLeftCell="A4" workbookViewId="0">
      <selection activeCell="D20" sqref="D20"/>
    </sheetView>
  </sheetViews>
  <sheetFormatPr baseColWidth="10" defaultRowHeight="15" x14ac:dyDescent="0.25"/>
  <cols>
    <col min="4" max="4" width="14.5703125" bestFit="1" customWidth="1"/>
  </cols>
  <sheetData>
    <row r="20" spans="3:5" x14ac:dyDescent="0.25">
      <c r="C20" t="s">
        <v>25</v>
      </c>
      <c r="D20" s="1">
        <f>1000000*(1+0.4*30/365)*1.05*1.7^(120/365)</f>
        <v>1291224.6662077501</v>
      </c>
    </row>
    <row r="22" spans="3:5" x14ac:dyDescent="0.25">
      <c r="C22" t="s">
        <v>26</v>
      </c>
      <c r="E22" s="30">
        <f>+RATE(180/365,,-1000000,D20)</f>
        <v>0.67914040154647026</v>
      </c>
    </row>
    <row r="24" spans="3:5" x14ac:dyDescent="0.25">
      <c r="C24" t="s">
        <v>27</v>
      </c>
      <c r="E24" s="31">
        <f>+((1+E22)/((1+0.03)^(365/30)))-1</f>
        <v>0.17192758626733617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D22"/>
  <sheetViews>
    <sheetView topLeftCell="A3" workbookViewId="0">
      <selection activeCell="D24" sqref="D24"/>
    </sheetView>
  </sheetViews>
  <sheetFormatPr baseColWidth="10" defaultRowHeight="15" x14ac:dyDescent="0.25"/>
  <cols>
    <col min="3" max="3" width="14.5703125" bestFit="1" customWidth="1"/>
  </cols>
  <sheetData>
    <row r="18" spans="2:4" x14ac:dyDescent="0.25">
      <c r="B18" t="s">
        <v>25</v>
      </c>
      <c r="C18" s="1">
        <f>1000000*((1+0.4*30/365)^(60/30))*1.05*1.7^(190/365)</f>
        <v>1476542.6056969911</v>
      </c>
    </row>
    <row r="20" spans="2:4" x14ac:dyDescent="0.25">
      <c r="B20" t="s">
        <v>28</v>
      </c>
      <c r="D20" s="30">
        <f>+RATE(280/365,,-1000000,C18)</f>
        <v>0.6619740097532707</v>
      </c>
    </row>
    <row r="22" spans="2:4" x14ac:dyDescent="0.25">
      <c r="B22" t="s">
        <v>27</v>
      </c>
      <c r="D22" s="31">
        <f>+((1+D20)/(1+0.03)^(365/30))-1</f>
        <v>0.15994659404024469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D22"/>
  <sheetViews>
    <sheetView topLeftCell="A2" workbookViewId="0">
      <selection activeCell="D22" sqref="D22"/>
    </sheetView>
  </sheetViews>
  <sheetFormatPr baseColWidth="10" defaultRowHeight="15" x14ac:dyDescent="0.25"/>
  <cols>
    <col min="3" max="3" width="14.5703125" bestFit="1" customWidth="1"/>
  </cols>
  <sheetData>
    <row r="18" spans="2:4" x14ac:dyDescent="0.25">
      <c r="B18" t="s">
        <v>25</v>
      </c>
      <c r="C18" s="1">
        <f>1000000*(1+0.4*50/365)*((1+0.05)^(50/30))*1.7^(50/365)</f>
        <v>1230415.2604183066</v>
      </c>
    </row>
    <row r="20" spans="2:4" x14ac:dyDescent="0.25">
      <c r="B20" t="s">
        <v>26</v>
      </c>
      <c r="D20" s="30">
        <f>+RATE(150/365,,-1000000,C18)</f>
        <v>0.65624974715415962</v>
      </c>
    </row>
    <row r="22" spans="2:4" x14ac:dyDescent="0.25">
      <c r="B22" t="s">
        <v>27</v>
      </c>
      <c r="D22" s="31">
        <f>+((1+D20)/(1+0.03)^(365/30))-1</f>
        <v>0.15595144197031763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5:M80"/>
  <sheetViews>
    <sheetView tabSelected="1" topLeftCell="A35" workbookViewId="0">
      <selection activeCell="D37" sqref="D37"/>
    </sheetView>
  </sheetViews>
  <sheetFormatPr baseColWidth="10" defaultRowHeight="15" x14ac:dyDescent="0.25"/>
  <cols>
    <col min="3" max="3" width="15.5703125" bestFit="1" customWidth="1"/>
    <col min="4" max="4" width="18.5703125" customWidth="1"/>
    <col min="5" max="7" width="15.5703125" bestFit="1" customWidth="1"/>
    <col min="9" max="9" width="13" bestFit="1" customWidth="1"/>
  </cols>
  <sheetData>
    <row r="25" spans="3:6" ht="15.75" thickBot="1" x14ac:dyDescent="0.3"/>
    <row r="26" spans="3:6" ht="15.75" thickBot="1" x14ac:dyDescent="0.3">
      <c r="C26" s="35" t="s">
        <v>0</v>
      </c>
      <c r="D26" s="36" t="s">
        <v>29</v>
      </c>
      <c r="E26" s="37"/>
      <c r="F26" s="38"/>
    </row>
    <row r="27" spans="3:6" x14ac:dyDescent="0.25">
      <c r="C27">
        <v>0</v>
      </c>
      <c r="D27" s="1">
        <v>-10450000</v>
      </c>
      <c r="E27" s="32"/>
      <c r="F27" s="32"/>
    </row>
    <row r="28" spans="3:6" x14ac:dyDescent="0.25">
      <c r="C28">
        <v>1</v>
      </c>
      <c r="D28">
        <v>0</v>
      </c>
      <c r="E28" s="32"/>
      <c r="F28" s="32"/>
    </row>
    <row r="29" spans="3:6" x14ac:dyDescent="0.25">
      <c r="C29">
        <v>2</v>
      </c>
      <c r="D29" s="1">
        <v>2000000</v>
      </c>
      <c r="E29" s="32"/>
      <c r="F29" s="32"/>
    </row>
    <row r="30" spans="3:6" x14ac:dyDescent="0.25">
      <c r="C30">
        <v>3</v>
      </c>
      <c r="D30" s="1">
        <v>3000000</v>
      </c>
      <c r="E30" s="32"/>
      <c r="F30" s="32"/>
    </row>
    <row r="31" spans="3:6" x14ac:dyDescent="0.25">
      <c r="C31">
        <v>4</v>
      </c>
      <c r="D31" s="1">
        <v>3500000</v>
      </c>
      <c r="E31" s="32"/>
      <c r="F31" s="32"/>
    </row>
    <row r="32" spans="3:6" x14ac:dyDescent="0.25">
      <c r="C32">
        <v>5</v>
      </c>
      <c r="D32" s="1">
        <v>4000000</v>
      </c>
      <c r="E32" s="32" t="s">
        <v>30</v>
      </c>
      <c r="F32" s="32" t="s">
        <v>31</v>
      </c>
    </row>
    <row r="36" spans="2:6" x14ac:dyDescent="0.25">
      <c r="B36" t="s">
        <v>37</v>
      </c>
      <c r="C36" s="1">
        <v>10450000</v>
      </c>
      <c r="D36" t="s">
        <v>67</v>
      </c>
    </row>
    <row r="38" spans="2:6" x14ac:dyDescent="0.25">
      <c r="C38" t="s">
        <v>32</v>
      </c>
      <c r="E38" s="1">
        <f>+C36*1.14^5</f>
        <v>20120582.386079997</v>
      </c>
    </row>
    <row r="40" spans="2:6" x14ac:dyDescent="0.25">
      <c r="C40" t="s">
        <v>33</v>
      </c>
      <c r="E40" s="4">
        <f>+E38</f>
        <v>20120582.386079997</v>
      </c>
      <c r="F40" t="s">
        <v>34</v>
      </c>
    </row>
    <row r="42" spans="2:6" x14ac:dyDescent="0.25">
      <c r="C42" t="s">
        <v>35</v>
      </c>
      <c r="F42" s="4">
        <f>+D29*1.14^3+D30*1.14^2+D31*1.14+D32</f>
        <v>14851887.999999998</v>
      </c>
    </row>
    <row r="43" spans="2:6" ht="15.75" thickBot="1" x14ac:dyDescent="0.3"/>
    <row r="44" spans="2:6" ht="15.75" thickBot="1" x14ac:dyDescent="0.3">
      <c r="C44" s="23" t="s">
        <v>36</v>
      </c>
      <c r="D44" s="39">
        <f>+E40-F42</f>
        <v>5268694.3860799987</v>
      </c>
    </row>
    <row r="47" spans="2:6" x14ac:dyDescent="0.25">
      <c r="B47" t="s">
        <v>38</v>
      </c>
      <c r="C47" t="s">
        <v>39</v>
      </c>
    </row>
    <row r="48" spans="2:6" x14ac:dyDescent="0.25">
      <c r="C48" t="s">
        <v>40</v>
      </c>
    </row>
    <row r="49" spans="3:7" x14ac:dyDescent="0.25">
      <c r="C49" t="s">
        <v>41</v>
      </c>
      <c r="E49" s="1">
        <f>10450000/1.14</f>
        <v>9166666.6666666679</v>
      </c>
    </row>
    <row r="57" spans="3:7" x14ac:dyDescent="0.25">
      <c r="C57" t="s">
        <v>42</v>
      </c>
      <c r="D57" s="1">
        <v>10450000</v>
      </c>
    </row>
    <row r="58" spans="3:7" x14ac:dyDescent="0.25">
      <c r="C58" t="s">
        <v>43</v>
      </c>
      <c r="D58" s="4">
        <f>+E49</f>
        <v>9166666.6666666679</v>
      </c>
    </row>
    <row r="60" spans="3:7" x14ac:dyDescent="0.25">
      <c r="C60" t="s">
        <v>44</v>
      </c>
      <c r="F60" t="s">
        <v>47</v>
      </c>
      <c r="G60" s="1">
        <f>+(D58*(0.14-0.25))/(1-(1.25/1.14)^4)</f>
        <v>2263331.3544097203</v>
      </c>
    </row>
    <row r="61" spans="3:7" x14ac:dyDescent="0.25">
      <c r="C61" t="s">
        <v>45</v>
      </c>
      <c r="F61" t="s">
        <v>48</v>
      </c>
      <c r="G61" s="4">
        <f>1.25*G60</f>
        <v>2829164.1930121505</v>
      </c>
    </row>
    <row r="62" spans="3:7" x14ac:dyDescent="0.25">
      <c r="C62" t="s">
        <v>46</v>
      </c>
      <c r="F62" t="s">
        <v>49</v>
      </c>
      <c r="G62" s="4">
        <f t="shared" ref="G62:G63" si="0">1.25*G61</f>
        <v>3536455.241265188</v>
      </c>
    </row>
    <row r="63" spans="3:7" x14ac:dyDescent="0.25">
      <c r="F63" t="s">
        <v>50</v>
      </c>
      <c r="G63" s="4">
        <f t="shared" si="0"/>
        <v>4420569.0515814852</v>
      </c>
    </row>
    <row r="64" spans="3:7" ht="15.75" thickBot="1" x14ac:dyDescent="0.3"/>
    <row r="65" spans="2:13" x14ac:dyDescent="0.25">
      <c r="F65" s="40" t="s">
        <v>51</v>
      </c>
      <c r="G65" s="41"/>
    </row>
    <row r="66" spans="2:13" ht="15.75" thickBot="1" x14ac:dyDescent="0.3">
      <c r="F66" s="11" t="s">
        <v>52</v>
      </c>
      <c r="G66" s="42">
        <f>+NPV(0.14,G60:G63)</f>
        <v>9166666.6666666567</v>
      </c>
    </row>
    <row r="69" spans="2:13" ht="15.75" thickBot="1" x14ac:dyDescent="0.3"/>
    <row r="70" spans="2:13" ht="15.75" thickBot="1" x14ac:dyDescent="0.3">
      <c r="B70" t="s">
        <v>53</v>
      </c>
      <c r="C70" s="33" t="s">
        <v>54</v>
      </c>
      <c r="D70" s="34"/>
      <c r="E70" s="44">
        <v>10450000</v>
      </c>
      <c r="F70" s="34" t="s">
        <v>55</v>
      </c>
      <c r="G70" s="44">
        <v>10000000</v>
      </c>
      <c r="H70" s="34" t="s">
        <v>56</v>
      </c>
      <c r="I70" s="45">
        <f>+E70-G70</f>
        <v>450000</v>
      </c>
    </row>
    <row r="72" spans="2:13" ht="15.75" thickBot="1" x14ac:dyDescent="0.3"/>
    <row r="73" spans="2:13" ht="15.75" thickBot="1" x14ac:dyDescent="0.3">
      <c r="C73" s="35" t="s">
        <v>0</v>
      </c>
      <c r="D73" s="36" t="s">
        <v>29</v>
      </c>
      <c r="F73" t="s">
        <v>58</v>
      </c>
    </row>
    <row r="74" spans="2:13" x14ac:dyDescent="0.25">
      <c r="C74">
        <v>0</v>
      </c>
      <c r="D74" s="1">
        <v>-10000000</v>
      </c>
    </row>
    <row r="75" spans="2:13" x14ac:dyDescent="0.25">
      <c r="C75">
        <v>1</v>
      </c>
      <c r="D75">
        <v>0</v>
      </c>
      <c r="F75" t="s">
        <v>59</v>
      </c>
      <c r="G75" t="s">
        <v>63</v>
      </c>
      <c r="K75" s="30">
        <f>+D80</f>
        <v>0.15272463965971284</v>
      </c>
      <c r="L75" s="32" t="s">
        <v>60</v>
      </c>
      <c r="M75" t="s">
        <v>61</v>
      </c>
    </row>
    <row r="76" spans="2:13" x14ac:dyDescent="0.25">
      <c r="C76">
        <v>2</v>
      </c>
      <c r="D76" s="1">
        <v>2000000</v>
      </c>
      <c r="F76" t="s">
        <v>62</v>
      </c>
    </row>
    <row r="77" spans="2:13" x14ac:dyDescent="0.25">
      <c r="C77">
        <v>3</v>
      </c>
      <c r="D77" s="1">
        <v>3000000</v>
      </c>
    </row>
    <row r="78" spans="2:13" x14ac:dyDescent="0.25">
      <c r="C78">
        <v>4</v>
      </c>
      <c r="D78" s="1">
        <v>3500000</v>
      </c>
    </row>
    <row r="79" spans="2:13" ht="15.75" thickBot="1" x14ac:dyDescent="0.3">
      <c r="C79">
        <v>5</v>
      </c>
      <c r="D79" s="1">
        <f>4000000+D44</f>
        <v>9268694.3860799987</v>
      </c>
    </row>
    <row r="80" spans="2:13" ht="15.75" thickBot="1" x14ac:dyDescent="0.3">
      <c r="C80" s="36" t="s">
        <v>57</v>
      </c>
      <c r="D80" s="43">
        <f>+IRR(D74:D79)</f>
        <v>0.15272463965971284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6:N81"/>
  <sheetViews>
    <sheetView topLeftCell="A29" workbookViewId="0">
      <selection activeCell="E38" sqref="E38"/>
    </sheetView>
  </sheetViews>
  <sheetFormatPr baseColWidth="10" defaultRowHeight="15" x14ac:dyDescent="0.25"/>
  <cols>
    <col min="4" max="4" width="14.28515625" customWidth="1"/>
    <col min="5" max="5" width="21.85546875" customWidth="1"/>
    <col min="6" max="6" width="18.140625" customWidth="1"/>
    <col min="7" max="7" width="15.7109375" customWidth="1"/>
    <col min="8" max="8" width="15.85546875" customWidth="1"/>
    <col min="10" max="10" width="15.42578125" customWidth="1"/>
  </cols>
  <sheetData>
    <row r="26" spans="4:7" ht="15.75" thickBot="1" x14ac:dyDescent="0.3"/>
    <row r="27" spans="4:7" ht="15.75" thickBot="1" x14ac:dyDescent="0.3">
      <c r="D27" s="35" t="s">
        <v>0</v>
      </c>
      <c r="E27" s="36" t="s">
        <v>29</v>
      </c>
      <c r="F27" s="37"/>
      <c r="G27" s="38"/>
    </row>
    <row r="28" spans="4:7" x14ac:dyDescent="0.25">
      <c r="D28">
        <v>0</v>
      </c>
      <c r="E28" s="1">
        <v>-10450000</v>
      </c>
      <c r="F28" s="32"/>
      <c r="G28" s="32"/>
    </row>
    <row r="29" spans="4:7" x14ac:dyDescent="0.25">
      <c r="D29">
        <v>1</v>
      </c>
      <c r="E29">
        <v>0</v>
      </c>
      <c r="F29" s="32"/>
      <c r="G29" s="32"/>
    </row>
    <row r="30" spans="4:7" x14ac:dyDescent="0.25">
      <c r="D30">
        <v>2</v>
      </c>
      <c r="E30" s="1">
        <v>2000000</v>
      </c>
      <c r="F30" s="32"/>
      <c r="G30" s="32"/>
    </row>
    <row r="31" spans="4:7" x14ac:dyDescent="0.25">
      <c r="D31">
        <v>3</v>
      </c>
      <c r="E31" s="1">
        <v>3000000</v>
      </c>
      <c r="F31" s="32"/>
      <c r="G31" s="32"/>
    </row>
    <row r="32" spans="4:7" x14ac:dyDescent="0.25">
      <c r="D32">
        <v>4</v>
      </c>
      <c r="E32" s="1">
        <v>3500000</v>
      </c>
      <c r="F32" s="32"/>
      <c r="G32" s="32"/>
    </row>
    <row r="33" spans="3:7" x14ac:dyDescent="0.25">
      <c r="D33">
        <v>5</v>
      </c>
      <c r="E33" s="1">
        <v>4000000</v>
      </c>
      <c r="F33" s="32" t="s">
        <v>30</v>
      </c>
      <c r="G33" s="32" t="s">
        <v>31</v>
      </c>
    </row>
    <row r="37" spans="3:7" x14ac:dyDescent="0.25">
      <c r="C37" t="s">
        <v>37</v>
      </c>
      <c r="D37" s="1">
        <v>10450000</v>
      </c>
      <c r="E37" t="s">
        <v>67</v>
      </c>
    </row>
    <row r="39" spans="3:7" x14ac:dyDescent="0.25">
      <c r="D39" t="s">
        <v>32</v>
      </c>
      <c r="F39" s="1">
        <f>+D37*1.14^5</f>
        <v>20120582.386079997</v>
      </c>
    </row>
    <row r="41" spans="3:7" x14ac:dyDescent="0.25">
      <c r="D41" t="s">
        <v>33</v>
      </c>
      <c r="F41" s="4">
        <f>+F39</f>
        <v>20120582.386079997</v>
      </c>
      <c r="G41" t="s">
        <v>34</v>
      </c>
    </row>
    <row r="43" spans="3:7" x14ac:dyDescent="0.25">
      <c r="D43" t="s">
        <v>35</v>
      </c>
      <c r="G43" s="4">
        <f>+E30*1.14^3+E31*1.14^2+E32*1.14+E33</f>
        <v>14851887.999999998</v>
      </c>
    </row>
    <row r="44" spans="3:7" ht="15.75" thickBot="1" x14ac:dyDescent="0.3"/>
    <row r="45" spans="3:7" ht="15.75" thickBot="1" x14ac:dyDescent="0.3">
      <c r="D45" s="23" t="s">
        <v>36</v>
      </c>
      <c r="E45" s="39">
        <f>+F41-G43</f>
        <v>5268694.3860799987</v>
      </c>
    </row>
    <row r="48" spans="3:7" x14ac:dyDescent="0.25">
      <c r="C48" t="s">
        <v>38</v>
      </c>
      <c r="D48" t="s">
        <v>39</v>
      </c>
    </row>
    <row r="49" spans="4:8" x14ac:dyDescent="0.25">
      <c r="D49" t="s">
        <v>64</v>
      </c>
    </row>
    <row r="50" spans="4:8" x14ac:dyDescent="0.25">
      <c r="D50" t="s">
        <v>65</v>
      </c>
      <c r="F50" s="1">
        <f>10450000/1.14^(10/12)</f>
        <v>9369050.524996167</v>
      </c>
    </row>
    <row r="58" spans="4:8" x14ac:dyDescent="0.25">
      <c r="E58" s="1"/>
    </row>
    <row r="59" spans="4:8" x14ac:dyDescent="0.25">
      <c r="D59" t="s">
        <v>43</v>
      </c>
      <c r="E59" s="4">
        <f>+F50</f>
        <v>9369050.524996167</v>
      </c>
    </row>
    <row r="61" spans="4:8" x14ac:dyDescent="0.25">
      <c r="D61" t="s">
        <v>44</v>
      </c>
      <c r="G61" t="s">
        <v>47</v>
      </c>
      <c r="H61" s="1">
        <f>+(E59*(0.14-0.25))/(1-(1.25/1.14)^4)</f>
        <v>2313301.7251933822</v>
      </c>
    </row>
    <row r="62" spans="4:8" x14ac:dyDescent="0.25">
      <c r="D62" t="s">
        <v>45</v>
      </c>
      <c r="G62" t="s">
        <v>48</v>
      </c>
      <c r="H62" s="4">
        <f>1.25*H61</f>
        <v>2891627.1564917276</v>
      </c>
    </row>
    <row r="63" spans="4:8" x14ac:dyDescent="0.25">
      <c r="D63" t="s">
        <v>46</v>
      </c>
      <c r="G63" t="s">
        <v>49</v>
      </c>
      <c r="H63" s="4">
        <f t="shared" ref="H63:H64" si="0">1.25*H62</f>
        <v>3614533.9456146592</v>
      </c>
    </row>
    <row r="64" spans="4:8" x14ac:dyDescent="0.25">
      <c r="G64" t="s">
        <v>50</v>
      </c>
      <c r="H64" s="4">
        <f t="shared" si="0"/>
        <v>4518167.4320183238</v>
      </c>
    </row>
    <row r="65" spans="3:14" ht="15.75" thickBot="1" x14ac:dyDescent="0.3"/>
    <row r="66" spans="3:14" x14ac:dyDescent="0.25">
      <c r="G66" s="40" t="s">
        <v>51</v>
      </c>
      <c r="H66" s="41"/>
    </row>
    <row r="67" spans="3:14" ht="15.75" thickBot="1" x14ac:dyDescent="0.3">
      <c r="G67" s="11" t="s">
        <v>52</v>
      </c>
      <c r="H67" s="42">
        <f>+NPV(0.14,H61:H64)</f>
        <v>9369050.5249961521</v>
      </c>
    </row>
    <row r="70" spans="3:14" ht="15.75" thickBot="1" x14ac:dyDescent="0.3"/>
    <row r="71" spans="3:14" ht="15.75" thickBot="1" x14ac:dyDescent="0.3">
      <c r="C71" t="s">
        <v>53</v>
      </c>
      <c r="D71" s="33" t="s">
        <v>54</v>
      </c>
      <c r="E71" s="34"/>
      <c r="F71" s="44">
        <v>10450000</v>
      </c>
      <c r="G71" s="34" t="s">
        <v>55</v>
      </c>
      <c r="H71" s="44">
        <v>10000000</v>
      </c>
      <c r="I71" s="34" t="s">
        <v>56</v>
      </c>
      <c r="J71" s="45">
        <f>+F71-H71</f>
        <v>450000</v>
      </c>
    </row>
    <row r="73" spans="3:14" ht="15.75" thickBot="1" x14ac:dyDescent="0.3"/>
    <row r="74" spans="3:14" ht="15.75" thickBot="1" x14ac:dyDescent="0.3">
      <c r="D74" s="35" t="s">
        <v>0</v>
      </c>
      <c r="E74" s="36" t="s">
        <v>29</v>
      </c>
      <c r="G74" t="s">
        <v>58</v>
      </c>
    </row>
    <row r="75" spans="3:14" x14ac:dyDescent="0.25">
      <c r="D75">
        <v>0</v>
      </c>
      <c r="E75" s="1">
        <v>-10000000</v>
      </c>
    </row>
    <row r="76" spans="3:14" x14ac:dyDescent="0.25">
      <c r="D76">
        <v>1</v>
      </c>
      <c r="E76">
        <v>0</v>
      </c>
      <c r="G76" t="s">
        <v>59</v>
      </c>
      <c r="H76" t="s">
        <v>66</v>
      </c>
      <c r="L76" s="30">
        <f>+E81</f>
        <v>0.15272463965971284</v>
      </c>
      <c r="M76" s="32" t="s">
        <v>60</v>
      </c>
      <c r="N76" t="s">
        <v>61</v>
      </c>
    </row>
    <row r="77" spans="3:14" x14ac:dyDescent="0.25">
      <c r="D77">
        <v>2</v>
      </c>
      <c r="E77" s="1">
        <v>2000000</v>
      </c>
      <c r="G77" t="s">
        <v>62</v>
      </c>
    </row>
    <row r="78" spans="3:14" x14ac:dyDescent="0.25">
      <c r="D78">
        <v>3</v>
      </c>
      <c r="E78" s="1">
        <v>3000000</v>
      </c>
    </row>
    <row r="79" spans="3:14" x14ac:dyDescent="0.25">
      <c r="D79">
        <v>4</v>
      </c>
      <c r="E79" s="1">
        <v>3500000</v>
      </c>
    </row>
    <row r="80" spans="3:14" ht="15.75" thickBot="1" x14ac:dyDescent="0.3">
      <c r="D80">
        <v>5</v>
      </c>
      <c r="E80" s="1">
        <f>4000000+E45</f>
        <v>9268694.3860799987</v>
      </c>
    </row>
    <row r="81" spans="4:5" ht="15.75" thickBot="1" x14ac:dyDescent="0.3">
      <c r="D81" s="36" t="s">
        <v>57</v>
      </c>
      <c r="E81" s="43">
        <f>+IRR(E75:E80)</f>
        <v>0.15272463965971284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N28" sqref="N28"/>
    </sheetView>
  </sheetViews>
  <sheetFormatPr baseColWidth="10" defaultRowHeight="15" x14ac:dyDescent="0.25"/>
  <cols>
    <col min="2" max="2" width="14.5703125" bestFit="1" customWidth="1"/>
    <col min="4" max="4" width="16" customWidth="1"/>
    <col min="6" max="6" width="15.42578125" customWidth="1"/>
    <col min="8" max="8" width="22.28515625" customWidth="1"/>
    <col min="10" max="10" width="16.8554687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Hectáreas</vt:lpstr>
      <vt:lpstr>Tasa variable 1</vt:lpstr>
      <vt:lpstr>Tasa variable 2</vt:lpstr>
      <vt:lpstr>Tasa variable 3</vt:lpstr>
      <vt:lpstr>Tasa variable 4</vt:lpstr>
      <vt:lpstr>Tasa variable 5</vt:lpstr>
      <vt:lpstr>Edificios 1</vt:lpstr>
      <vt:lpstr>Edificios 2</vt:lpstr>
      <vt:lpstr>Ecuaciones 1</vt:lpstr>
      <vt:lpstr>Ecuaciones 2</vt:lpstr>
    </vt:vector>
  </TitlesOfParts>
  <Company>Univ.de San Andrés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Univ.de San Andrés</dc:creator>
  <cp:lastModifiedBy>Fernandez Molero, Diego</cp:lastModifiedBy>
  <dcterms:created xsi:type="dcterms:W3CDTF">2022-09-20T13:16:32Z</dcterms:created>
  <dcterms:modified xsi:type="dcterms:W3CDTF">2022-09-29T19:02:02Z</dcterms:modified>
</cp:coreProperties>
</file>