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molero\Documents\"/>
    </mc:Choice>
  </mc:AlternateContent>
  <bookViews>
    <workbookView xWindow="0" yWindow="0" windowWidth="20490" windowHeight="7620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8" l="1"/>
  <c r="E54" i="8"/>
  <c r="E52" i="8"/>
  <c r="E51" i="8"/>
  <c r="D41" i="8"/>
  <c r="D36" i="8"/>
  <c r="C29" i="8"/>
  <c r="I21" i="8"/>
  <c r="F19" i="8"/>
  <c r="G17" i="8"/>
  <c r="F11" i="8"/>
  <c r="F12" i="8"/>
  <c r="F13" i="8"/>
  <c r="F10" i="8"/>
  <c r="C6" i="8"/>
  <c r="F10" i="9"/>
  <c r="F18" i="7" l="1"/>
  <c r="C14" i="7"/>
  <c r="D11" i="7"/>
  <c r="C8" i="7"/>
  <c r="H31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4" i="6"/>
  <c r="D31" i="6"/>
  <c r="D52" i="6"/>
  <c r="D53" i="6" s="1"/>
  <c r="D54" i="6" s="1"/>
  <c r="D55" i="6" s="1"/>
  <c r="D56" i="6" s="1"/>
  <c r="D57" i="6" s="1"/>
  <c r="D51" i="6"/>
  <c r="D50" i="6"/>
  <c r="D44" i="6"/>
  <c r="D45" i="6"/>
  <c r="D46" i="6" s="1"/>
  <c r="D47" i="6" s="1"/>
  <c r="D48" i="6" s="1"/>
  <c r="D49" i="6" s="1"/>
  <c r="D43" i="6"/>
  <c r="D42" i="6"/>
  <c r="D36" i="6"/>
  <c r="D37" i="6" s="1"/>
  <c r="D38" i="6" s="1"/>
  <c r="D39" i="6" s="1"/>
  <c r="D40" i="6" s="1"/>
  <c r="D41" i="6" s="1"/>
  <c r="D35" i="6"/>
  <c r="D34" i="6"/>
  <c r="J12" i="6"/>
  <c r="J8" i="6"/>
  <c r="J4" i="6"/>
  <c r="H4" i="6"/>
  <c r="H28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1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5" i="6"/>
  <c r="F4" i="5"/>
  <c r="I6" i="5" s="1"/>
  <c r="C12" i="5"/>
  <c r="D17" i="5" l="1"/>
  <c r="D3" i="4" l="1"/>
  <c r="D5" i="4" s="1"/>
  <c r="D7" i="4" s="1"/>
  <c r="G10" i="4" s="1"/>
  <c r="I19" i="3"/>
  <c r="F15" i="3"/>
  <c r="I13" i="3"/>
  <c r="F9" i="3"/>
  <c r="F2" i="3"/>
  <c r="C31" i="2"/>
  <c r="C29" i="2"/>
  <c r="D27" i="2"/>
  <c r="C25" i="2"/>
  <c r="C22" i="2"/>
  <c r="C20" i="2"/>
  <c r="C16" i="2"/>
  <c r="C14" i="2"/>
  <c r="C11" i="2"/>
  <c r="C9" i="2"/>
  <c r="D7" i="2"/>
  <c r="C4" i="2"/>
  <c r="C2" i="2"/>
  <c r="C9" i="1"/>
  <c r="C3" i="1"/>
  <c r="C5" i="1" s="1"/>
  <c r="C6" i="1" s="1"/>
  <c r="C8" i="1" l="1"/>
</calcChain>
</file>

<file path=xl/sharedStrings.xml><?xml version="1.0" encoding="utf-8"?>
<sst xmlns="http://schemas.openxmlformats.org/spreadsheetml/2006/main" count="187" uniqueCount="113">
  <si>
    <t>1)</t>
  </si>
  <si>
    <t>VA o =</t>
  </si>
  <si>
    <t>TEM =</t>
  </si>
  <si>
    <t>0,42/12</t>
  </si>
  <si>
    <t>VA 2=</t>
  </si>
  <si>
    <t>1.1)</t>
  </si>
  <si>
    <t>Cuota =</t>
  </si>
  <si>
    <t>1.2)</t>
  </si>
  <si>
    <t>VF =</t>
  </si>
  <si>
    <t>Hacer click sobre el resultado para ver la fórmula empleada</t>
  </si>
  <si>
    <t>2.1)</t>
  </si>
  <si>
    <t>Monto =</t>
  </si>
  <si>
    <t>Intereses =</t>
  </si>
  <si>
    <t>2.2)</t>
  </si>
  <si>
    <t>TEA aparente =</t>
  </si>
  <si>
    <t>2.3)</t>
  </si>
  <si>
    <t>2.4)</t>
  </si>
  <si>
    <t>2.5)</t>
  </si>
  <si>
    <t>TEA real =</t>
  </si>
  <si>
    <t>Monto en pesos generado por una inversión en pesos =</t>
  </si>
  <si>
    <t>(supongo un capital de un peso)</t>
  </si>
  <si>
    <t>N es 90/365</t>
  </si>
  <si>
    <t>TEM en pesos =</t>
  </si>
  <si>
    <t>mN =</t>
  </si>
  <si>
    <t>3 =(365/30)(90/365)</t>
  </si>
  <si>
    <t>Rublos que puedo comprar hoy con un peso =</t>
  </si>
  <si>
    <t>Monto en rublos generado por una inversión en rublos =</t>
  </si>
  <si>
    <t>1,6667 e^(TNA 90/365)</t>
  </si>
  <si>
    <t>Monto en pesos generado por una inversión en rublos =</t>
  </si>
  <si>
    <t>0,65 x 1,6667 e ^(TNA 90/365)</t>
  </si>
  <si>
    <t xml:space="preserve">Igualo los montos  en pesos </t>
  </si>
  <si>
    <t>y despejo la TNA en rublos:</t>
  </si>
  <si>
    <t>=</t>
  </si>
  <si>
    <t>TNA =</t>
  </si>
  <si>
    <t>(suponiendo m tendiendo a infinito para las inversiones en rublos)</t>
  </si>
  <si>
    <t>TEA en rublos calculada según la TNA de equilibrio =</t>
  </si>
  <si>
    <t>Dado que la verdadera TEA en rublos (18%) supera a la que me dejaría indiferente entre</t>
  </si>
  <si>
    <t>invertir en rublos o en pesos, no estoy indiferente. Es mejor invertir en rublos</t>
  </si>
  <si>
    <t>La que me dejaría indiferente es la que llamamos de equilibrio, y es -3,54%</t>
  </si>
  <si>
    <t>3.1)</t>
  </si>
  <si>
    <t>3.2)</t>
  </si>
  <si>
    <t>4.1)</t>
  </si>
  <si>
    <t>4.2)</t>
  </si>
  <si>
    <t>4.3)</t>
  </si>
  <si>
    <t>Ahorro mensual =</t>
  </si>
  <si>
    <t>VF de los ahorros en el momento 23 (el de la última cuota)</t>
  </si>
  <si>
    <t>suponiendo que los ahorros se invierten al 3% mensual =</t>
  </si>
  <si>
    <t>TEM que nos reconoce el concesionario =</t>
  </si>
  <si>
    <t>0,12/12</t>
  </si>
  <si>
    <t>(suponiendo m =12)</t>
  </si>
  <si>
    <t>VF de las pagos previos a recibir el vehículo =</t>
  </si>
  <si>
    <t>Ese VF está al momento del último depóisto. Ahora lo debo llevar dos meses al futuro =</t>
  </si>
  <si>
    <t>Ahora calculo el capital adeudado en la fecha de recepción del vehículo, el que está implícito en las cuotas</t>
  </si>
  <si>
    <t>de 850 dólares a pagar</t>
  </si>
  <si>
    <t>VA =</t>
  </si>
  <si>
    <t>Finalmente, sumando el valor de los pagos previos al momento de recibir el vehículo más el valor de las cuotas o pagos</t>
  </si>
  <si>
    <t>posteriores a dicho momento, obtengo el precio del vehículo (los valores deben estar en la fecha de recepción del vehículo)</t>
  </si>
  <si>
    <t>Precio =</t>
  </si>
  <si>
    <t>Mes</t>
  </si>
  <si>
    <t>Cuota</t>
  </si>
  <si>
    <t>C</t>
  </si>
  <si>
    <t>+</t>
  </si>
  <si>
    <t>Factor de descuento</t>
  </si>
  <si>
    <t>suponiendo m = 12, TEM = 3%</t>
  </si>
  <si>
    <t>VA de  los pagos de 10.000 y de 20.000</t>
  </si>
  <si>
    <t>Si</t>
  </si>
  <si>
    <t>es el capital contenido</t>
  </si>
  <si>
    <t>en los pagos de 10.000 y de 20.000 pesos, entonces, el capital</t>
  </si>
  <si>
    <t>o VA de los pagos de C pesos es, por diferencia:</t>
  </si>
  <si>
    <t>Por lo tanto, cada pago de C pesos es:</t>
  </si>
  <si>
    <t>b)</t>
  </si>
  <si>
    <t>a)</t>
  </si>
  <si>
    <t>Factor de capitalización</t>
  </si>
  <si>
    <t>Monto reunido con cada cuota</t>
  </si>
  <si>
    <t>Monto reunido con todas las cuotas  =</t>
  </si>
  <si>
    <t>Tasas de Interés equivalentes son tasas  que generan el mismo Monto, dados un Capital y un número de años, N</t>
  </si>
  <si>
    <t xml:space="preserve">Supongo un Capital de </t>
  </si>
  <si>
    <t>pesos</t>
  </si>
  <si>
    <t>Calculo el Monto que tendría dentro de 180 días invirtiendo en pesos:</t>
  </si>
  <si>
    <t>Calculo el Capital que podría invertir en dólares:</t>
  </si>
  <si>
    <t>Capital en dólares =</t>
  </si>
  <si>
    <t>Ahora calculo el Monto que tendría dentro de 180 días invirtiendo en dólares:</t>
  </si>
  <si>
    <t>Finalmente, convierto ese Monto en dólares a Monto en pesos usando el tipo de cambio</t>
  </si>
  <si>
    <t>del mercado de Futuros:</t>
  </si>
  <si>
    <t>Monto en pesos habiendo invertido en dólares =</t>
  </si>
  <si>
    <t>Dado que no llego al mismo Monto, las tasas dadas no son equivalentes.</t>
  </si>
  <si>
    <t>Convendría la inversión en pesos</t>
  </si>
  <si>
    <t>i -0,03</t>
  </si>
  <si>
    <t xml:space="preserve"> i </t>
  </si>
  <si>
    <t>i</t>
  </si>
  <si>
    <t>(Esa tasa es una TEA dado que los flujos de fondos son anuales)</t>
  </si>
  <si>
    <t>Calculo la TEM que el vendedor paga al comprador por los depósitos de $100.000 hechos antes de recibir el equipo</t>
  </si>
  <si>
    <t xml:space="preserve">TEM = </t>
  </si>
  <si>
    <t>((1+0,1269)^(1/12))-1</t>
  </si>
  <si>
    <t>Flujos</t>
  </si>
  <si>
    <t>Entrega del equipo</t>
  </si>
  <si>
    <t>Valor de los pagos de 100.000 en el mes 6</t>
  </si>
  <si>
    <t>El monto que el vendedor reconoce como abonado en el momento 6 es:</t>
  </si>
  <si>
    <t>(la suma de los valores de los pagos de $100.000 en el momento 6)</t>
  </si>
  <si>
    <t>Entonces, la deuda a cancelar vale</t>
  </si>
  <si>
    <t>en el momento 6</t>
  </si>
  <si>
    <t>El valor acttual (medido en el momento 6) de la renta de cuotas variables con que se cancelará la deuda es, por lo tanto:</t>
  </si>
  <si>
    <t>A partir de la fórmula de valor actual de una renta de cuotas variables en progresión geométrica, despejo la primera de las cuotas, C1:</t>
  </si>
  <si>
    <t>C1</t>
  </si>
  <si>
    <t>TEM -(-0,05)</t>
  </si>
  <si>
    <t>Debemos calcular la TEM a partir de la TEA</t>
  </si>
  <si>
    <t xml:space="preserve">((1+0,22)^(1/12))-1 </t>
  </si>
  <si>
    <t>Despejando,</t>
  </si>
  <si>
    <t>C1 =</t>
  </si>
  <si>
    <t>1-((1+(-0,05)/(1+TEM))^24</t>
  </si>
  <si>
    <t>Pago varible</t>
  </si>
  <si>
    <t>Ahora, a partir del primero de los pagos variables, calculo el cuarto</t>
  </si>
  <si>
    <t>El cuarto pago de los decrecientes sería de $77.257,44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</si>
</sst>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000"/>
    <numFmt numFmtId="167" formatCode="_-&quot;$&quot;\ * #,##0.0000_-;\-&quot;$&quot;\ * #,##0.00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1" applyFont="1"/>
    <xf numFmtId="16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64" fontId="2" fillId="2" borderId="2" xfId="0" applyNumberFormat="1" applyFont="1" applyFill="1" applyBorder="1"/>
    <xf numFmtId="0" fontId="3" fillId="0" borderId="0" xfId="0" applyFont="1"/>
    <xf numFmtId="165" fontId="0" fillId="0" borderId="0" xfId="0" applyNumberFormat="1"/>
    <xf numFmtId="165" fontId="2" fillId="2" borderId="2" xfId="0" applyNumberFormat="1" applyFont="1" applyFill="1" applyBorder="1"/>
    <xf numFmtId="165" fontId="2" fillId="2" borderId="2" xfId="1" applyFont="1" applyFill="1" applyBorder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4" fontId="2" fillId="2" borderId="8" xfId="0" applyNumberFormat="1" applyFont="1" applyFill="1" applyBorder="1"/>
    <xf numFmtId="0" fontId="2" fillId="2" borderId="9" xfId="0" applyFont="1" applyFill="1" applyBorder="1"/>
    <xf numFmtId="0" fontId="0" fillId="0" borderId="10" xfId="0" applyBorder="1"/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0" xfId="1" applyFont="1" applyBorder="1"/>
    <xf numFmtId="0" fontId="2" fillId="2" borderId="0" xfId="0" applyFont="1" applyFill="1" applyBorder="1" applyAlignment="1">
      <alignment horizontal="center"/>
    </xf>
    <xf numFmtId="0" fontId="0" fillId="0" borderId="13" xfId="0" applyBorder="1"/>
    <xf numFmtId="0" fontId="2" fillId="2" borderId="14" xfId="0" applyFont="1" applyFill="1" applyBorder="1" applyAlignment="1">
      <alignment horizontal="center"/>
    </xf>
    <xf numFmtId="165" fontId="0" fillId="0" borderId="13" xfId="1" applyFont="1" applyBorder="1"/>
    <xf numFmtId="165" fontId="0" fillId="0" borderId="13" xfId="0" applyNumberFormat="1" applyBorder="1"/>
    <xf numFmtId="0" fontId="0" fillId="0" borderId="15" xfId="0" applyBorder="1"/>
    <xf numFmtId="0" fontId="3" fillId="3" borderId="0" xfId="0" applyFont="1" applyFill="1"/>
    <xf numFmtId="0" fontId="2" fillId="2" borderId="11" xfId="0" applyFont="1" applyFill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3" fillId="4" borderId="0" xfId="0" applyFont="1" applyFill="1"/>
    <xf numFmtId="164" fontId="0" fillId="0" borderId="13" xfId="0" applyNumberFormat="1" applyBorder="1"/>
    <xf numFmtId="0" fontId="0" fillId="0" borderId="12" xfId="0" applyBorder="1"/>
    <xf numFmtId="164" fontId="0" fillId="0" borderId="14" xfId="0" applyNumberFormat="1" applyBorder="1" applyAlignment="1">
      <alignment horizontal="center"/>
    </xf>
    <xf numFmtId="0" fontId="0" fillId="0" borderId="11" xfId="0" applyBorder="1"/>
    <xf numFmtId="164" fontId="0" fillId="0" borderId="14" xfId="0" applyNumberFormat="1" applyBorder="1"/>
    <xf numFmtId="0" fontId="2" fillId="2" borderId="1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4</xdr:col>
      <xdr:colOff>580707</xdr:colOff>
      <xdr:row>27</xdr:row>
      <xdr:rowOff>47548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572000"/>
          <a:ext cx="2542857" cy="619048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27</xdr:row>
      <xdr:rowOff>57150</xdr:rowOff>
    </xdr:from>
    <xdr:to>
      <xdr:col>5</xdr:col>
      <xdr:colOff>1581150</xdr:colOff>
      <xdr:row>30</xdr:row>
      <xdr:rowOff>76200</xdr:rowOff>
    </xdr:to>
    <xdr:sp macro="" textlink="">
      <xdr:nvSpPr>
        <xdr:cNvPr id="3" name="Corchetes 2"/>
        <xdr:cNvSpPr/>
      </xdr:nvSpPr>
      <xdr:spPr>
        <a:xfrm>
          <a:off x="4343400" y="5200650"/>
          <a:ext cx="1552575" cy="5905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12" sqref="B12"/>
    </sheetView>
  </sheetViews>
  <sheetFormatPr baseColWidth="10" defaultRowHeight="15" x14ac:dyDescent="0.25"/>
  <cols>
    <col min="3" max="3" width="23.28515625" customWidth="1"/>
  </cols>
  <sheetData>
    <row r="2" spans="1:5" x14ac:dyDescent="0.25">
      <c r="B2" t="s">
        <v>0</v>
      </c>
    </row>
    <row r="3" spans="1:5" x14ac:dyDescent="0.25">
      <c r="B3" t="s">
        <v>1</v>
      </c>
      <c r="C3" s="1">
        <f>50000*39-30000</f>
        <v>1920000</v>
      </c>
    </row>
    <row r="4" spans="1:5" x14ac:dyDescent="0.25">
      <c r="B4" t="s">
        <v>2</v>
      </c>
      <c r="C4" t="s">
        <v>3</v>
      </c>
    </row>
    <row r="5" spans="1:5" ht="15.75" thickBot="1" x14ac:dyDescent="0.3">
      <c r="B5" t="s">
        <v>4</v>
      </c>
      <c r="C5" s="1">
        <f>+C3*(1+0.42/12)^2</f>
        <v>2056751.9999999998</v>
      </c>
    </row>
    <row r="6" spans="1:5" ht="15.75" thickBot="1" x14ac:dyDescent="0.3">
      <c r="A6" t="s">
        <v>5</v>
      </c>
      <c r="B6" s="4" t="s">
        <v>6</v>
      </c>
      <c r="C6" s="5">
        <f>PMT(0.42/12,12,-C5)</f>
        <v>212840.81961611207</v>
      </c>
    </row>
    <row r="7" spans="1:5" ht="15.75" thickBot="1" x14ac:dyDescent="0.3"/>
    <row r="8" spans="1:5" ht="15.75" thickBot="1" x14ac:dyDescent="0.3">
      <c r="A8" t="s">
        <v>7</v>
      </c>
      <c r="B8" s="4" t="s">
        <v>8</v>
      </c>
      <c r="C8" s="5">
        <f>FV(C9,12,-C6)</f>
        <v>2871584.5687635005</v>
      </c>
    </row>
    <row r="9" spans="1:5" x14ac:dyDescent="0.25">
      <c r="B9" t="s">
        <v>2</v>
      </c>
      <c r="C9">
        <f>+EXP(0.25/12)-1</f>
        <v>2.1051862145107458E-2</v>
      </c>
    </row>
    <row r="12" spans="1:5" x14ac:dyDescent="0.25">
      <c r="B12" s="6" t="s">
        <v>9</v>
      </c>
      <c r="C12" s="6"/>
      <c r="D12" s="6"/>
      <c r="E12" s="6"/>
    </row>
    <row r="13" spans="1:5" x14ac:dyDescent="0.25">
      <c r="B13" s="6"/>
      <c r="C13" s="6"/>
      <c r="D13" s="6"/>
      <c r="E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1" sqref="E1"/>
    </sheetView>
  </sheetViews>
  <sheetFormatPr baseColWidth="10" defaultRowHeight="15" x14ac:dyDescent="0.25"/>
  <cols>
    <col min="3" max="3" width="13" bestFit="1" customWidth="1"/>
  </cols>
  <sheetData>
    <row r="1" spans="1:5" x14ac:dyDescent="0.25">
      <c r="E1" s="6" t="s">
        <v>9</v>
      </c>
    </row>
    <row r="2" spans="1:5" x14ac:dyDescent="0.25">
      <c r="A2" t="s">
        <v>10</v>
      </c>
      <c r="B2" t="s">
        <v>11</v>
      </c>
      <c r="C2" s="1">
        <f>100000*(1+0.18)^(150/365)</f>
        <v>107038.63223655079</v>
      </c>
    </row>
    <row r="3" spans="1:5" ht="15.75" thickBot="1" x14ac:dyDescent="0.3"/>
    <row r="4" spans="1:5" ht="15.75" thickBot="1" x14ac:dyDescent="0.3">
      <c r="B4" s="4" t="s">
        <v>12</v>
      </c>
      <c r="C4" s="8">
        <f>+C2-100000</f>
        <v>7038.6322365507949</v>
      </c>
    </row>
    <row r="7" spans="1:5" x14ac:dyDescent="0.25">
      <c r="A7" t="s">
        <v>13</v>
      </c>
      <c r="B7" t="s">
        <v>14</v>
      </c>
      <c r="D7">
        <f>1.18*1.4-1</f>
        <v>0.65199999999999991</v>
      </c>
    </row>
    <row r="9" spans="1:5" x14ac:dyDescent="0.25">
      <c r="B9" t="s">
        <v>11</v>
      </c>
      <c r="C9" s="1">
        <f>100000*(1+D7)^(150/365)</f>
        <v>122911.68383396867</v>
      </c>
    </row>
    <row r="10" spans="1:5" ht="15.75" thickBot="1" x14ac:dyDescent="0.3"/>
    <row r="11" spans="1:5" ht="15.75" thickBot="1" x14ac:dyDescent="0.3">
      <c r="B11" s="4" t="s">
        <v>12</v>
      </c>
      <c r="C11" s="8">
        <f>C9-100000</f>
        <v>22911.683833968666</v>
      </c>
    </row>
    <row r="14" spans="1:5" x14ac:dyDescent="0.25">
      <c r="A14" t="s">
        <v>15</v>
      </c>
      <c r="B14" t="s">
        <v>11</v>
      </c>
      <c r="C14" s="1">
        <f>100000*EXP(0.18*150/365)</f>
        <v>107677.7304344032</v>
      </c>
    </row>
    <row r="15" spans="1:5" ht="15.75" thickBot="1" x14ac:dyDescent="0.3"/>
    <row r="16" spans="1:5" ht="15.75" thickBot="1" x14ac:dyDescent="0.3">
      <c r="B16" s="4" t="s">
        <v>12</v>
      </c>
      <c r="C16" s="9">
        <f>+C14-100000</f>
        <v>7677.7304344032018</v>
      </c>
    </row>
    <row r="20" spans="1:4" x14ac:dyDescent="0.25">
      <c r="A20" t="s">
        <v>16</v>
      </c>
      <c r="B20" t="s">
        <v>11</v>
      </c>
      <c r="C20" s="1">
        <f>100000*(1+0.18*50/365)^3</f>
        <v>107581.15763578458</v>
      </c>
    </row>
    <row r="21" spans="1:4" ht="15.75" thickBot="1" x14ac:dyDescent="0.3"/>
    <row r="22" spans="1:4" ht="15.75" thickBot="1" x14ac:dyDescent="0.3">
      <c r="B22" s="4" t="s">
        <v>12</v>
      </c>
      <c r="C22" s="9">
        <f>+C20-100000</f>
        <v>7581.157635784577</v>
      </c>
    </row>
    <row r="25" spans="1:4" x14ac:dyDescent="0.25">
      <c r="A25" t="s">
        <v>17</v>
      </c>
      <c r="B25" t="s">
        <v>18</v>
      </c>
      <c r="C25">
        <f>+((1+0.015)^(365/30))-1</f>
        <v>0.19858870480482405</v>
      </c>
    </row>
    <row r="27" spans="1:4" x14ac:dyDescent="0.25">
      <c r="B27" t="s">
        <v>14</v>
      </c>
      <c r="D27">
        <f>+(1+C25)*(1+0.4)-1</f>
        <v>0.67802418672675357</v>
      </c>
    </row>
    <row r="29" spans="1:4" x14ac:dyDescent="0.25">
      <c r="B29" t="s">
        <v>11</v>
      </c>
      <c r="C29" s="1">
        <f>100000*(1+D27)^(150/365)</f>
        <v>123703.73959208105</v>
      </c>
    </row>
    <row r="30" spans="1:4" ht="15.75" thickBot="1" x14ac:dyDescent="0.3"/>
    <row r="31" spans="1:4" ht="15.75" thickBot="1" x14ac:dyDescent="0.3">
      <c r="B31" s="4" t="s">
        <v>12</v>
      </c>
      <c r="C31" s="8">
        <f>+C29-100000</f>
        <v>23703.739592081052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10" workbookViewId="0">
      <selection activeCell="B23" sqref="B23"/>
    </sheetView>
  </sheetViews>
  <sheetFormatPr baseColWidth="10" defaultRowHeight="15" x14ac:dyDescent="0.25"/>
  <cols>
    <col min="3" max="3" width="19.28515625" customWidth="1"/>
    <col min="5" max="5" width="22.7109375" customWidth="1"/>
  </cols>
  <sheetData>
    <row r="2" spans="2:9" x14ac:dyDescent="0.25">
      <c r="B2" t="s">
        <v>19</v>
      </c>
      <c r="F2" s="11">
        <f>+(1+0.024)^3</f>
        <v>1.0737418240000001</v>
      </c>
    </row>
    <row r="3" spans="2:9" x14ac:dyDescent="0.25">
      <c r="B3" t="s">
        <v>20</v>
      </c>
    </row>
    <row r="4" spans="2:9" x14ac:dyDescent="0.25">
      <c r="B4" t="s">
        <v>21</v>
      </c>
    </row>
    <row r="5" spans="2:9" x14ac:dyDescent="0.25">
      <c r="B5" t="s">
        <v>22</v>
      </c>
      <c r="D5">
        <v>2.4E-2</v>
      </c>
    </row>
    <row r="6" spans="2:9" x14ac:dyDescent="0.25">
      <c r="B6" t="s">
        <v>23</v>
      </c>
      <c r="D6" t="s">
        <v>24</v>
      </c>
    </row>
    <row r="9" spans="2:9" x14ac:dyDescent="0.25">
      <c r="B9" t="s">
        <v>25</v>
      </c>
      <c r="F9" s="10">
        <f>1/0.6</f>
        <v>1.6666666666666667</v>
      </c>
    </row>
    <row r="10" spans="2:9" x14ac:dyDescent="0.25">
      <c r="B10" t="s">
        <v>26</v>
      </c>
      <c r="F10" t="s">
        <v>27</v>
      </c>
    </row>
    <row r="11" spans="2:9" x14ac:dyDescent="0.25">
      <c r="B11" t="s">
        <v>28</v>
      </c>
      <c r="F11" t="s">
        <v>29</v>
      </c>
    </row>
    <row r="13" spans="2:9" x14ac:dyDescent="0.25">
      <c r="B13" t="s">
        <v>30</v>
      </c>
      <c r="D13" t="s">
        <v>31</v>
      </c>
      <c r="F13" t="s">
        <v>29</v>
      </c>
      <c r="H13" t="s">
        <v>32</v>
      </c>
      <c r="I13" s="12">
        <f>+F2</f>
        <v>1.0737418240000001</v>
      </c>
    </row>
    <row r="14" spans="2:9" ht="15.75" thickBot="1" x14ac:dyDescent="0.3"/>
    <row r="15" spans="2:9" ht="15.75" thickBot="1" x14ac:dyDescent="0.3">
      <c r="B15" t="s">
        <v>39</v>
      </c>
      <c r="E15" s="4" t="s">
        <v>33</v>
      </c>
      <c r="F15" s="13">
        <f>+LN((1.024^3)/(0.65*F9))*365/90</f>
        <v>-3.6066573943108513E-2</v>
      </c>
    </row>
    <row r="16" spans="2:9" x14ac:dyDescent="0.25">
      <c r="E16" t="s">
        <v>34</v>
      </c>
    </row>
    <row r="19" spans="2:9" x14ac:dyDescent="0.25">
      <c r="B19" t="s">
        <v>40</v>
      </c>
      <c r="E19" t="s">
        <v>35</v>
      </c>
      <c r="I19">
        <f>+EXP(F15)-1</f>
        <v>-3.5423924287256714E-2</v>
      </c>
    </row>
    <row r="21" spans="2:9" x14ac:dyDescent="0.25">
      <c r="E21" t="s">
        <v>36</v>
      </c>
    </row>
    <row r="22" spans="2:9" x14ac:dyDescent="0.25">
      <c r="E22" t="s">
        <v>37</v>
      </c>
    </row>
    <row r="23" spans="2:9" x14ac:dyDescent="0.25">
      <c r="E2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C1" sqref="C1"/>
    </sheetView>
  </sheetViews>
  <sheetFormatPr baseColWidth="10" defaultRowHeight="15" x14ac:dyDescent="0.25"/>
  <cols>
    <col min="3" max="3" width="16.42578125" customWidth="1"/>
    <col min="4" max="4" width="21.7109375" customWidth="1"/>
  </cols>
  <sheetData>
    <row r="1" spans="2:7" x14ac:dyDescent="0.25">
      <c r="C1" s="6" t="s">
        <v>9</v>
      </c>
    </row>
    <row r="2" spans="2:7" ht="15.75" thickBot="1" x14ac:dyDescent="0.3"/>
    <row r="3" spans="2:7" ht="15.75" thickBot="1" x14ac:dyDescent="0.3">
      <c r="B3" t="s">
        <v>41</v>
      </c>
      <c r="C3" s="4" t="s">
        <v>1</v>
      </c>
      <c r="D3" s="5">
        <f>PV(0.36/12,24,-100000,,1)</f>
        <v>1744360.8385676839</v>
      </c>
    </row>
    <row r="4" spans="2:7" ht="15.75" thickBot="1" x14ac:dyDescent="0.3"/>
    <row r="5" spans="2:7" ht="15.75" thickBot="1" x14ac:dyDescent="0.3">
      <c r="B5" t="s">
        <v>42</v>
      </c>
      <c r="C5" s="4" t="s">
        <v>6</v>
      </c>
      <c r="D5" s="5">
        <f>PMT(0.32/12,24,-D3,,1)</f>
        <v>96756.746023521919</v>
      </c>
    </row>
    <row r="7" spans="2:7" x14ac:dyDescent="0.25">
      <c r="B7" t="s">
        <v>43</v>
      </c>
      <c r="C7" t="s">
        <v>44</v>
      </c>
      <c r="D7" s="2">
        <f>100000-D5</f>
        <v>3243.2539764780813</v>
      </c>
    </row>
    <row r="8" spans="2:7" ht="15.75" thickBot="1" x14ac:dyDescent="0.3"/>
    <row r="9" spans="2:7" x14ac:dyDescent="0.25">
      <c r="C9" s="14" t="s">
        <v>45</v>
      </c>
      <c r="D9" s="15"/>
      <c r="E9" s="15"/>
      <c r="F9" s="15"/>
      <c r="G9" s="16"/>
    </row>
    <row r="10" spans="2:7" ht="15.75" thickBot="1" x14ac:dyDescent="0.3">
      <c r="C10" s="17" t="s">
        <v>46</v>
      </c>
      <c r="D10" s="18"/>
      <c r="E10" s="18"/>
      <c r="F10" s="18"/>
      <c r="G10" s="19">
        <f>FV(0.03,24,-D7)</f>
        <v>111653.78642202749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B17" sqref="B17:D17"/>
    </sheetView>
  </sheetViews>
  <sheetFormatPr baseColWidth="10" defaultRowHeight="15" x14ac:dyDescent="0.25"/>
  <cols>
    <col min="4" max="4" width="13.5703125" customWidth="1"/>
  </cols>
  <sheetData>
    <row r="2" spans="2:9" x14ac:dyDescent="0.25">
      <c r="B2" t="s">
        <v>47</v>
      </c>
      <c r="F2" t="s">
        <v>48</v>
      </c>
      <c r="G2" t="s">
        <v>49</v>
      </c>
    </row>
    <row r="4" spans="2:9" x14ac:dyDescent="0.25">
      <c r="B4" t="s">
        <v>50</v>
      </c>
      <c r="F4" s="2">
        <f>FV(0.01,12,-500)</f>
        <v>6341.251506598488</v>
      </c>
    </row>
    <row r="6" spans="2:9" x14ac:dyDescent="0.25">
      <c r="B6" t="s">
        <v>51</v>
      </c>
      <c r="I6" s="1">
        <f>+F4*1.01^2</f>
        <v>6468.7106618811176</v>
      </c>
    </row>
    <row r="9" spans="2:9" x14ac:dyDescent="0.25">
      <c r="B9" t="s">
        <v>52</v>
      </c>
    </row>
    <row r="10" spans="2:9" x14ac:dyDescent="0.25">
      <c r="B10" t="s">
        <v>53</v>
      </c>
    </row>
    <row r="12" spans="2:9" x14ac:dyDescent="0.25">
      <c r="B12" t="s">
        <v>54</v>
      </c>
      <c r="C12" s="2">
        <f>PV(0.02,36,-850)</f>
        <v>21665.516110029275</v>
      </c>
    </row>
    <row r="14" spans="2:9" x14ac:dyDescent="0.25">
      <c r="B14" t="s">
        <v>55</v>
      </c>
    </row>
    <row r="15" spans="2:9" x14ac:dyDescent="0.25">
      <c r="B15" t="s">
        <v>56</v>
      </c>
    </row>
    <row r="16" spans="2:9" ht="15.75" thickBot="1" x14ac:dyDescent="0.3"/>
    <row r="17" spans="2:4" ht="15.75" thickBot="1" x14ac:dyDescent="0.3">
      <c r="B17" s="4" t="s">
        <v>57</v>
      </c>
      <c r="C17" s="20"/>
      <c r="D17" s="8">
        <f>+C12+I6</f>
        <v>28134.226771910391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workbookViewId="0">
      <selection activeCell="F2" sqref="F2"/>
    </sheetView>
  </sheetViews>
  <sheetFormatPr baseColWidth="10" defaultRowHeight="15" x14ac:dyDescent="0.25"/>
  <cols>
    <col min="6" max="6" width="12" bestFit="1" customWidth="1"/>
    <col min="7" max="7" width="35.5703125" customWidth="1"/>
    <col min="8" max="8" width="46.28515625" customWidth="1"/>
    <col min="10" max="10" width="13" bestFit="1" customWidth="1"/>
  </cols>
  <sheetData>
    <row r="1" spans="2:11" x14ac:dyDescent="0.25">
      <c r="G1" s="32" t="s">
        <v>63</v>
      </c>
    </row>
    <row r="2" spans="2:11" x14ac:dyDescent="0.25">
      <c r="B2" t="s">
        <v>71</v>
      </c>
      <c r="F2" s="6" t="s">
        <v>9</v>
      </c>
    </row>
    <row r="3" spans="2:11" x14ac:dyDescent="0.25">
      <c r="C3" s="22" t="s">
        <v>58</v>
      </c>
      <c r="D3" s="23"/>
      <c r="E3" s="23" t="s">
        <v>59</v>
      </c>
      <c r="F3" s="22"/>
      <c r="G3" s="28" t="s">
        <v>62</v>
      </c>
      <c r="H3" s="28" t="s">
        <v>64</v>
      </c>
      <c r="I3" s="26"/>
    </row>
    <row r="4" spans="2:11" x14ac:dyDescent="0.25">
      <c r="C4" s="21">
        <v>0</v>
      </c>
      <c r="F4" s="21"/>
      <c r="G4" s="27"/>
      <c r="H4" s="30">
        <f>+SUM(H13:H28)</f>
        <v>142902.90028501052</v>
      </c>
      <c r="I4" t="s">
        <v>65</v>
      </c>
      <c r="J4" s="7">
        <f>+H4</f>
        <v>142902.90028501052</v>
      </c>
      <c r="K4" t="s">
        <v>66</v>
      </c>
    </row>
    <row r="5" spans="2:11" x14ac:dyDescent="0.25">
      <c r="C5" s="21">
        <v>1</v>
      </c>
      <c r="D5" s="24" t="s">
        <v>60</v>
      </c>
      <c r="F5" s="21"/>
      <c r="G5" s="27">
        <f>1/(1+0.03)^C5</f>
        <v>0.970873786407767</v>
      </c>
      <c r="H5" s="27"/>
      <c r="I5" t="s">
        <v>67</v>
      </c>
    </row>
    <row r="6" spans="2:11" x14ac:dyDescent="0.25">
      <c r="C6" s="21">
        <v>2</v>
      </c>
      <c r="D6" s="24" t="s">
        <v>60</v>
      </c>
      <c r="F6" s="21"/>
      <c r="G6" s="27">
        <f t="shared" ref="G6:G28" si="0">1/(1+0.03)^C6</f>
        <v>0.94259590913375435</v>
      </c>
      <c r="H6" s="27"/>
      <c r="I6" t="s">
        <v>68</v>
      </c>
    </row>
    <row r="7" spans="2:11" x14ac:dyDescent="0.25">
      <c r="C7" s="21">
        <v>3</v>
      </c>
      <c r="D7" s="24" t="s">
        <v>60</v>
      </c>
      <c r="F7" s="21"/>
      <c r="G7" s="27">
        <f t="shared" si="0"/>
        <v>0.91514165935315961</v>
      </c>
      <c r="H7" s="27"/>
    </row>
    <row r="8" spans="2:11" x14ac:dyDescent="0.25">
      <c r="C8" s="21">
        <v>4</v>
      </c>
      <c r="D8" s="24" t="s">
        <v>60</v>
      </c>
      <c r="F8" s="21"/>
      <c r="G8" s="27">
        <f t="shared" si="0"/>
        <v>0.888487047915689</v>
      </c>
      <c r="H8" s="27"/>
      <c r="I8" t="s">
        <v>54</v>
      </c>
      <c r="J8" s="7">
        <f>650000-H4</f>
        <v>507097.09971498948</v>
      </c>
    </row>
    <row r="9" spans="2:11" x14ac:dyDescent="0.25">
      <c r="C9" s="21">
        <v>5</v>
      </c>
      <c r="D9" s="24" t="s">
        <v>60</v>
      </c>
      <c r="F9" s="21"/>
      <c r="G9" s="27">
        <f t="shared" si="0"/>
        <v>0.86260878438416411</v>
      </c>
      <c r="H9" s="27"/>
    </row>
    <row r="10" spans="2:11" x14ac:dyDescent="0.25">
      <c r="C10" s="21">
        <v>6</v>
      </c>
      <c r="D10" s="24" t="s">
        <v>60</v>
      </c>
      <c r="F10" s="21"/>
      <c r="G10" s="27">
        <f t="shared" si="0"/>
        <v>0.83748425668365445</v>
      </c>
      <c r="H10" s="27"/>
      <c r="I10" t="s">
        <v>69</v>
      </c>
    </row>
    <row r="11" spans="2:11" ht="15.75" thickBot="1" x14ac:dyDescent="0.3">
      <c r="C11" s="21">
        <v>7</v>
      </c>
      <c r="D11" s="24" t="s">
        <v>60</v>
      </c>
      <c r="F11" s="21"/>
      <c r="G11" s="27">
        <f t="shared" si="0"/>
        <v>0.81309151134335378</v>
      </c>
      <c r="H11" s="27"/>
    </row>
    <row r="12" spans="2:11" ht="15.75" thickBot="1" x14ac:dyDescent="0.3">
      <c r="C12" s="21">
        <v>8</v>
      </c>
      <c r="D12" s="24" t="s">
        <v>60</v>
      </c>
      <c r="F12" s="21"/>
      <c r="G12" s="27">
        <f t="shared" si="0"/>
        <v>0.78940923431393573</v>
      </c>
      <c r="H12" s="31"/>
      <c r="I12" s="4" t="s">
        <v>6</v>
      </c>
      <c r="J12" s="5">
        <f>PMT(0.03,24,-J8)</f>
        <v>29942.773373387241</v>
      </c>
    </row>
    <row r="13" spans="2:11" x14ac:dyDescent="0.25">
      <c r="C13" s="21">
        <v>9</v>
      </c>
      <c r="D13" s="24" t="s">
        <v>60</v>
      </c>
      <c r="E13" s="24" t="s">
        <v>61</v>
      </c>
      <c r="F13" s="25">
        <v>10000</v>
      </c>
      <c r="G13" s="27">
        <f t="shared" si="0"/>
        <v>0.76641673234362695</v>
      </c>
      <c r="H13" s="29">
        <f>+F13*G13</f>
        <v>7664.1673234362697</v>
      </c>
    </row>
    <row r="14" spans="2:11" x14ac:dyDescent="0.25">
      <c r="C14" s="21">
        <v>10</v>
      </c>
      <c r="D14" s="24" t="s">
        <v>60</v>
      </c>
      <c r="E14" s="24" t="s">
        <v>61</v>
      </c>
      <c r="F14" s="25">
        <v>10000</v>
      </c>
      <c r="G14" s="27">
        <f t="shared" si="0"/>
        <v>0.74409391489672516</v>
      </c>
      <c r="H14" s="29">
        <f t="shared" ref="H14:H28" si="1">+F14*G14</f>
        <v>7440.9391489672516</v>
      </c>
    </row>
    <row r="15" spans="2:11" x14ac:dyDescent="0.25">
      <c r="C15" s="21">
        <v>11</v>
      </c>
      <c r="D15" s="24" t="s">
        <v>60</v>
      </c>
      <c r="E15" s="24" t="s">
        <v>61</v>
      </c>
      <c r="F15" s="25">
        <v>10000</v>
      </c>
      <c r="G15" s="27">
        <f t="shared" si="0"/>
        <v>0.72242127659876232</v>
      </c>
      <c r="H15" s="29">
        <f t="shared" si="1"/>
        <v>7224.2127659876232</v>
      </c>
    </row>
    <row r="16" spans="2:11" x14ac:dyDescent="0.25">
      <c r="C16" s="21">
        <v>12</v>
      </c>
      <c r="D16" s="24" t="s">
        <v>60</v>
      </c>
      <c r="E16" s="24" t="s">
        <v>61</v>
      </c>
      <c r="F16" s="25">
        <v>10000</v>
      </c>
      <c r="G16" s="27">
        <f t="shared" si="0"/>
        <v>0.70137988019297326</v>
      </c>
      <c r="H16" s="29">
        <f t="shared" si="1"/>
        <v>7013.7988019297327</v>
      </c>
    </row>
    <row r="17" spans="2:8" x14ac:dyDescent="0.25">
      <c r="C17" s="21">
        <v>13</v>
      </c>
      <c r="D17" s="24" t="s">
        <v>60</v>
      </c>
      <c r="E17" s="24" t="s">
        <v>61</v>
      </c>
      <c r="F17" s="25">
        <v>10000</v>
      </c>
      <c r="G17" s="27">
        <f t="shared" si="0"/>
        <v>0.68095133999317792</v>
      </c>
      <c r="H17" s="29">
        <f t="shared" si="1"/>
        <v>6809.5133999317795</v>
      </c>
    </row>
    <row r="18" spans="2:8" x14ac:dyDescent="0.25">
      <c r="C18" s="21">
        <v>14</v>
      </c>
      <c r="D18" s="24" t="s">
        <v>60</v>
      </c>
      <c r="E18" s="24" t="s">
        <v>61</v>
      </c>
      <c r="F18" s="25">
        <v>10000</v>
      </c>
      <c r="G18" s="27">
        <f t="shared" si="0"/>
        <v>0.66111780581861923</v>
      </c>
      <c r="H18" s="29">
        <f t="shared" si="1"/>
        <v>6611.1780581861922</v>
      </c>
    </row>
    <row r="19" spans="2:8" x14ac:dyDescent="0.25">
      <c r="C19" s="21">
        <v>15</v>
      </c>
      <c r="D19" s="24" t="s">
        <v>60</v>
      </c>
      <c r="E19" s="24" t="s">
        <v>61</v>
      </c>
      <c r="F19" s="25">
        <v>10000</v>
      </c>
      <c r="G19" s="27">
        <f t="shared" si="0"/>
        <v>0.64186194739671765</v>
      </c>
      <c r="H19" s="29">
        <f t="shared" si="1"/>
        <v>6418.6194739671764</v>
      </c>
    </row>
    <row r="20" spans="2:8" x14ac:dyDescent="0.25">
      <c r="C20" s="21">
        <v>16</v>
      </c>
      <c r="D20" s="24" t="s">
        <v>60</v>
      </c>
      <c r="E20" s="24" t="s">
        <v>61</v>
      </c>
      <c r="F20" s="25">
        <v>10000</v>
      </c>
      <c r="G20" s="27">
        <f t="shared" si="0"/>
        <v>0.62316693922011435</v>
      </c>
      <c r="H20" s="29">
        <f t="shared" si="1"/>
        <v>6231.6693922011436</v>
      </c>
    </row>
    <row r="21" spans="2:8" x14ac:dyDescent="0.25">
      <c r="C21" s="21">
        <v>17</v>
      </c>
      <c r="D21" s="24" t="s">
        <v>60</v>
      </c>
      <c r="E21" s="24" t="s">
        <v>61</v>
      </c>
      <c r="F21" s="25">
        <v>20000</v>
      </c>
      <c r="G21" s="27">
        <f t="shared" si="0"/>
        <v>0.60501644584477121</v>
      </c>
      <c r="H21" s="29">
        <f t="shared" si="1"/>
        <v>12100.328916895423</v>
      </c>
    </row>
    <row r="22" spans="2:8" x14ac:dyDescent="0.25">
      <c r="C22" s="21">
        <v>18</v>
      </c>
      <c r="D22" s="24" t="s">
        <v>60</v>
      </c>
      <c r="E22" s="24" t="s">
        <v>61</v>
      </c>
      <c r="F22" s="25">
        <v>20000</v>
      </c>
      <c r="G22" s="27">
        <f t="shared" si="0"/>
        <v>0.5873946076162827</v>
      </c>
      <c r="H22" s="29">
        <f t="shared" si="1"/>
        <v>11747.892152325654</v>
      </c>
    </row>
    <row r="23" spans="2:8" x14ac:dyDescent="0.25">
      <c r="C23" s="21">
        <v>19</v>
      </c>
      <c r="D23" s="24" t="s">
        <v>60</v>
      </c>
      <c r="E23" s="24" t="s">
        <v>61</v>
      </c>
      <c r="F23" s="25">
        <v>20000</v>
      </c>
      <c r="G23" s="27">
        <f t="shared" si="0"/>
        <v>0.57028602681192497</v>
      </c>
      <c r="H23" s="29">
        <f t="shared" si="1"/>
        <v>11405.720536238499</v>
      </c>
    </row>
    <row r="24" spans="2:8" x14ac:dyDescent="0.25">
      <c r="C24" s="21">
        <v>20</v>
      </c>
      <c r="D24" s="24" t="s">
        <v>60</v>
      </c>
      <c r="E24" s="24" t="s">
        <v>61</v>
      </c>
      <c r="F24" s="25">
        <v>20000</v>
      </c>
      <c r="G24" s="27">
        <f t="shared" si="0"/>
        <v>0.55367575418633497</v>
      </c>
      <c r="H24" s="29">
        <f t="shared" si="1"/>
        <v>11073.515083726699</v>
      </c>
    </row>
    <row r="25" spans="2:8" x14ac:dyDescent="0.25">
      <c r="C25" s="21">
        <v>21</v>
      </c>
      <c r="D25" s="24" t="s">
        <v>60</v>
      </c>
      <c r="E25" s="24" t="s">
        <v>61</v>
      </c>
      <c r="F25" s="25">
        <v>20000</v>
      </c>
      <c r="G25" s="27">
        <f t="shared" si="0"/>
        <v>0.5375492759090631</v>
      </c>
      <c r="H25" s="29">
        <f t="shared" si="1"/>
        <v>10750.985518181262</v>
      </c>
    </row>
    <row r="26" spans="2:8" x14ac:dyDescent="0.25">
      <c r="C26" s="21">
        <v>22</v>
      </c>
      <c r="D26" s="24" t="s">
        <v>60</v>
      </c>
      <c r="E26" s="24" t="s">
        <v>61</v>
      </c>
      <c r="F26" s="25">
        <v>20000</v>
      </c>
      <c r="G26" s="27">
        <f t="shared" si="0"/>
        <v>0.52189250088258554</v>
      </c>
      <c r="H26" s="29">
        <f t="shared" si="1"/>
        <v>10437.85001765171</v>
      </c>
    </row>
    <row r="27" spans="2:8" x14ac:dyDescent="0.25">
      <c r="C27" s="21">
        <v>23</v>
      </c>
      <c r="D27" s="24" t="s">
        <v>60</v>
      </c>
      <c r="E27" s="24" t="s">
        <v>61</v>
      </c>
      <c r="F27" s="25">
        <v>20000</v>
      </c>
      <c r="G27" s="27">
        <f t="shared" si="0"/>
        <v>0.50669174842969467</v>
      </c>
      <c r="H27" s="29">
        <f t="shared" si="1"/>
        <v>10133.834968593894</v>
      </c>
    </row>
    <row r="28" spans="2:8" x14ac:dyDescent="0.25">
      <c r="C28" s="21">
        <v>24</v>
      </c>
      <c r="D28" s="24" t="s">
        <v>60</v>
      </c>
      <c r="E28" s="24" t="s">
        <v>61</v>
      </c>
      <c r="F28" s="25">
        <v>20000</v>
      </c>
      <c r="G28" s="27">
        <f t="shared" si="0"/>
        <v>0.49193373633950943</v>
      </c>
      <c r="H28" s="29">
        <f t="shared" si="1"/>
        <v>9838.6747267901883</v>
      </c>
    </row>
    <row r="30" spans="2:8" ht="15.75" thickBot="1" x14ac:dyDescent="0.3"/>
    <row r="31" spans="2:8" ht="15.75" thickBot="1" x14ac:dyDescent="0.3">
      <c r="B31" t="s">
        <v>70</v>
      </c>
      <c r="C31" s="35" t="s">
        <v>2</v>
      </c>
      <c r="D31" s="35">
        <f>+EXP(0.23/12)-1</f>
        <v>1.9351526381597983E-2</v>
      </c>
      <c r="G31" s="41" t="s">
        <v>74</v>
      </c>
      <c r="H31" s="42">
        <f>+SUM(G34:G57)</f>
        <v>1174832.8617820991</v>
      </c>
    </row>
    <row r="32" spans="2:8" x14ac:dyDescent="0.25">
      <c r="C32" s="22" t="s">
        <v>58</v>
      </c>
      <c r="D32" s="28" t="s">
        <v>59</v>
      </c>
      <c r="E32" s="33" t="s">
        <v>72</v>
      </c>
      <c r="F32" s="22"/>
      <c r="G32" s="28" t="s">
        <v>73</v>
      </c>
    </row>
    <row r="33" spans="3:7" x14ac:dyDescent="0.25">
      <c r="C33" s="21">
        <v>0</v>
      </c>
      <c r="D33" s="27"/>
      <c r="F33" s="21"/>
      <c r="G33" s="27"/>
    </row>
    <row r="34" spans="3:7" x14ac:dyDescent="0.25">
      <c r="C34" s="21">
        <v>1</v>
      </c>
      <c r="D34" s="34">
        <f>+J12</f>
        <v>29942.773373387241</v>
      </c>
      <c r="E34">
        <f>+(1+D$31)^(24-C34)</f>
        <v>1.5540016804776702</v>
      </c>
      <c r="F34" s="21"/>
      <c r="G34" s="36">
        <f>+E34*D34</f>
        <v>46531.120140405808</v>
      </c>
    </row>
    <row r="35" spans="3:7" x14ac:dyDescent="0.25">
      <c r="C35" s="21">
        <v>2</v>
      </c>
      <c r="D35" s="34">
        <f>+D34</f>
        <v>29942.773373387241</v>
      </c>
      <c r="E35">
        <f t="shared" ref="E35:E57" si="2">+(1+D$31)^(24-C35)</f>
        <v>1.5245002732216675</v>
      </c>
      <c r="F35" s="21"/>
      <c r="G35" s="36">
        <f t="shared" ref="G35:G57" si="3">+E35*D35</f>
        <v>45647.766188743321</v>
      </c>
    </row>
    <row r="36" spans="3:7" x14ac:dyDescent="0.25">
      <c r="C36" s="21">
        <v>3</v>
      </c>
      <c r="D36" s="34">
        <f t="shared" ref="D36:D41" si="4">+D35</f>
        <v>29942.773373387241</v>
      </c>
      <c r="E36">
        <f t="shared" si="2"/>
        <v>1.4955589252249424</v>
      </c>
      <c r="F36" s="21"/>
      <c r="G36" s="36">
        <f t="shared" si="3"/>
        <v>44781.181964557043</v>
      </c>
    </row>
    <row r="37" spans="3:7" x14ac:dyDescent="0.25">
      <c r="C37" s="21">
        <v>4</v>
      </c>
      <c r="D37" s="34">
        <f t="shared" si="4"/>
        <v>29942.773373387241</v>
      </c>
      <c r="E37">
        <f t="shared" si="2"/>
        <v>1.4671670042362546</v>
      </c>
      <c r="F37" s="21"/>
      <c r="G37" s="36">
        <f t="shared" si="3"/>
        <v>43931.049108757652</v>
      </c>
    </row>
    <row r="38" spans="3:7" x14ac:dyDescent="0.25">
      <c r="C38" s="21">
        <v>5</v>
      </c>
      <c r="D38" s="34">
        <f t="shared" si="4"/>
        <v>29942.773373387241</v>
      </c>
      <c r="E38">
        <f t="shared" si="2"/>
        <v>1.4393140798486579</v>
      </c>
      <c r="F38" s="21"/>
      <c r="G38" s="36">
        <f t="shared" si="3"/>
        <v>43097.055306033748</v>
      </c>
    </row>
    <row r="39" spans="3:7" x14ac:dyDescent="0.25">
      <c r="C39" s="21">
        <v>6</v>
      </c>
      <c r="D39" s="34">
        <f t="shared" si="4"/>
        <v>29942.773373387241</v>
      </c>
      <c r="E39">
        <f t="shared" si="2"/>
        <v>1.4119899196676586</v>
      </c>
      <c r="F39" s="21"/>
      <c r="G39" s="36">
        <f t="shared" si="3"/>
        <v>42278.894170115957</v>
      </c>
    </row>
    <row r="40" spans="3:7" x14ac:dyDescent="0.25">
      <c r="C40" s="21">
        <v>7</v>
      </c>
      <c r="D40" s="34">
        <f t="shared" si="4"/>
        <v>29942.773373387241</v>
      </c>
      <c r="E40">
        <f t="shared" si="2"/>
        <v>1.3851844855521165</v>
      </c>
      <c r="F40" s="21"/>
      <c r="G40" s="36">
        <f t="shared" si="3"/>
        <v>41476.265131219014</v>
      </c>
    </row>
    <row r="41" spans="3:7" x14ac:dyDescent="0.25">
      <c r="C41" s="21">
        <v>8</v>
      </c>
      <c r="D41" s="34">
        <f t="shared" si="4"/>
        <v>29942.773373387241</v>
      </c>
      <c r="E41">
        <f t="shared" si="2"/>
        <v>1.3588879299265086</v>
      </c>
      <c r="F41" s="21"/>
      <c r="G41" s="36">
        <f t="shared" si="3"/>
        <v>40688.873325620771</v>
      </c>
    </row>
    <row r="42" spans="3:7" x14ac:dyDescent="0.25">
      <c r="C42" s="21">
        <v>9</v>
      </c>
      <c r="D42" s="34">
        <f>10000+D41</f>
        <v>39942.773373387245</v>
      </c>
      <c r="E42">
        <f t="shared" si="2"/>
        <v>1.3330905921632026</v>
      </c>
      <c r="F42" s="21"/>
      <c r="G42" s="36">
        <f t="shared" si="3"/>
        <v>53247.335408969404</v>
      </c>
    </row>
    <row r="43" spans="3:7" x14ac:dyDescent="0.25">
      <c r="C43" s="21">
        <v>10</v>
      </c>
      <c r="D43" s="34">
        <f>+D42</f>
        <v>39942.773373387245</v>
      </c>
      <c r="E43">
        <f t="shared" si="2"/>
        <v>1.3077829950334081</v>
      </c>
      <c r="F43" s="21"/>
      <c r="G43" s="36">
        <f t="shared" si="3"/>
        <v>52236.479792189035</v>
      </c>
    </row>
    <row r="44" spans="3:7" x14ac:dyDescent="0.25">
      <c r="C44" s="21">
        <v>11</v>
      </c>
      <c r="D44" s="34">
        <f t="shared" ref="D44:D49" si="5">+D43</f>
        <v>39942.773373387245</v>
      </c>
      <c r="E44">
        <f t="shared" si="2"/>
        <v>1.2829558412255073</v>
      </c>
      <c r="F44" s="21"/>
      <c r="G44" s="36">
        <f t="shared" si="3"/>
        <v>51244.814414133827</v>
      </c>
    </row>
    <row r="45" spans="3:7" x14ac:dyDescent="0.25">
      <c r="C45" s="21">
        <v>12</v>
      </c>
      <c r="D45" s="34">
        <f t="shared" si="5"/>
        <v>39942.773373387245</v>
      </c>
      <c r="E45">
        <f t="shared" si="2"/>
        <v>1.2586000099294776</v>
      </c>
      <c r="F45" s="21"/>
      <c r="G45" s="36">
        <f t="shared" si="3"/>
        <v>50271.974964356057</v>
      </c>
    </row>
    <row r="46" spans="3:7" x14ac:dyDescent="0.25">
      <c r="C46" s="21">
        <v>13</v>
      </c>
      <c r="D46" s="34">
        <f t="shared" si="5"/>
        <v>39942.773373387245</v>
      </c>
      <c r="E46">
        <f t="shared" si="2"/>
        <v>1.2347065534861583</v>
      </c>
      <c r="F46" s="21"/>
      <c r="G46" s="36">
        <f t="shared" si="3"/>
        <v>49317.604048533656</v>
      </c>
    </row>
    <row r="47" spans="3:7" x14ac:dyDescent="0.25">
      <c r="C47" s="21">
        <v>14</v>
      </c>
      <c r="D47" s="34">
        <f t="shared" si="5"/>
        <v>39942.773373387245</v>
      </c>
      <c r="E47">
        <f t="shared" si="2"/>
        <v>1.2112666941001287</v>
      </c>
      <c r="F47" s="21"/>
      <c r="G47" s="36">
        <f t="shared" si="3"/>
        <v>48381.351057173415</v>
      </c>
    </row>
    <row r="48" spans="3:7" x14ac:dyDescent="0.25">
      <c r="C48" s="21">
        <v>15</v>
      </c>
      <c r="D48" s="34">
        <f t="shared" si="5"/>
        <v>39942.773373387245</v>
      </c>
      <c r="E48">
        <f t="shared" si="2"/>
        <v>1.188271820614988</v>
      </c>
      <c r="F48" s="21"/>
      <c r="G48" s="36">
        <f t="shared" si="3"/>
        <v>47462.87203680673</v>
      </c>
    </row>
    <row r="49" spans="3:7" x14ac:dyDescent="0.25">
      <c r="C49" s="21">
        <v>16</v>
      </c>
      <c r="D49" s="34">
        <f t="shared" si="5"/>
        <v>39942.773373387245</v>
      </c>
      <c r="E49">
        <f t="shared" si="2"/>
        <v>1.1657134853498559</v>
      </c>
      <c r="F49" s="21"/>
      <c r="G49" s="36">
        <f t="shared" si="3"/>
        <v>46561.829563630665</v>
      </c>
    </row>
    <row r="50" spans="3:7" x14ac:dyDescent="0.25">
      <c r="C50" s="21">
        <v>17</v>
      </c>
      <c r="D50" s="34">
        <f>10000+D49</f>
        <v>49942.773373387245</v>
      </c>
      <c r="E50">
        <f t="shared" si="2"/>
        <v>1.1435834009959258</v>
      </c>
      <c r="F50" s="21"/>
      <c r="G50" s="36">
        <f t="shared" si="3"/>
        <v>57113.726629506949</v>
      </c>
    </row>
    <row r="51" spans="3:7" x14ac:dyDescent="0.25">
      <c r="C51" s="21">
        <v>18</v>
      </c>
      <c r="D51" s="34">
        <f>+D50</f>
        <v>49942.773373387245</v>
      </c>
      <c r="E51">
        <f t="shared" si="2"/>
        <v>1.1218734375719384</v>
      </c>
      <c r="F51" s="21"/>
      <c r="G51" s="36">
        <f t="shared" si="3"/>
        <v>56029.470846278222</v>
      </c>
    </row>
    <row r="52" spans="3:7" x14ac:dyDescent="0.25">
      <c r="C52" s="21">
        <v>19</v>
      </c>
      <c r="D52" s="34">
        <f t="shared" ref="D52:D57" si="6">+D51</f>
        <v>49942.773373387245</v>
      </c>
      <c r="E52">
        <f t="shared" si="2"/>
        <v>1.1005756194374507</v>
      </c>
      <c r="F52" s="21"/>
      <c r="G52" s="36">
        <f t="shared" si="3"/>
        <v>54965.798741839892</v>
      </c>
    </row>
    <row r="53" spans="3:7" x14ac:dyDescent="0.25">
      <c r="C53" s="21">
        <v>20</v>
      </c>
      <c r="D53" s="34">
        <f t="shared" si="6"/>
        <v>49942.773373387245</v>
      </c>
      <c r="E53">
        <f t="shared" si="2"/>
        <v>1.0796821223628073</v>
      </c>
      <c r="F53" s="21"/>
      <c r="G53" s="36">
        <f t="shared" si="3"/>
        <v>53922.319552463436</v>
      </c>
    </row>
    <row r="54" spans="3:7" x14ac:dyDescent="0.25">
      <c r="C54" s="21">
        <v>21</v>
      </c>
      <c r="D54" s="34">
        <f t="shared" si="6"/>
        <v>49942.773373387245</v>
      </c>
      <c r="E54">
        <f t="shared" si="2"/>
        <v>1.0591852706547322</v>
      </c>
      <c r="F54" s="21"/>
      <c r="G54" s="36">
        <f t="shared" si="3"/>
        <v>52898.649932739121</v>
      </c>
    </row>
    <row r="55" spans="3:7" x14ac:dyDescent="0.25">
      <c r="C55" s="21">
        <v>22</v>
      </c>
      <c r="D55" s="34">
        <f t="shared" si="6"/>
        <v>49942.773373387245</v>
      </c>
      <c r="E55">
        <f t="shared" si="2"/>
        <v>1.0390775343364937</v>
      </c>
      <c r="F55" s="21"/>
      <c r="G55" s="36">
        <f t="shared" si="3"/>
        <v>51894.413814745509</v>
      </c>
    </row>
    <row r="56" spans="3:7" x14ac:dyDescent="0.25">
      <c r="C56" s="21">
        <v>23</v>
      </c>
      <c r="D56" s="34">
        <f t="shared" si="6"/>
        <v>49942.773373387245</v>
      </c>
      <c r="E56">
        <f t="shared" si="2"/>
        <v>1.019351526381598</v>
      </c>
      <c r="F56" s="21"/>
      <c r="G56" s="36">
        <f t="shared" si="3"/>
        <v>50909.242269892515</v>
      </c>
    </row>
    <row r="57" spans="3:7" x14ac:dyDescent="0.25">
      <c r="C57" s="37">
        <v>24</v>
      </c>
      <c r="D57" s="38">
        <f t="shared" si="6"/>
        <v>49942.773373387245</v>
      </c>
      <c r="E57" s="39">
        <f t="shared" si="2"/>
        <v>1</v>
      </c>
      <c r="F57" s="37"/>
      <c r="G57" s="40">
        <f t="shared" si="3"/>
        <v>49942.773373387245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B1" sqref="B1"/>
    </sheetView>
  </sheetViews>
  <sheetFormatPr baseColWidth="10" defaultRowHeight="15" x14ac:dyDescent="0.25"/>
  <cols>
    <col min="3" max="3" width="13" bestFit="1" customWidth="1"/>
    <col min="6" max="6" width="13" bestFit="1" customWidth="1"/>
  </cols>
  <sheetData>
    <row r="1" spans="2:5" x14ac:dyDescent="0.25">
      <c r="B1" s="6" t="s">
        <v>9</v>
      </c>
    </row>
    <row r="3" spans="2:5" x14ac:dyDescent="0.25">
      <c r="B3" t="s">
        <v>75</v>
      </c>
    </row>
    <row r="5" spans="2:5" x14ac:dyDescent="0.25">
      <c r="B5" t="s">
        <v>76</v>
      </c>
      <c r="D5" s="43">
        <v>100000</v>
      </c>
      <c r="E5" t="s">
        <v>77</v>
      </c>
    </row>
    <row r="7" spans="2:5" x14ac:dyDescent="0.25">
      <c r="B7" t="s">
        <v>78</v>
      </c>
    </row>
    <row r="8" spans="2:5" x14ac:dyDescent="0.25">
      <c r="B8" t="s">
        <v>11</v>
      </c>
      <c r="C8" s="1">
        <f>100000*EXP(0.35*180/365)</f>
        <v>118839.39096078719</v>
      </c>
    </row>
    <row r="10" spans="2:5" x14ac:dyDescent="0.25">
      <c r="B10" t="s">
        <v>79</v>
      </c>
    </row>
    <row r="11" spans="2:5" x14ac:dyDescent="0.25">
      <c r="B11" t="s">
        <v>80</v>
      </c>
      <c r="D11">
        <f>100000/39</f>
        <v>2564.102564102564</v>
      </c>
    </row>
    <row r="13" spans="2:5" x14ac:dyDescent="0.25">
      <c r="B13" t="s">
        <v>81</v>
      </c>
    </row>
    <row r="14" spans="2:5" x14ac:dyDescent="0.25">
      <c r="B14" t="s">
        <v>11</v>
      </c>
      <c r="C14">
        <f>+D11*(1+0.025)^(180/365)</f>
        <v>2595.5169808157843</v>
      </c>
    </row>
    <row r="16" spans="2:5" x14ac:dyDescent="0.25">
      <c r="B16" t="s">
        <v>82</v>
      </c>
    </row>
    <row r="17" spans="2:7" x14ac:dyDescent="0.25">
      <c r="B17" t="s">
        <v>83</v>
      </c>
    </row>
    <row r="18" spans="2:7" x14ac:dyDescent="0.25">
      <c r="B18" t="s">
        <v>84</v>
      </c>
      <c r="F18" s="1">
        <f>43*C14</f>
        <v>111607.23017507873</v>
      </c>
    </row>
    <row r="20" spans="2:7" x14ac:dyDescent="0.25">
      <c r="B20" s="3" t="s">
        <v>85</v>
      </c>
      <c r="C20" s="3"/>
      <c r="D20" s="3"/>
      <c r="E20" s="3"/>
      <c r="F20" s="3"/>
      <c r="G20" s="3"/>
    </row>
    <row r="21" spans="2:7" x14ac:dyDescent="0.25">
      <c r="B21" s="3" t="s">
        <v>86</v>
      </c>
      <c r="C21" s="3"/>
      <c r="D21" s="3"/>
      <c r="E21" s="3"/>
      <c r="F21" s="3"/>
      <c r="G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abSelected="1" topLeftCell="A40" workbookViewId="0">
      <selection activeCell="D57" sqref="D57"/>
    </sheetView>
  </sheetViews>
  <sheetFormatPr baseColWidth="10" defaultRowHeight="15" x14ac:dyDescent="0.25"/>
  <cols>
    <col min="3" max="3" width="17.42578125" customWidth="1"/>
    <col min="4" max="4" width="12" bestFit="1" customWidth="1"/>
    <col min="5" max="5" width="13" bestFit="1" customWidth="1"/>
    <col min="6" max="6" width="38.85546875" customWidth="1"/>
    <col min="7" max="7" width="13" bestFit="1" customWidth="1"/>
    <col min="8" max="8" width="14.140625" customWidth="1"/>
    <col min="9" max="9" width="14.5703125" bestFit="1" customWidth="1"/>
  </cols>
  <sheetData>
    <row r="2" spans="2:6" x14ac:dyDescent="0.25">
      <c r="B2" t="s">
        <v>91</v>
      </c>
    </row>
    <row r="4" spans="2:6" x14ac:dyDescent="0.25">
      <c r="B4" t="s">
        <v>92</v>
      </c>
      <c r="C4" t="s">
        <v>93</v>
      </c>
    </row>
    <row r="6" spans="2:6" x14ac:dyDescent="0.25">
      <c r="B6" t="s">
        <v>2</v>
      </c>
      <c r="C6">
        <f>1.1269^(1/12)-1</f>
        <v>1.0005599601816684E-2</v>
      </c>
    </row>
    <row r="8" spans="2:6" x14ac:dyDescent="0.25">
      <c r="D8" t="s">
        <v>58</v>
      </c>
      <c r="E8" t="s">
        <v>94</v>
      </c>
      <c r="F8" t="s">
        <v>96</v>
      </c>
    </row>
    <row r="9" spans="2:6" x14ac:dyDescent="0.25">
      <c r="D9">
        <v>0</v>
      </c>
    </row>
    <row r="10" spans="2:6" x14ac:dyDescent="0.25">
      <c r="D10">
        <v>1</v>
      </c>
      <c r="E10" s="1">
        <v>100000</v>
      </c>
      <c r="F10" s="1">
        <f>+E10*(1+$C$6)^(6-D10)</f>
        <v>105103.91852635825</v>
      </c>
    </row>
    <row r="11" spans="2:6" x14ac:dyDescent="0.25">
      <c r="D11">
        <v>2</v>
      </c>
      <c r="E11" s="1">
        <v>100000</v>
      </c>
      <c r="F11" s="1">
        <f t="shared" ref="F11:F13" si="0">+E11*(1+$C$6)^(6-D11)</f>
        <v>104062.70872933208</v>
      </c>
    </row>
    <row r="12" spans="2:6" x14ac:dyDescent="0.25">
      <c r="D12">
        <v>3</v>
      </c>
      <c r="E12" s="1">
        <v>100000</v>
      </c>
      <c r="F12" s="1">
        <f t="shared" si="0"/>
        <v>103031.81365564471</v>
      </c>
    </row>
    <row r="13" spans="2:6" x14ac:dyDescent="0.25">
      <c r="D13">
        <v>4</v>
      </c>
      <c r="E13" s="1">
        <v>100000</v>
      </c>
      <c r="F13" s="1">
        <f t="shared" si="0"/>
        <v>102011.13112270253</v>
      </c>
    </row>
    <row r="14" spans="2:6" x14ac:dyDescent="0.25">
      <c r="D14">
        <v>5</v>
      </c>
    </row>
    <row r="15" spans="2:6" x14ac:dyDescent="0.25">
      <c r="C15" s="49" t="s">
        <v>95</v>
      </c>
      <c r="D15" s="49">
        <v>6</v>
      </c>
      <c r="E15" s="49"/>
    </row>
    <row r="17" spans="3:9" x14ac:dyDescent="0.25">
      <c r="C17" t="s">
        <v>97</v>
      </c>
      <c r="G17" s="7">
        <f>+SUM(F10:F13)</f>
        <v>414209.57203403756</v>
      </c>
      <c r="H17" t="s">
        <v>98</v>
      </c>
    </row>
    <row r="19" spans="3:9" x14ac:dyDescent="0.25">
      <c r="C19" t="s">
        <v>99</v>
      </c>
      <c r="F19" s="1">
        <f>1500000-G17</f>
        <v>1085790.4279659623</v>
      </c>
      <c r="G19" t="s">
        <v>100</v>
      </c>
    </row>
    <row r="21" spans="3:9" x14ac:dyDescent="0.25">
      <c r="C21" t="s">
        <v>101</v>
      </c>
      <c r="I21" s="7">
        <f>+F19</f>
        <v>1085790.4279659623</v>
      </c>
    </row>
    <row r="23" spans="3:9" x14ac:dyDescent="0.25">
      <c r="C23" t="s">
        <v>102</v>
      </c>
    </row>
    <row r="25" spans="3:9" x14ac:dyDescent="0.25">
      <c r="D25" s="44"/>
    </row>
    <row r="26" spans="3:9" x14ac:dyDescent="0.25">
      <c r="D26" s="24"/>
    </row>
    <row r="29" spans="3:9" x14ac:dyDescent="0.25">
      <c r="C29" s="7">
        <f>+F19</f>
        <v>1085790.4279659623</v>
      </c>
      <c r="D29" t="s">
        <v>32</v>
      </c>
      <c r="E29" s="50" t="s">
        <v>103</v>
      </c>
      <c r="F29" t="s">
        <v>109</v>
      </c>
    </row>
    <row r="30" spans="3:9" x14ac:dyDescent="0.25">
      <c r="E30" t="s">
        <v>104</v>
      </c>
    </row>
    <row r="32" spans="3:9" x14ac:dyDescent="0.25">
      <c r="C32" t="s">
        <v>105</v>
      </c>
    </row>
    <row r="34" spans="3:5" x14ac:dyDescent="0.25">
      <c r="C34" t="s">
        <v>2</v>
      </c>
      <c r="D34" t="s">
        <v>106</v>
      </c>
    </row>
    <row r="36" spans="3:5" x14ac:dyDescent="0.25">
      <c r="C36" t="s">
        <v>2</v>
      </c>
      <c r="D36">
        <f>+(1.22)^(1/12)-1</f>
        <v>1.6708963873128146E-2</v>
      </c>
    </row>
    <row r="39" spans="3:5" x14ac:dyDescent="0.25">
      <c r="C39" t="s">
        <v>107</v>
      </c>
    </row>
    <row r="41" spans="3:5" x14ac:dyDescent="0.25">
      <c r="C41" t="s">
        <v>108</v>
      </c>
      <c r="D41" s="1">
        <f>+C29*(D36+0.05)/(1-((1-0.05)/(1+D36))^24)</f>
        <v>90109.271121028883</v>
      </c>
      <c r="E41" t="s">
        <v>111</v>
      </c>
    </row>
    <row r="43" spans="3:5" x14ac:dyDescent="0.25">
      <c r="D43" t="s">
        <v>58</v>
      </c>
      <c r="E43" t="s">
        <v>94</v>
      </c>
    </row>
    <row r="44" spans="3:5" x14ac:dyDescent="0.25">
      <c r="D44">
        <v>0</v>
      </c>
    </row>
    <row r="45" spans="3:5" x14ac:dyDescent="0.25">
      <c r="D45">
        <v>1</v>
      </c>
      <c r="E45" s="1">
        <v>100000</v>
      </c>
    </row>
    <row r="46" spans="3:5" x14ac:dyDescent="0.25">
      <c r="D46">
        <v>2</v>
      </c>
      <c r="E46" s="1">
        <v>100000</v>
      </c>
    </row>
    <row r="47" spans="3:5" x14ac:dyDescent="0.25">
      <c r="D47">
        <v>3</v>
      </c>
      <c r="E47" s="1">
        <v>100000</v>
      </c>
    </row>
    <row r="48" spans="3:5" x14ac:dyDescent="0.25">
      <c r="D48">
        <v>4</v>
      </c>
      <c r="E48" s="1">
        <v>100000</v>
      </c>
    </row>
    <row r="49" spans="3:6" x14ac:dyDescent="0.25">
      <c r="D49">
        <v>5</v>
      </c>
    </row>
    <row r="50" spans="3:6" x14ac:dyDescent="0.25">
      <c r="C50" s="49" t="s">
        <v>95</v>
      </c>
      <c r="D50" s="49">
        <v>6</v>
      </c>
      <c r="E50" s="49"/>
      <c r="F50" s="24" t="s">
        <v>110</v>
      </c>
    </row>
    <row r="51" spans="3:6" x14ac:dyDescent="0.25">
      <c r="D51">
        <v>7</v>
      </c>
      <c r="E51" s="1">
        <f>+D41</f>
        <v>90109.271121028883</v>
      </c>
      <c r="F51" s="24">
        <v>1</v>
      </c>
    </row>
    <row r="52" spans="3:6" x14ac:dyDescent="0.25">
      <c r="D52">
        <v>8</v>
      </c>
      <c r="E52" s="1">
        <f>+E51*(1-0.05)</f>
        <v>85603.80756497744</v>
      </c>
      <c r="F52" s="24">
        <v>2</v>
      </c>
    </row>
    <row r="53" spans="3:6" x14ac:dyDescent="0.25">
      <c r="D53">
        <v>9</v>
      </c>
      <c r="E53" s="1">
        <f t="shared" ref="E53:E54" si="1">+E52*(1-0.05)</f>
        <v>81323.617186728559</v>
      </c>
      <c r="F53" s="24">
        <v>3</v>
      </c>
    </row>
    <row r="54" spans="3:6" x14ac:dyDescent="0.25">
      <c r="D54">
        <v>10</v>
      </c>
      <c r="E54" s="1">
        <f t="shared" si="1"/>
        <v>77257.436327392134</v>
      </c>
      <c r="F54" s="24">
        <v>4</v>
      </c>
    </row>
    <row r="56" spans="3:6" x14ac:dyDescent="0.25">
      <c r="D56" t="s">
        <v>112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2"/>
  <sheetViews>
    <sheetView workbookViewId="0">
      <selection activeCell="B9" sqref="B9"/>
    </sheetView>
  </sheetViews>
  <sheetFormatPr baseColWidth="10" defaultRowHeight="15" x14ac:dyDescent="0.25"/>
  <sheetData>
    <row r="3" spans="4:8" x14ac:dyDescent="0.25">
      <c r="D3">
        <v>1175</v>
      </c>
      <c r="E3" s="24" t="s">
        <v>32</v>
      </c>
      <c r="F3" s="44">
        <v>100</v>
      </c>
    </row>
    <row r="4" spans="4:8" x14ac:dyDescent="0.25">
      <c r="F4" s="24" t="s">
        <v>87</v>
      </c>
    </row>
    <row r="7" spans="4:8" x14ac:dyDescent="0.25">
      <c r="D7" s="24" t="s">
        <v>88</v>
      </c>
      <c r="E7" s="24" t="s">
        <v>32</v>
      </c>
      <c r="F7" s="44">
        <v>100</v>
      </c>
      <c r="G7" s="24" t="s">
        <v>61</v>
      </c>
      <c r="H7" s="24">
        <v>0.03</v>
      </c>
    </row>
    <row r="8" spans="4:8" x14ac:dyDescent="0.25">
      <c r="F8" s="24">
        <v>1175</v>
      </c>
      <c r="G8" s="24"/>
      <c r="H8" s="24"/>
    </row>
    <row r="10" spans="4:8" x14ac:dyDescent="0.25">
      <c r="D10" s="45" t="s">
        <v>89</v>
      </c>
      <c r="E10" s="45" t="s">
        <v>32</v>
      </c>
      <c r="F10" s="46">
        <f>100/1175+0.03</f>
        <v>0.1151063829787234</v>
      </c>
    </row>
    <row r="11" spans="4:8" x14ac:dyDescent="0.25">
      <c r="D11" s="48" t="s">
        <v>90</v>
      </c>
      <c r="E11" s="48"/>
      <c r="F11" s="48"/>
      <c r="G11" s="48"/>
      <c r="H11" s="48"/>
    </row>
    <row r="12" spans="4:8" x14ac:dyDescent="0.25">
      <c r="D12" s="47"/>
      <c r="E12" s="47"/>
      <c r="F12" s="47"/>
      <c r="G12" s="47"/>
      <c r="H12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Fernandez Molero, Diego</cp:lastModifiedBy>
  <dcterms:created xsi:type="dcterms:W3CDTF">2021-04-18T19:34:26Z</dcterms:created>
  <dcterms:modified xsi:type="dcterms:W3CDTF">2022-04-05T16:49:40Z</dcterms:modified>
</cp:coreProperties>
</file>