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ocuments\"/>
    </mc:Choice>
  </mc:AlternateContent>
  <xr:revisionPtr revIDLastSave="0" documentId="8_{E2B4009B-ABA5-4CDF-8356-396C94F4EB24}" xr6:coauthVersionLast="36" xr6:coauthVersionMax="36" xr10:uidLastSave="{00000000-0000-0000-0000-000000000000}"/>
  <bookViews>
    <workbookView xWindow="0" yWindow="0" windowWidth="28800" windowHeight="12105" xr2:uid="{F59DA41B-D90A-49BE-9DF7-3420471CD9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5" i="1" l="1"/>
  <c r="M91" i="1"/>
  <c r="O85" i="1"/>
  <c r="O86" i="1"/>
  <c r="O87" i="1"/>
  <c r="O88" i="1"/>
  <c r="L79" i="1"/>
  <c r="L78" i="1"/>
  <c r="I61" i="1"/>
  <c r="O74" i="1"/>
  <c r="O73" i="1"/>
  <c r="O61" i="1"/>
  <c r="O62" i="1"/>
  <c r="O63" i="1"/>
  <c r="O64" i="1"/>
  <c r="O65" i="1"/>
  <c r="O66" i="1"/>
  <c r="O67" i="1"/>
  <c r="O68" i="1"/>
  <c r="O69" i="1"/>
  <c r="O70" i="1"/>
  <c r="O71" i="1"/>
  <c r="O72" i="1"/>
  <c r="O60" i="1"/>
  <c r="H61" i="1"/>
  <c r="I62" i="1"/>
  <c r="I63" i="1"/>
  <c r="I64" i="1"/>
  <c r="I65" i="1"/>
  <c r="K65" i="1" s="1"/>
  <c r="I66" i="1"/>
  <c r="I67" i="1"/>
  <c r="I68" i="1"/>
  <c r="I69" i="1"/>
  <c r="K69" i="1" s="1"/>
  <c r="I70" i="1"/>
  <c r="I71" i="1"/>
  <c r="I72" i="1"/>
  <c r="K61" i="1"/>
  <c r="H62" i="1"/>
  <c r="H63" i="1"/>
  <c r="H64" i="1"/>
  <c r="H65" i="1"/>
  <c r="H66" i="1"/>
  <c r="H67" i="1"/>
  <c r="H68" i="1"/>
  <c r="H69" i="1"/>
  <c r="H70" i="1"/>
  <c r="H71" i="1"/>
  <c r="H72" i="1"/>
  <c r="K62" i="1"/>
  <c r="K66" i="1"/>
  <c r="K70" i="1"/>
  <c r="K71" i="1"/>
  <c r="K67" i="1"/>
  <c r="K63" i="1"/>
  <c r="J61" i="1"/>
  <c r="G61" i="1"/>
  <c r="L60" i="1"/>
  <c r="K60" i="1"/>
  <c r="K53" i="1"/>
  <c r="K54" i="1" s="1"/>
  <c r="L53" i="1"/>
  <c r="L54" i="1" s="1"/>
  <c r="L40" i="1"/>
  <c r="K40" i="1"/>
  <c r="L42" i="1"/>
  <c r="L43" i="1"/>
  <c r="L44" i="1"/>
  <c r="L45" i="1"/>
  <c r="L46" i="1"/>
  <c r="L47" i="1"/>
  <c r="L48" i="1"/>
  <c r="L49" i="1"/>
  <c r="L50" i="1"/>
  <c r="L51" i="1"/>
  <c r="L52" i="1"/>
  <c r="L41" i="1"/>
  <c r="K42" i="1"/>
  <c r="K43" i="1"/>
  <c r="K44" i="1"/>
  <c r="K45" i="1"/>
  <c r="K46" i="1"/>
  <c r="K47" i="1"/>
  <c r="K48" i="1"/>
  <c r="K49" i="1"/>
  <c r="K50" i="1"/>
  <c r="K51" i="1"/>
  <c r="K52" i="1"/>
  <c r="K41" i="1"/>
  <c r="J42" i="1"/>
  <c r="J43" i="1"/>
  <c r="J44" i="1"/>
  <c r="J45" i="1"/>
  <c r="J46" i="1"/>
  <c r="J47" i="1"/>
  <c r="J48" i="1"/>
  <c r="J49" i="1"/>
  <c r="J50" i="1"/>
  <c r="J51" i="1"/>
  <c r="J52" i="1"/>
  <c r="J41" i="1"/>
  <c r="I47" i="1"/>
  <c r="H47" i="1" s="1"/>
  <c r="G47" i="1"/>
  <c r="I48" i="1"/>
  <c r="I49" i="1"/>
  <c r="I50" i="1"/>
  <c r="I51" i="1"/>
  <c r="I52" i="1"/>
  <c r="G46" i="1"/>
  <c r="H42" i="1"/>
  <c r="H41" i="1"/>
  <c r="G41" i="1"/>
  <c r="G42" i="1"/>
  <c r="F43" i="1"/>
  <c r="G43" i="1" s="1"/>
  <c r="H43" i="1" s="1"/>
  <c r="F42" i="1"/>
  <c r="I41" i="1"/>
  <c r="I42" i="1"/>
  <c r="I43" i="1"/>
  <c r="I44" i="1"/>
  <c r="I45" i="1"/>
  <c r="I46" i="1"/>
  <c r="H35" i="1"/>
  <c r="F35" i="1"/>
  <c r="I10" i="1"/>
  <c r="K8" i="1"/>
  <c r="J8" i="1"/>
  <c r="K7" i="1"/>
  <c r="J7" i="1"/>
  <c r="K6" i="1"/>
  <c r="J6" i="1"/>
  <c r="P11" i="1"/>
  <c r="O11" i="1"/>
  <c r="N11" i="1"/>
  <c r="M9" i="1"/>
  <c r="M11" i="1"/>
  <c r="J5" i="1"/>
  <c r="K5" i="1" s="1"/>
  <c r="N9" i="1"/>
  <c r="O9" i="1"/>
  <c r="P9" i="1"/>
  <c r="I8" i="1"/>
  <c r="I6" i="1"/>
  <c r="I7" i="1"/>
  <c r="I5" i="1"/>
  <c r="M96" i="1" l="1"/>
  <c r="P96" i="1"/>
  <c r="L61" i="1"/>
  <c r="F62" i="1"/>
  <c r="G62" i="1" s="1"/>
  <c r="K64" i="1"/>
  <c r="K68" i="1"/>
  <c r="K72" i="1"/>
  <c r="F44" i="1"/>
  <c r="I11" i="1"/>
  <c r="P97" i="1" l="1"/>
  <c r="Q96" i="1"/>
  <c r="R96" i="1" s="1"/>
  <c r="N96" i="1"/>
  <c r="O96" i="1" s="1"/>
  <c r="M97" i="1" s="1"/>
  <c r="K73" i="1"/>
  <c r="K74" i="1" s="1"/>
  <c r="J62" i="1"/>
  <c r="L62" i="1" s="1"/>
  <c r="F63" i="1"/>
  <c r="G44" i="1"/>
  <c r="H44" i="1" s="1"/>
  <c r="F45" i="1" s="1"/>
  <c r="M98" i="1" l="1"/>
  <c r="N97" i="1"/>
  <c r="O97" i="1" s="1"/>
  <c r="Q97" i="1"/>
  <c r="R97" i="1"/>
  <c r="P98" i="1"/>
  <c r="G63" i="1"/>
  <c r="G45" i="1"/>
  <c r="H45" i="1" s="1"/>
  <c r="F46" i="1" s="1"/>
  <c r="R98" i="1" l="1"/>
  <c r="R99" i="1" s="1"/>
  <c r="O98" i="1"/>
  <c r="N98" i="1"/>
  <c r="Q98" i="1"/>
  <c r="F64" i="1"/>
  <c r="J63" i="1"/>
  <c r="L63" i="1" s="1"/>
  <c r="H46" i="1"/>
  <c r="F47" i="1" s="1"/>
  <c r="F48" i="1" s="1"/>
  <c r="G64" i="1" l="1"/>
  <c r="G48" i="1"/>
  <c r="H48" i="1" s="1"/>
  <c r="F49" i="1" s="1"/>
  <c r="G49" i="1" s="1"/>
  <c r="H49" i="1" s="1"/>
  <c r="F50" i="1" s="1"/>
  <c r="J64" i="1" l="1"/>
  <c r="L64" i="1" s="1"/>
  <c r="F65" i="1"/>
  <c r="G50" i="1"/>
  <c r="H50" i="1" s="1"/>
  <c r="F51" i="1" s="1"/>
  <c r="G65" i="1" l="1"/>
  <c r="G51" i="1"/>
  <c r="H51" i="1" s="1"/>
  <c r="F52" i="1" s="1"/>
  <c r="G52" i="1" s="1"/>
  <c r="H52" i="1" s="1"/>
  <c r="F66" i="1" l="1"/>
  <c r="J65" i="1"/>
  <c r="L65" i="1" s="1"/>
  <c r="G66" i="1" l="1"/>
  <c r="J66" i="1" l="1"/>
  <c r="L66" i="1" s="1"/>
  <c r="F67" i="1"/>
  <c r="G67" i="1" l="1"/>
  <c r="J67" i="1" l="1"/>
  <c r="L67" i="1" s="1"/>
  <c r="F68" i="1"/>
  <c r="G68" i="1" l="1"/>
  <c r="J68" i="1" l="1"/>
  <c r="L68" i="1" s="1"/>
  <c r="F69" i="1"/>
  <c r="G69" i="1" l="1"/>
  <c r="J69" i="1" l="1"/>
  <c r="L69" i="1" s="1"/>
  <c r="F70" i="1"/>
  <c r="G70" i="1" l="1"/>
  <c r="J70" i="1" l="1"/>
  <c r="L70" i="1" s="1"/>
  <c r="F71" i="1"/>
  <c r="G71" i="1" l="1"/>
  <c r="F72" i="1" l="1"/>
  <c r="G72" i="1" s="1"/>
  <c r="J71" i="1"/>
  <c r="L71" i="1" s="1"/>
  <c r="J72" i="1" l="1"/>
  <c r="L72" i="1" s="1"/>
  <c r="L73" i="1" s="1"/>
  <c r="L74" i="1" s="1"/>
</calcChain>
</file>

<file path=xl/sharedStrings.xml><?xml version="1.0" encoding="utf-8"?>
<sst xmlns="http://schemas.openxmlformats.org/spreadsheetml/2006/main" count="90" uniqueCount="67">
  <si>
    <t>Semestre</t>
  </si>
  <si>
    <t>Fecha</t>
  </si>
  <si>
    <t>Flujos de Fondos</t>
  </si>
  <si>
    <t>k1</t>
  </si>
  <si>
    <t>k2</t>
  </si>
  <si>
    <t>k3</t>
  </si>
  <si>
    <t>k4</t>
  </si>
  <si>
    <t>Tasas Spot</t>
  </si>
  <si>
    <t>Bono 1</t>
  </si>
  <si>
    <t>Bono 2</t>
  </si>
  <si>
    <t>Bono 3</t>
  </si>
  <si>
    <t>Bono 4</t>
  </si>
  <si>
    <t>TIR (TES) =</t>
  </si>
  <si>
    <t>VA cada flujo</t>
  </si>
  <si>
    <t>VALOR 0 =</t>
  </si>
  <si>
    <t>VAN 0 =</t>
  </si>
  <si>
    <t>VALOR - PRECIO</t>
  </si>
  <si>
    <t>VALOR 0 :</t>
  </si>
  <si>
    <t>descuento con las tasas spot que considero son los costos de oportunidad (k)</t>
  </si>
  <si>
    <t>Si no tengo tasas spot, posiblemente tenga el costo de oportunidad promedio (k promedio)</t>
  </si>
  <si>
    <t>Si no tengo el costo de oportunidad promedio ni el costo de oportunidad de cada flujo, uso TIR</t>
  </si>
  <si>
    <t>(hago el supuesto de que el valor y el precio coinciden)</t>
  </si>
  <si>
    <t>VALOR X &gt; 0:</t>
  </si>
  <si>
    <t>descuento con las tasas spot del futuro, es decir, con las tasas forward</t>
  </si>
  <si>
    <t>Si no tengo las tasas forward, posiblemente tenga una tasa forward promedio.</t>
  </si>
  <si>
    <t>Si no tengo ni siquiera ese promedio, uso la TIR esperada</t>
  </si>
  <si>
    <t>Precio 0:</t>
  </si>
  <si>
    <t xml:space="preserve">descuento con TIR </t>
  </si>
  <si>
    <t>Si no tengo TIR, descuento con k (haciendo el supuesto de que el valor y el precio coinciden)</t>
  </si>
  <si>
    <t>Precio X &gt; 0:</t>
  </si>
  <si>
    <t xml:space="preserve">descuentoc con la TIR esperada </t>
  </si>
  <si>
    <t>Si no tengo la TIR esperada, descuento con con k (tasas forward)</t>
  </si>
  <si>
    <t>Ejercicio 4</t>
  </si>
  <si>
    <t>Ejercicio 2</t>
  </si>
  <si>
    <t>V =</t>
  </si>
  <si>
    <t>x 0,70 =</t>
  </si>
  <si>
    <t>F0 = V - Gastos Administrativos - IVA sobre Gastos Administrativo = V</t>
  </si>
  <si>
    <t>Saldo al inicio</t>
  </si>
  <si>
    <t>Intereses</t>
  </si>
  <si>
    <t>Capital</t>
  </si>
  <si>
    <t>Cuota Pura</t>
  </si>
  <si>
    <t>Escudo Fiscal</t>
  </si>
  <si>
    <t>Flujos sin Escudo</t>
  </si>
  <si>
    <t>Flujo con Escudo</t>
  </si>
  <si>
    <t>FRANCÉS</t>
  </si>
  <si>
    <t>Intereses x 0,35</t>
  </si>
  <si>
    <t>TIR (TES)</t>
  </si>
  <si>
    <t>TIR (TEA)</t>
  </si>
  <si>
    <t>CFT</t>
  </si>
  <si>
    <t>CF después de impuestos</t>
  </si>
  <si>
    <t>ALEMÁN</t>
  </si>
  <si>
    <t>Cambio estas columnas</t>
  </si>
  <si>
    <t>Flujos del proyecto Francés - Alemán</t>
  </si>
  <si>
    <t>TIR (TNA)</t>
  </si>
  <si>
    <t>&lt; k = 14%</t>
  </si>
  <si>
    <t xml:space="preserve">Acepto pasar del Alemán al Francés, es decir, </t>
  </si>
  <si>
    <t>opto por el Francés</t>
  </si>
  <si>
    <t>VAN del Francés =</t>
  </si>
  <si>
    <t>VAN del Alemán =</t>
  </si>
  <si>
    <t>Pagos</t>
  </si>
  <si>
    <t>Trimestre</t>
  </si>
  <si>
    <t>se recibe el rodado</t>
  </si>
  <si>
    <t>VF de los pagos previos a la entrega</t>
  </si>
  <si>
    <t>Deuda 4 =</t>
  </si>
  <si>
    <t>Año</t>
  </si>
  <si>
    <t>Seguro</t>
  </si>
  <si>
    <t>Flujo de  Fondos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</si>
</sst>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\-&quot;$&quot;\ #,##0.00"/>
    <numFmt numFmtId="44" formatCode="_-&quot;$&quot;\ * #,##0.00_-;\-&quot;$&quot;\ * #,##0.00_-;_-&quot;$&quot;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0" fontId="0" fillId="0" borderId="0" xfId="0" applyNumberFormat="1"/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44" fontId="0" fillId="0" borderId="0" xfId="1" applyFont="1"/>
    <xf numFmtId="4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4" fontId="6" fillId="2" borderId="0" xfId="1" applyFont="1" applyFill="1"/>
    <xf numFmtId="0" fontId="5" fillId="0" borderId="1" xfId="0" applyFont="1" applyBorder="1"/>
    <xf numFmtId="0" fontId="5" fillId="3" borderId="1" xfId="0" applyFont="1" applyFill="1" applyBorder="1"/>
    <xf numFmtId="8" fontId="5" fillId="0" borderId="1" xfId="0" applyNumberFormat="1" applyFont="1" applyBorder="1"/>
    <xf numFmtId="44" fontId="5" fillId="0" borderId="1" xfId="1" applyFont="1" applyBorder="1"/>
    <xf numFmtId="8" fontId="5" fillId="3" borderId="1" xfId="0" applyNumberFormat="1" applyFont="1" applyFill="1" applyBorder="1"/>
    <xf numFmtId="44" fontId="5" fillId="0" borderId="1" xfId="0" applyNumberFormat="1" applyFont="1" applyBorder="1"/>
    <xf numFmtId="10" fontId="6" fillId="0" borderId="0" xfId="0" applyNumberFormat="1" applyFont="1" applyAlignment="1">
      <alignment horizontal="center"/>
    </xf>
    <xf numFmtId="10" fontId="6" fillId="3" borderId="2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0" fontId="6" fillId="4" borderId="2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5" borderId="1" xfId="0" applyFont="1" applyFill="1" applyBorder="1"/>
    <xf numFmtId="8" fontId="5" fillId="5" borderId="1" xfId="0" applyNumberFormat="1" applyFont="1" applyFill="1" applyBorder="1"/>
    <xf numFmtId="0" fontId="6" fillId="5" borderId="0" xfId="0" applyFont="1" applyFill="1"/>
    <xf numFmtId="0" fontId="6" fillId="5" borderId="1" xfId="0" applyFont="1" applyFill="1" applyBorder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9" fillId="0" borderId="0" xfId="0" applyFont="1"/>
    <xf numFmtId="10" fontId="9" fillId="0" borderId="0" xfId="2" applyNumberFormat="1" applyFont="1" applyFill="1" applyBorder="1"/>
    <xf numFmtId="0" fontId="11" fillId="0" borderId="0" xfId="0" applyFont="1"/>
    <xf numFmtId="0" fontId="12" fillId="0" borderId="0" xfId="0" applyFont="1"/>
    <xf numFmtId="44" fontId="12" fillId="0" borderId="0" xfId="0" applyNumberFormat="1" applyFont="1"/>
    <xf numFmtId="0" fontId="14" fillId="0" borderId="0" xfId="0" applyFont="1"/>
    <xf numFmtId="0" fontId="15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44" fontId="13" fillId="0" borderId="0" xfId="1" applyFont="1"/>
    <xf numFmtId="0" fontId="7" fillId="5" borderId="0" xfId="0" applyFont="1" applyFill="1"/>
    <xf numFmtId="44" fontId="14" fillId="0" borderId="0" xfId="1" applyFont="1"/>
    <xf numFmtId="0" fontId="18" fillId="5" borderId="0" xfId="0" applyFont="1" applyFill="1"/>
    <xf numFmtId="44" fontId="18" fillId="5" borderId="0" xfId="0" applyNumberFormat="1" applyFont="1" applyFill="1"/>
    <xf numFmtId="0" fontId="7" fillId="0" borderId="1" xfId="0" applyFont="1" applyBorder="1"/>
    <xf numFmtId="0" fontId="17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44" fontId="7" fillId="0" borderId="1" xfId="0" applyNumberFormat="1" applyFont="1" applyBorder="1"/>
    <xf numFmtId="8" fontId="7" fillId="0" borderId="1" xfId="0" applyNumberFormat="1" applyFont="1" applyBorder="1"/>
    <xf numFmtId="44" fontId="10" fillId="0" borderId="1" xfId="0" applyNumberFormat="1" applyFont="1" applyBorder="1"/>
    <xf numFmtId="44" fontId="14" fillId="0" borderId="1" xfId="1" applyFont="1" applyBorder="1"/>
    <xf numFmtId="44" fontId="14" fillId="0" borderId="1" xfId="0" applyNumberFormat="1" applyFont="1" applyBorder="1"/>
    <xf numFmtId="44" fontId="10" fillId="0" borderId="4" xfId="0" applyNumberFormat="1" applyFont="1" applyBorder="1"/>
    <xf numFmtId="44" fontId="14" fillId="0" borderId="4" xfId="0" applyNumberFormat="1" applyFont="1" applyBorder="1"/>
    <xf numFmtId="0" fontId="11" fillId="5" borderId="5" xfId="0" applyFont="1" applyFill="1" applyBorder="1" applyAlignment="1">
      <alignment horizontal="center"/>
    </xf>
    <xf numFmtId="10" fontId="11" fillId="5" borderId="6" xfId="0" applyNumberFormat="1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569267</xdr:colOff>
      <xdr:row>35</xdr:row>
      <xdr:rowOff>264169</xdr:rowOff>
    </xdr:from>
    <xdr:to>
      <xdr:col>6</xdr:col>
      <xdr:colOff>688330</xdr:colOff>
      <xdr:row>36</xdr:row>
      <xdr:rowOff>264170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95F66DD-C30A-4492-8275-4D0F8D9B7469}"/>
            </a:ext>
          </a:extLst>
        </xdr:cNvPr>
        <xdr:cNvCxnSpPr/>
      </xdr:nvCxnSpPr>
      <xdr:spPr>
        <a:xfrm flipH="1" flipV="1">
          <a:off x="5145732" y="7188398"/>
          <a:ext cx="119063" cy="2678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11162</xdr:colOff>
      <xdr:row>36</xdr:row>
      <xdr:rowOff>40928</xdr:rowOff>
    </xdr:from>
    <xdr:to>
      <xdr:col>9</xdr:col>
      <xdr:colOff>271612</xdr:colOff>
      <xdr:row>37</xdr:row>
      <xdr:rowOff>104179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903CD347-66FD-4AC8-ACF3-000290830159}"/>
            </a:ext>
          </a:extLst>
        </xdr:cNvPr>
        <xdr:cNvCxnSpPr/>
      </xdr:nvCxnSpPr>
      <xdr:spPr>
        <a:xfrm flipV="1">
          <a:off x="5350371" y="7233047"/>
          <a:ext cx="2210098" cy="3311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0026-7E9A-464A-B370-752181581256}">
  <dimension ref="C2:V121"/>
  <sheetViews>
    <sheetView tabSelected="1" topLeftCell="K84" zoomScale="130" zoomScaleNormal="130" workbookViewId="0">
      <selection activeCell="M89" sqref="M89"/>
    </sheetView>
  </sheetViews>
  <sheetFormatPr baseColWidth="10" defaultRowHeight="15" x14ac:dyDescent="0.25"/>
  <cols>
    <col min="5" max="5" width="13.28515625" customWidth="1"/>
    <col min="6" max="6" width="18.85546875" customWidth="1"/>
    <col min="7" max="7" width="12.85546875" customWidth="1"/>
    <col min="8" max="8" width="13.85546875" bestFit="1" customWidth="1"/>
    <col min="9" max="9" width="20.42578125" customWidth="1"/>
    <col min="10" max="10" width="30" customWidth="1"/>
    <col min="11" max="11" width="48.140625" customWidth="1"/>
    <col min="12" max="12" width="37.5703125" customWidth="1"/>
    <col min="13" max="13" width="29" bestFit="1" customWidth="1"/>
    <col min="14" max="14" width="28.28515625" customWidth="1"/>
    <col min="15" max="15" width="56" customWidth="1"/>
    <col min="16" max="16" width="23.5703125" customWidth="1"/>
    <col min="17" max="17" width="22.42578125" bestFit="1" customWidth="1"/>
    <col min="18" max="18" width="43.85546875" customWidth="1"/>
  </cols>
  <sheetData>
    <row r="2" spans="6:16" ht="21" x14ac:dyDescent="0.35">
      <c r="F2" s="9" t="s">
        <v>33</v>
      </c>
    </row>
    <row r="3" spans="6:16" x14ac:dyDescent="0.25">
      <c r="G3" t="s">
        <v>0</v>
      </c>
      <c r="H3" t="s">
        <v>1</v>
      </c>
      <c r="I3" t="s">
        <v>2</v>
      </c>
      <c r="J3" t="s">
        <v>7</v>
      </c>
      <c r="K3" t="s">
        <v>13</v>
      </c>
      <c r="L3" s="3" t="s">
        <v>0</v>
      </c>
      <c r="M3" s="3" t="s">
        <v>8</v>
      </c>
      <c r="N3" s="3" t="s">
        <v>9</v>
      </c>
      <c r="O3" s="3" t="s">
        <v>10</v>
      </c>
      <c r="P3" s="3" t="s">
        <v>11</v>
      </c>
    </row>
    <row r="4" spans="6:16" x14ac:dyDescent="0.25">
      <c r="G4">
        <v>0</v>
      </c>
      <c r="H4" s="1">
        <v>44469</v>
      </c>
      <c r="I4">
        <v>-98</v>
      </c>
      <c r="L4" s="2">
        <v>0</v>
      </c>
      <c r="M4" s="2">
        <v>-97.75</v>
      </c>
      <c r="N4" s="2">
        <v>-95.18</v>
      </c>
      <c r="O4" s="2">
        <v>-92.18</v>
      </c>
      <c r="P4" s="2">
        <v>-88.85</v>
      </c>
    </row>
    <row r="5" spans="6:16" x14ac:dyDescent="0.25">
      <c r="G5">
        <v>1</v>
      </c>
      <c r="H5" s="1">
        <v>44650</v>
      </c>
      <c r="I5">
        <f>100*0.06/2</f>
        <v>3</v>
      </c>
      <c r="J5" s="6">
        <f>+M9</f>
        <v>2.3017902813299296E-2</v>
      </c>
      <c r="K5" s="7">
        <f>+I5/(1+J5)^G5</f>
        <v>2.9324999999999997</v>
      </c>
      <c r="L5" s="2">
        <v>1</v>
      </c>
      <c r="M5" s="2">
        <v>100</v>
      </c>
      <c r="N5" s="2">
        <v>0</v>
      </c>
      <c r="O5" s="2">
        <v>0</v>
      </c>
      <c r="P5" s="2">
        <v>0</v>
      </c>
    </row>
    <row r="6" spans="6:16" x14ac:dyDescent="0.25">
      <c r="G6">
        <v>2</v>
      </c>
      <c r="H6" s="1">
        <v>44834</v>
      </c>
      <c r="I6">
        <f t="shared" ref="I6:I7" si="0">100*0.06/2</f>
        <v>3</v>
      </c>
      <c r="J6" s="6">
        <f>+N11</f>
        <v>5.0640890943475445E-2</v>
      </c>
      <c r="K6" s="7">
        <f>+I6/(1+J6)</f>
        <v>2.8554000000000004</v>
      </c>
      <c r="L6" s="2">
        <v>2</v>
      </c>
      <c r="M6" s="2"/>
      <c r="N6" s="2">
        <v>100</v>
      </c>
      <c r="O6" s="2">
        <v>0</v>
      </c>
      <c r="P6" s="2">
        <v>0</v>
      </c>
    </row>
    <row r="7" spans="6:16" x14ac:dyDescent="0.25">
      <c r="G7">
        <v>3</v>
      </c>
      <c r="H7" s="1">
        <v>45015</v>
      </c>
      <c r="I7">
        <f t="shared" si="0"/>
        <v>3</v>
      </c>
      <c r="J7" s="6">
        <f>+O11</f>
        <v>8.48340203948795E-2</v>
      </c>
      <c r="K7" s="7">
        <f>+I7/(1+J7)</f>
        <v>2.7654000000000005</v>
      </c>
      <c r="L7" s="2">
        <v>3</v>
      </c>
      <c r="M7" s="2"/>
      <c r="N7" s="2"/>
      <c r="O7" s="2">
        <v>100</v>
      </c>
      <c r="P7" s="2">
        <v>0</v>
      </c>
    </row>
    <row r="8" spans="6:16" x14ac:dyDescent="0.25">
      <c r="G8">
        <v>4</v>
      </c>
      <c r="H8" s="1">
        <v>45199</v>
      </c>
      <c r="I8">
        <f>100+I7</f>
        <v>103</v>
      </c>
      <c r="J8" s="6">
        <f>+P11</f>
        <v>0.12549240292628033</v>
      </c>
      <c r="K8" s="7">
        <f>+I8/(1+J8)</f>
        <v>91.515500000000003</v>
      </c>
      <c r="L8" s="2">
        <v>4</v>
      </c>
      <c r="M8" s="2"/>
      <c r="N8" s="2"/>
      <c r="O8" s="2"/>
      <c r="P8" s="2">
        <v>100</v>
      </c>
    </row>
    <row r="9" spans="6:16" x14ac:dyDescent="0.25">
      <c r="L9" t="s">
        <v>12</v>
      </c>
      <c r="M9" s="4">
        <f>+IRR(M4:M8)</f>
        <v>2.3017902813299296E-2</v>
      </c>
      <c r="N9" s="4">
        <f t="shared" ref="N9:P9" si="1">+IRR(N4:N8)</f>
        <v>2.5007751650432786E-2</v>
      </c>
      <c r="O9" s="4">
        <f t="shared" si="1"/>
        <v>2.7514041407799672E-2</v>
      </c>
      <c r="P9" s="4">
        <f t="shared" si="1"/>
        <v>2.9996246280398209E-2</v>
      </c>
    </row>
    <row r="10" spans="6:16" x14ac:dyDescent="0.25">
      <c r="H10" t="s">
        <v>14</v>
      </c>
      <c r="I10" s="8">
        <f>+SUM(K5:K8)</f>
        <v>100.06880000000001</v>
      </c>
      <c r="M10" s="5" t="s">
        <v>3</v>
      </c>
      <c r="N10" s="5" t="s">
        <v>4</v>
      </c>
      <c r="O10" s="5" t="s">
        <v>5</v>
      </c>
      <c r="P10" s="5" t="s">
        <v>6</v>
      </c>
    </row>
    <row r="11" spans="6:16" x14ac:dyDescent="0.25">
      <c r="H11" t="s">
        <v>15</v>
      </c>
      <c r="I11" s="8">
        <f>+I10-98</f>
        <v>2.0688000000000102</v>
      </c>
      <c r="M11">
        <f>+(M5+M4)/97.75</f>
        <v>2.3017902813299233E-2</v>
      </c>
      <c r="N11">
        <f>+(100-95.18)/95.18</f>
        <v>5.0640890943475445E-2</v>
      </c>
      <c r="O11">
        <f>+(O7-92.18)/92.18</f>
        <v>8.48340203948795E-2</v>
      </c>
      <c r="P11">
        <f>+(100-88.85)/88.85</f>
        <v>0.12549240292628033</v>
      </c>
    </row>
    <row r="12" spans="6:16" x14ac:dyDescent="0.25">
      <c r="H12" t="s">
        <v>15</v>
      </c>
      <c r="I12" t="s">
        <v>16</v>
      </c>
    </row>
    <row r="16" spans="6:16" x14ac:dyDescent="0.25">
      <c r="H16" t="s">
        <v>17</v>
      </c>
      <c r="I16" t="s">
        <v>18</v>
      </c>
    </row>
    <row r="17" spans="8:9" x14ac:dyDescent="0.25">
      <c r="I17" t="s">
        <v>19</v>
      </c>
    </row>
    <row r="18" spans="8:9" x14ac:dyDescent="0.25">
      <c r="I18" t="s">
        <v>20</v>
      </c>
    </row>
    <row r="19" spans="8:9" x14ac:dyDescent="0.25">
      <c r="I19" t="s">
        <v>21</v>
      </c>
    </row>
    <row r="21" spans="8:9" x14ac:dyDescent="0.25">
      <c r="H21" t="s">
        <v>22</v>
      </c>
      <c r="I21" t="s">
        <v>23</v>
      </c>
    </row>
    <row r="22" spans="8:9" x14ac:dyDescent="0.25">
      <c r="I22" t="s">
        <v>24</v>
      </c>
    </row>
    <row r="23" spans="8:9" x14ac:dyDescent="0.25">
      <c r="I23" t="s">
        <v>25</v>
      </c>
    </row>
    <row r="26" spans="8:9" x14ac:dyDescent="0.25">
      <c r="H26" t="s">
        <v>26</v>
      </c>
      <c r="I26" t="s">
        <v>27</v>
      </c>
    </row>
    <row r="27" spans="8:9" x14ac:dyDescent="0.25">
      <c r="I27" t="s">
        <v>28</v>
      </c>
    </row>
    <row r="29" spans="8:9" x14ac:dyDescent="0.25">
      <c r="H29" t="s">
        <v>29</v>
      </c>
      <c r="I29" t="s">
        <v>30</v>
      </c>
    </row>
    <row r="30" spans="8:9" x14ac:dyDescent="0.25">
      <c r="I30" t="s">
        <v>31</v>
      </c>
    </row>
    <row r="33" spans="3:22" ht="18.75" x14ac:dyDescent="0.3">
      <c r="E33" s="10" t="s">
        <v>32</v>
      </c>
    </row>
    <row r="34" spans="3:22" ht="21" x14ac:dyDescent="0.35"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3:22" ht="21" x14ac:dyDescent="0.35">
      <c r="C35" s="11"/>
      <c r="D35" s="11"/>
      <c r="E35" s="12" t="s">
        <v>34</v>
      </c>
      <c r="F35" s="12">
        <f>60*10*(1-0.075)</f>
        <v>555</v>
      </c>
      <c r="G35" s="12" t="s">
        <v>35</v>
      </c>
      <c r="H35" s="13">
        <f>+F35*0.7</f>
        <v>388.5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3:22" ht="21" x14ac:dyDescent="0.35">
      <c r="C36" s="11"/>
      <c r="D36" s="11"/>
      <c r="E36" s="11" t="s">
        <v>36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3:22" ht="21" x14ac:dyDescent="0.35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3:22" ht="21" x14ac:dyDescent="0.35">
      <c r="C38" s="11"/>
      <c r="D38" s="11"/>
      <c r="E38" s="11"/>
      <c r="F38" s="11" t="s">
        <v>44</v>
      </c>
      <c r="G38" s="11">
        <v>0</v>
      </c>
      <c r="H38" s="11"/>
      <c r="I38" s="11"/>
      <c r="J38" s="11" t="s">
        <v>45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3:22" ht="21" x14ac:dyDescent="0.35">
      <c r="C39" s="11"/>
      <c r="D39" s="11"/>
      <c r="E39" s="15" t="s">
        <v>0</v>
      </c>
      <c r="F39" s="15" t="s">
        <v>37</v>
      </c>
      <c r="G39" s="15" t="s">
        <v>38</v>
      </c>
      <c r="H39" s="15" t="s">
        <v>39</v>
      </c>
      <c r="I39" s="15" t="s">
        <v>40</v>
      </c>
      <c r="J39" s="15" t="s">
        <v>41</v>
      </c>
      <c r="K39" s="15" t="s">
        <v>42</v>
      </c>
      <c r="L39" s="15" t="s">
        <v>43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3:22" ht="21" x14ac:dyDescent="0.35">
      <c r="C40" s="11"/>
      <c r="D40" s="11"/>
      <c r="E40" s="14">
        <v>0</v>
      </c>
      <c r="F40" s="14"/>
      <c r="G40" s="14"/>
      <c r="H40" s="14"/>
      <c r="I40" s="14"/>
      <c r="J40" s="14"/>
      <c r="K40" s="19">
        <f>+F41</f>
        <v>388.5</v>
      </c>
      <c r="L40" s="19">
        <f>+K40</f>
        <v>388.5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3:22" ht="21" x14ac:dyDescent="0.35">
      <c r="C41" s="11"/>
      <c r="D41" s="11"/>
      <c r="E41" s="14">
        <v>1</v>
      </c>
      <c r="F41" s="17">
        <v>388.5</v>
      </c>
      <c r="G41" s="17">
        <f>+F41*0.12/2</f>
        <v>23.31</v>
      </c>
      <c r="H41" s="16">
        <f>+I41-G41</f>
        <v>23.029125914387837</v>
      </c>
      <c r="I41" s="16">
        <f>+PMT(0.12/2,12,-388.5)</f>
        <v>46.339125914387836</v>
      </c>
      <c r="J41" s="17">
        <f>+G41*0.35</f>
        <v>8.1584999999999983</v>
      </c>
      <c r="K41" s="16">
        <f>-I41</f>
        <v>-46.339125914387836</v>
      </c>
      <c r="L41" s="16">
        <f>+J41-I41</f>
        <v>-38.180625914387839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3:22" ht="21" x14ac:dyDescent="0.35">
      <c r="C42" s="11"/>
      <c r="D42" s="11"/>
      <c r="E42" s="14">
        <v>2</v>
      </c>
      <c r="F42" s="16">
        <f>+F41-H41</f>
        <v>365.47087408561214</v>
      </c>
      <c r="G42" s="14">
        <f t="shared" ref="G42:G46" si="2">+F42*0.12/2</f>
        <v>21.928252445136728</v>
      </c>
      <c r="H42" s="16">
        <f t="shared" ref="H42:H52" si="3">+I42-G42</f>
        <v>24.410873469251108</v>
      </c>
      <c r="I42" s="16">
        <f t="shared" ref="I42:I52" si="4">+PMT(0.12/2,12,-388.5)</f>
        <v>46.339125914387836</v>
      </c>
      <c r="J42" s="17">
        <f t="shared" ref="J42:J52" si="5">+G42*0.35</f>
        <v>7.6748883557978544</v>
      </c>
      <c r="K42" s="16">
        <f t="shared" ref="K42:K52" si="6">-I42</f>
        <v>-46.339125914387836</v>
      </c>
      <c r="L42" s="16">
        <f t="shared" ref="L42:L52" si="7">+J42-I42</f>
        <v>-38.664237558589981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3:22" ht="21" x14ac:dyDescent="0.35">
      <c r="C43" s="11"/>
      <c r="D43" s="11"/>
      <c r="E43" s="14">
        <v>3</v>
      </c>
      <c r="F43" s="16">
        <f t="shared" ref="F43:F52" si="8">+F42-H42</f>
        <v>341.06000061636104</v>
      </c>
      <c r="G43" s="14">
        <f t="shared" si="2"/>
        <v>20.46360003698166</v>
      </c>
      <c r="H43" s="16">
        <f t="shared" si="3"/>
        <v>25.875525877406176</v>
      </c>
      <c r="I43" s="16">
        <f t="shared" si="4"/>
        <v>46.339125914387836</v>
      </c>
      <c r="J43" s="17">
        <f t="shared" si="5"/>
        <v>7.1622600129435803</v>
      </c>
      <c r="K43" s="16">
        <f t="shared" si="6"/>
        <v>-46.339125914387836</v>
      </c>
      <c r="L43" s="16">
        <f t="shared" si="7"/>
        <v>-39.176865901444259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3:22" ht="21" x14ac:dyDescent="0.35">
      <c r="C44" s="11"/>
      <c r="D44" s="11"/>
      <c r="E44" s="14">
        <v>4</v>
      </c>
      <c r="F44" s="16">
        <f t="shared" si="8"/>
        <v>315.18447473895486</v>
      </c>
      <c r="G44" s="14">
        <f t="shared" si="2"/>
        <v>18.911068484337292</v>
      </c>
      <c r="H44" s="16">
        <f t="shared" si="3"/>
        <v>27.428057430050544</v>
      </c>
      <c r="I44" s="16">
        <f t="shared" si="4"/>
        <v>46.339125914387836</v>
      </c>
      <c r="J44" s="17">
        <f t="shared" si="5"/>
        <v>6.6188739695180523</v>
      </c>
      <c r="K44" s="16">
        <f t="shared" si="6"/>
        <v>-46.339125914387836</v>
      </c>
      <c r="L44" s="16">
        <f t="shared" si="7"/>
        <v>-39.720251944869787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3:22" ht="21" x14ac:dyDescent="0.35">
      <c r="C45" s="11"/>
      <c r="D45" s="11"/>
      <c r="E45" s="14">
        <v>5</v>
      </c>
      <c r="F45" s="16">
        <f t="shared" si="8"/>
        <v>287.7564173089043</v>
      </c>
      <c r="G45" s="14">
        <f t="shared" si="2"/>
        <v>17.265385038534259</v>
      </c>
      <c r="H45" s="16">
        <f t="shared" si="3"/>
        <v>29.073740875853577</v>
      </c>
      <c r="I45" s="16">
        <f t="shared" si="4"/>
        <v>46.339125914387836</v>
      </c>
      <c r="J45" s="17">
        <f t="shared" si="5"/>
        <v>6.04288476348699</v>
      </c>
      <c r="K45" s="16">
        <f t="shared" si="6"/>
        <v>-46.339125914387836</v>
      </c>
      <c r="L45" s="16">
        <f t="shared" si="7"/>
        <v>-40.296241150900848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3:22" ht="21" x14ac:dyDescent="0.35">
      <c r="C46" s="11"/>
      <c r="D46" s="11"/>
      <c r="E46" s="14">
        <v>6</v>
      </c>
      <c r="F46" s="16">
        <f t="shared" si="8"/>
        <v>258.68267643305074</v>
      </c>
      <c r="G46" s="14">
        <f>+F46*0.12/2</f>
        <v>15.520960585983044</v>
      </c>
      <c r="H46" s="16">
        <f t="shared" si="3"/>
        <v>30.818165328404792</v>
      </c>
      <c r="I46" s="16">
        <f t="shared" si="4"/>
        <v>46.339125914387836</v>
      </c>
      <c r="J46" s="17">
        <f t="shared" si="5"/>
        <v>5.4323362050940647</v>
      </c>
      <c r="K46" s="16">
        <f t="shared" si="6"/>
        <v>-46.339125914387836</v>
      </c>
      <c r="L46" s="16">
        <f t="shared" si="7"/>
        <v>-40.906789709293768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3:22" ht="21" x14ac:dyDescent="0.35">
      <c r="C47" s="11"/>
      <c r="D47" s="11"/>
      <c r="E47" s="14">
        <v>7</v>
      </c>
      <c r="F47" s="16">
        <f t="shared" si="8"/>
        <v>227.86451110464594</v>
      </c>
      <c r="G47" s="14">
        <f>+F47*0.18/2</f>
        <v>20.507805999418135</v>
      </c>
      <c r="H47" s="16">
        <f t="shared" si="3"/>
        <v>30.287701435975496</v>
      </c>
      <c r="I47" s="16">
        <f>+PMT(0.18/2,6,-$F$47)</f>
        <v>50.795507435393631</v>
      </c>
      <c r="J47" s="17">
        <f t="shared" si="5"/>
        <v>7.177732099796347</v>
      </c>
      <c r="K47" s="16">
        <f t="shared" si="6"/>
        <v>-50.795507435393631</v>
      </c>
      <c r="L47" s="16">
        <f t="shared" si="7"/>
        <v>-43.617775335597287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3:22" ht="21" x14ac:dyDescent="0.35">
      <c r="C48" s="11"/>
      <c r="D48" s="11"/>
      <c r="E48" s="14">
        <v>8</v>
      </c>
      <c r="F48" s="16">
        <f t="shared" si="8"/>
        <v>197.57680966867045</v>
      </c>
      <c r="G48" s="14">
        <f>+F48*0.18/2</f>
        <v>17.781912870180339</v>
      </c>
      <c r="H48" s="16">
        <f t="shared" si="3"/>
        <v>33.013594565213296</v>
      </c>
      <c r="I48" s="16">
        <f t="shared" ref="I48:I52" si="9">+PMT(0.18/2,6,-$F$47)</f>
        <v>50.795507435393631</v>
      </c>
      <c r="J48" s="17">
        <f t="shared" si="5"/>
        <v>6.2236695045631185</v>
      </c>
      <c r="K48" s="16">
        <f t="shared" si="6"/>
        <v>-50.795507435393631</v>
      </c>
      <c r="L48" s="16">
        <f t="shared" si="7"/>
        <v>-44.571837930830512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3:22" ht="21" x14ac:dyDescent="0.35">
      <c r="C49" s="11"/>
      <c r="D49" s="11"/>
      <c r="E49" s="14">
        <v>9</v>
      </c>
      <c r="F49" s="16">
        <f t="shared" si="8"/>
        <v>164.56321510345714</v>
      </c>
      <c r="G49" s="14">
        <f t="shared" ref="G48:G52" si="10">+F49*0.18/2</f>
        <v>14.810689359311143</v>
      </c>
      <c r="H49" s="16">
        <f t="shared" si="3"/>
        <v>35.98481807608249</v>
      </c>
      <c r="I49" s="16">
        <f t="shared" si="9"/>
        <v>50.795507435393631</v>
      </c>
      <c r="J49" s="17">
        <f t="shared" si="5"/>
        <v>5.1837412757588996</v>
      </c>
      <c r="K49" s="16">
        <f t="shared" si="6"/>
        <v>-50.795507435393631</v>
      </c>
      <c r="L49" s="16">
        <f t="shared" si="7"/>
        <v>-45.611766159634733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3:22" ht="21" x14ac:dyDescent="0.35">
      <c r="C50" s="11"/>
      <c r="D50" s="11"/>
      <c r="E50" s="14">
        <v>10</v>
      </c>
      <c r="F50" s="16">
        <f t="shared" si="8"/>
        <v>128.57839702737465</v>
      </c>
      <c r="G50" s="14">
        <f t="shared" si="10"/>
        <v>11.572055732463719</v>
      </c>
      <c r="H50" s="16">
        <f t="shared" si="3"/>
        <v>39.223451702929914</v>
      </c>
      <c r="I50" s="16">
        <f t="shared" si="9"/>
        <v>50.795507435393631</v>
      </c>
      <c r="J50" s="17">
        <f t="shared" si="5"/>
        <v>4.0502195063623017</v>
      </c>
      <c r="K50" s="16">
        <f t="shared" si="6"/>
        <v>-50.795507435393631</v>
      </c>
      <c r="L50" s="16">
        <f t="shared" si="7"/>
        <v>-46.745287929031328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3:22" ht="21" x14ac:dyDescent="0.35">
      <c r="C51" s="11"/>
      <c r="D51" s="11"/>
      <c r="E51" s="14">
        <v>11</v>
      </c>
      <c r="F51" s="16">
        <f t="shared" si="8"/>
        <v>89.354945324444742</v>
      </c>
      <c r="G51" s="14">
        <f t="shared" si="10"/>
        <v>8.0419450792000262</v>
      </c>
      <c r="H51" s="16">
        <f t="shared" si="3"/>
        <v>42.753562356193605</v>
      </c>
      <c r="I51" s="16">
        <f t="shared" si="9"/>
        <v>50.795507435393631</v>
      </c>
      <c r="J51" s="17">
        <f t="shared" si="5"/>
        <v>2.8146807777200089</v>
      </c>
      <c r="K51" s="16">
        <f t="shared" si="6"/>
        <v>-50.795507435393631</v>
      </c>
      <c r="L51" s="16">
        <f t="shared" si="7"/>
        <v>-47.980826657673624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3:22" ht="21" x14ac:dyDescent="0.35">
      <c r="C52" s="11"/>
      <c r="D52" s="11"/>
      <c r="E52" s="14">
        <v>12</v>
      </c>
      <c r="F52" s="18">
        <f t="shared" si="8"/>
        <v>46.601382968251137</v>
      </c>
      <c r="G52" s="14">
        <f t="shared" si="10"/>
        <v>4.1941244671426023</v>
      </c>
      <c r="H52" s="18">
        <f t="shared" si="3"/>
        <v>46.601382968251031</v>
      </c>
      <c r="I52" s="16">
        <f t="shared" si="9"/>
        <v>50.795507435393631</v>
      </c>
      <c r="J52" s="17">
        <f t="shared" si="5"/>
        <v>1.4679435634999107</v>
      </c>
      <c r="K52" s="16">
        <f t="shared" si="6"/>
        <v>-50.795507435393631</v>
      </c>
      <c r="L52" s="16">
        <f t="shared" si="7"/>
        <v>-49.327563871893723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3:22" ht="31.5" customHeight="1" thickBot="1" x14ac:dyDescent="0.4">
      <c r="C53" s="11"/>
      <c r="D53" s="11"/>
      <c r="E53" s="11"/>
      <c r="F53" s="11"/>
      <c r="G53" s="11"/>
      <c r="H53" s="11"/>
      <c r="I53" s="11"/>
      <c r="J53" s="11" t="s">
        <v>46</v>
      </c>
      <c r="K53" s="20">
        <f>+IRR(K40:K52)</f>
        <v>6.7020285625243758E-2</v>
      </c>
      <c r="L53" s="20">
        <f>+IRR(L40:L52)</f>
        <v>4.3997565626864965E-2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3:22" ht="45.75" customHeight="1" x14ac:dyDescent="0.35">
      <c r="C54" s="11"/>
      <c r="D54" s="11"/>
      <c r="E54" s="11"/>
      <c r="F54" s="11"/>
      <c r="G54" s="11"/>
      <c r="H54" s="11"/>
      <c r="I54" s="11"/>
      <c r="J54" s="11" t="s">
        <v>47</v>
      </c>
      <c r="K54" s="21">
        <f>+(1+K53)^2-1</f>
        <v>0.13853228993577682</v>
      </c>
      <c r="L54" s="23">
        <f>+(1+L53)^2-1</f>
        <v>8.9930917034820146E-2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3:22" ht="21.75" thickBot="1" x14ac:dyDescent="0.4">
      <c r="C55" s="11"/>
      <c r="D55" s="11"/>
      <c r="E55" s="11"/>
      <c r="F55" s="11"/>
      <c r="G55" s="11"/>
      <c r="H55" s="11"/>
      <c r="I55" s="11"/>
      <c r="J55" s="11"/>
      <c r="K55" s="22" t="s">
        <v>48</v>
      </c>
      <c r="L55" s="24" t="s">
        <v>49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3:22" ht="21" x14ac:dyDescent="0.35"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3:22" ht="21" x14ac:dyDescent="0.35"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3:22" ht="21" x14ac:dyDescent="0.35">
      <c r="C58" s="11"/>
      <c r="D58" s="11"/>
      <c r="E58" s="11"/>
      <c r="F58" s="11" t="s">
        <v>50</v>
      </c>
      <c r="G58" s="11"/>
      <c r="H58" s="27" t="s">
        <v>51</v>
      </c>
      <c r="I58" s="27"/>
      <c r="J58" s="11" t="s">
        <v>45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3:22" ht="21" x14ac:dyDescent="0.35">
      <c r="C59" s="11"/>
      <c r="D59" s="11"/>
      <c r="E59" s="15" t="s">
        <v>0</v>
      </c>
      <c r="F59" s="15" t="s">
        <v>37</v>
      </c>
      <c r="G59" s="15" t="s">
        <v>38</v>
      </c>
      <c r="H59" s="25" t="s">
        <v>39</v>
      </c>
      <c r="I59" s="25" t="s">
        <v>40</v>
      </c>
      <c r="J59" s="15" t="s">
        <v>41</v>
      </c>
      <c r="K59" s="15" t="s">
        <v>42</v>
      </c>
      <c r="L59" s="15" t="s">
        <v>43</v>
      </c>
      <c r="M59" s="11"/>
      <c r="N59" s="28" t="s">
        <v>0</v>
      </c>
      <c r="O59" s="28" t="s">
        <v>52</v>
      </c>
      <c r="P59" s="11"/>
      <c r="Q59" s="11"/>
      <c r="R59" s="11"/>
      <c r="S59" s="11"/>
      <c r="T59" s="11"/>
      <c r="U59" s="11"/>
      <c r="V59" s="11"/>
    </row>
    <row r="60" spans="3:22" ht="21" x14ac:dyDescent="0.35">
      <c r="C60" s="11"/>
      <c r="D60" s="11"/>
      <c r="E60" s="14">
        <v>0</v>
      </c>
      <c r="F60" s="14"/>
      <c r="G60" s="14"/>
      <c r="H60" s="25"/>
      <c r="I60" s="25"/>
      <c r="J60" s="14"/>
      <c r="K60" s="19">
        <f>+F61</f>
        <v>388.5</v>
      </c>
      <c r="L60" s="19">
        <f>+K60</f>
        <v>388.5</v>
      </c>
      <c r="M60" s="11"/>
      <c r="N60" s="14">
        <v>0</v>
      </c>
      <c r="O60" s="19">
        <f>+L40-L60</f>
        <v>0</v>
      </c>
      <c r="P60" s="11"/>
      <c r="Q60" s="11"/>
      <c r="R60" s="11"/>
      <c r="S60" s="11"/>
      <c r="T60" s="11"/>
      <c r="U60" s="11"/>
      <c r="V60" s="11"/>
    </row>
    <row r="61" spans="3:22" ht="21" x14ac:dyDescent="0.35">
      <c r="C61" s="11"/>
      <c r="D61" s="11"/>
      <c r="E61" s="14">
        <v>1</v>
      </c>
      <c r="F61" s="17">
        <v>388.5</v>
      </c>
      <c r="G61" s="17">
        <f>+F61*0.12/2</f>
        <v>23.31</v>
      </c>
      <c r="H61" s="26">
        <f>388.5/12</f>
        <v>32.375</v>
      </c>
      <c r="I61" s="26">
        <f>+H61+G61</f>
        <v>55.685000000000002</v>
      </c>
      <c r="J61" s="17">
        <f>+G61*0.35</f>
        <v>8.1584999999999983</v>
      </c>
      <c r="K61" s="16">
        <f>-I61</f>
        <v>-55.685000000000002</v>
      </c>
      <c r="L61" s="16">
        <f>+J61-I61</f>
        <v>-47.526500000000006</v>
      </c>
      <c r="M61" s="11"/>
      <c r="N61" s="14">
        <v>1</v>
      </c>
      <c r="O61" s="19">
        <f t="shared" ref="O61:O72" si="11">+L41-L61</f>
        <v>9.3458740856121665</v>
      </c>
      <c r="P61" s="11"/>
      <c r="Q61" s="11"/>
      <c r="R61" s="11"/>
      <c r="S61" s="11"/>
      <c r="T61" s="11"/>
      <c r="U61" s="11"/>
      <c r="V61" s="11"/>
    </row>
    <row r="62" spans="3:22" ht="21" x14ac:dyDescent="0.35">
      <c r="C62" s="11"/>
      <c r="D62" s="11"/>
      <c r="E62" s="14">
        <v>2</v>
      </c>
      <c r="F62" s="16">
        <f>+F61-H61</f>
        <v>356.125</v>
      </c>
      <c r="G62" s="14">
        <f t="shared" ref="G62:G65" si="12">+F62*0.12/2</f>
        <v>21.3675</v>
      </c>
      <c r="H62" s="26">
        <f t="shared" ref="H62:H72" si="13">388.5/12</f>
        <v>32.375</v>
      </c>
      <c r="I62" s="26">
        <f t="shared" ref="I62:I72" si="14">+H62+G62</f>
        <v>53.7425</v>
      </c>
      <c r="J62" s="17">
        <f t="shared" ref="J62:J72" si="15">+G62*0.35</f>
        <v>7.4786249999999992</v>
      </c>
      <c r="K62" s="16">
        <f t="shared" ref="K62:K72" si="16">-I62</f>
        <v>-53.7425</v>
      </c>
      <c r="L62" s="16">
        <f t="shared" ref="L62:L72" si="17">+J62-I62</f>
        <v>-46.263874999999999</v>
      </c>
      <c r="M62" s="11"/>
      <c r="N62" s="14">
        <v>2</v>
      </c>
      <c r="O62" s="19">
        <f t="shared" si="11"/>
        <v>7.5996374414100174</v>
      </c>
      <c r="P62" s="11"/>
      <c r="Q62" s="11"/>
      <c r="R62" s="11"/>
      <c r="S62" s="11"/>
      <c r="T62" s="11"/>
      <c r="U62" s="11"/>
      <c r="V62" s="11"/>
    </row>
    <row r="63" spans="3:22" ht="21" x14ac:dyDescent="0.35">
      <c r="C63" s="11"/>
      <c r="D63" s="11"/>
      <c r="E63" s="14">
        <v>3</v>
      </c>
      <c r="F63" s="16">
        <f t="shared" ref="F63:F72" si="18">+F62-H62</f>
        <v>323.75</v>
      </c>
      <c r="G63" s="14">
        <f t="shared" si="12"/>
        <v>19.425000000000001</v>
      </c>
      <c r="H63" s="26">
        <f t="shared" si="13"/>
        <v>32.375</v>
      </c>
      <c r="I63" s="26">
        <f t="shared" si="14"/>
        <v>51.8</v>
      </c>
      <c r="J63" s="17">
        <f t="shared" si="15"/>
        <v>6.7987500000000001</v>
      </c>
      <c r="K63" s="16">
        <f t="shared" si="16"/>
        <v>-51.8</v>
      </c>
      <c r="L63" s="16">
        <f t="shared" si="17"/>
        <v>-45.001249999999999</v>
      </c>
      <c r="M63" s="11"/>
      <c r="N63" s="14">
        <v>3</v>
      </c>
      <c r="O63" s="19">
        <f t="shared" si="11"/>
        <v>5.8243840985557398</v>
      </c>
      <c r="P63" s="11"/>
      <c r="Q63" s="11"/>
      <c r="R63" s="11"/>
      <c r="S63" s="11"/>
      <c r="T63" s="11"/>
      <c r="U63" s="11"/>
      <c r="V63" s="11"/>
    </row>
    <row r="64" spans="3:22" ht="21" x14ac:dyDescent="0.35">
      <c r="E64" s="14">
        <v>4</v>
      </c>
      <c r="F64" s="16">
        <f t="shared" si="18"/>
        <v>291.375</v>
      </c>
      <c r="G64" s="14">
        <f t="shared" si="12"/>
        <v>17.482499999999998</v>
      </c>
      <c r="H64" s="26">
        <f t="shared" si="13"/>
        <v>32.375</v>
      </c>
      <c r="I64" s="26">
        <f t="shared" si="14"/>
        <v>49.857500000000002</v>
      </c>
      <c r="J64" s="17">
        <f t="shared" si="15"/>
        <v>6.1188749999999992</v>
      </c>
      <c r="K64" s="16">
        <f t="shared" si="16"/>
        <v>-49.857500000000002</v>
      </c>
      <c r="L64" s="16">
        <f t="shared" si="17"/>
        <v>-43.738624999999999</v>
      </c>
      <c r="N64" s="14">
        <v>4</v>
      </c>
      <c r="O64" s="19">
        <f t="shared" si="11"/>
        <v>4.0183730551302119</v>
      </c>
    </row>
    <row r="65" spans="5:18" ht="21" x14ac:dyDescent="0.35">
      <c r="E65" s="14">
        <v>5</v>
      </c>
      <c r="F65" s="16">
        <f t="shared" si="18"/>
        <v>259</v>
      </c>
      <c r="G65" s="14">
        <f t="shared" si="12"/>
        <v>15.54</v>
      </c>
      <c r="H65" s="26">
        <f t="shared" si="13"/>
        <v>32.375</v>
      </c>
      <c r="I65" s="26">
        <f t="shared" si="14"/>
        <v>47.914999999999999</v>
      </c>
      <c r="J65" s="17">
        <f t="shared" si="15"/>
        <v>5.4389999999999992</v>
      </c>
      <c r="K65" s="16">
        <f t="shared" si="16"/>
        <v>-47.914999999999999</v>
      </c>
      <c r="L65" s="16">
        <f t="shared" si="17"/>
        <v>-42.475999999999999</v>
      </c>
      <c r="N65" s="14">
        <v>5</v>
      </c>
      <c r="O65" s="19">
        <f t="shared" si="11"/>
        <v>2.1797588490991515</v>
      </c>
    </row>
    <row r="66" spans="5:18" ht="21" x14ac:dyDescent="0.35">
      <c r="E66" s="14">
        <v>6</v>
      </c>
      <c r="F66" s="16">
        <f t="shared" si="18"/>
        <v>226.625</v>
      </c>
      <c r="G66" s="14">
        <f>+F66*0.12/2</f>
        <v>13.5975</v>
      </c>
      <c r="H66" s="26">
        <f t="shared" si="13"/>
        <v>32.375</v>
      </c>
      <c r="I66" s="26">
        <f t="shared" si="14"/>
        <v>45.972499999999997</v>
      </c>
      <c r="J66" s="17">
        <f t="shared" si="15"/>
        <v>4.759125</v>
      </c>
      <c r="K66" s="16">
        <f t="shared" si="16"/>
        <v>-45.972499999999997</v>
      </c>
      <c r="L66" s="16">
        <f t="shared" si="17"/>
        <v>-41.213374999999999</v>
      </c>
      <c r="N66" s="14">
        <v>6</v>
      </c>
      <c r="O66" s="19">
        <f t="shared" si="11"/>
        <v>0.30658529070623075</v>
      </c>
    </row>
    <row r="67" spans="5:18" ht="21" x14ac:dyDescent="0.35">
      <c r="E67" s="14">
        <v>7</v>
      </c>
      <c r="F67" s="16">
        <f t="shared" si="18"/>
        <v>194.25</v>
      </c>
      <c r="G67" s="14">
        <f>+F67*0.18/2</f>
        <v>17.482499999999998</v>
      </c>
      <c r="H67" s="26">
        <f t="shared" si="13"/>
        <v>32.375</v>
      </c>
      <c r="I67" s="26">
        <f t="shared" si="14"/>
        <v>49.857500000000002</v>
      </c>
      <c r="J67" s="17">
        <f t="shared" si="15"/>
        <v>6.1188749999999992</v>
      </c>
      <c r="K67" s="16">
        <f t="shared" si="16"/>
        <v>-49.857500000000002</v>
      </c>
      <c r="L67" s="16">
        <f t="shared" si="17"/>
        <v>-43.738624999999999</v>
      </c>
      <c r="N67" s="14">
        <v>7</v>
      </c>
      <c r="O67" s="19">
        <f t="shared" si="11"/>
        <v>0.12084966440271216</v>
      </c>
    </row>
    <row r="68" spans="5:18" ht="21" x14ac:dyDescent="0.35">
      <c r="E68" s="14">
        <v>8</v>
      </c>
      <c r="F68" s="16">
        <f t="shared" si="18"/>
        <v>161.875</v>
      </c>
      <c r="G68" s="14">
        <f>+F68*0.18/2</f>
        <v>14.56875</v>
      </c>
      <c r="H68" s="26">
        <f t="shared" si="13"/>
        <v>32.375</v>
      </c>
      <c r="I68" s="26">
        <f t="shared" si="14"/>
        <v>46.943750000000001</v>
      </c>
      <c r="J68" s="17">
        <f t="shared" si="15"/>
        <v>5.0990624999999996</v>
      </c>
      <c r="K68" s="16">
        <f t="shared" si="16"/>
        <v>-46.943750000000001</v>
      </c>
      <c r="L68" s="16">
        <f t="shared" si="17"/>
        <v>-41.844687499999999</v>
      </c>
      <c r="N68" s="14">
        <v>8</v>
      </c>
      <c r="O68" s="19">
        <f t="shared" si="11"/>
        <v>-2.7271504308305126</v>
      </c>
    </row>
    <row r="69" spans="5:18" ht="21" x14ac:dyDescent="0.35">
      <c r="E69" s="14">
        <v>9</v>
      </c>
      <c r="F69" s="16">
        <f t="shared" si="18"/>
        <v>129.5</v>
      </c>
      <c r="G69" s="14">
        <f t="shared" ref="G69:G72" si="19">+F69*0.18/2</f>
        <v>11.654999999999999</v>
      </c>
      <c r="H69" s="26">
        <f t="shared" si="13"/>
        <v>32.375</v>
      </c>
      <c r="I69" s="26">
        <f t="shared" si="14"/>
        <v>44.03</v>
      </c>
      <c r="J69" s="17">
        <f t="shared" si="15"/>
        <v>4.0792499999999992</v>
      </c>
      <c r="K69" s="16">
        <f t="shared" si="16"/>
        <v>-44.03</v>
      </c>
      <c r="L69" s="16">
        <f t="shared" si="17"/>
        <v>-39.950749999999999</v>
      </c>
      <c r="N69" s="14">
        <v>9</v>
      </c>
      <c r="O69" s="19">
        <f t="shared" si="11"/>
        <v>-5.6610161596347339</v>
      </c>
    </row>
    <row r="70" spans="5:18" ht="21" x14ac:dyDescent="0.35">
      <c r="E70" s="14">
        <v>10</v>
      </c>
      <c r="F70" s="16">
        <f t="shared" si="18"/>
        <v>97.125</v>
      </c>
      <c r="G70" s="14">
        <f t="shared" si="19"/>
        <v>8.7412499999999991</v>
      </c>
      <c r="H70" s="26">
        <f t="shared" si="13"/>
        <v>32.375</v>
      </c>
      <c r="I70" s="26">
        <f t="shared" si="14"/>
        <v>41.116250000000001</v>
      </c>
      <c r="J70" s="17">
        <f t="shared" si="15"/>
        <v>3.0594374999999996</v>
      </c>
      <c r="K70" s="16">
        <f t="shared" si="16"/>
        <v>-41.116250000000001</v>
      </c>
      <c r="L70" s="16">
        <f t="shared" si="17"/>
        <v>-38.056812499999999</v>
      </c>
      <c r="N70" s="14">
        <v>10</v>
      </c>
      <c r="O70" s="19">
        <f t="shared" si="11"/>
        <v>-8.6884754290313282</v>
      </c>
    </row>
    <row r="71" spans="5:18" ht="21" x14ac:dyDescent="0.35">
      <c r="E71" s="14">
        <v>11</v>
      </c>
      <c r="F71" s="16">
        <f t="shared" si="18"/>
        <v>64.75</v>
      </c>
      <c r="G71" s="14">
        <f t="shared" si="19"/>
        <v>5.8274999999999997</v>
      </c>
      <c r="H71" s="26">
        <f t="shared" si="13"/>
        <v>32.375</v>
      </c>
      <c r="I71" s="26">
        <f t="shared" si="14"/>
        <v>38.202500000000001</v>
      </c>
      <c r="J71" s="17">
        <f t="shared" si="15"/>
        <v>2.0396249999999996</v>
      </c>
      <c r="K71" s="16">
        <f t="shared" si="16"/>
        <v>-38.202500000000001</v>
      </c>
      <c r="L71" s="16">
        <f t="shared" si="17"/>
        <v>-36.162875</v>
      </c>
      <c r="N71" s="14">
        <v>11</v>
      </c>
      <c r="O71" s="19">
        <f t="shared" si="11"/>
        <v>-11.817951657673625</v>
      </c>
    </row>
    <row r="72" spans="5:18" ht="21" x14ac:dyDescent="0.35">
      <c r="E72" s="14">
        <v>12</v>
      </c>
      <c r="F72" s="18">
        <f t="shared" si="18"/>
        <v>32.375</v>
      </c>
      <c r="G72" s="14">
        <f t="shared" si="19"/>
        <v>2.9137499999999998</v>
      </c>
      <c r="H72" s="26">
        <f t="shared" si="13"/>
        <v>32.375</v>
      </c>
      <c r="I72" s="26">
        <f t="shared" si="14"/>
        <v>35.28875</v>
      </c>
      <c r="J72" s="17">
        <f t="shared" si="15"/>
        <v>1.0198124999999998</v>
      </c>
      <c r="K72" s="16">
        <f t="shared" si="16"/>
        <v>-35.28875</v>
      </c>
      <c r="L72" s="16">
        <f t="shared" si="17"/>
        <v>-34.2689375</v>
      </c>
      <c r="N72" s="14">
        <v>12</v>
      </c>
      <c r="O72" s="19">
        <f t="shared" si="11"/>
        <v>-15.058626371893723</v>
      </c>
    </row>
    <row r="73" spans="5:18" ht="27" thickBot="1" x14ac:dyDescent="0.45">
      <c r="E73" s="11"/>
      <c r="F73" s="11"/>
      <c r="G73" s="11"/>
      <c r="H73" s="11"/>
      <c r="I73" s="11"/>
      <c r="J73" s="11" t="s">
        <v>46</v>
      </c>
      <c r="K73" s="20">
        <f>+IRR(K60:K72)</f>
        <v>6.6173530785629042E-2</v>
      </c>
      <c r="L73" s="20">
        <f>+IRR(L60:L72)</f>
        <v>4.3404896518665081E-2</v>
      </c>
      <c r="N73" s="29" t="s">
        <v>46</v>
      </c>
      <c r="O73" s="30">
        <f>+IRR(O60:O72)</f>
        <v>4.985500423648026E-2</v>
      </c>
    </row>
    <row r="74" spans="5:18" ht="23.25" x14ac:dyDescent="0.35">
      <c r="E74" s="11"/>
      <c r="F74" s="11"/>
      <c r="G74" s="11"/>
      <c r="H74" s="11"/>
      <c r="I74" s="11"/>
      <c r="J74" s="11" t="s">
        <v>47</v>
      </c>
      <c r="K74" s="21">
        <f>+(1+K73)^2-1</f>
        <v>0.13672599774789473</v>
      </c>
      <c r="L74" s="23">
        <f>+(1+L73)^2-1</f>
        <v>8.8693778079126151E-2</v>
      </c>
      <c r="N74" s="32" t="s">
        <v>53</v>
      </c>
      <c r="O74" s="33">
        <f>2*O73</f>
        <v>9.9710008472960521E-2</v>
      </c>
      <c r="P74" s="32" t="s">
        <v>54</v>
      </c>
      <c r="Q74" s="32"/>
      <c r="R74" s="31"/>
    </row>
    <row r="75" spans="5:18" ht="24" thickBot="1" x14ac:dyDescent="0.4">
      <c r="E75" s="11"/>
      <c r="F75" s="11"/>
      <c r="G75" s="11"/>
      <c r="H75" s="11"/>
      <c r="I75" s="11"/>
      <c r="J75" s="11"/>
      <c r="K75" s="22" t="s">
        <v>48</v>
      </c>
      <c r="L75" s="24" t="s">
        <v>49</v>
      </c>
      <c r="N75" s="32"/>
      <c r="O75" s="32" t="s">
        <v>55</v>
      </c>
      <c r="P75" s="32"/>
      <c r="Q75" s="32"/>
      <c r="R75" s="31"/>
    </row>
    <row r="76" spans="5:18" ht="28.5" x14ac:dyDescent="0.45">
      <c r="O76" s="34" t="s">
        <v>56</v>
      </c>
      <c r="P76" s="34"/>
      <c r="Q76" s="34"/>
    </row>
    <row r="77" spans="5:18" ht="36" x14ac:dyDescent="0.55000000000000004">
      <c r="K77" s="35"/>
      <c r="L77" s="35"/>
      <c r="M77" s="35"/>
      <c r="O77" s="34"/>
      <c r="P77" s="34"/>
      <c r="Q77" s="34"/>
    </row>
    <row r="78" spans="5:18" ht="36" x14ac:dyDescent="0.55000000000000004">
      <c r="K78" s="35" t="s">
        <v>57</v>
      </c>
      <c r="L78" s="36">
        <f>+NPV(0.14/2,L41:L52)+L40</f>
        <v>54.401102915014349</v>
      </c>
      <c r="M78" s="35"/>
      <c r="O78" s="34"/>
      <c r="P78" s="34"/>
      <c r="Q78" s="34"/>
    </row>
    <row r="79" spans="5:18" ht="36" x14ac:dyDescent="0.55000000000000004">
      <c r="K79" s="35" t="s">
        <v>58</v>
      </c>
      <c r="L79" s="36">
        <f>+NPV(0.14/2,L61:L72)+L60</f>
        <v>50.759164117398143</v>
      </c>
      <c r="M79" s="35"/>
    </row>
    <row r="80" spans="5:18" ht="36" x14ac:dyDescent="0.55000000000000004">
      <c r="K80" s="35"/>
      <c r="L80" s="35"/>
      <c r="M80" s="35"/>
    </row>
    <row r="81" spans="9:20" ht="36" x14ac:dyDescent="0.55000000000000004">
      <c r="K81" s="35"/>
      <c r="L81" s="35"/>
      <c r="M81" s="35"/>
    </row>
    <row r="82" spans="9:20" ht="36" x14ac:dyDescent="0.55000000000000004">
      <c r="K82" s="35"/>
      <c r="L82" s="35"/>
      <c r="M82" s="35"/>
    </row>
    <row r="83" spans="9:20" ht="36" x14ac:dyDescent="0.55000000000000004">
      <c r="K83" s="35"/>
      <c r="L83" s="35"/>
      <c r="M83" s="35"/>
    </row>
    <row r="84" spans="9:20" ht="36" x14ac:dyDescent="0.55000000000000004">
      <c r="J84" s="38" t="s">
        <v>60</v>
      </c>
      <c r="K84" s="39" t="s">
        <v>59</v>
      </c>
      <c r="L84" s="35"/>
      <c r="M84" s="35"/>
      <c r="O84" s="41" t="s">
        <v>62</v>
      </c>
    </row>
    <row r="85" spans="9:20" ht="36" x14ac:dyDescent="0.55000000000000004">
      <c r="J85" s="37">
        <v>0</v>
      </c>
      <c r="K85" s="37">
        <v>101250</v>
      </c>
      <c r="L85" s="35"/>
      <c r="M85" s="35"/>
      <c r="O85" s="42">
        <f>+K85*(1+0.26/4)^(4-J85)</f>
        <v>130254.71800078121</v>
      </c>
    </row>
    <row r="86" spans="9:20" ht="36" x14ac:dyDescent="0.55000000000000004">
      <c r="J86" s="37">
        <v>1</v>
      </c>
      <c r="K86" s="37">
        <v>101250</v>
      </c>
      <c r="L86" s="35"/>
      <c r="M86" s="35"/>
      <c r="O86" s="42">
        <f t="shared" ref="O86:O88" si="20">+K86*(1+0.26/4)^(4-J86)</f>
        <v>122304.89953124998</v>
      </c>
    </row>
    <row r="87" spans="9:20" ht="36" x14ac:dyDescent="0.55000000000000004">
      <c r="J87" s="37">
        <v>2</v>
      </c>
      <c r="K87" s="37">
        <v>101250</v>
      </c>
      <c r="L87" s="35"/>
      <c r="M87" s="35"/>
      <c r="O87" s="42">
        <f t="shared" si="20"/>
        <v>114840.28124999999</v>
      </c>
    </row>
    <row r="88" spans="9:20" ht="36" x14ac:dyDescent="0.55000000000000004">
      <c r="J88" s="37">
        <v>3</v>
      </c>
      <c r="K88" s="37">
        <v>101250</v>
      </c>
      <c r="L88" s="35"/>
      <c r="M88" s="35"/>
      <c r="O88" s="42">
        <f t="shared" si="20"/>
        <v>107831.25</v>
      </c>
    </row>
    <row r="89" spans="9:20" ht="33.75" x14ac:dyDescent="0.5">
      <c r="I89" s="29"/>
      <c r="J89" s="37">
        <v>4</v>
      </c>
      <c r="K89" s="37"/>
      <c r="L89" s="40">
        <v>1350000</v>
      </c>
      <c r="M89" s="29" t="s">
        <v>61</v>
      </c>
      <c r="N89" s="29"/>
      <c r="O89" s="29"/>
    </row>
    <row r="90" spans="9:20" ht="26.25" x14ac:dyDescent="0.4">
      <c r="I90" s="29"/>
      <c r="J90" s="29"/>
      <c r="K90" s="29"/>
      <c r="L90" s="29"/>
      <c r="M90" s="29"/>
      <c r="N90" s="29"/>
      <c r="O90" s="29"/>
    </row>
    <row r="91" spans="9:20" ht="31.5" x14ac:dyDescent="0.5">
      <c r="I91" s="29"/>
      <c r="J91" s="29"/>
      <c r="K91" s="29"/>
      <c r="L91" s="43" t="s">
        <v>63</v>
      </c>
      <c r="M91" s="44">
        <f>+L89-SUM(O85:O88)</f>
        <v>874768.85121796886</v>
      </c>
      <c r="N91" s="29"/>
      <c r="O91" s="29"/>
    </row>
    <row r="92" spans="9:20" ht="26.25" x14ac:dyDescent="0.4">
      <c r="I92" s="29"/>
      <c r="J92" s="29"/>
      <c r="K92" s="29"/>
      <c r="L92" s="29"/>
      <c r="M92" s="29"/>
      <c r="N92" s="29"/>
      <c r="O92" s="29"/>
    </row>
    <row r="93" spans="9:20" ht="26.25" x14ac:dyDescent="0.4">
      <c r="I93" s="29"/>
      <c r="J93" s="29"/>
      <c r="K93" s="29"/>
      <c r="L93" s="29"/>
      <c r="M93" s="29"/>
      <c r="N93" s="29"/>
      <c r="O93" s="29"/>
    </row>
    <row r="94" spans="9:20" ht="28.5" x14ac:dyDescent="0.45">
      <c r="I94" s="29"/>
      <c r="J94" s="29"/>
      <c r="K94" s="29"/>
      <c r="L94" s="46" t="s">
        <v>64</v>
      </c>
      <c r="M94" s="46" t="s">
        <v>37</v>
      </c>
      <c r="N94" s="46" t="s">
        <v>38</v>
      </c>
      <c r="O94" s="46" t="s">
        <v>39</v>
      </c>
      <c r="P94" s="46" t="s">
        <v>40</v>
      </c>
      <c r="Q94" s="46" t="s">
        <v>65</v>
      </c>
      <c r="R94" s="47" t="s">
        <v>66</v>
      </c>
      <c r="S94" s="5"/>
      <c r="T94" s="5"/>
    </row>
    <row r="95" spans="9:20" ht="31.5" x14ac:dyDescent="0.5">
      <c r="I95" s="29"/>
      <c r="J95" s="29"/>
      <c r="K95" s="29"/>
      <c r="L95" s="45">
        <v>0</v>
      </c>
      <c r="M95" s="45"/>
      <c r="N95" s="45"/>
      <c r="O95" s="45"/>
      <c r="P95" s="2"/>
      <c r="Q95" s="2"/>
      <c r="R95" s="51">
        <f>+M91-0.02*1350000</f>
        <v>847768.85121796886</v>
      </c>
    </row>
    <row r="96" spans="9:20" ht="31.5" x14ac:dyDescent="0.5">
      <c r="I96" s="29"/>
      <c r="J96" s="29"/>
      <c r="K96" s="29"/>
      <c r="L96" s="45">
        <v>1</v>
      </c>
      <c r="M96" s="48">
        <f>+M91</f>
        <v>874768.85121796886</v>
      </c>
      <c r="N96" s="48">
        <f>0.55*M96</f>
        <v>481122.86816988292</v>
      </c>
      <c r="O96" s="48">
        <f>+P96-N96</f>
        <v>176631.77207833796</v>
      </c>
      <c r="P96" s="49">
        <f>+PMT(0.55,3,-M91)</f>
        <v>657754.64024822088</v>
      </c>
      <c r="Q96" s="50">
        <f>0.01*M96</f>
        <v>8747.6885121796895</v>
      </c>
      <c r="R96" s="52">
        <f>-P96-Q96</f>
        <v>-666502.32876040053</v>
      </c>
    </row>
    <row r="97" spans="9:18" ht="31.5" x14ac:dyDescent="0.5">
      <c r="I97" s="29"/>
      <c r="J97" s="29"/>
      <c r="K97" s="29"/>
      <c r="L97" s="45">
        <v>2</v>
      </c>
      <c r="M97" s="48">
        <f>+M96-O96</f>
        <v>698137.07913963089</v>
      </c>
      <c r="N97" s="48">
        <f t="shared" ref="N97:N98" si="21">0.55*M97</f>
        <v>383975.39352679701</v>
      </c>
      <c r="O97" s="48">
        <f t="shared" ref="O97:O98" si="22">+P97-N97</f>
        <v>273779.24672142387</v>
      </c>
      <c r="P97" s="49">
        <f>+P96</f>
        <v>657754.64024822088</v>
      </c>
      <c r="Q97" s="50">
        <f t="shared" ref="Q97:Q98" si="23">0.01*M97</f>
        <v>6981.370791396309</v>
      </c>
      <c r="R97" s="52">
        <f t="shared" ref="R97:R98" si="24">-P97-Q97</f>
        <v>-664736.01103961724</v>
      </c>
    </row>
    <row r="98" spans="9:18" ht="32.25" thickBot="1" x14ac:dyDescent="0.55000000000000004">
      <c r="I98" s="29"/>
      <c r="J98" s="29"/>
      <c r="K98" s="29"/>
      <c r="L98" s="45">
        <v>3</v>
      </c>
      <c r="M98" s="48">
        <f>+M97-O97</f>
        <v>424357.83241820702</v>
      </c>
      <c r="N98" s="48">
        <f t="shared" si="21"/>
        <v>233396.80783001389</v>
      </c>
      <c r="O98" s="48">
        <f t="shared" si="22"/>
        <v>424357.83241820696</v>
      </c>
      <c r="P98" s="49">
        <f>+P97</f>
        <v>657754.64024822088</v>
      </c>
      <c r="Q98" s="53">
        <f t="shared" si="23"/>
        <v>4243.57832418207</v>
      </c>
      <c r="R98" s="54">
        <f t="shared" si="24"/>
        <v>-661998.21857240296</v>
      </c>
    </row>
    <row r="99" spans="9:18" ht="29.25" thickBot="1" x14ac:dyDescent="0.5">
      <c r="I99" s="29"/>
      <c r="J99" s="29"/>
      <c r="K99" s="29"/>
      <c r="L99" s="29"/>
      <c r="M99" s="29"/>
      <c r="N99" s="29"/>
      <c r="O99" s="29"/>
      <c r="Q99" s="55" t="s">
        <v>48</v>
      </c>
      <c r="R99" s="56">
        <f>+IRR(R95:R98)</f>
        <v>0.58894407397579251</v>
      </c>
    </row>
    <row r="100" spans="9:18" ht="26.25" x14ac:dyDescent="0.4">
      <c r="I100" s="29"/>
      <c r="J100" s="29"/>
      <c r="K100" s="29"/>
      <c r="L100" s="29"/>
      <c r="M100" s="29"/>
      <c r="N100" s="29"/>
      <c r="O100" s="29"/>
    </row>
    <row r="101" spans="9:18" ht="26.25" x14ac:dyDescent="0.4">
      <c r="I101" s="29"/>
      <c r="J101" s="29"/>
      <c r="K101" s="29"/>
      <c r="L101" s="29"/>
      <c r="M101" s="29"/>
      <c r="N101" s="29"/>
      <c r="O101" s="29"/>
    </row>
    <row r="102" spans="9:18" ht="26.25" x14ac:dyDescent="0.4">
      <c r="I102" s="29"/>
      <c r="J102" s="29"/>
      <c r="K102" s="29"/>
      <c r="L102" s="29"/>
      <c r="M102" s="29"/>
      <c r="N102" s="29"/>
      <c r="O102" s="29"/>
    </row>
    <row r="103" spans="9:18" ht="26.25" x14ac:dyDescent="0.4">
      <c r="I103" s="29"/>
      <c r="J103" s="29"/>
      <c r="K103" s="29"/>
      <c r="L103" s="29"/>
      <c r="M103" s="29"/>
      <c r="N103" s="29"/>
      <c r="O103" s="29"/>
    </row>
    <row r="104" spans="9:18" ht="26.25" x14ac:dyDescent="0.4">
      <c r="I104" s="29"/>
      <c r="J104" s="29"/>
      <c r="K104" s="29"/>
      <c r="L104" s="29"/>
      <c r="M104" s="29"/>
      <c r="N104" s="29"/>
      <c r="O104" s="29"/>
    </row>
    <row r="105" spans="9:18" ht="26.25" x14ac:dyDescent="0.4">
      <c r="I105" s="29"/>
      <c r="J105" s="29"/>
      <c r="K105" s="29"/>
      <c r="L105" s="29"/>
      <c r="M105" s="29"/>
      <c r="N105" s="29"/>
      <c r="O105" s="29"/>
    </row>
    <row r="106" spans="9:18" ht="26.25" x14ac:dyDescent="0.4">
      <c r="I106" s="29"/>
      <c r="J106" s="29"/>
      <c r="K106" s="29"/>
      <c r="L106" s="29"/>
      <c r="M106" s="29"/>
      <c r="N106" s="29"/>
      <c r="O106" s="29"/>
    </row>
    <row r="107" spans="9:18" ht="26.25" x14ac:dyDescent="0.4">
      <c r="I107" s="29"/>
      <c r="J107" s="29"/>
      <c r="K107" s="29"/>
      <c r="L107" s="29"/>
      <c r="M107" s="29"/>
      <c r="N107" s="29"/>
      <c r="O107" s="29"/>
    </row>
    <row r="108" spans="9:18" ht="26.25" x14ac:dyDescent="0.4">
      <c r="I108" s="29"/>
      <c r="J108" s="29"/>
      <c r="K108" s="29"/>
      <c r="L108" s="29"/>
      <c r="M108" s="29"/>
      <c r="N108" s="29"/>
      <c r="O108" s="29"/>
    </row>
    <row r="109" spans="9:18" ht="26.25" x14ac:dyDescent="0.4">
      <c r="I109" s="29"/>
      <c r="J109" s="29"/>
      <c r="K109" s="29"/>
      <c r="L109" s="29"/>
      <c r="M109" s="29"/>
      <c r="N109" s="29"/>
      <c r="O109" s="29"/>
    </row>
    <row r="110" spans="9:18" ht="26.25" x14ac:dyDescent="0.4">
      <c r="I110" s="29"/>
      <c r="J110" s="29"/>
      <c r="K110" s="29"/>
      <c r="L110" s="29"/>
      <c r="M110" s="29"/>
      <c r="N110" s="29"/>
      <c r="O110" s="29"/>
    </row>
    <row r="111" spans="9:18" ht="26.25" x14ac:dyDescent="0.4">
      <c r="I111" s="29"/>
      <c r="J111" s="29"/>
      <c r="K111" s="29"/>
      <c r="L111" s="29"/>
      <c r="M111" s="29"/>
      <c r="N111" s="29"/>
      <c r="O111" s="29"/>
    </row>
    <row r="112" spans="9:18" ht="26.25" x14ac:dyDescent="0.4">
      <c r="I112" s="29"/>
      <c r="J112" s="29"/>
      <c r="K112" s="29"/>
      <c r="L112" s="29"/>
      <c r="M112" s="29"/>
      <c r="N112" s="29"/>
      <c r="O112" s="29"/>
    </row>
    <row r="113" spans="9:15" ht="26.25" x14ac:dyDescent="0.4">
      <c r="I113" s="29"/>
      <c r="J113" s="29"/>
      <c r="K113" s="29"/>
      <c r="L113" s="29"/>
      <c r="M113" s="29"/>
      <c r="N113" s="29"/>
      <c r="O113" s="29"/>
    </row>
    <row r="114" spans="9:15" ht="26.25" x14ac:dyDescent="0.4">
      <c r="I114" s="29"/>
      <c r="J114" s="29"/>
      <c r="K114" s="29"/>
      <c r="L114" s="29"/>
      <c r="M114" s="29"/>
      <c r="N114" s="29"/>
      <c r="O114" s="29"/>
    </row>
    <row r="115" spans="9:15" ht="26.25" x14ac:dyDescent="0.4">
      <c r="I115" s="29"/>
      <c r="J115" s="29"/>
      <c r="K115" s="29"/>
      <c r="L115" s="29"/>
      <c r="M115" s="29"/>
      <c r="N115" s="29"/>
      <c r="O115" s="29"/>
    </row>
    <row r="116" spans="9:15" ht="26.25" x14ac:dyDescent="0.4">
      <c r="I116" s="29"/>
      <c r="J116" s="29"/>
      <c r="K116" s="29"/>
      <c r="L116" s="29"/>
      <c r="M116" s="29"/>
      <c r="N116" s="29"/>
      <c r="O116" s="29"/>
    </row>
    <row r="117" spans="9:15" ht="26.25" x14ac:dyDescent="0.4">
      <c r="I117" s="29"/>
      <c r="J117" s="29"/>
      <c r="K117" s="29"/>
      <c r="L117" s="29"/>
      <c r="M117" s="29"/>
      <c r="N117" s="29"/>
      <c r="O117" s="29"/>
    </row>
    <row r="118" spans="9:15" ht="26.25" x14ac:dyDescent="0.4">
      <c r="I118" s="29"/>
      <c r="J118" s="29"/>
      <c r="K118" s="29"/>
      <c r="L118" s="29"/>
      <c r="M118" s="29"/>
      <c r="N118" s="29"/>
      <c r="O118" s="29"/>
    </row>
    <row r="119" spans="9:15" ht="26.25" x14ac:dyDescent="0.4">
      <c r="I119" s="29"/>
      <c r="J119" s="29"/>
      <c r="K119" s="29"/>
      <c r="L119" s="29"/>
      <c r="M119" s="29"/>
      <c r="N119" s="29"/>
      <c r="O119" s="29"/>
    </row>
    <row r="120" spans="9:15" ht="26.25" x14ac:dyDescent="0.4">
      <c r="I120" s="29"/>
      <c r="J120" s="29"/>
      <c r="K120" s="29"/>
      <c r="L120" s="29"/>
      <c r="M120" s="29"/>
      <c r="N120" s="29"/>
      <c r="O120" s="29"/>
    </row>
    <row r="121" spans="9:15" ht="26.25" x14ac:dyDescent="0.4">
      <c r="I121" s="29"/>
      <c r="J121" s="29"/>
      <c r="K121" s="29"/>
      <c r="L121" s="29"/>
      <c r="M121" s="29"/>
      <c r="N121" s="29"/>
      <c r="O121" s="2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aula</cp:lastModifiedBy>
  <dcterms:created xsi:type="dcterms:W3CDTF">2022-10-28T13:58:20Z</dcterms:created>
  <dcterms:modified xsi:type="dcterms:W3CDTF">2022-10-28T15:28:35Z</dcterms:modified>
</cp:coreProperties>
</file>