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4 Cuatrimestre/Finanzas 1/FINAL/"/>
    </mc:Choice>
  </mc:AlternateContent>
  <xr:revisionPtr revIDLastSave="226" documentId="11_F25DC773A252ABDACC104839B1DF7CD25ADE58ED" xr6:coauthVersionLast="47" xr6:coauthVersionMax="47" xr10:uidLastSave="{732D6FCA-5C3B-4F48-BD6F-899A1E626ACC}"/>
  <bookViews>
    <workbookView xWindow="-72" yWindow="1356" windowWidth="22884" windowHeight="104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F42" i="1"/>
  <c r="G42" i="1"/>
  <c r="H42" i="1"/>
  <c r="H44" i="1" s="1"/>
  <c r="H45" i="1" s="1"/>
  <c r="I42" i="1"/>
  <c r="J42" i="1"/>
  <c r="J44" i="1" s="1"/>
  <c r="J45" i="1" s="1"/>
  <c r="K42" i="1"/>
  <c r="L42" i="1"/>
  <c r="M42" i="1"/>
  <c r="N42" i="1"/>
  <c r="D42" i="1"/>
  <c r="D44" i="1" s="1"/>
  <c r="C42" i="1"/>
  <c r="C44" i="1" s="1"/>
  <c r="N45" i="1"/>
  <c r="G43" i="1"/>
  <c r="G44" i="1" s="1"/>
  <c r="G45" i="1" s="1"/>
  <c r="G46" i="1" s="1"/>
  <c r="H43" i="1"/>
  <c r="I43" i="1"/>
  <c r="I44" i="1" s="1"/>
  <c r="J43" i="1"/>
  <c r="K43" i="1"/>
  <c r="L43" i="1"/>
  <c r="M43" i="1"/>
  <c r="N43" i="1"/>
  <c r="F43" i="1"/>
  <c r="F44" i="1" s="1"/>
  <c r="F45" i="1" s="1"/>
  <c r="N44" i="1"/>
  <c r="E44" i="1"/>
  <c r="K44" i="1"/>
  <c r="M44" i="1"/>
  <c r="B44" i="1"/>
  <c r="C40" i="1"/>
  <c r="D40" i="1"/>
  <c r="E40" i="1"/>
  <c r="F40" i="1"/>
  <c r="G40" i="1"/>
  <c r="H40" i="1"/>
  <c r="I40" i="1"/>
  <c r="J40" i="1"/>
  <c r="K40" i="1"/>
  <c r="L40" i="1"/>
  <c r="M40" i="1"/>
  <c r="N40" i="1"/>
  <c r="B40" i="1"/>
  <c r="M39" i="1"/>
  <c r="N39" i="1"/>
  <c r="E39" i="1"/>
  <c r="D36" i="1"/>
  <c r="C36" i="1"/>
  <c r="B46" i="1"/>
  <c r="B47" i="1" s="1"/>
  <c r="L39" i="1"/>
  <c r="K39" i="1"/>
  <c r="J39" i="1"/>
  <c r="I39" i="1"/>
  <c r="H39" i="1"/>
  <c r="G39" i="1"/>
  <c r="F39" i="1"/>
  <c r="C39" i="1"/>
  <c r="B39" i="1"/>
  <c r="L32" i="1"/>
  <c r="M32" i="1" s="1"/>
  <c r="N32" i="1" s="1"/>
  <c r="L35" i="1"/>
  <c r="M35" i="1" s="1"/>
  <c r="N35" i="1" s="1"/>
  <c r="I20" i="1"/>
  <c r="F35" i="1"/>
  <c r="G35" i="1" s="1"/>
  <c r="H35" i="1" s="1"/>
  <c r="I35" i="1" s="1"/>
  <c r="J35" i="1" s="1"/>
  <c r="K35" i="1" s="1"/>
  <c r="F32" i="1"/>
  <c r="G32" i="1" s="1"/>
  <c r="H32" i="1" s="1"/>
  <c r="I32" i="1" s="1"/>
  <c r="J32" i="1" s="1"/>
  <c r="K32" i="1" s="1"/>
  <c r="H10" i="1"/>
  <c r="H6" i="1"/>
  <c r="K45" i="1" l="1"/>
  <c r="I45" i="1"/>
  <c r="I46" i="1" s="1"/>
  <c r="H46" i="1"/>
  <c r="L44" i="1"/>
  <c r="L45" i="1" s="1"/>
  <c r="E45" i="1"/>
  <c r="F46" i="1" s="1"/>
  <c r="F47" i="1" s="1"/>
  <c r="D45" i="1"/>
  <c r="C45" i="1"/>
  <c r="K46" i="1"/>
  <c r="K47" i="1" s="1"/>
  <c r="G47" i="1"/>
  <c r="H47" i="1"/>
  <c r="I47" i="1"/>
  <c r="L47" i="1" l="1"/>
  <c r="J46" i="1"/>
  <c r="J47" i="1" s="1"/>
  <c r="L46" i="1"/>
  <c r="E46" i="1"/>
  <c r="E47" i="1" s="1"/>
  <c r="M45" i="1"/>
  <c r="D46" i="1"/>
  <c r="C46" i="1"/>
  <c r="C47" i="1" s="1"/>
  <c r="M46" i="1" l="1"/>
  <c r="M47" i="1" s="1"/>
  <c r="N46" i="1"/>
  <c r="N47" i="1" s="1"/>
  <c r="D39" i="1" l="1"/>
  <c r="D47" i="1" s="1"/>
</calcChain>
</file>

<file path=xl/sharedStrings.xml><?xml version="1.0" encoding="utf-8"?>
<sst xmlns="http://schemas.openxmlformats.org/spreadsheetml/2006/main" count="56" uniqueCount="55">
  <si>
    <t>ESTUDIO TECNICO</t>
  </si>
  <si>
    <t>COSTO HUNDIDO</t>
  </si>
  <si>
    <t>FLUJOS INCREMENTALES, PORQUE QUIERE COMPARAR FLUJOS PROYECTADOS SI SE ACEPTASE O NO EL PROYECTO</t>
  </si>
  <si>
    <t>COSTO SI ACEPTA PROYECTO</t>
  </si>
  <si>
    <t>SE DEPRECIA EN 9 AÑOS</t>
  </si>
  <si>
    <t>RUTA Y TERMINAL</t>
  </si>
  <si>
    <t>AMORT. RUTA Y TERMINAL</t>
  </si>
  <si>
    <t>Año</t>
  </si>
  <si>
    <t>Ventas</t>
  </si>
  <si>
    <t>Costos Fijos Operativos Erogables</t>
  </si>
  <si>
    <t>Costos Semifijos Operativos Erogables</t>
  </si>
  <si>
    <t>Costos Variables Operaivos Erogables</t>
  </si>
  <si>
    <t>Depreciaciones y Amortizaciones</t>
  </si>
  <si>
    <t xml:space="preserve">Ingreso por venta de activos fijos </t>
  </si>
  <si>
    <t>Costo de venta de activos fijos</t>
  </si>
  <si>
    <t>Resultado antes de intereses e impuesos</t>
  </si>
  <si>
    <t>Activo Corriente</t>
  </si>
  <si>
    <t>Pasivo Corriente</t>
  </si>
  <si>
    <t>Capital de Trabajo</t>
  </si>
  <si>
    <t>Inversión en Capital de Trabajo</t>
  </si>
  <si>
    <t>Inversión en Activo no Corriente</t>
  </si>
  <si>
    <t>Flujos de Fondos Libres</t>
  </si>
  <si>
    <t>TOTAL INVERTIDO</t>
  </si>
  <si>
    <t>AMORT. INVERSION</t>
  </si>
  <si>
    <t>DEPRECIA EN 8 AÑOS</t>
  </si>
  <si>
    <t>EXTRACCIÓN</t>
  </si>
  <si>
    <t>5000 TON</t>
  </si>
  <si>
    <t>PRECIO</t>
  </si>
  <si>
    <t>50000 / TON</t>
  </si>
  <si>
    <t>PRIMER AÑO</t>
  </si>
  <si>
    <t>SEGUNDO</t>
  </si>
  <si>
    <t>A PARTIR DEL TERCERO</t>
  </si>
  <si>
    <t>VARIACION</t>
  </si>
  <si>
    <t>PRIMERA ETAPA DE INVERSIONES (AÑO 0 = "ACTIVADAS AL FINAL DEL PRIMER AÑO")</t>
  </si>
  <si>
    <t>SEGUNDA ETAPA DE INVERSIONES (AÑO 1 = "ACTIVADAS UN AÑO DESPUES DE INICIADAS ")</t>
  </si>
  <si>
    <t>AÑO 4 = "DESPUES DE DOS AÑOS [ DESDE QUE EMPIEZA LA INVERISION ] "</t>
  </si>
  <si>
    <t>COSTOS</t>
  </si>
  <si>
    <t>VENTAS</t>
  </si>
  <si>
    <t>FIJOS</t>
  </si>
  <si>
    <t>AMBIENTA</t>
  </si>
  <si>
    <t>VAR</t>
  </si>
  <si>
    <t>AUMETNAN EN 0,01</t>
  </si>
  <si>
    <t>CAPITAL DE TRABAJO</t>
  </si>
  <si>
    <t>EN CASO DE  ACPETAR ( COMO ES INCREMENTAL, NO LO NECESITA SI NO ACEPTA</t>
  </si>
  <si>
    <t>CAJA Y BANCOS 1</t>
  </si>
  <si>
    <t>CAJA Y BANCOS 2</t>
  </si>
  <si>
    <t>INVENTARIOS 2</t>
  </si>
  <si>
    <t>8% DE C VAR DEL AÑO SIGUIENTE</t>
  </si>
  <si>
    <t>PROVEEDORES OTORGAN 60 DIAS DE PAGO</t>
  </si>
  <si>
    <t>INV 3 +</t>
  </si>
  <si>
    <t>C Y B 3 +</t>
  </si>
  <si>
    <t>COMIENZA PERPETUIDAD</t>
  </si>
  <si>
    <t>COMPRAS A PROVEEDORES SON EL 0,5 DE COSTOS VARIABLES</t>
  </si>
  <si>
    <t>DE 3 EN ADELANTE HAY DEUDA CON PROVEEDORES</t>
  </si>
  <si>
    <t>Impuesto a las Ganancias 0,21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</si>
</sst>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440534</xdr:colOff>
      <xdr:row>15</xdr:row>
      <xdr:rowOff>26131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7319CC-75AF-D0E0-5B17-F37482E56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831080" cy="276933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22861</xdr:colOff>
      <xdr:row>15</xdr:row>
      <xdr:rowOff>53340</xdr:rowOff>
    </xdr:from>
    <xdr:to>
      <xdr:col>3</xdr:col>
      <xdr:colOff>333854</xdr:colOff>
      <xdr:row>25</xdr:row>
      <xdr:rowOff>19083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AAD3AA-90F3-86C4-9E3A-192708E37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1" y="2796540"/>
          <a:ext cx="4701540" cy="1794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zoomScale="75" zoomScaleNormal="85" workbookViewId="0">
      <selection activeCell="O49" sqref="O49"/>
    </sheetView>
  </sheetViews>
  <sheetFormatPr defaultRowHeight="14.4" x14ac:dyDescent="0.3"/>
  <cols>
    <col min="1" max="1" width="35.109375" style="1" customWidth="1"/>
    <col min="2" max="2" width="13.77734375" style="1" bestFit="1" customWidth="1"/>
    <col min="3" max="3" width="14.88671875" style="1" bestFit="1" customWidth="1"/>
    <col min="4" max="4" width="15.77734375" style="1" customWidth="1"/>
    <col min="5" max="5" width="14.77734375" style="1" customWidth="1"/>
    <col min="6" max="6" width="15.21875" style="1" customWidth="1"/>
    <col min="7" max="7" width="16.88671875" style="1" customWidth="1"/>
    <col min="8" max="8" width="18.6640625" style="1" customWidth="1"/>
    <col min="9" max="9" width="15.77734375" style="1" bestFit="1" customWidth="1"/>
    <col min="10" max="12" width="15.21875" style="1" bestFit="1" customWidth="1"/>
    <col min="13" max="13" width="15.109375" style="1" bestFit="1" customWidth="1"/>
    <col min="14" max="14" width="14.88671875" style="1" customWidth="1"/>
    <col min="15" max="16384" width="8.88671875" style="1"/>
  </cols>
  <sheetData>
    <row r="1" spans="6:10" x14ac:dyDescent="0.3">
      <c r="F1" s="1" t="s">
        <v>2</v>
      </c>
    </row>
    <row r="2" spans="6:10" x14ac:dyDescent="0.3">
      <c r="G2" s="1" t="s">
        <v>0</v>
      </c>
      <c r="H2" s="1">
        <v>10000000</v>
      </c>
      <c r="I2" s="1" t="s">
        <v>1</v>
      </c>
    </row>
    <row r="4" spans="6:10" x14ac:dyDescent="0.3">
      <c r="G4" s="2" t="s">
        <v>33</v>
      </c>
    </row>
    <row r="5" spans="6:10" x14ac:dyDescent="0.3">
      <c r="G5" s="1" t="s">
        <v>5</v>
      </c>
      <c r="H5" s="1">
        <v>20000000</v>
      </c>
      <c r="I5" s="1" t="s">
        <v>3</v>
      </c>
    </row>
    <row r="6" spans="6:10" x14ac:dyDescent="0.3">
      <c r="G6" s="1" t="s">
        <v>6</v>
      </c>
      <c r="H6" s="1">
        <f>+H5/9</f>
        <v>2222222.222222222</v>
      </c>
      <c r="I6" s="1" t="s">
        <v>4</v>
      </c>
    </row>
    <row r="8" spans="6:10" x14ac:dyDescent="0.3">
      <c r="G8" s="2" t="s">
        <v>34</v>
      </c>
    </row>
    <row r="9" spans="6:10" x14ac:dyDescent="0.3">
      <c r="G9" s="1" t="s">
        <v>22</v>
      </c>
      <c r="H9" s="1">
        <v>500000000</v>
      </c>
    </row>
    <row r="10" spans="6:10" x14ac:dyDescent="0.3">
      <c r="G10" s="1" t="s">
        <v>23</v>
      </c>
      <c r="H10" s="1">
        <f>+H9/8</f>
        <v>62500000</v>
      </c>
      <c r="I10" s="1" t="s">
        <v>24</v>
      </c>
    </row>
    <row r="12" spans="6:10" x14ac:dyDescent="0.3">
      <c r="G12" s="2" t="s">
        <v>35</v>
      </c>
    </row>
    <row r="13" spans="6:10" x14ac:dyDescent="0.3">
      <c r="G13" s="1" t="s">
        <v>37</v>
      </c>
      <c r="H13" s="1" t="s">
        <v>25</v>
      </c>
      <c r="I13" s="1" t="s">
        <v>26</v>
      </c>
    </row>
    <row r="14" spans="6:10" x14ac:dyDescent="0.3">
      <c r="H14" s="1" t="s">
        <v>27</v>
      </c>
      <c r="I14" s="1" t="s">
        <v>28</v>
      </c>
      <c r="J14" s="1" t="s">
        <v>29</v>
      </c>
    </row>
    <row r="15" spans="6:10" x14ac:dyDescent="0.3">
      <c r="H15" s="1" t="s">
        <v>32</v>
      </c>
      <c r="I15" s="1">
        <v>-0.05</v>
      </c>
      <c r="J15" s="1" t="s">
        <v>30</v>
      </c>
    </row>
    <row r="16" spans="6:10" x14ac:dyDescent="0.3">
      <c r="H16" s="1" t="s">
        <v>32</v>
      </c>
      <c r="I16" s="1">
        <v>0.03</v>
      </c>
      <c r="J16" s="1" t="s">
        <v>31</v>
      </c>
    </row>
    <row r="18" spans="1:14" x14ac:dyDescent="0.3">
      <c r="G18" s="1" t="s">
        <v>36</v>
      </c>
      <c r="H18" s="1" t="s">
        <v>38</v>
      </c>
      <c r="I18" s="1">
        <v>20000000</v>
      </c>
    </row>
    <row r="19" spans="1:14" x14ac:dyDescent="0.3">
      <c r="H19" s="1" t="s">
        <v>39</v>
      </c>
      <c r="I19" s="1">
        <v>10000000</v>
      </c>
    </row>
    <row r="20" spans="1:14" x14ac:dyDescent="0.3">
      <c r="H20" s="1" t="s">
        <v>40</v>
      </c>
      <c r="I20" s="1">
        <f>5000*28000</f>
        <v>140000000</v>
      </c>
      <c r="J20" s="1" t="s">
        <v>41</v>
      </c>
    </row>
    <row r="22" spans="1:14" x14ac:dyDescent="0.3">
      <c r="G22" s="1" t="s">
        <v>42</v>
      </c>
      <c r="H22" s="1" t="s">
        <v>44</v>
      </c>
      <c r="I22" s="1">
        <v>8000000</v>
      </c>
      <c r="J22" s="1" t="s">
        <v>43</v>
      </c>
    </row>
    <row r="23" spans="1:14" x14ac:dyDescent="0.3">
      <c r="H23" s="1" t="s">
        <v>45</v>
      </c>
      <c r="I23" s="1">
        <v>20000000</v>
      </c>
    </row>
    <row r="24" spans="1:14" x14ac:dyDescent="0.3">
      <c r="H24" s="1" t="s">
        <v>46</v>
      </c>
      <c r="I24" s="1">
        <v>30000000</v>
      </c>
    </row>
    <row r="25" spans="1:14" x14ac:dyDescent="0.3">
      <c r="H25" s="1" t="s">
        <v>50</v>
      </c>
      <c r="I25" s="1">
        <v>4000000</v>
      </c>
    </row>
    <row r="26" spans="1:14" x14ac:dyDescent="0.3">
      <c r="H26" s="1" t="s">
        <v>49</v>
      </c>
      <c r="I26" s="1" t="s">
        <v>47</v>
      </c>
    </row>
    <row r="27" spans="1:14" x14ac:dyDescent="0.3">
      <c r="H27" s="1" t="s">
        <v>48</v>
      </c>
    </row>
    <row r="28" spans="1:14" x14ac:dyDescent="0.3">
      <c r="H28" s="1" t="s">
        <v>52</v>
      </c>
    </row>
    <row r="29" spans="1:14" x14ac:dyDescent="0.3">
      <c r="H29" s="1" t="s">
        <v>53</v>
      </c>
    </row>
    <row r="30" spans="1:14" x14ac:dyDescent="0.3">
      <c r="N30" s="1" t="s">
        <v>51</v>
      </c>
    </row>
    <row r="31" spans="1:14" x14ac:dyDescent="0.3">
      <c r="A31" s="3" t="s">
        <v>7</v>
      </c>
      <c r="B31" s="3">
        <v>0</v>
      </c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>
        <v>11</v>
      </c>
      <c r="N31" s="3">
        <v>12</v>
      </c>
    </row>
    <row r="32" spans="1:14" x14ac:dyDescent="0.3">
      <c r="A32" s="4" t="s">
        <v>8</v>
      </c>
      <c r="F32" s="1">
        <f>5000*50000</f>
        <v>250000000</v>
      </c>
      <c r="G32" s="1">
        <f>+F32-F32*0.05</f>
        <v>237500000</v>
      </c>
      <c r="H32" s="1">
        <f>+G32*1.03</f>
        <v>244625000</v>
      </c>
      <c r="I32" s="1">
        <f t="shared" ref="I32:K32" si="0">+H32*1.03</f>
        <v>251963750</v>
      </c>
      <c r="J32" s="1">
        <f t="shared" si="0"/>
        <v>259522662.5</v>
      </c>
      <c r="K32" s="1">
        <f t="shared" si="0"/>
        <v>267308342.375</v>
      </c>
      <c r="L32" s="1">
        <f t="shared" ref="L32:N32" si="1">+K32*1.03</f>
        <v>275327592.64625001</v>
      </c>
      <c r="M32" s="1">
        <f t="shared" si="1"/>
        <v>283587420.42563754</v>
      </c>
      <c r="N32" s="1">
        <f t="shared" si="1"/>
        <v>292095043.03840667</v>
      </c>
    </row>
    <row r="33" spans="1:14" x14ac:dyDescent="0.3">
      <c r="A33" s="4" t="s">
        <v>9</v>
      </c>
      <c r="F33" s="1">
        <v>20000000</v>
      </c>
      <c r="G33" s="1">
        <v>20000000</v>
      </c>
      <c r="H33" s="1">
        <v>20000000</v>
      </c>
      <c r="I33" s="1">
        <v>20000000</v>
      </c>
      <c r="J33" s="1">
        <v>20000000</v>
      </c>
      <c r="K33" s="1">
        <v>20000000</v>
      </c>
      <c r="L33" s="1">
        <v>20000000</v>
      </c>
      <c r="M33" s="1">
        <v>20000000</v>
      </c>
      <c r="N33" s="1">
        <v>20000000</v>
      </c>
    </row>
    <row r="34" spans="1:14" x14ac:dyDescent="0.3">
      <c r="A34" s="4" t="s">
        <v>10</v>
      </c>
      <c r="F34" s="1">
        <v>10000000</v>
      </c>
      <c r="G34" s="1">
        <v>10000000</v>
      </c>
      <c r="H34" s="1">
        <v>10000000</v>
      </c>
      <c r="I34" s="1">
        <v>10000000</v>
      </c>
      <c r="J34" s="1">
        <v>10000000</v>
      </c>
      <c r="K34" s="1">
        <v>10000000</v>
      </c>
      <c r="L34" s="1">
        <v>10000000</v>
      </c>
      <c r="M34" s="1">
        <v>10000000</v>
      </c>
      <c r="N34" s="1">
        <v>10000000</v>
      </c>
    </row>
    <row r="35" spans="1:14" x14ac:dyDescent="0.3">
      <c r="A35" s="4" t="s">
        <v>11</v>
      </c>
      <c r="F35" s="1">
        <f>28000*5000</f>
        <v>140000000</v>
      </c>
      <c r="G35" s="1">
        <f>+F35*1.01</f>
        <v>141400000</v>
      </c>
      <c r="H35" s="1">
        <f t="shared" ref="H35:K35" si="2">+G35*1.01</f>
        <v>142814000</v>
      </c>
      <c r="I35" s="1">
        <f t="shared" si="2"/>
        <v>144242140</v>
      </c>
      <c r="J35" s="1">
        <f t="shared" si="2"/>
        <v>145684561.40000001</v>
      </c>
      <c r="K35" s="1">
        <f t="shared" si="2"/>
        <v>147141407.014</v>
      </c>
      <c r="L35" s="1">
        <f t="shared" ref="L35:N35" si="3">+K35*1.01</f>
        <v>148612821.08414</v>
      </c>
      <c r="M35" s="1">
        <f t="shared" si="3"/>
        <v>150098949.29498139</v>
      </c>
      <c r="N35" s="1">
        <f t="shared" si="3"/>
        <v>151599938.7879312</v>
      </c>
    </row>
    <row r="36" spans="1:14" x14ac:dyDescent="0.3">
      <c r="A36" s="4" t="s">
        <v>12</v>
      </c>
      <c r="C36" s="1">
        <f>+H6</f>
        <v>2222222.222222222</v>
      </c>
      <c r="D36" s="1">
        <f>+H6+H10</f>
        <v>64722222.222222224</v>
      </c>
      <c r="E36" s="1">
        <v>64722222.222222224</v>
      </c>
      <c r="F36" s="1">
        <v>64722222.222222224</v>
      </c>
      <c r="G36" s="1">
        <v>64722222.222222224</v>
      </c>
      <c r="H36" s="1">
        <v>64722222.222222224</v>
      </c>
      <c r="I36" s="1">
        <v>64722222.222222224</v>
      </c>
      <c r="J36" s="1">
        <v>64722222.222222224</v>
      </c>
      <c r="K36" s="1">
        <v>64722222.222222224</v>
      </c>
      <c r="L36" s="1">
        <v>64722222.222222202</v>
      </c>
      <c r="M36" s="1">
        <v>64722222.222222202</v>
      </c>
      <c r="N36" s="1">
        <v>64722222.222222202</v>
      </c>
    </row>
    <row r="37" spans="1:14" x14ac:dyDescent="0.3">
      <c r="A37" s="4" t="s">
        <v>13</v>
      </c>
    </row>
    <row r="38" spans="1:14" x14ac:dyDescent="0.3">
      <c r="A38" s="4" t="s">
        <v>14</v>
      </c>
    </row>
    <row r="39" spans="1:14" x14ac:dyDescent="0.3">
      <c r="A39" s="5" t="s">
        <v>15</v>
      </c>
      <c r="B39" s="5">
        <f>+B32-B33-B34-B35-B36+B37-B38</f>
        <v>0</v>
      </c>
      <c r="C39" s="5">
        <f t="shared" ref="C39:K39" si="4">+C32-C33-C34-C35-C36+C37-C38</f>
        <v>-2222222.222222222</v>
      </c>
      <c r="D39" s="5">
        <f t="shared" si="4"/>
        <v>-64722222.222222224</v>
      </c>
      <c r="E39" s="5">
        <f t="shared" si="4"/>
        <v>-64722222.222222224</v>
      </c>
      <c r="F39" s="5">
        <f t="shared" si="4"/>
        <v>15277777.777777776</v>
      </c>
      <c r="G39" s="5">
        <f t="shared" si="4"/>
        <v>1377777.7777777761</v>
      </c>
      <c r="H39" s="5">
        <f t="shared" si="4"/>
        <v>7088777.7777777761</v>
      </c>
      <c r="I39" s="5">
        <f t="shared" si="4"/>
        <v>12999387.777777776</v>
      </c>
      <c r="J39" s="5">
        <f t="shared" si="4"/>
        <v>19115878.87777777</v>
      </c>
      <c r="K39" s="5">
        <f t="shared" si="4"/>
        <v>25444713.138777778</v>
      </c>
      <c r="L39" s="5">
        <f>+L32-L33-L34-L35-L36+L37-L38</f>
        <v>31992549.339887805</v>
      </c>
      <c r="M39" s="5">
        <f t="shared" ref="M39:N39" si="5">+M32-M33-M34-M35-M36+M37-M38</f>
        <v>38766248.908433951</v>
      </c>
      <c r="N39" s="5">
        <f t="shared" si="5"/>
        <v>45772882.028253265</v>
      </c>
    </row>
    <row r="40" spans="1:14" x14ac:dyDescent="0.3">
      <c r="A40" s="4" t="s">
        <v>54</v>
      </c>
      <c r="B40" s="1">
        <f>+B39*0.21</f>
        <v>0</v>
      </c>
      <c r="C40" s="1">
        <f t="shared" ref="C40:N40" si="6">+C39*0.21</f>
        <v>-466666.66666666663</v>
      </c>
      <c r="D40" s="1">
        <f t="shared" si="6"/>
        <v>-13591666.666666666</v>
      </c>
      <c r="E40" s="1">
        <f t="shared" si="6"/>
        <v>-13591666.666666666</v>
      </c>
      <c r="F40" s="1">
        <f t="shared" si="6"/>
        <v>3208333.333333333</v>
      </c>
      <c r="G40" s="1">
        <f t="shared" si="6"/>
        <v>289333.33333333296</v>
      </c>
      <c r="H40" s="1">
        <f t="shared" si="6"/>
        <v>1488643.333333333</v>
      </c>
      <c r="I40" s="1">
        <f t="shared" si="6"/>
        <v>2729871.4333333331</v>
      </c>
      <c r="J40" s="1">
        <f t="shared" si="6"/>
        <v>4014334.5643333318</v>
      </c>
      <c r="K40" s="1">
        <f t="shared" si="6"/>
        <v>5343389.759143333</v>
      </c>
      <c r="L40" s="1">
        <f t="shared" si="6"/>
        <v>6718435.3613764392</v>
      </c>
      <c r="M40" s="1">
        <f t="shared" si="6"/>
        <v>8140912.2707711291</v>
      </c>
      <c r="N40" s="1">
        <f t="shared" si="6"/>
        <v>9612305.2259331848</v>
      </c>
    </row>
    <row r="41" spans="1:14" x14ac:dyDescent="0.3">
      <c r="A41" s="4"/>
    </row>
    <row r="42" spans="1:14" x14ac:dyDescent="0.3">
      <c r="A42" s="4" t="s">
        <v>16</v>
      </c>
      <c r="B42" s="1">
        <v>8000000</v>
      </c>
      <c r="C42" s="1">
        <f>20000000+30000000</f>
        <v>50000000</v>
      </c>
      <c r="D42" s="1">
        <f>4000000+0.8*E35</f>
        <v>4000000</v>
      </c>
      <c r="E42" s="1">
        <f t="shared" ref="E42:N42" si="7">4000000+0.8*F35</f>
        <v>116000000</v>
      </c>
      <c r="F42" s="1">
        <f t="shared" si="7"/>
        <v>117120000</v>
      </c>
      <c r="G42" s="1">
        <f t="shared" si="7"/>
        <v>118251200</v>
      </c>
      <c r="H42" s="1">
        <f t="shared" si="7"/>
        <v>119393712</v>
      </c>
      <c r="I42" s="1">
        <f t="shared" si="7"/>
        <v>120547649.12</v>
      </c>
      <c r="J42" s="1">
        <f t="shared" si="7"/>
        <v>121713125.6112</v>
      </c>
      <c r="K42" s="1">
        <f t="shared" si="7"/>
        <v>122890256.86731201</v>
      </c>
      <c r="L42" s="1">
        <f t="shared" si="7"/>
        <v>124079159.43598512</v>
      </c>
      <c r="M42" s="1">
        <f t="shared" si="7"/>
        <v>125279951.03034496</v>
      </c>
      <c r="N42" s="1">
        <f t="shared" si="7"/>
        <v>4000000</v>
      </c>
    </row>
    <row r="43" spans="1:14" x14ac:dyDescent="0.3">
      <c r="A43" s="4" t="s">
        <v>17</v>
      </c>
      <c r="F43" s="1">
        <f>+F35*0.5*0.164383561643836</f>
        <v>11506849.315068521</v>
      </c>
      <c r="G43" s="1">
        <f t="shared" ref="G43:N43" si="8">+G35*0.5*0.164383561643836</f>
        <v>11621917.808219206</v>
      </c>
      <c r="H43" s="1">
        <f t="shared" si="8"/>
        <v>11738136.986301396</v>
      </c>
      <c r="I43" s="1">
        <f t="shared" si="8"/>
        <v>11855518.356164411</v>
      </c>
      <c r="J43" s="1">
        <f t="shared" si="8"/>
        <v>11974073.539726056</v>
      </c>
      <c r="K43" s="1">
        <f t="shared" si="8"/>
        <v>12093814.275123315</v>
      </c>
      <c r="L43" s="1">
        <f t="shared" si="8"/>
        <v>12214752.417874549</v>
      </c>
      <c r="M43" s="1">
        <f t="shared" si="8"/>
        <v>12336899.942053294</v>
      </c>
      <c r="N43" s="1">
        <f t="shared" si="8"/>
        <v>12460268.941473827</v>
      </c>
    </row>
    <row r="44" spans="1:14" x14ac:dyDescent="0.3">
      <c r="A44" s="4" t="s">
        <v>18</v>
      </c>
      <c r="B44" s="1">
        <f>+B42-B43</f>
        <v>8000000</v>
      </c>
      <c r="C44" s="1">
        <f t="shared" ref="C44:N44" si="9">+C42-C43</f>
        <v>50000000</v>
      </c>
      <c r="D44" s="1">
        <f t="shared" si="9"/>
        <v>4000000</v>
      </c>
      <c r="E44" s="1">
        <f t="shared" si="9"/>
        <v>116000000</v>
      </c>
      <c r="F44" s="1">
        <f t="shared" si="9"/>
        <v>105613150.68493149</v>
      </c>
      <c r="G44" s="1">
        <f t="shared" si="9"/>
        <v>106629282.19178079</v>
      </c>
      <c r="H44" s="1">
        <f t="shared" si="9"/>
        <v>107655575.01369861</v>
      </c>
      <c r="I44" s="1">
        <f t="shared" si="9"/>
        <v>108692130.76383559</v>
      </c>
      <c r="J44" s="1">
        <f t="shared" si="9"/>
        <v>109739052.07147396</v>
      </c>
      <c r="K44" s="1">
        <f t="shared" si="9"/>
        <v>110796442.5921887</v>
      </c>
      <c r="L44" s="1">
        <f t="shared" si="9"/>
        <v>111864407.01811057</v>
      </c>
      <c r="M44" s="1">
        <f t="shared" si="9"/>
        <v>112943051.08829167</v>
      </c>
      <c r="N44" s="1">
        <f t="shared" si="9"/>
        <v>-8460268.9414738268</v>
      </c>
    </row>
    <row r="45" spans="1:14" x14ac:dyDescent="0.3">
      <c r="A45" s="4" t="s">
        <v>19</v>
      </c>
      <c r="B45" s="1">
        <v>20000000</v>
      </c>
      <c r="C45" s="1">
        <f>+C44-B44</f>
        <v>42000000</v>
      </c>
      <c r="D45" s="1">
        <f t="shared" ref="D45:O45" si="10">+D44-C44</f>
        <v>-46000000</v>
      </c>
      <c r="E45" s="1">
        <f t="shared" si="10"/>
        <v>112000000</v>
      </c>
      <c r="F45" s="1">
        <f t="shared" si="10"/>
        <v>-10386849.315068513</v>
      </c>
      <c r="G45" s="1">
        <f t="shared" si="10"/>
        <v>1016131.5068493038</v>
      </c>
      <c r="H45" s="1">
        <f t="shared" si="10"/>
        <v>1026292.821917817</v>
      </c>
      <c r="I45" s="1">
        <f t="shared" si="10"/>
        <v>1036555.7501369864</v>
      </c>
      <c r="J45" s="1">
        <f t="shared" si="10"/>
        <v>1046921.3076383621</v>
      </c>
      <c r="K45" s="1">
        <f t="shared" si="10"/>
        <v>1057390.5207147449</v>
      </c>
      <c r="L45" s="1">
        <f t="shared" si="10"/>
        <v>1067964.4259218723</v>
      </c>
      <c r="M45" s="1">
        <f t="shared" si="10"/>
        <v>1078644.0701811016</v>
      </c>
      <c r="N45" s="1">
        <f t="shared" si="10"/>
        <v>-121403320.0297655</v>
      </c>
    </row>
    <row r="46" spans="1:14" x14ac:dyDescent="0.3">
      <c r="A46" s="4" t="s">
        <v>20</v>
      </c>
      <c r="B46" s="1">
        <f>+B45</f>
        <v>20000000</v>
      </c>
      <c r="C46" s="1">
        <f>+C45-B45+C36</f>
        <v>24222222.222222224</v>
      </c>
      <c r="D46" s="1">
        <f t="shared" ref="D46:N46" si="11">+D45-C45+D36</f>
        <v>-23277777.777777776</v>
      </c>
      <c r="E46" s="1">
        <f t="shared" si="11"/>
        <v>222722222.22222221</v>
      </c>
      <c r="F46" s="1">
        <f t="shared" si="11"/>
        <v>-57664627.092846289</v>
      </c>
      <c r="G46" s="1">
        <f t="shared" si="11"/>
        <v>76125203.044140041</v>
      </c>
      <c r="H46" s="1">
        <f t="shared" si="11"/>
        <v>64732383.537290737</v>
      </c>
      <c r="I46" s="1">
        <f t="shared" si="11"/>
        <v>64732485.150441393</v>
      </c>
      <c r="J46" s="1">
        <f t="shared" si="11"/>
        <v>64732587.7797236</v>
      </c>
      <c r="K46" s="1">
        <f t="shared" si="11"/>
        <v>64732691.435298607</v>
      </c>
      <c r="L46" s="1">
        <f t="shared" si="11"/>
        <v>64732796.127429329</v>
      </c>
      <c r="M46" s="1">
        <f t="shared" si="11"/>
        <v>64732901.866481431</v>
      </c>
      <c r="N46" s="1">
        <f t="shared" si="11"/>
        <v>-57759741.877724402</v>
      </c>
    </row>
    <row r="47" spans="1:14" x14ac:dyDescent="0.3">
      <c r="A47" s="3" t="s">
        <v>21</v>
      </c>
      <c r="B47" s="5">
        <f>+B39-B40+B36-B45-B46</f>
        <v>-40000000</v>
      </c>
      <c r="C47" s="5">
        <f t="shared" ref="C47:N47" si="12">+C39-C40+C36-C45-C46</f>
        <v>-65755555.55555556</v>
      </c>
      <c r="D47" s="5">
        <f t="shared" si="12"/>
        <v>82869444.444444448</v>
      </c>
      <c r="E47" s="5">
        <f t="shared" si="12"/>
        <v>-321130555.55555558</v>
      </c>
      <c r="F47" s="5">
        <f t="shared" si="12"/>
        <v>144843143.07458147</v>
      </c>
      <c r="G47" s="5">
        <f t="shared" si="12"/>
        <v>-11330667.884322681</v>
      </c>
      <c r="H47" s="5">
        <f t="shared" si="12"/>
        <v>4563680.3074581176</v>
      </c>
      <c r="I47" s="5">
        <f t="shared" si="12"/>
        <v>9222697.6660882831</v>
      </c>
      <c r="J47" s="5">
        <f t="shared" si="12"/>
        <v>14044257.448304698</v>
      </c>
      <c r="K47" s="5">
        <f t="shared" si="12"/>
        <v>19033463.645843312</v>
      </c>
      <c r="L47" s="5">
        <f t="shared" si="12"/>
        <v>24195575.647382371</v>
      </c>
      <c r="M47" s="5">
        <f t="shared" si="12"/>
        <v>29536012.92322249</v>
      </c>
      <c r="N47" s="5">
        <f t="shared" si="12"/>
        <v>280045860.93203217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2015-06-05T18:17:20Z</dcterms:created>
  <dcterms:modified xsi:type="dcterms:W3CDTF">2022-11-25T17:47:12Z</dcterms:modified>
</cp:coreProperties>
</file>