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Guias/01/"/>
    </mc:Choice>
  </mc:AlternateContent>
  <xr:revisionPtr revIDLastSave="1" documentId="11_C6F029DF987AE306116833981921464C5668453A" xr6:coauthVersionLast="47" xr6:coauthVersionMax="47" xr10:uidLastSave="{CC851B13-480D-4650-A343-E780A4E15543}"/>
  <bookViews>
    <workbookView xWindow="11268" yWindow="3060" windowWidth="11472" windowHeight="8880" xr2:uid="{00000000-000D-0000-FFFF-FFFF00000000}"/>
  </bookViews>
  <sheets>
    <sheet name="1" sheetId="10" r:id="rId1"/>
    <sheet name="2" sheetId="11" r:id="rId2"/>
    <sheet name="3" sheetId="2" r:id="rId3"/>
    <sheet name="4" sheetId="4" r:id="rId4"/>
    <sheet name="5" sheetId="5" r:id="rId5"/>
    <sheet name="6" sheetId="1" r:id="rId6"/>
    <sheet name="7" sheetId="6" r:id="rId7"/>
    <sheet name="8" sheetId="7" r:id="rId8"/>
    <sheet name="9" sheetId="8" r:id="rId9"/>
    <sheet name="1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1" l="1"/>
  <c r="B4" i="11" s="1"/>
  <c r="D6" i="11" s="1"/>
  <c r="E26" i="10"/>
  <c r="D26" i="10"/>
  <c r="B22" i="10"/>
  <c r="D18" i="10"/>
  <c r="F21" i="1" l="1"/>
  <c r="F5" i="9" l="1"/>
  <c r="G6" i="8"/>
  <c r="G8" i="8"/>
  <c r="G10" i="8"/>
  <c r="G12" i="8"/>
  <c r="G14" i="8"/>
  <c r="G4" i="8"/>
  <c r="D6" i="7"/>
  <c r="C9" i="7" s="1"/>
  <c r="E12" i="7" s="1"/>
  <c r="H27" i="6"/>
  <c r="F30" i="6" s="1"/>
  <c r="D22" i="6"/>
  <c r="F18" i="6"/>
  <c r="G7" i="6"/>
  <c r="D39" i="5"/>
  <c r="D35" i="5"/>
  <c r="D37" i="5" s="1"/>
  <c r="H23" i="5"/>
  <c r="E6" i="5"/>
  <c r="E17" i="5"/>
  <c r="E19" i="5" s="1"/>
  <c r="F15" i="5"/>
  <c r="F2" i="5"/>
  <c r="E4" i="5" s="1"/>
  <c r="C12" i="4"/>
  <c r="C10" i="4"/>
  <c r="C8" i="4"/>
  <c r="E10" i="2"/>
  <c r="E12" i="2"/>
  <c r="E14" i="2"/>
  <c r="E16" i="2"/>
  <c r="E18" i="2"/>
  <c r="E8" i="2"/>
  <c r="C18" i="2"/>
  <c r="D18" i="2" s="1"/>
  <c r="C16" i="2"/>
  <c r="D16" i="2" s="1"/>
  <c r="C14" i="2"/>
  <c r="G14" i="2" s="1"/>
  <c r="F14" i="2" s="1"/>
  <c r="C12" i="2"/>
  <c r="D12" i="2" s="1"/>
  <c r="C10" i="2"/>
  <c r="G10" i="2" s="1"/>
  <c r="F10" i="2" s="1"/>
  <c r="C8" i="2"/>
  <c r="G8" i="2" s="1"/>
  <c r="F8" i="2" s="1"/>
  <c r="L23" i="1"/>
  <c r="F25" i="1"/>
  <c r="K25" i="1" s="1"/>
  <c r="G7" i="1"/>
  <c r="F18" i="1"/>
  <c r="F23" i="1" s="1"/>
  <c r="F27" i="1" s="1"/>
  <c r="K27" i="1" s="1"/>
  <c r="D10" i="2" l="1"/>
  <c r="G18" i="2"/>
  <c r="F18" i="2" s="1"/>
  <c r="H8" i="5"/>
  <c r="G16" i="2"/>
  <c r="F16" i="2" s="1"/>
  <c r="D14" i="2"/>
  <c r="D8" i="2"/>
  <c r="G12" i="2"/>
  <c r="F12" i="2" s="1"/>
</calcChain>
</file>

<file path=xl/sharedStrings.xml><?xml version="1.0" encoding="utf-8"?>
<sst xmlns="http://schemas.openxmlformats.org/spreadsheetml/2006/main" count="175" uniqueCount="100">
  <si>
    <t>F t,t+1 =</t>
  </si>
  <si>
    <t>St</t>
  </si>
  <si>
    <t>=</t>
  </si>
  <si>
    <t xml:space="preserve"> </t>
  </si>
  <si>
    <t>Capital en pesos =</t>
  </si>
  <si>
    <t>Capital en dólares =</t>
  </si>
  <si>
    <t>Monto en dólares invirtiendo en pesos =</t>
  </si>
  <si>
    <t>Monto en dólares invirtiendo en dólares =</t>
  </si>
  <si>
    <t>Monto en pesos invirtiendo en pesos =</t>
  </si>
  <si>
    <t>Monto en pesos invirtiendo en dólares =</t>
  </si>
  <si>
    <t>(1+ TES en pesos)</t>
  </si>
  <si>
    <t>(1+ TES en dólares)</t>
  </si>
  <si>
    <t>(1+TES)</t>
  </si>
  <si>
    <t>(1+TNA/m)</t>
  </si>
  <si>
    <t>mN</t>
  </si>
  <si>
    <t>(365/180)N</t>
  </si>
  <si>
    <t>Sería conveniente invertir en pesos</t>
  </si>
  <si>
    <t>Tasa en pesos invirtiendo en dólares =</t>
  </si>
  <si>
    <t>Tasa en pesos invirtiendo en pesos =</t>
  </si>
  <si>
    <t>estas tasas son TES</t>
  </si>
  <si>
    <t>(1+0,42x30/365)  -  1</t>
  </si>
  <si>
    <t>Capital =</t>
  </si>
  <si>
    <t>TNA =</t>
  </si>
  <si>
    <t>a)</t>
  </si>
  <si>
    <t>b)</t>
  </si>
  <si>
    <t>c)</t>
  </si>
  <si>
    <t>d)</t>
  </si>
  <si>
    <t>e)</t>
  </si>
  <si>
    <t>f)</t>
  </si>
  <si>
    <t>Monto</t>
  </si>
  <si>
    <t>TEA</t>
  </si>
  <si>
    <t>Intereses sobre el Capital</t>
  </si>
  <si>
    <t>Intereses sobre intereses</t>
  </si>
  <si>
    <t>Intereses totales</t>
  </si>
  <si>
    <t>Monto =</t>
  </si>
  <si>
    <t>Períodos</t>
  </si>
  <si>
    <t>a) m = 1</t>
  </si>
  <si>
    <t>b) m = 2</t>
  </si>
  <si>
    <t>c) m = 360</t>
  </si>
  <si>
    <t xml:space="preserve"> año</t>
  </si>
  <si>
    <t>semestres</t>
  </si>
  <si>
    <t>días</t>
  </si>
  <si>
    <t>m = 1 al ser las capitalizaciones cada 360 días</t>
  </si>
  <si>
    <t>m = 2 al ser las capitalizaciones cada 180 días</t>
  </si>
  <si>
    <t>m = 360 al ser las capitalizaciones diarias</t>
  </si>
  <si>
    <t>Lo más fácil es comenzar por la TEA =</t>
  </si>
  <si>
    <t>Luego calculamos TES =</t>
  </si>
  <si>
    <t>Y calculamos TEM =</t>
  </si>
  <si>
    <t>Por su parte, TNA =</t>
  </si>
  <si>
    <t>Lo más fácil es comenzar por la TES =</t>
  </si>
  <si>
    <t>Luego calculamos TEA =</t>
  </si>
  <si>
    <t>m (((1+TEA)^(1/m))-1)</t>
  </si>
  <si>
    <t>Es dato la TNA =</t>
  </si>
  <si>
    <t>Para convertir la TNA en tasa efectiva (TEA, TES, TEM, etc.) el tiempo que el Capital está depositado es irrelevante</t>
  </si>
  <si>
    <t>TEA =</t>
  </si>
  <si>
    <t>TES =</t>
  </si>
  <si>
    <t>TEM =</t>
  </si>
  <si>
    <t>Solamente necesitamos el dato de la TNA y de m.</t>
  </si>
  <si>
    <t>(al ser m = 365/30, TNA/m = TEM)</t>
  </si>
  <si>
    <t>(cálculo hecho suponiendo m=1)</t>
  </si>
  <si>
    <t>(cálculo hecho suponiendo m = 365/180)</t>
  </si>
  <si>
    <t>Cuota</t>
  </si>
  <si>
    <t>(1+TEM)</t>
  </si>
  <si>
    <t>+</t>
  </si>
  <si>
    <t>(1+TEM)^2</t>
  </si>
  <si>
    <t xml:space="preserve">TEM </t>
  </si>
  <si>
    <t>TNA/12 =</t>
  </si>
  <si>
    <t>(1+0,02)</t>
  </si>
  <si>
    <t>(1+0,02)^2</t>
  </si>
  <si>
    <t>((1/1,02)+(1/1,02^2))</t>
  </si>
  <si>
    <t>((1+TEA)^(1/12))-1</t>
  </si>
  <si>
    <t>dólares</t>
  </si>
  <si>
    <t>(1+0,5x30/360)(1+0,60)^(1/12)</t>
  </si>
  <si>
    <t>(1+TEA)^(2/12)</t>
  </si>
  <si>
    <t xml:space="preserve">TEA </t>
  </si>
  <si>
    <t>Precio de contado</t>
  </si>
  <si>
    <t>en dólares</t>
  </si>
  <si>
    <t>Tasa Instantánea Anual</t>
  </si>
  <si>
    <t>El máximo Monto es el que se obtendría con capitalizaciones contínuas</t>
  </si>
  <si>
    <t xml:space="preserve">Monto = </t>
  </si>
  <si>
    <t>100.000 e^0,2 =</t>
  </si>
  <si>
    <t xml:space="preserve">La TNA se llama Tasa Instantánea Anual cuando el número de captitalizaciones tiende a infinito y se llama TEA </t>
  </si>
  <si>
    <t>cuando el número de capitalizaciones por año es 1.</t>
  </si>
  <si>
    <t>(1+TNA x N1)</t>
  </si>
  <si>
    <t>(1+TNA x N2)</t>
  </si>
  <si>
    <t>TNA = 0,24</t>
  </si>
  <si>
    <t>N1 = 30/360</t>
  </si>
  <si>
    <t>N2 = 60/360</t>
  </si>
  <si>
    <t xml:space="preserve">Cuota  x </t>
  </si>
  <si>
    <t>(1/(1+0,24x30/360)+1/(1+0,24x60/360))</t>
  </si>
  <si>
    <t>(1+0,24 x 30/360)</t>
  </si>
  <si>
    <t>(1+0,24 x 60/360)</t>
  </si>
  <si>
    <t>(Hacer clik sobre la celda con el resultado final para ver el procedimiento)</t>
  </si>
  <si>
    <t>Precio en dólares</t>
  </si>
  <si>
    <t>(1+0,03 x 30/360)</t>
  </si>
  <si>
    <t>(1+0,03 x 60/360)</t>
  </si>
  <si>
    <t>100.000x0,50x30/360</t>
  </si>
  <si>
    <t>100.000x0,60x30/360 =</t>
  </si>
  <si>
    <t>100.000 (1+TNAx60/360)</t>
  </si>
  <si>
    <t>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</si>
</sst>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000%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165" fontId="2" fillId="2" borderId="0" xfId="1" applyFont="1" applyFill="1"/>
    <xf numFmtId="10" fontId="0" fillId="0" borderId="0" xfId="2" applyNumberFormat="1" applyFont="1"/>
    <xf numFmtId="9" fontId="0" fillId="0" borderId="0" xfId="2" applyNumberFormat="1" applyFont="1"/>
    <xf numFmtId="166" fontId="0" fillId="0" borderId="0" xfId="2" applyNumberFormat="1" applyFont="1"/>
    <xf numFmtId="0" fontId="2" fillId="2" borderId="0" xfId="0" applyFont="1" applyFill="1"/>
    <xf numFmtId="165" fontId="0" fillId="0" borderId="0" xfId="1" applyFont="1"/>
    <xf numFmtId="2" fontId="0" fillId="0" borderId="0" xfId="0" applyNumberFormat="1"/>
    <xf numFmtId="0" fontId="3" fillId="0" borderId="0" xfId="0" applyFont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167" fontId="0" fillId="0" borderId="0" xfId="0" applyNumberFormat="1"/>
    <xf numFmtId="0" fontId="4" fillId="0" borderId="0" xfId="0" applyFont="1"/>
    <xf numFmtId="0" fontId="0" fillId="3" borderId="0" xfId="0" applyFill="1" applyAlignment="1">
      <alignment horizontal="left"/>
    </xf>
    <xf numFmtId="10" fontId="0" fillId="3" borderId="0" xfId="2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/>
    <xf numFmtId="165" fontId="0" fillId="0" borderId="1" xfId="1" applyFont="1" applyBorder="1"/>
    <xf numFmtId="3" fontId="0" fillId="0" borderId="0" xfId="0" applyNumberForma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5" fontId="2" fillId="0" borderId="12" xfId="1" applyFont="1" applyBorder="1"/>
    <xf numFmtId="2" fontId="2" fillId="0" borderId="1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43" fontId="0" fillId="0" borderId="0" xfId="3" applyFont="1"/>
    <xf numFmtId="165" fontId="0" fillId="0" borderId="0" xfId="0" applyNumberForma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20</xdr:row>
      <xdr:rowOff>171450</xdr:rowOff>
    </xdr:from>
    <xdr:to>
      <xdr:col>2</xdr:col>
      <xdr:colOff>161925</xdr:colOff>
      <xdr:row>21</xdr:row>
      <xdr:rowOff>76200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476375" y="3981450"/>
          <a:ext cx="31432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</xdr:row>
      <xdr:rowOff>57150</xdr:rowOff>
    </xdr:from>
    <xdr:to>
      <xdr:col>8</xdr:col>
      <xdr:colOff>381000</xdr:colOff>
      <xdr:row>11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19225" y="1200150"/>
          <a:ext cx="5057775" cy="90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695324</xdr:colOff>
      <xdr:row>21</xdr:row>
      <xdr:rowOff>38100</xdr:rowOff>
    </xdr:from>
    <xdr:to>
      <xdr:col>8</xdr:col>
      <xdr:colOff>361949</xdr:colOff>
      <xdr:row>26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457324" y="4038600"/>
          <a:ext cx="5000625" cy="91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23</xdr:row>
      <xdr:rowOff>133350</xdr:rowOff>
    </xdr:from>
    <xdr:to>
      <xdr:col>11</xdr:col>
      <xdr:colOff>38100</xdr:colOff>
      <xdr:row>27</xdr:row>
      <xdr:rowOff>95250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801100" y="4533900"/>
          <a:ext cx="66675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638175</xdr:colOff>
      <xdr:row>22</xdr:row>
      <xdr:rowOff>171450</xdr:rowOff>
    </xdr:from>
    <xdr:to>
      <xdr:col>11</xdr:col>
      <xdr:colOff>247650</xdr:colOff>
      <xdr:row>24</xdr:row>
      <xdr:rowOff>28575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8705850" y="4381500"/>
          <a:ext cx="371475" cy="2381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21</xdr:row>
      <xdr:rowOff>76200</xdr:rowOff>
    </xdr:from>
    <xdr:to>
      <xdr:col>3</xdr:col>
      <xdr:colOff>552450</xdr:colOff>
      <xdr:row>24</xdr:row>
      <xdr:rowOff>1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857375" y="4076700"/>
          <a:ext cx="981075" cy="49530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5</xdr:col>
      <xdr:colOff>534425</xdr:colOff>
      <xdr:row>19</xdr:row>
      <xdr:rowOff>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238500"/>
          <a:ext cx="3029975" cy="524301"/>
        </a:xfrm>
        <a:prstGeom prst="rect">
          <a:avLst/>
        </a:prstGeom>
      </xdr:spPr>
    </xdr:pic>
    <xdr:clientData/>
  </xdr:twoCellAnchor>
  <xdr:oneCellAnchor>
    <xdr:from>
      <xdr:col>6</xdr:col>
      <xdr:colOff>104773</xdr:colOff>
      <xdr:row>16</xdr:row>
      <xdr:rowOff>131823</xdr:rowOff>
    </xdr:from>
    <xdr:ext cx="1619251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 rot="10800000" flipV="1">
              <a:off x="4886323" y="3179823"/>
              <a:ext cx="161925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𝑇𝐸𝐴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 rot="10800000" flipV="1">
              <a:off x="4886323" y="3179823"/>
              <a:ext cx="161925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2000" b="0" i="0">
                  <a:latin typeface="Cambria Math" panose="02040503050406030204" pitchFamily="18" charset="0"/>
                </a:rPr>
                <a:t>𝐶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es-AR" sz="2000" b="0" i="0">
                  <a:latin typeface="Cambria Math" panose="02040503050406030204" pitchFamily="18" charset="0"/>
                </a:rPr>
                <a:t>0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en-US" sz="2000" i="0">
                  <a:latin typeface="Cambria Math" panose="02040503050406030204" pitchFamily="18" charset="0"/>
                </a:rPr>
                <a:t>〖</a:t>
              </a:r>
              <a:r>
                <a:rPr lang="es-AR" sz="2000" b="0" i="0">
                  <a:latin typeface="Cambria Math" panose="02040503050406030204" pitchFamily="18" charset="0"/>
                </a:rPr>
                <a:t>(1+𝑇𝐸𝐴)</a:t>
              </a:r>
              <a:r>
                <a:rPr lang="en-US" sz="2000" b="0" i="0">
                  <a:latin typeface="Cambria Math" panose="02040503050406030204" pitchFamily="18" charset="0"/>
                </a:rPr>
                <a:t>〗^</a:t>
              </a:r>
              <a:r>
                <a:rPr lang="es-AR" sz="2000" b="0" i="0">
                  <a:latin typeface="Cambria Math" panose="02040503050406030204" pitchFamily="18" charset="0"/>
                </a:rPr>
                <a:t>𝑁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504824</xdr:colOff>
      <xdr:row>1</xdr:row>
      <xdr:rowOff>85725</xdr:rowOff>
    </xdr:from>
    <xdr:ext cx="3028951" cy="523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943599" y="276225"/>
              <a:ext cx="3028951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s-AR" sz="20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s-A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𝑇𝑁𝐴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943599" y="276225"/>
              <a:ext cx="3028951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b="0" i="0">
                  <a:latin typeface="Cambria Math" panose="02040503050406030204" pitchFamily="18" charset="0"/>
                </a:rPr>
                <a:t>𝐶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es-AR" sz="2000" b="0" i="0">
                  <a:latin typeface="Cambria Math" panose="02040503050406030204" pitchFamily="18" charset="0"/>
                </a:rPr>
                <a:t>𝑁=𝐶_0 𝑒^(𝑇𝑁𝐴×𝑁)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114300</xdr:colOff>
      <xdr:row>0</xdr:row>
      <xdr:rowOff>161925</xdr:rowOff>
    </xdr:from>
    <xdr:to>
      <xdr:col>11</xdr:col>
      <xdr:colOff>457200</xdr:colOff>
      <xdr:row>5</xdr:row>
      <xdr:rowOff>38100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315075" y="161925"/>
          <a:ext cx="2628900" cy="847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6"/>
  <sheetViews>
    <sheetView tabSelected="1" zoomScale="70" zoomScaleNormal="70" workbookViewId="0">
      <selection activeCell="E13" sqref="E13"/>
    </sheetView>
  </sheetViews>
  <sheetFormatPr defaultColWidth="11.5546875" defaultRowHeight="14.4" x14ac:dyDescent="0.3"/>
  <cols>
    <col min="2" max="2" width="13.77734375" bestFit="1" customWidth="1"/>
    <col min="4" max="4" width="17.88671875" customWidth="1"/>
    <col min="6" max="6" width="15.6640625" customWidth="1"/>
    <col min="9" max="9" width="50.6640625" customWidth="1"/>
  </cols>
  <sheetData>
    <row r="5" spans="1:9" x14ac:dyDescent="0.3">
      <c r="A5" t="s">
        <v>23</v>
      </c>
      <c r="B5" s="9">
        <v>100000</v>
      </c>
      <c r="C5" t="s">
        <v>2</v>
      </c>
      <c r="D5" s="50" t="s">
        <v>61</v>
      </c>
      <c r="E5" s="51" t="s">
        <v>63</v>
      </c>
      <c r="F5" s="50" t="s">
        <v>61</v>
      </c>
      <c r="G5" s="51"/>
    </row>
    <row r="6" spans="1:9" x14ac:dyDescent="0.3">
      <c r="D6" s="51" t="s">
        <v>83</v>
      </c>
      <c r="E6" s="51"/>
      <c r="F6" s="51" t="s">
        <v>84</v>
      </c>
      <c r="G6" s="51"/>
    </row>
    <row r="8" spans="1:9" x14ac:dyDescent="0.3">
      <c r="B8" t="s">
        <v>85</v>
      </c>
    </row>
    <row r="10" spans="1:9" x14ac:dyDescent="0.3">
      <c r="B10" t="s">
        <v>86</v>
      </c>
    </row>
    <row r="12" spans="1:9" x14ac:dyDescent="0.3">
      <c r="B12" t="s">
        <v>87</v>
      </c>
    </row>
    <row r="14" spans="1:9" x14ac:dyDescent="0.3">
      <c r="B14" s="52">
        <v>100000</v>
      </c>
      <c r="C14" s="51" t="s">
        <v>2</v>
      </c>
      <c r="D14" s="50" t="s">
        <v>61</v>
      </c>
      <c r="E14" s="51" t="s">
        <v>63</v>
      </c>
      <c r="F14" s="50" t="s">
        <v>61</v>
      </c>
      <c r="G14" s="53" t="s">
        <v>2</v>
      </c>
      <c r="H14" s="53" t="s">
        <v>88</v>
      </c>
      <c r="I14" s="53" t="s">
        <v>89</v>
      </c>
    </row>
    <row r="15" spans="1:9" x14ac:dyDescent="0.3">
      <c r="B15" s="51"/>
      <c r="C15" s="51"/>
      <c r="D15" s="51" t="s">
        <v>90</v>
      </c>
      <c r="E15" s="51"/>
      <c r="F15" s="51" t="s">
        <v>91</v>
      </c>
    </row>
    <row r="16" spans="1:9" x14ac:dyDescent="0.3">
      <c r="B16" s="51"/>
      <c r="C16" s="51"/>
      <c r="D16" s="51"/>
      <c r="E16" s="51"/>
      <c r="F16" s="51"/>
    </row>
    <row r="17" spans="1:6" x14ac:dyDescent="0.3">
      <c r="B17" s="51"/>
      <c r="C17" s="51"/>
      <c r="D17" s="51"/>
      <c r="E17" s="51"/>
      <c r="F17" s="51"/>
    </row>
    <row r="18" spans="1:6" x14ac:dyDescent="0.3">
      <c r="B18" s="54" t="s">
        <v>61</v>
      </c>
      <c r="C18" s="54" t="s">
        <v>2</v>
      </c>
      <c r="D18" s="55">
        <f>+B14/(1/(1+0.24*30/360)+1/(1+0.24*60/360))</f>
        <v>51495.145631067964</v>
      </c>
      <c r="E18" s="11" t="s">
        <v>92</v>
      </c>
      <c r="F18" s="51"/>
    </row>
    <row r="19" spans="1:6" x14ac:dyDescent="0.3">
      <c r="B19" s="51"/>
      <c r="C19" s="51"/>
      <c r="D19" s="51"/>
      <c r="E19" s="51"/>
      <c r="F19" s="51"/>
    </row>
    <row r="20" spans="1:6" x14ac:dyDescent="0.3">
      <c r="B20" s="51"/>
      <c r="C20" s="51"/>
      <c r="D20" s="51"/>
      <c r="E20" s="51"/>
      <c r="F20" s="51"/>
    </row>
    <row r="21" spans="1:6" x14ac:dyDescent="0.3">
      <c r="C21" t="s">
        <v>93</v>
      </c>
    </row>
    <row r="22" spans="1:6" x14ac:dyDescent="0.3">
      <c r="A22" t="s">
        <v>24</v>
      </c>
      <c r="B22">
        <f>+B5/80</f>
        <v>1250</v>
      </c>
      <c r="C22" s="51" t="s">
        <v>2</v>
      </c>
      <c r="D22" s="50" t="s">
        <v>61</v>
      </c>
      <c r="E22" s="51" t="s">
        <v>63</v>
      </c>
      <c r="F22" s="50" t="s">
        <v>61</v>
      </c>
    </row>
    <row r="23" spans="1:6" x14ac:dyDescent="0.3">
      <c r="D23" s="51" t="s">
        <v>94</v>
      </c>
      <c r="E23" s="51"/>
      <c r="F23" s="51" t="s">
        <v>95</v>
      </c>
    </row>
    <row r="24" spans="1:6" x14ac:dyDescent="0.3">
      <c r="D24" s="51"/>
      <c r="E24" s="51"/>
      <c r="F24" s="51"/>
    </row>
    <row r="26" spans="1:6" x14ac:dyDescent="0.3">
      <c r="B26" s="54" t="s">
        <v>61</v>
      </c>
      <c r="C26" s="54" t="s">
        <v>2</v>
      </c>
      <c r="D26" s="56">
        <f>1250/(1/(1+0.03*30/360)+1/(1+0.03*60/360))</f>
        <v>627.34277708592776</v>
      </c>
      <c r="E26" t="str">
        <f>+E18</f>
        <v>(Hacer clik sobre la celda con el resultado final para ver el procedimiento)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F5"/>
  <sheetViews>
    <sheetView workbookViewId="0">
      <selection activeCell="G15" sqref="G15"/>
    </sheetView>
  </sheetViews>
  <sheetFormatPr defaultColWidth="11.5546875" defaultRowHeight="14.4" x14ac:dyDescent="0.3"/>
  <cols>
    <col min="6" max="6" width="13" bestFit="1" customWidth="1"/>
  </cols>
  <sheetData>
    <row r="3" spans="3:6" x14ac:dyDescent="0.3">
      <c r="C3" t="s">
        <v>78</v>
      </c>
    </row>
    <row r="4" spans="3:6" ht="15" thickBot="1" x14ac:dyDescent="0.35"/>
    <row r="5" spans="3:6" ht="15" thickBot="1" x14ac:dyDescent="0.35">
      <c r="C5" s="35" t="s">
        <v>79</v>
      </c>
      <c r="D5" s="36" t="s">
        <v>80</v>
      </c>
      <c r="E5" s="36"/>
      <c r="F5" s="38">
        <f>100000*EXP(0.2)</f>
        <v>122140.27581601699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"/>
  <sheetViews>
    <sheetView workbookViewId="0">
      <selection activeCell="F2" sqref="B2:F2"/>
    </sheetView>
  </sheetViews>
  <sheetFormatPr defaultColWidth="11.5546875" defaultRowHeight="14.4" x14ac:dyDescent="0.3"/>
  <cols>
    <col min="2" max="2" width="13" bestFit="1" customWidth="1"/>
    <col min="4" max="4" width="23.6640625" customWidth="1"/>
    <col min="6" max="6" width="22.5546875" customWidth="1"/>
    <col min="7" max="7" width="13" bestFit="1" customWidth="1"/>
  </cols>
  <sheetData>
    <row r="2" spans="1:7" x14ac:dyDescent="0.3">
      <c r="A2" t="s">
        <v>23</v>
      </c>
      <c r="B2" s="57">
        <v>100000</v>
      </c>
      <c r="C2" s="51" t="s">
        <v>63</v>
      </c>
      <c r="D2" s="52" t="s">
        <v>96</v>
      </c>
      <c r="E2" s="51" t="s">
        <v>63</v>
      </c>
      <c r="F2" s="51" t="s">
        <v>97</v>
      </c>
      <c r="G2" s="4">
        <f>100000+100000*0.5*30/360+100000*0.6*30/360</f>
        <v>109166.66666666667</v>
      </c>
    </row>
    <row r="4" spans="1:7" x14ac:dyDescent="0.3">
      <c r="A4" t="s">
        <v>24</v>
      </c>
      <c r="B4" s="58">
        <f>+G2</f>
        <v>109166.66666666667</v>
      </c>
      <c r="C4" s="51" t="s">
        <v>2</v>
      </c>
      <c r="D4" s="51" t="s">
        <v>98</v>
      </c>
      <c r="E4" s="51"/>
    </row>
    <row r="5" spans="1:7" x14ac:dyDescent="0.3">
      <c r="B5" s="51"/>
      <c r="C5" s="51"/>
      <c r="D5" s="51"/>
      <c r="E5" s="51"/>
    </row>
    <row r="6" spans="1:7" x14ac:dyDescent="0.3">
      <c r="B6" s="54" t="s">
        <v>99</v>
      </c>
      <c r="C6" s="54" t="s">
        <v>2</v>
      </c>
      <c r="D6" s="54">
        <f>+((B4/100000)-1)/(60/360)</f>
        <v>0.55000000000000071</v>
      </c>
      <c r="E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18"/>
  <sheetViews>
    <sheetView topLeftCell="A5" workbookViewId="0">
      <selection activeCell="C12" sqref="C12"/>
    </sheetView>
  </sheetViews>
  <sheetFormatPr defaultColWidth="11.5546875" defaultRowHeight="14.4" x14ac:dyDescent="0.3"/>
  <cols>
    <col min="3" max="3" width="13.109375" bestFit="1" customWidth="1"/>
    <col min="4" max="4" width="14.5546875" bestFit="1" customWidth="1"/>
    <col min="5" max="5" width="27" customWidth="1"/>
    <col min="6" max="6" width="25.5546875" customWidth="1"/>
    <col min="7" max="7" width="21.6640625" customWidth="1"/>
  </cols>
  <sheetData>
    <row r="4" spans="2:7" x14ac:dyDescent="0.3">
      <c r="C4" t="s">
        <v>21</v>
      </c>
      <c r="D4" s="9">
        <v>1000000</v>
      </c>
    </row>
    <row r="5" spans="2:7" x14ac:dyDescent="0.3">
      <c r="C5" t="s">
        <v>22</v>
      </c>
      <c r="D5">
        <v>0.2</v>
      </c>
    </row>
    <row r="7" spans="2:7" x14ac:dyDescent="0.3">
      <c r="C7" s="24" t="s">
        <v>29</v>
      </c>
      <c r="D7" s="24" t="s">
        <v>30</v>
      </c>
      <c r="E7" s="24" t="s">
        <v>31</v>
      </c>
      <c r="F7" s="24" t="s">
        <v>32</v>
      </c>
      <c r="G7" s="24" t="s">
        <v>33</v>
      </c>
    </row>
    <row r="8" spans="2:7" x14ac:dyDescent="0.3">
      <c r="B8" t="s">
        <v>23</v>
      </c>
      <c r="C8" s="25">
        <f>FV(0.2,1,,-1000000)</f>
        <v>1200000</v>
      </c>
      <c r="D8" s="5">
        <f>+(C8-1000000)/1000000</f>
        <v>0.2</v>
      </c>
      <c r="E8" s="9">
        <f>0.2*1000000</f>
        <v>200000</v>
      </c>
      <c r="F8" s="26">
        <f>+G8-E8</f>
        <v>0</v>
      </c>
      <c r="G8" s="25">
        <f>+C8-1000000</f>
        <v>200000</v>
      </c>
    </row>
    <row r="9" spans="2:7" x14ac:dyDescent="0.3">
      <c r="D9" s="5"/>
      <c r="E9" s="9"/>
      <c r="F9" s="26"/>
      <c r="G9" s="25"/>
    </row>
    <row r="10" spans="2:7" x14ac:dyDescent="0.3">
      <c r="B10" t="s">
        <v>24</v>
      </c>
      <c r="C10" s="25">
        <f>FV(0.2/2,2,,-1000000)</f>
        <v>1210000.0000000002</v>
      </c>
      <c r="D10" s="5">
        <f t="shared" ref="D10:D18" si="0">+(C10-1000000)/1000000</f>
        <v>0.21000000000000024</v>
      </c>
      <c r="E10" s="9">
        <f t="shared" ref="E10:E18" si="1">0.2*1000000</f>
        <v>200000</v>
      </c>
      <c r="F10" s="26">
        <f t="shared" ref="F10:F18" si="2">+G10-E10</f>
        <v>10000.000000000233</v>
      </c>
      <c r="G10" s="25">
        <f t="shared" ref="G10:G18" si="3">+C10-1000000</f>
        <v>210000.00000000023</v>
      </c>
    </row>
    <row r="11" spans="2:7" x14ac:dyDescent="0.3">
      <c r="D11" s="5"/>
      <c r="E11" s="9"/>
      <c r="F11" s="26"/>
      <c r="G11" s="25"/>
    </row>
    <row r="12" spans="2:7" x14ac:dyDescent="0.3">
      <c r="B12" t="s">
        <v>25</v>
      </c>
      <c r="C12" s="25">
        <f>FV(0.2*90/360,4,,-1000000)</f>
        <v>1215506.25</v>
      </c>
      <c r="D12" s="5">
        <f t="shared" si="0"/>
        <v>0.21550625000000001</v>
      </c>
      <c r="E12" s="9">
        <f t="shared" si="1"/>
        <v>200000</v>
      </c>
      <c r="F12" s="26">
        <f t="shared" si="2"/>
        <v>15506.25</v>
      </c>
      <c r="G12" s="25">
        <f t="shared" si="3"/>
        <v>215506.25</v>
      </c>
    </row>
    <row r="13" spans="2:7" x14ac:dyDescent="0.3">
      <c r="D13" s="5"/>
      <c r="E13" s="9"/>
      <c r="F13" s="26"/>
      <c r="G13" s="25"/>
    </row>
    <row r="14" spans="2:7" x14ac:dyDescent="0.3">
      <c r="B14" t="s">
        <v>26</v>
      </c>
      <c r="C14" s="25">
        <f>FV(0.2*60/360,6,,-1000000)</f>
        <v>1217426.174211249</v>
      </c>
      <c r="D14" s="5">
        <f t="shared" si="0"/>
        <v>0.21742617421124899</v>
      </c>
      <c r="E14" s="9">
        <f t="shared" si="1"/>
        <v>200000</v>
      </c>
      <c r="F14" s="26">
        <f t="shared" si="2"/>
        <v>17426.174211248988</v>
      </c>
      <c r="G14" s="25">
        <f t="shared" si="3"/>
        <v>217426.17421124899</v>
      </c>
    </row>
    <row r="15" spans="2:7" x14ac:dyDescent="0.3">
      <c r="D15" s="5"/>
      <c r="E15" s="9"/>
      <c r="F15" s="26"/>
      <c r="G15" s="25"/>
    </row>
    <row r="16" spans="2:7" x14ac:dyDescent="0.3">
      <c r="B16" t="s">
        <v>27</v>
      </c>
      <c r="C16" s="25">
        <f>FV(0.2/12,12,,-1000000)</f>
        <v>1219391.0849052318</v>
      </c>
      <c r="D16" s="5">
        <f t="shared" si="0"/>
        <v>0.21939108490523185</v>
      </c>
      <c r="E16" s="9">
        <f t="shared" si="1"/>
        <v>200000</v>
      </c>
      <c r="F16" s="26">
        <f t="shared" si="2"/>
        <v>19391.084905231837</v>
      </c>
      <c r="G16" s="25">
        <f t="shared" si="3"/>
        <v>219391.08490523184</v>
      </c>
    </row>
    <row r="17" spans="2:7" x14ac:dyDescent="0.3">
      <c r="D17" s="5"/>
      <c r="E17" s="9"/>
      <c r="F17" s="26"/>
      <c r="G17" s="25"/>
    </row>
    <row r="18" spans="2:7" x14ac:dyDescent="0.3">
      <c r="B18" t="s">
        <v>28</v>
      </c>
      <c r="C18" s="25">
        <f>FV(0.2/360,360,,-1000000)</f>
        <v>1221334.9294561611</v>
      </c>
      <c r="D18" s="5">
        <f t="shared" si="0"/>
        <v>0.22133492945616109</v>
      </c>
      <c r="E18" s="9">
        <f t="shared" si="1"/>
        <v>200000</v>
      </c>
      <c r="F18" s="26">
        <f t="shared" si="2"/>
        <v>21334.929456161102</v>
      </c>
      <c r="G18" s="25">
        <f t="shared" si="3"/>
        <v>221334.9294561611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topLeftCell="A7" workbookViewId="0">
      <selection activeCell="F13" sqref="F13"/>
    </sheetView>
  </sheetViews>
  <sheetFormatPr defaultColWidth="11.5546875" defaultRowHeight="14.4" x14ac:dyDescent="0.3"/>
  <cols>
    <col min="3" max="3" width="13" bestFit="1" customWidth="1"/>
  </cols>
  <sheetData>
    <row r="3" spans="2:6" x14ac:dyDescent="0.3">
      <c r="B3" t="s">
        <v>21</v>
      </c>
      <c r="C3" s="9">
        <v>100000</v>
      </c>
    </row>
    <row r="4" spans="2:6" x14ac:dyDescent="0.3">
      <c r="B4" t="s">
        <v>34</v>
      </c>
      <c r="C4" s="9">
        <v>150000</v>
      </c>
    </row>
    <row r="5" spans="2:6" x14ac:dyDescent="0.3">
      <c r="B5" t="s">
        <v>22</v>
      </c>
      <c r="C5" s="27">
        <v>0.5</v>
      </c>
    </row>
    <row r="7" spans="2:6" x14ac:dyDescent="0.3">
      <c r="C7" t="s">
        <v>35</v>
      </c>
    </row>
    <row r="8" spans="2:6" x14ac:dyDescent="0.3">
      <c r="B8" t="s">
        <v>36</v>
      </c>
      <c r="C8">
        <f>NPER(0.5,,-100000,150000)</f>
        <v>1</v>
      </c>
      <c r="D8" s="20" t="s">
        <v>39</v>
      </c>
      <c r="F8" t="s">
        <v>42</v>
      </c>
    </row>
    <row r="9" spans="2:6" x14ac:dyDescent="0.3">
      <c r="D9" s="20"/>
    </row>
    <row r="10" spans="2:6" x14ac:dyDescent="0.3">
      <c r="B10" t="s">
        <v>37</v>
      </c>
      <c r="C10" s="28">
        <f>NPER(0.5/2,,-100000,150000)</f>
        <v>1.8170594925112873</v>
      </c>
      <c r="D10" s="20" t="s">
        <v>40</v>
      </c>
      <c r="F10" t="s">
        <v>43</v>
      </c>
    </row>
    <row r="11" spans="2:6" x14ac:dyDescent="0.3">
      <c r="C11" s="28"/>
      <c r="D11" s="20"/>
    </row>
    <row r="12" spans="2:6" x14ac:dyDescent="0.3">
      <c r="B12" t="s">
        <v>38</v>
      </c>
      <c r="C12" s="28">
        <f>NPER(0.5/360,,-100000,150000)</f>
        <v>292.13756349566233</v>
      </c>
      <c r="D12" s="20" t="s">
        <v>41</v>
      </c>
      <c r="F1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6"/>
  <sheetViews>
    <sheetView topLeftCell="A29" workbookViewId="0">
      <selection activeCell="B51" sqref="B51"/>
    </sheetView>
  </sheetViews>
  <sheetFormatPr defaultColWidth="11.5546875" defaultRowHeight="14.4" x14ac:dyDescent="0.3"/>
  <sheetData>
    <row r="2" spans="2:8" x14ac:dyDescent="0.3">
      <c r="B2" t="s">
        <v>23</v>
      </c>
      <c r="C2" t="s">
        <v>45</v>
      </c>
      <c r="F2">
        <f>+(220000-200000)/200000</f>
        <v>0.1</v>
      </c>
    </row>
    <row r="4" spans="2:8" x14ac:dyDescent="0.3">
      <c r="C4" t="s">
        <v>46</v>
      </c>
      <c r="E4">
        <f>+((1+F2)^(180/365))-1</f>
        <v>4.8124399273734131E-2</v>
      </c>
    </row>
    <row r="6" spans="2:8" x14ac:dyDescent="0.3">
      <c r="C6" t="s">
        <v>47</v>
      </c>
      <c r="E6">
        <f>+((1+F2)^(30/365))-1</f>
        <v>7.8644772206188929E-3</v>
      </c>
    </row>
    <row r="7" spans="2:8" x14ac:dyDescent="0.3">
      <c r="E7" s="31"/>
    </row>
    <row r="8" spans="2:8" x14ac:dyDescent="0.3">
      <c r="C8" s="29" t="s">
        <v>48</v>
      </c>
      <c r="D8" s="29"/>
      <c r="E8" s="29" t="s">
        <v>51</v>
      </c>
      <c r="F8" s="30"/>
      <c r="G8" s="29" t="s">
        <v>2</v>
      </c>
      <c r="H8" s="29">
        <f>+F2</f>
        <v>0.1</v>
      </c>
    </row>
    <row r="9" spans="2:8" x14ac:dyDescent="0.3">
      <c r="C9" s="29"/>
      <c r="D9" s="29"/>
      <c r="E9" s="29"/>
      <c r="F9" s="29"/>
      <c r="G9" s="29"/>
      <c r="H9" s="29"/>
    </row>
    <row r="10" spans="2:8" x14ac:dyDescent="0.3">
      <c r="C10" s="29" t="s">
        <v>59</v>
      </c>
      <c r="D10" s="29"/>
      <c r="E10" s="29"/>
      <c r="F10" s="29"/>
      <c r="G10" s="29"/>
      <c r="H10" s="29"/>
    </row>
    <row r="15" spans="2:8" x14ac:dyDescent="0.3">
      <c r="B15" t="s">
        <v>24</v>
      </c>
      <c r="C15" t="s">
        <v>49</v>
      </c>
      <c r="F15">
        <f>+(110-100)/100</f>
        <v>0.1</v>
      </c>
    </row>
    <row r="17" spans="2:8" x14ac:dyDescent="0.3">
      <c r="C17" t="s">
        <v>50</v>
      </c>
      <c r="E17">
        <f>+((1+F15)^(365/180))-1</f>
        <v>0.21320772540428345</v>
      </c>
    </row>
    <row r="19" spans="2:8" x14ac:dyDescent="0.3">
      <c r="C19" t="s">
        <v>47</v>
      </c>
      <c r="E19">
        <f>+((1+E17)^(30/365))-1</f>
        <v>1.6011867773387367E-2</v>
      </c>
    </row>
    <row r="22" spans="2:8" x14ac:dyDescent="0.3">
      <c r="E22" s="31"/>
    </row>
    <row r="23" spans="2:8" x14ac:dyDescent="0.3">
      <c r="C23" s="29" t="s">
        <v>48</v>
      </c>
      <c r="D23" s="29"/>
      <c r="E23" s="29" t="s">
        <v>51</v>
      </c>
      <c r="F23" s="30"/>
      <c r="G23" s="29" t="s">
        <v>2</v>
      </c>
      <c r="H23" s="29">
        <f>+(((1+E17)^(180/365))-1)*365/180</f>
        <v>0.20277777777777797</v>
      </c>
    </row>
    <row r="24" spans="2:8" x14ac:dyDescent="0.3">
      <c r="C24" s="29"/>
      <c r="D24" s="29"/>
      <c r="E24" s="29"/>
      <c r="F24" s="29"/>
      <c r="G24" s="29"/>
      <c r="H24" s="29"/>
    </row>
    <row r="25" spans="2:8" x14ac:dyDescent="0.3">
      <c r="C25" s="29" t="s">
        <v>60</v>
      </c>
      <c r="D25" s="29"/>
      <c r="E25" s="29"/>
      <c r="F25" s="29"/>
      <c r="G25" s="29"/>
      <c r="H25" s="29"/>
    </row>
    <row r="31" spans="2:8" x14ac:dyDescent="0.3">
      <c r="B31" t="s">
        <v>25</v>
      </c>
      <c r="C31" t="s">
        <v>52</v>
      </c>
      <c r="E31">
        <v>0.06</v>
      </c>
    </row>
    <row r="33" spans="3:11" x14ac:dyDescent="0.3">
      <c r="C33" t="s">
        <v>53</v>
      </c>
    </row>
    <row r="34" spans="3:11" x14ac:dyDescent="0.3">
      <c r="C34" t="s">
        <v>57</v>
      </c>
    </row>
    <row r="35" spans="3:11" x14ac:dyDescent="0.3">
      <c r="C35" t="s">
        <v>54</v>
      </c>
      <c r="D35">
        <f>+((1+0.06*30/365)^(365/30))-1</f>
        <v>6.1679979032808863E-2</v>
      </c>
    </row>
    <row r="37" spans="3:11" x14ac:dyDescent="0.3">
      <c r="C37" t="s">
        <v>55</v>
      </c>
      <c r="D37">
        <f>+((1+D35)^(180/365))-1</f>
        <v>2.9956245043479157E-2</v>
      </c>
    </row>
    <row r="39" spans="3:11" x14ac:dyDescent="0.3">
      <c r="C39" t="s">
        <v>56</v>
      </c>
      <c r="D39">
        <f>+E31*30/365</f>
        <v>4.9315068493150684E-3</v>
      </c>
      <c r="E39" t="s">
        <v>58</v>
      </c>
    </row>
    <row r="46" spans="3:11" x14ac:dyDescent="0.3">
      <c r="C46" s="23"/>
      <c r="D46" s="23"/>
      <c r="E46" s="23"/>
      <c r="F46" s="23"/>
      <c r="G46" s="23"/>
      <c r="H46" s="23"/>
      <c r="I46" s="23"/>
      <c r="J46" s="23"/>
      <c r="K46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6"/>
  <sheetViews>
    <sheetView topLeftCell="A15" workbookViewId="0">
      <selection activeCell="F37" sqref="F37"/>
    </sheetView>
  </sheetViews>
  <sheetFormatPr defaultColWidth="11.5546875" defaultRowHeight="14.4" x14ac:dyDescent="0.3"/>
  <cols>
    <col min="3" max="3" width="16.44140625" customWidth="1"/>
    <col min="6" max="6" width="13.109375" customWidth="1"/>
  </cols>
  <sheetData>
    <row r="1" spans="2:12" ht="15" thickBot="1" x14ac:dyDescent="0.35"/>
    <row r="2" spans="2:12" x14ac:dyDescent="0.3">
      <c r="C2" s="13" t="s">
        <v>15</v>
      </c>
      <c r="D2" s="14"/>
      <c r="E2" s="15" t="s">
        <v>14</v>
      </c>
    </row>
    <row r="3" spans="2:12" ht="15" thickBot="1" x14ac:dyDescent="0.35">
      <c r="C3" s="16" t="s">
        <v>12</v>
      </c>
      <c r="D3" s="17" t="s">
        <v>2</v>
      </c>
      <c r="E3" s="18" t="s">
        <v>13</v>
      </c>
    </row>
    <row r="7" spans="2:12" x14ac:dyDescent="0.3">
      <c r="B7" t="s">
        <v>0</v>
      </c>
      <c r="C7" s="1" t="s">
        <v>1</v>
      </c>
      <c r="D7" s="2" t="s">
        <v>10</v>
      </c>
      <c r="E7" s="2"/>
      <c r="F7" s="3" t="s">
        <v>2</v>
      </c>
      <c r="G7" s="4">
        <f>93*((1+0.42*30/365)^6)/(1+0.04*30/365)^6</f>
        <v>111.7801846045224</v>
      </c>
    </row>
    <row r="8" spans="2:12" x14ac:dyDescent="0.3">
      <c r="D8" t="s">
        <v>11</v>
      </c>
    </row>
    <row r="11" spans="2:12" x14ac:dyDescent="0.3">
      <c r="F11" s="5"/>
      <c r="H11" s="6"/>
    </row>
    <row r="12" spans="2:12" x14ac:dyDescent="0.3">
      <c r="H12" s="7"/>
      <c r="J12" s="8"/>
      <c r="K12" s="8"/>
      <c r="L12" s="8"/>
    </row>
    <row r="13" spans="2:12" x14ac:dyDescent="0.3">
      <c r="F13" s="5"/>
      <c r="H13" s="7"/>
    </row>
    <row r="15" spans="2:12" x14ac:dyDescent="0.3">
      <c r="B15" t="s">
        <v>3</v>
      </c>
    </row>
    <row r="16" spans="2:12" x14ac:dyDescent="0.3">
      <c r="B16" t="s">
        <v>4</v>
      </c>
      <c r="F16" s="9">
        <v>100000</v>
      </c>
    </row>
    <row r="18" spans="2:15" x14ac:dyDescent="0.3">
      <c r="B18" t="s">
        <v>5</v>
      </c>
      <c r="F18" s="10">
        <f>+F16/93</f>
        <v>1075.2688172043011</v>
      </c>
    </row>
    <row r="21" spans="2:15" x14ac:dyDescent="0.3">
      <c r="B21" t="s">
        <v>6</v>
      </c>
      <c r="F21" s="10">
        <f>(100000*(1+0.42*30/365)^6)/108</f>
        <v>1135.0394896791804</v>
      </c>
    </row>
    <row r="22" spans="2:15" x14ac:dyDescent="0.3">
      <c r="L22" s="12"/>
      <c r="M22" s="12"/>
      <c r="N22" s="12"/>
      <c r="O22" s="21">
        <v>6</v>
      </c>
    </row>
    <row r="23" spans="2:15" x14ac:dyDescent="0.3">
      <c r="B23" t="s">
        <v>7</v>
      </c>
      <c r="F23" s="10">
        <f>+F18*(1+0.04*30/365)^6</f>
        <v>1096.6547006435339</v>
      </c>
      <c r="L23" s="22">
        <f>+((1+0.42*30/365)^6)-1</f>
        <v>0.22584264885351479</v>
      </c>
      <c r="M23" s="12" t="s">
        <v>2</v>
      </c>
      <c r="N23" s="12" t="s">
        <v>20</v>
      </c>
      <c r="O23" s="12"/>
    </row>
    <row r="25" spans="2:15" x14ac:dyDescent="0.3">
      <c r="B25" t="s">
        <v>8</v>
      </c>
      <c r="F25" s="9">
        <f>100000*(1+0.42*30/365)^6</f>
        <v>122584.26488535148</v>
      </c>
      <c r="H25" t="s">
        <v>18</v>
      </c>
      <c r="K25" s="5">
        <f>+(F25-100000)/100000</f>
        <v>0.22584264885351485</v>
      </c>
    </row>
    <row r="26" spans="2:15" x14ac:dyDescent="0.3">
      <c r="L26" t="s">
        <v>19</v>
      </c>
    </row>
    <row r="27" spans="2:15" x14ac:dyDescent="0.3">
      <c r="B27" t="s">
        <v>9</v>
      </c>
      <c r="F27" s="9">
        <f>+F23*108</f>
        <v>118438.70766950166</v>
      </c>
      <c r="H27" t="s">
        <v>17</v>
      </c>
      <c r="K27" s="5">
        <f>+(F27-100000)/100000</f>
        <v>0.18438707669501658</v>
      </c>
    </row>
    <row r="29" spans="2:15" x14ac:dyDescent="0.3">
      <c r="B29" s="20" t="s">
        <v>16</v>
      </c>
      <c r="C29" s="20"/>
      <c r="D29" s="20"/>
      <c r="E29" s="11"/>
      <c r="F29" s="11"/>
      <c r="G29" s="11"/>
      <c r="H29" s="11"/>
      <c r="I29" s="11"/>
    </row>
    <row r="30" spans="2:15" x14ac:dyDescent="0.3">
      <c r="B30" s="11"/>
      <c r="C30" s="11"/>
      <c r="D30" s="11"/>
      <c r="E30" s="11"/>
      <c r="F30" s="11"/>
      <c r="G30" s="11"/>
      <c r="H30" s="11"/>
      <c r="I30" s="11"/>
    </row>
    <row r="31" spans="2:15" x14ac:dyDescent="0.3">
      <c r="B31" s="11"/>
      <c r="C31" s="11"/>
      <c r="D31" s="11"/>
      <c r="E31" s="11"/>
      <c r="F31" s="11"/>
      <c r="G31" s="11"/>
      <c r="H31" s="11"/>
      <c r="I31" s="11"/>
    </row>
    <row r="32" spans="2:15" x14ac:dyDescent="0.3">
      <c r="B32" s="11"/>
      <c r="C32" s="11"/>
      <c r="D32" s="11"/>
      <c r="E32" s="11"/>
      <c r="F32" s="11"/>
      <c r="G32" s="11"/>
      <c r="H32" s="11"/>
      <c r="I32" s="11"/>
    </row>
    <row r="33" spans="2:9" x14ac:dyDescent="0.3">
      <c r="B33" s="11"/>
      <c r="C33" s="11"/>
      <c r="D33" s="11"/>
      <c r="E33" s="11"/>
      <c r="F33" s="11"/>
      <c r="G33" s="11"/>
      <c r="H33" s="11"/>
      <c r="I33" s="11"/>
    </row>
    <row r="34" spans="2:9" x14ac:dyDescent="0.3">
      <c r="B34" s="11"/>
      <c r="C34" s="11"/>
      <c r="D34" s="11"/>
      <c r="E34" s="11"/>
      <c r="F34" s="11"/>
      <c r="G34" s="11"/>
      <c r="H34" s="11"/>
      <c r="I34" s="11"/>
    </row>
    <row r="35" spans="2:9" x14ac:dyDescent="0.3">
      <c r="B35" s="11"/>
      <c r="C35" s="11"/>
      <c r="D35" s="11"/>
      <c r="E35" s="11"/>
      <c r="F35" s="11"/>
      <c r="G35" s="11"/>
      <c r="H35" s="11"/>
      <c r="I35" s="11"/>
    </row>
    <row r="36" spans="2:9" x14ac:dyDescent="0.3">
      <c r="B36" s="11"/>
      <c r="C36" s="11"/>
      <c r="D36" s="11"/>
      <c r="E36" s="11"/>
      <c r="F36" s="11"/>
      <c r="G36" s="11"/>
      <c r="H36" s="11"/>
      <c r="I36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H30"/>
  <sheetViews>
    <sheetView topLeftCell="A18" workbookViewId="0">
      <selection activeCell="D18" sqref="D18:F18"/>
    </sheetView>
  </sheetViews>
  <sheetFormatPr defaultColWidth="11.5546875" defaultRowHeight="14.4" x14ac:dyDescent="0.3"/>
  <cols>
    <col min="4" max="4" width="13" bestFit="1" customWidth="1"/>
    <col min="6" max="6" width="13" bestFit="1" customWidth="1"/>
  </cols>
  <sheetData>
    <row r="4" spans="3:8" x14ac:dyDescent="0.3">
      <c r="C4" t="s">
        <v>23</v>
      </c>
      <c r="D4" s="9">
        <v>100000</v>
      </c>
      <c r="E4" t="s">
        <v>2</v>
      </c>
      <c r="F4" s="32" t="s">
        <v>61</v>
      </c>
      <c r="G4" t="s">
        <v>63</v>
      </c>
      <c r="H4" s="32" t="s">
        <v>61</v>
      </c>
    </row>
    <row r="5" spans="3:8" x14ac:dyDescent="0.3">
      <c r="F5" t="s">
        <v>62</v>
      </c>
      <c r="H5" t="s">
        <v>64</v>
      </c>
    </row>
    <row r="7" spans="3:8" x14ac:dyDescent="0.3">
      <c r="D7" t="s">
        <v>65</v>
      </c>
      <c r="E7" t="s">
        <v>2</v>
      </c>
      <c r="F7" t="s">
        <v>66</v>
      </c>
      <c r="G7">
        <f>0.24/12</f>
        <v>0.02</v>
      </c>
    </row>
    <row r="10" spans="3:8" x14ac:dyDescent="0.3">
      <c r="D10" s="9">
        <v>100000</v>
      </c>
      <c r="E10" t="s">
        <v>2</v>
      </c>
      <c r="F10" s="32" t="s">
        <v>61</v>
      </c>
      <c r="G10" t="s">
        <v>63</v>
      </c>
      <c r="H10" s="32" t="s">
        <v>61</v>
      </c>
    </row>
    <row r="11" spans="3:8" x14ac:dyDescent="0.3">
      <c r="F11" t="s">
        <v>67</v>
      </c>
      <c r="H11" t="s">
        <v>68</v>
      </c>
    </row>
    <row r="14" spans="3:8" x14ac:dyDescent="0.3">
      <c r="D14" t="s">
        <v>61</v>
      </c>
      <c r="E14" t="s">
        <v>2</v>
      </c>
      <c r="F14" s="33">
        <v>100000</v>
      </c>
    </row>
    <row r="15" spans="3:8" x14ac:dyDescent="0.3">
      <c r="F15" t="s">
        <v>69</v>
      </c>
    </row>
    <row r="17" spans="2:8" ht="15" thickBot="1" x14ac:dyDescent="0.35"/>
    <row r="18" spans="2:8" ht="15" thickBot="1" x14ac:dyDescent="0.35">
      <c r="D18" s="35" t="s">
        <v>61</v>
      </c>
      <c r="E18" s="36" t="s">
        <v>2</v>
      </c>
      <c r="F18" s="38">
        <f>100000/((1/1.02)+(1/1.02^2))</f>
        <v>51504.95049504951</v>
      </c>
    </row>
    <row r="22" spans="2:8" x14ac:dyDescent="0.3">
      <c r="C22" t="s">
        <v>24</v>
      </c>
      <c r="D22">
        <f>100000/80</f>
        <v>1250</v>
      </c>
      <c r="E22" t="s">
        <v>2</v>
      </c>
      <c r="F22" s="32" t="s">
        <v>61</v>
      </c>
      <c r="G22" t="s">
        <v>63</v>
      </c>
      <c r="H22" s="32" t="s">
        <v>61</v>
      </c>
    </row>
    <row r="23" spans="2:8" x14ac:dyDescent="0.3">
      <c r="F23" t="s">
        <v>62</v>
      </c>
      <c r="H23" t="s">
        <v>64</v>
      </c>
    </row>
    <row r="24" spans="2:8" x14ac:dyDescent="0.3">
      <c r="B24" t="s">
        <v>75</v>
      </c>
    </row>
    <row r="25" spans="2:8" x14ac:dyDescent="0.3">
      <c r="B25" t="s">
        <v>76</v>
      </c>
    </row>
    <row r="27" spans="2:8" x14ac:dyDescent="0.3">
      <c r="D27" t="s">
        <v>56</v>
      </c>
      <c r="E27" t="s">
        <v>70</v>
      </c>
      <c r="G27" t="s">
        <v>2</v>
      </c>
      <c r="H27">
        <f>+((1+0.03)^(1/12))-1</f>
        <v>2.4662697723036864E-3</v>
      </c>
    </row>
    <row r="29" spans="2:8" ht="15" thickBot="1" x14ac:dyDescent="0.35"/>
    <row r="30" spans="2:8" ht="15" thickBot="1" x14ac:dyDescent="0.35">
      <c r="D30" s="35" t="s">
        <v>61</v>
      </c>
      <c r="E30" s="36" t="s">
        <v>2</v>
      </c>
      <c r="F30" s="39">
        <f>1250/((1/(1+H27)+1/(1+H27)^2))</f>
        <v>627.31307712955049</v>
      </c>
      <c r="G30" s="37" t="s">
        <v>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F12"/>
  <sheetViews>
    <sheetView workbookViewId="0">
      <selection activeCell="G20" sqref="G20"/>
    </sheetView>
  </sheetViews>
  <sheetFormatPr defaultColWidth="11.5546875" defaultRowHeight="14.4" x14ac:dyDescent="0.3"/>
  <cols>
    <col min="3" max="5" width="13" bestFit="1" customWidth="1"/>
  </cols>
  <sheetData>
    <row r="4" spans="2:6" x14ac:dyDescent="0.3">
      <c r="B4" t="s">
        <v>23</v>
      </c>
      <c r="C4" t="s">
        <v>34</v>
      </c>
      <c r="D4" s="34">
        <v>100000</v>
      </c>
      <c r="E4" t="s">
        <v>72</v>
      </c>
    </row>
    <row r="5" spans="2:6" ht="15" thickBot="1" x14ac:dyDescent="0.35"/>
    <row r="6" spans="2:6" ht="15" thickBot="1" x14ac:dyDescent="0.35">
      <c r="C6" s="35" t="s">
        <v>34</v>
      </c>
      <c r="D6" s="38">
        <f>100000*(1+0.5*30/360)*(1+0.6)^(1/12)</f>
        <v>108327.51121776087</v>
      </c>
    </row>
    <row r="9" spans="2:6" x14ac:dyDescent="0.3">
      <c r="B9" t="s">
        <v>24</v>
      </c>
      <c r="C9" s="26">
        <f>+D6</f>
        <v>108327.51121776087</v>
      </c>
      <c r="D9" t="s">
        <v>2</v>
      </c>
      <c r="E9" s="9">
        <v>100000</v>
      </c>
      <c r="F9" t="s">
        <v>73</v>
      </c>
    </row>
    <row r="11" spans="2:6" ht="15" thickBot="1" x14ac:dyDescent="0.35"/>
    <row r="12" spans="2:6" ht="15" thickBot="1" x14ac:dyDescent="0.35">
      <c r="C12" s="35" t="s">
        <v>74</v>
      </c>
      <c r="D12" s="36" t="s">
        <v>2</v>
      </c>
      <c r="E12" s="37">
        <f>+((C9/E9)^(12/2))-1</f>
        <v>0.61596739210810969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I24"/>
  <sheetViews>
    <sheetView workbookViewId="0">
      <selection activeCell="J16" sqref="J16"/>
    </sheetView>
  </sheetViews>
  <sheetFormatPr defaultColWidth="11.5546875" defaultRowHeight="14.4" x14ac:dyDescent="0.3"/>
  <cols>
    <col min="4" max="4" width="14.5546875" bestFit="1" customWidth="1"/>
    <col min="7" max="7" width="26.33203125" customWidth="1"/>
  </cols>
  <sheetData>
    <row r="3" spans="3:8" x14ac:dyDescent="0.3">
      <c r="D3" s="24" t="s">
        <v>29</v>
      </c>
      <c r="E3" s="24" t="s">
        <v>30</v>
      </c>
      <c r="G3" s="24" t="s">
        <v>77</v>
      </c>
    </row>
    <row r="4" spans="3:8" x14ac:dyDescent="0.3">
      <c r="C4" t="s">
        <v>23</v>
      </c>
      <c r="D4" s="9">
        <v>1200000</v>
      </c>
      <c r="E4" s="19">
        <v>0.2</v>
      </c>
      <c r="G4" s="19">
        <f>+LN(1+E4)</f>
        <v>0.18232155679395459</v>
      </c>
    </row>
    <row r="5" spans="3:8" x14ac:dyDescent="0.3">
      <c r="D5" s="9"/>
      <c r="E5" s="19"/>
      <c r="G5" s="19"/>
    </row>
    <row r="6" spans="3:8" x14ac:dyDescent="0.3">
      <c r="C6" t="s">
        <v>24</v>
      </c>
      <c r="D6" s="9">
        <v>1210000.0000000002</v>
      </c>
      <c r="E6" s="19">
        <v>0.21000000000000024</v>
      </c>
      <c r="G6" s="19">
        <f t="shared" ref="G6:G14" si="0">+LN(1+E6)</f>
        <v>0.19062035960864987</v>
      </c>
    </row>
    <row r="7" spans="3:8" x14ac:dyDescent="0.3">
      <c r="D7" s="9"/>
      <c r="E7" s="19"/>
      <c r="G7" s="19"/>
    </row>
    <row r="8" spans="3:8" x14ac:dyDescent="0.3">
      <c r="C8" t="s">
        <v>25</v>
      </c>
      <c r="D8" s="9">
        <v>1215506.25</v>
      </c>
      <c r="E8" s="19">
        <v>0.21550625000000001</v>
      </c>
      <c r="G8" s="19">
        <f t="shared" si="0"/>
        <v>0.19516065667772803</v>
      </c>
    </row>
    <row r="9" spans="3:8" x14ac:dyDescent="0.3">
      <c r="D9" s="9"/>
      <c r="E9" s="19"/>
      <c r="G9" s="19"/>
    </row>
    <row r="10" spans="3:8" x14ac:dyDescent="0.3">
      <c r="C10" t="s">
        <v>26</v>
      </c>
      <c r="D10" s="9">
        <v>1217426.174211249</v>
      </c>
      <c r="E10" s="19">
        <v>0.21742617421124899</v>
      </c>
      <c r="G10" s="19">
        <f t="shared" si="0"/>
        <v>0.19673893693794589</v>
      </c>
    </row>
    <row r="11" spans="3:8" x14ac:dyDescent="0.3">
      <c r="D11" s="9"/>
      <c r="E11" s="19"/>
      <c r="G11" s="19"/>
    </row>
    <row r="12" spans="3:8" x14ac:dyDescent="0.3">
      <c r="C12" t="s">
        <v>27</v>
      </c>
      <c r="D12" s="9">
        <v>1219391.0849052318</v>
      </c>
      <c r="E12" s="19">
        <v>0.21939108490523185</v>
      </c>
      <c r="G12" s="19">
        <f t="shared" si="0"/>
        <v>0.19835162341452631</v>
      </c>
    </row>
    <row r="13" spans="3:8" x14ac:dyDescent="0.3">
      <c r="D13" s="9"/>
      <c r="E13" s="19"/>
      <c r="G13" s="19"/>
    </row>
    <row r="14" spans="3:8" x14ac:dyDescent="0.3">
      <c r="C14" t="s">
        <v>28</v>
      </c>
      <c r="D14" s="9">
        <v>1221334.9294561611</v>
      </c>
      <c r="E14" s="19">
        <v>0.22133492945616109</v>
      </c>
      <c r="G14" s="19">
        <f t="shared" si="0"/>
        <v>0.19994446501204771</v>
      </c>
    </row>
    <row r="15" spans="3:8" ht="15" thickBot="1" x14ac:dyDescent="0.35"/>
    <row r="16" spans="3:8" x14ac:dyDescent="0.3">
      <c r="C16" s="40"/>
      <c r="D16" s="41"/>
      <c r="E16" s="41"/>
      <c r="F16" s="41"/>
      <c r="G16" s="41"/>
      <c r="H16" s="42"/>
    </row>
    <row r="17" spans="3:9" x14ac:dyDescent="0.3">
      <c r="C17" s="43"/>
      <c r="D17" s="44"/>
      <c r="E17" s="44"/>
      <c r="F17" s="44"/>
      <c r="G17" s="44"/>
      <c r="H17" s="45"/>
    </row>
    <row r="18" spans="3:9" ht="25.8" x14ac:dyDescent="0.5">
      <c r="C18" s="43"/>
      <c r="D18" s="44"/>
      <c r="E18" s="44"/>
      <c r="F18" s="49" t="s">
        <v>2</v>
      </c>
      <c r="G18" s="44"/>
      <c r="H18" s="45"/>
    </row>
    <row r="19" spans="3:9" x14ac:dyDescent="0.3">
      <c r="C19" s="43"/>
      <c r="D19" s="44"/>
      <c r="E19" s="44"/>
      <c r="F19" s="44"/>
      <c r="G19" s="44"/>
      <c r="H19" s="45"/>
    </row>
    <row r="20" spans="3:9" ht="15" thickBot="1" x14ac:dyDescent="0.35">
      <c r="C20" s="46"/>
      <c r="D20" s="47"/>
      <c r="E20" s="47"/>
      <c r="F20" s="47"/>
      <c r="G20" s="47"/>
      <c r="H20" s="48"/>
    </row>
    <row r="23" spans="3:9" x14ac:dyDescent="0.3">
      <c r="C23" s="20" t="s">
        <v>81</v>
      </c>
      <c r="D23" s="20"/>
      <c r="E23" s="20"/>
      <c r="F23" s="20"/>
      <c r="G23" s="20"/>
      <c r="H23" s="20"/>
      <c r="I23" s="20"/>
    </row>
    <row r="24" spans="3:9" x14ac:dyDescent="0.3">
      <c r="C24" s="20" t="s">
        <v>82</v>
      </c>
      <c r="D24" s="20"/>
      <c r="E24" s="20"/>
      <c r="F24" s="20"/>
      <c r="G24" s="20"/>
      <c r="H24" s="20"/>
      <c r="I24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Federico Lopez</cp:lastModifiedBy>
  <dcterms:created xsi:type="dcterms:W3CDTF">2021-03-17T23:29:48Z</dcterms:created>
  <dcterms:modified xsi:type="dcterms:W3CDTF">2022-08-30T16:34:43Z</dcterms:modified>
</cp:coreProperties>
</file>