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4 Cuatrimestre/Finanzas 1/Guias/"/>
    </mc:Choice>
  </mc:AlternateContent>
  <xr:revisionPtr revIDLastSave="1460" documentId="8_{B1E0F91F-AF75-4972-8D7A-85704BF40668}" xr6:coauthVersionLast="47" xr6:coauthVersionMax="47" xr10:uidLastSave="{FAC44994-CCF1-4E2A-A495-12FDF5D65B28}"/>
  <bookViews>
    <workbookView minimized="1" xWindow="2688" yWindow="2688" windowWidth="17280" windowHeight="8880" xr2:uid="{D18CD2EE-A61A-4000-ADBD-D05129E25D9B}"/>
  </bookViews>
  <sheets>
    <sheet name="FORMULAS" sheetId="1" r:id="rId1"/>
    <sheet name="U1" sheetId="2" r:id="rId2"/>
    <sheet name="U2" sheetId="3" r:id="rId3"/>
    <sheet name="U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9" i="4" l="1"/>
  <c r="C110" i="4"/>
  <c r="C111" i="4"/>
  <c r="C108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77" i="4"/>
  <c r="A84" i="4"/>
  <c r="A92" i="4"/>
  <c r="D71" i="4"/>
  <c r="D70" i="4"/>
  <c r="D69" i="4"/>
  <c r="D68" i="4"/>
  <c r="D67" i="4"/>
  <c r="D66" i="4"/>
  <c r="A78" i="4"/>
  <c r="A79" i="4" s="1"/>
  <c r="C71" i="4"/>
  <c r="B71" i="4"/>
  <c r="G55" i="4"/>
  <c r="G56" i="4" s="1"/>
  <c r="G57" i="4" s="1"/>
  <c r="G58" i="4" s="1"/>
  <c r="G59" i="4" s="1"/>
  <c r="E58" i="4"/>
  <c r="E59" i="4" s="1"/>
  <c r="E57" i="4"/>
  <c r="E55" i="4"/>
  <c r="E56" i="4" s="1"/>
  <c r="F56" i="4"/>
  <c r="F57" i="4"/>
  <c r="F58" i="4"/>
  <c r="F59" i="4"/>
  <c r="F55" i="4"/>
  <c r="D57" i="4"/>
  <c r="D58" i="4"/>
  <c r="D59" i="4"/>
  <c r="D55" i="4"/>
  <c r="D56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A22" i="4"/>
  <c r="A23" i="4" s="1"/>
  <c r="A24" i="4" s="1"/>
  <c r="A25" i="4" s="1"/>
  <c r="A27" i="4" s="1"/>
  <c r="A28" i="4" s="1"/>
  <c r="A29" i="4" s="1"/>
  <c r="A30" i="4" s="1"/>
  <c r="A31" i="4" s="1"/>
  <c r="A32" i="4" s="1"/>
  <c r="A33" i="4" s="1"/>
  <c r="A35" i="4" s="1"/>
  <c r="A36" i="4" s="1"/>
  <c r="A37" i="4" s="1"/>
  <c r="A38" i="4" s="1"/>
  <c r="A39" i="4" s="1"/>
  <c r="A40" i="4" s="1"/>
  <c r="A41" i="4" s="1"/>
  <c r="A21" i="4"/>
  <c r="A20" i="4"/>
  <c r="C19" i="4"/>
  <c r="B19" i="4"/>
  <c r="A26" i="4"/>
  <c r="D15" i="4"/>
  <c r="D11" i="4"/>
  <c r="D12" i="4"/>
  <c r="D13" i="4"/>
  <c r="D14" i="4"/>
  <c r="D10" i="4"/>
  <c r="C15" i="4"/>
  <c r="B15" i="4"/>
  <c r="A34" i="4" s="1"/>
  <c r="E202" i="1"/>
  <c r="E201" i="1"/>
  <c r="E200" i="1"/>
  <c r="L183" i="1"/>
  <c r="A80" i="4" l="1"/>
  <c r="C280" i="3"/>
  <c r="E37" i="3"/>
  <c r="A16" i="3"/>
  <c r="B17" i="3" s="1"/>
  <c r="C230" i="2"/>
  <c r="E221" i="2"/>
  <c r="E222" i="2"/>
  <c r="E223" i="2"/>
  <c r="E224" i="2"/>
  <c r="E225" i="2"/>
  <c r="E220" i="2"/>
  <c r="C225" i="2"/>
  <c r="D225" i="2" s="1"/>
  <c r="C224" i="2"/>
  <c r="D224" i="2" s="1"/>
  <c r="C223" i="2"/>
  <c r="D223" i="2" s="1"/>
  <c r="C222" i="2"/>
  <c r="D222" i="2" s="1"/>
  <c r="C221" i="2"/>
  <c r="D221" i="2" s="1"/>
  <c r="C220" i="2"/>
  <c r="D220" i="2" s="1"/>
  <c r="B171" i="2"/>
  <c r="A81" i="4" l="1"/>
  <c r="B185" i="2"/>
  <c r="B184" i="2"/>
  <c r="B183" i="2"/>
  <c r="D179" i="2"/>
  <c r="E172" i="2"/>
  <c r="E173" i="2"/>
  <c r="E174" i="2"/>
  <c r="E175" i="2"/>
  <c r="E176" i="2"/>
  <c r="E171" i="2"/>
  <c r="F172" i="2"/>
  <c r="F173" i="2"/>
  <c r="F174" i="2"/>
  <c r="F175" i="2"/>
  <c r="F176" i="2"/>
  <c r="F171" i="2"/>
  <c r="D172" i="2"/>
  <c r="D173" i="2"/>
  <c r="D174" i="2"/>
  <c r="D175" i="2"/>
  <c r="D176" i="2"/>
  <c r="D171" i="2"/>
  <c r="B172" i="2"/>
  <c r="C172" i="2" s="1"/>
  <c r="B173" i="2"/>
  <c r="C173" i="2" s="1"/>
  <c r="B174" i="2"/>
  <c r="C174" i="2" s="1"/>
  <c r="B175" i="2"/>
  <c r="C175" i="2" s="1"/>
  <c r="B176" i="2"/>
  <c r="C176" i="2" s="1"/>
  <c r="C171" i="2"/>
  <c r="C150" i="2"/>
  <c r="D140" i="2"/>
  <c r="B140" i="2"/>
  <c r="D138" i="2"/>
  <c r="B138" i="2"/>
  <c r="F121" i="2"/>
  <c r="F120" i="2"/>
  <c r="F119" i="2"/>
  <c r="C118" i="2"/>
  <c r="C117" i="2"/>
  <c r="B117" i="2"/>
  <c r="C116" i="2"/>
  <c r="C108" i="2"/>
  <c r="E98" i="2"/>
  <c r="E97" i="2"/>
  <c r="E96" i="2"/>
  <c r="B99" i="2"/>
  <c r="B98" i="2"/>
  <c r="B95" i="2"/>
  <c r="B96" i="2"/>
  <c r="C80" i="2"/>
  <c r="C81" i="2" s="1"/>
  <c r="C82" i="2" s="1"/>
  <c r="C78" i="2"/>
  <c r="D75" i="2"/>
  <c r="D74" i="2"/>
  <c r="C70" i="2"/>
  <c r="B87" i="2" s="1"/>
  <c r="D63" i="2"/>
  <c r="D64" i="2"/>
  <c r="B51" i="2"/>
  <c r="B50" i="2"/>
  <c r="B46" i="2"/>
  <c r="B35" i="2"/>
  <c r="A82" i="4" l="1"/>
  <c r="E15" i="2"/>
  <c r="E14" i="2"/>
  <c r="E16" i="2" s="1"/>
  <c r="E8" i="2"/>
  <c r="E7" i="2"/>
  <c r="E6" i="2"/>
  <c r="A83" i="4" l="1"/>
  <c r="A85" i="4" l="1"/>
  <c r="A86" i="4" l="1"/>
  <c r="A87" i="4" l="1"/>
  <c r="A88" i="4" l="1"/>
  <c r="A89" i="4" l="1"/>
  <c r="A90" i="4" l="1"/>
  <c r="A91" i="4" l="1"/>
  <c r="A93" i="4" l="1"/>
  <c r="A94" i="4" l="1"/>
  <c r="A95" i="4" l="1"/>
  <c r="A96" i="4" l="1"/>
  <c r="A97" i="4" l="1"/>
  <c r="A98" i="4" l="1"/>
  <c r="A99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Federico Lopez</author>
  </authors>
  <commentList>
    <comment ref="D6" authorId="0" shapeId="0" xr:uid="{11858EB3-5E45-4723-9001-FD11709E6D2F}">
      <text>
        <r>
          <rPr>
            <b/>
            <sz val="9"/>
            <color indexed="81"/>
            <rFont val="Tahoma"/>
            <charset val="1"/>
          </rPr>
          <t>Federico Lopez:</t>
        </r>
        <r>
          <rPr>
            <sz val="9"/>
            <color indexed="81"/>
            <rFont val="Tahoma"/>
            <charset val="1"/>
          </rPr>
          <t xml:space="preserve">
Por cómo está construido el IPC publicado, donde cada mes es expresado cumulativamente</t>
        </r>
      </text>
    </comment>
    <comment ref="D7" authorId="0" shapeId="0" xr:uid="{6A14EE07-3986-449F-8F19-B886D45B3638}">
      <text>
        <r>
          <rPr>
            <b/>
            <sz val="9"/>
            <color indexed="81"/>
            <rFont val="Tahoma"/>
            <charset val="1"/>
          </rPr>
          <t>Federico Lopez:</t>
        </r>
        <r>
          <rPr>
            <sz val="9"/>
            <color indexed="81"/>
            <rFont val="Tahoma"/>
            <charset val="1"/>
          </rPr>
          <t xml:space="preserve">
Por cómo está construido el IPC publicado, donde cada mes es expresado cumulativamente</t>
        </r>
      </text>
    </comment>
  </commentList>
</comments>
</file>

<file path=xl/sharedStrings.xml><?xml version="1.0" encoding="utf-8"?>
<sst xmlns="http://schemas.openxmlformats.org/spreadsheetml/2006/main" count="694" uniqueCount="575">
  <si>
    <t>TASA ANUAL</t>
  </si>
  <si>
    <t>TASA</t>
  </si>
  <si>
    <t>TIEMPO</t>
  </si>
  <si>
    <t>MONEDA</t>
  </si>
  <si>
    <t>CRITERIOS DE INVERSION</t>
  </si>
  <si>
    <t>VENCIDA O ADELANTADA</t>
  </si>
  <si>
    <t>APARENTE O REAL</t>
  </si>
  <si>
    <t>NOMINAL O EFECTIVA</t>
  </si>
  <si>
    <t>TASA DE INFLACION</t>
  </si>
  <si>
    <t>(IPC1-IPC0)/IPC0</t>
  </si>
  <si>
    <t>IPC 2018 - IPC 2017 / IPC 2017</t>
  </si>
  <si>
    <t>IPC DIC 2018 - IPC DIC 2017 / IPC DIC 2017</t>
  </si>
  <si>
    <t xml:space="preserve"> IPC DIC 2017 </t>
  </si>
  <si>
    <t xml:space="preserve"> IPC DIC 2018</t>
  </si>
  <si>
    <t xml:space="preserve"> IPC DIC 2019</t>
  </si>
  <si>
    <t>IPC DIC 2019 - IPC DIC 2018 / IPC DIC 2018</t>
  </si>
  <si>
    <t>TASA 2AN</t>
  </si>
  <si>
    <t>2017-2019</t>
  </si>
  <si>
    <t>CT+1</t>
  </si>
  <si>
    <t>TASA DE INTERES REAL</t>
  </si>
  <si>
    <t>CONSIDERA EFECTO DE LA INFLACION</t>
  </si>
  <si>
    <t>TASA APARENTE</t>
  </si>
  <si>
    <t>SIN CONSIDERAR MAS QUE EL CRECIMEINTO DEL CAPITAL SIN OTROS FACTORES</t>
  </si>
  <si>
    <t>CT</t>
  </si>
  <si>
    <t>(1 + TASA APRENTE 0.1)/1+TASA INFLACION 0.1) - 1</t>
  </si>
  <si>
    <t>C1-C0/C0</t>
  </si>
  <si>
    <t>TASA REAL</t>
  </si>
  <si>
    <t>(IPC NOV 2019 - IPC OCT 2019) / IPC OCT 2019</t>
  </si>
  <si>
    <t>TASA INFLACION DE OCTUBRE</t>
  </si>
  <si>
    <t>OCT</t>
  </si>
  <si>
    <t>NOV</t>
  </si>
  <si>
    <t>EQUILIBRIO</t>
  </si>
  <si>
    <t>i ME, ME = i ME, MD</t>
  </si>
  <si>
    <t>((1 + i MD, MD) St / St+1 ) -1</t>
  </si>
  <si>
    <t>St+1</t>
  </si>
  <si>
    <t>St ( ( 1 + i MD, MD ) / (1+ I ME, ME ) )</t>
  </si>
  <si>
    <t>INTERES SIMPLE</t>
  </si>
  <si>
    <t>Capitaliza una sola vez</t>
  </si>
  <si>
    <t>C0 + C0 * TNA * N = C0 (1+TNA * N)</t>
  </si>
  <si>
    <t>c0</t>
  </si>
  <si>
    <t>capital inicial</t>
  </si>
  <si>
    <t>TNA</t>
  </si>
  <si>
    <t>TEA</t>
  </si>
  <si>
    <t>TNA constante implica TEA decreciente</t>
  </si>
  <si>
    <t>DOCUMENTOS EQUIVALENTES</t>
  </si>
  <si>
    <t>Punto Focal</t>
  </si>
  <si>
    <t>Momento en el que los documentos valen lo mismo - cuando vence el que ma s dura</t>
  </si>
  <si>
    <t>Ct [1 + (i t,t+1)]</t>
  </si>
  <si>
    <t>semestral en pesos, in dolar</t>
  </si>
  <si>
    <t>Semestral en dolares, in dolar</t>
  </si>
  <si>
    <t>Semestral en pesos, in dolar</t>
  </si>
  <si>
    <t>(1 + TASA USD-USD) * (S1/S0) - 1</t>
  </si>
  <si>
    <t>S1</t>
  </si>
  <si>
    <t>S0</t>
  </si>
  <si>
    <t>PRECIO FINAL DEL DOLAR</t>
  </si>
  <si>
    <t>PRECIO INICIAL</t>
  </si>
  <si>
    <t>2.1</t>
  </si>
  <si>
    <t>TASA DE INTERES MENSUAL PARA INDIFERENCIA</t>
  </si>
  <si>
    <t>INVERSION EN USD-USD</t>
  </si>
  <si>
    <t>F0-1</t>
  </si>
  <si>
    <t>PRECIO DE EQUILIBRIO A FUTURO</t>
  </si>
  <si>
    <t>S0 * (1 + TASA EN PESOS 0-1) / (1 + TASA EN USD 0-1)</t>
  </si>
  <si>
    <t>TASAS TIENEN QUE ESTAR EN EL MISMO PERIODO</t>
  </si>
  <si>
    <t>MENSUAL EN PESOS-PESOS</t>
  </si>
  <si>
    <t>CAMBIO FUTUROS CON VENCIMIENTOS 30 DIAS</t>
  </si>
  <si>
    <t>s0</t>
  </si>
  <si>
    <t>TASA EN USD</t>
  </si>
  <si>
    <t>(S0 * ( 1 + TASA MENSUAL PESOS)/S1 ) - 1</t>
  </si>
  <si>
    <t>TASA EN USD INDIF</t>
  </si>
  <si>
    <t>(1 + TASA EN PES) * (S0/S1) - 1</t>
  </si>
  <si>
    <t>SI LA TASA FIERA EN ISD DEL 0,1% / EN QUE MONEDA CONVIENE</t>
  </si>
  <si>
    <t>TASA EN PESOS</t>
  </si>
  <si>
    <t>2.2</t>
  </si>
  <si>
    <t>TASA EN DOLARES</t>
  </si>
  <si>
    <t>EQUILIBRIO EN EL MERCADO SPOT</t>
  </si>
  <si>
    <t>F0-1 ANUAL (FUTUROS)</t>
  </si>
  <si>
    <t>PRECIO ACTUAL</t>
  </si>
  <si>
    <t>F0-1*(1 + TASA DOLARES) / 1 + TASA EN PESOS) = S0</t>
  </si>
  <si>
    <t>2.3</t>
  </si>
  <si>
    <t>SI S0 95</t>
  </si>
  <si>
    <t>TASA PESOS INVIRTIENDO EN USD</t>
  </si>
  <si>
    <t xml:space="preserve">(1 + TASA USD) * (S1/S0) - 1 </t>
  </si>
  <si>
    <t>TASA PESOS INVIRTIENDO EN PESOS</t>
  </si>
  <si>
    <t>PARA COMPARAR Y VER CUAL CONVIENE</t>
  </si>
  <si>
    <t>2.4</t>
  </si>
  <si>
    <t>INTERES SEMESTRAL EN DOLARES IN DOLARES</t>
  </si>
  <si>
    <t>SEMSTRAL EN PESOS IN PESOS</t>
  </si>
  <si>
    <t xml:space="preserve">EQUILIBRIO EN F 0-1 </t>
  </si>
  <si>
    <t>PRECIO QUE TENDRIA QUE TENER EL USD F</t>
  </si>
  <si>
    <t>SI EL S1 EN 6 MESES FUERA 105</t>
  </si>
  <si>
    <t>TASA PES IN USD</t>
  </si>
  <si>
    <t>(1+TASA DOLAR DOLAR)*(S1/S0) - 1</t>
  </si>
  <si>
    <t>CON CAPITAL 100000</t>
  </si>
  <si>
    <t>INVIERTIENDO EN PESOS</t>
  </si>
  <si>
    <t>C0 * (1+TASA)</t>
  </si>
  <si>
    <t>CAPITAL EN USD</t>
  </si>
  <si>
    <t>CAPITAL EN PESOS/S0</t>
  </si>
  <si>
    <t>INVIERTIENDO USD</t>
  </si>
  <si>
    <t>C0 USD*(1+TASA USD)</t>
  </si>
  <si>
    <t>USD A PESOS</t>
  </si>
  <si>
    <t>USD * S1</t>
  </si>
  <si>
    <t>ARBITRAJE</t>
  </si>
  <si>
    <t>EQUILIBRIO EN 6 MESES</t>
  </si>
  <si>
    <t>PRECIO EN 6 MESES</t>
  </si>
  <si>
    <t>DEBERIA ESTAR 107 Y ME LO VENDEN A 106</t>
  </si>
  <si>
    <t xml:space="preserve"> USD FUTURO ESTÁ BARATO</t>
  </si>
  <si>
    <t>DOLAR SPOT ESTA CARO</t>
  </si>
  <si>
    <t>GANANCIA</t>
  </si>
  <si>
    <t>DIFERENCIA ENTRE TIPOS DE CAMBIO</t>
  </si>
  <si>
    <t>OSEA COMPROMETERSE A COMPRAR LO EN 6 MESES POR 106 DOLARES</t>
  </si>
  <si>
    <t>VENDER EN EL MERCADO SPOT</t>
  </si>
  <si>
    <t>COMPRAR DOLAR FUTURO</t>
  </si>
  <si>
    <t>SI NO TENGO, HAY QUE PEDIRLOS PRESTADOS</t>
  </si>
  <si>
    <t>PIDO 100</t>
  </si>
  <si>
    <t>VENDO EN EL MERCADO SPOT</t>
  </si>
  <si>
    <t>RATIRO DE LA INVERSION</t>
  </si>
  <si>
    <t>RECIBO PESOS</t>
  </si>
  <si>
    <t>INVIERTO PESOS</t>
  </si>
  <si>
    <t>DEVUELTO</t>
  </si>
  <si>
    <t>CANCELA DEUDA USD</t>
  </si>
  <si>
    <t>2.5</t>
  </si>
  <si>
    <t>TC 129</t>
  </si>
  <si>
    <t>F 0-1</t>
  </si>
  <si>
    <t>TASA USD</t>
  </si>
  <si>
    <t>TASA INDIFERENCIA</t>
  </si>
  <si>
    <t>F 0 - 1 = = S0 * (1 + TASA PESOS) / (1 + TASA USD)</t>
  </si>
  <si>
    <t>1 + TASAS PESOS = F0-1*(1+TASAUSD) / S0</t>
  </si>
  <si>
    <t>SI TASA EN PESOS FUERA 0,23</t>
  </si>
  <si>
    <t>SE PUEDE HACER ARBITRAJE</t>
  </si>
  <si>
    <t>ALQUILAR USD ESTA CARO</t>
  </si>
  <si>
    <t>ALQUILAR PESOS ESTA BARATO</t>
  </si>
  <si>
    <t>VENDER EN EL MERCADO DE FUTUROS</t>
  </si>
  <si>
    <t>COMPRAR EN EL MERCADO SPOT</t>
  </si>
  <si>
    <t>100/(1+0,03)</t>
  </si>
  <si>
    <t>ENTRAGAR PESOS</t>
  </si>
  <si>
    <t>PEDIR PESOS PRESTADOS</t>
  </si>
  <si>
    <t>140*100</t>
  </si>
  <si>
    <t>ENTRAGAR DOLARES</t>
  </si>
  <si>
    <t>RECIBIR PESOS</t>
  </si>
  <si>
    <t>170*100</t>
  </si>
  <si>
    <t>/-100 USD</t>
  </si>
  <si>
    <t>RETIRAR DOLARS</t>
  </si>
  <si>
    <t>CANCELAR DEUDA</t>
  </si>
  <si>
    <t>140*100*1,23/1,03</t>
  </si>
  <si>
    <t>UNA SOLA CAPITALIZACION</t>
  </si>
  <si>
    <t>INTERESES</t>
  </si>
  <si>
    <t>TASA 0-1</t>
  </si>
  <si>
    <t>(C1-C0)/C0</t>
  </si>
  <si>
    <t>C1</t>
  </si>
  <si>
    <t>C0 (1+TASA)</t>
  </si>
  <si>
    <t>C0</t>
  </si>
  <si>
    <t>C1 / (1+ TASA)</t>
  </si>
  <si>
    <t>C0*(1*TNA*N)</t>
  </si>
  <si>
    <t>C1/(1*TNA*N)</t>
  </si>
  <si>
    <t>N</t>
  </si>
  <si>
    <t>DIAS / 365 o DIAS / 360</t>
  </si>
  <si>
    <t>TIEMPO DURANTE EL CUAL LA PLATA ESTA GENERANDO INTERES SIMPLE</t>
  </si>
  <si>
    <t>3.1</t>
  </si>
  <si>
    <t>C0(1+i)^n</t>
  </si>
  <si>
    <t>i</t>
  </si>
  <si>
    <t>interes</t>
  </si>
  <si>
    <t>n</t>
  </si>
  <si>
    <t>m*N</t>
  </si>
  <si>
    <t>1/m</t>
  </si>
  <si>
    <t>m</t>
  </si>
  <si>
    <t>periodos en el año (de capitalización</t>
  </si>
  <si>
    <t>C0 (1 + TNA /m ) ^ mN</t>
  </si>
  <si>
    <t>TASAS DE INTERES EQUIVALENTES</t>
  </si>
  <si>
    <t>Dos tasas que en dado momento producen el mismo monto provisto el mismo capital</t>
  </si>
  <si>
    <t>PERIODO</t>
  </si>
  <si>
    <t>SIMLPE</t>
  </si>
  <si>
    <t>COMPUESTO</t>
  </si>
  <si>
    <t>EJERCICIO CUOTAS</t>
  </si>
  <si>
    <t xml:space="preserve">TASAS C 2308 </t>
  </si>
  <si>
    <t>CAPITALIZACIONES ANUALES</t>
  </si>
  <si>
    <t>M = 1</t>
  </si>
  <si>
    <t>CAPITALIZACIONES SEMESTRALES</t>
  </si>
  <si>
    <t>M = 2</t>
  </si>
  <si>
    <t>CAPITALIZACIONES CUATRIMESTRALES</t>
  </si>
  <si>
    <t>M = 3</t>
  </si>
  <si>
    <t>CAPITALIZACIONES TRIMESTRALES</t>
  </si>
  <si>
    <t>M = 4</t>
  </si>
  <si>
    <t>M = 6</t>
  </si>
  <si>
    <t>M = 12</t>
  </si>
  <si>
    <t>CAPITALIZACIONES MENSUALES</t>
  </si>
  <si>
    <t>TE= TNA / 3</t>
  </si>
  <si>
    <t>TE = TNA / 2</t>
  </si>
  <si>
    <t>TE = TNA / 6</t>
  </si>
  <si>
    <t>TE = TNA / 12</t>
  </si>
  <si>
    <t>TE = TNA</t>
  </si>
  <si>
    <t>TE = TNA / 4</t>
  </si>
  <si>
    <t>CAPITALIZACIONES BIMESTRALES</t>
  </si>
  <si>
    <t>360 DIAS</t>
  </si>
  <si>
    <t>180 DIAS</t>
  </si>
  <si>
    <t>120 DIAS</t>
  </si>
  <si>
    <t>90 DIAS</t>
  </si>
  <si>
    <t>60 DIAS</t>
  </si>
  <si>
    <t>30 DIAS</t>
  </si>
  <si>
    <t>TE</t>
  </si>
  <si>
    <t>TASA EFECTIVA</t>
  </si>
  <si>
    <t>CUOTAS</t>
  </si>
  <si>
    <t>S - 0</t>
  </si>
  <si>
    <t>CONTADO</t>
  </si>
  <si>
    <t>V1</t>
  </si>
  <si>
    <t>DIAS</t>
  </si>
  <si>
    <t>V2</t>
  </si>
  <si>
    <t>TNA DOLARES</t>
  </si>
  <si>
    <t>TNA PESOS</t>
  </si>
  <si>
    <t>C0 = C1/(1+TNA+N)</t>
  </si>
  <si>
    <t>C0 = C1/(1+TNA*N)</t>
  </si>
  <si>
    <t>C 0 =</t>
  </si>
  <si>
    <t>CUOTA</t>
  </si>
  <si>
    <t>(1+TNA*30/360)</t>
  </si>
  <si>
    <t>100000=</t>
  </si>
  <si>
    <t>(1+0,24*30/360)</t>
  </si>
  <si>
    <t>(1+0,24*60/360)</t>
  </si>
  <si>
    <t>(1+TNA*60/360)</t>
  </si>
  <si>
    <t>/ +</t>
  </si>
  <si>
    <t>3.2</t>
  </si>
  <si>
    <t>prestamo</t>
  </si>
  <si>
    <t>vencimiento</t>
  </si>
  <si>
    <t>dias</t>
  </si>
  <si>
    <t>tna</t>
  </si>
  <si>
    <t>tna 2</t>
  </si>
  <si>
    <t>C 1</t>
  </si>
  <si>
    <t>c0*(1+tna*n)</t>
  </si>
  <si>
    <t>100000 + INTERESES DEL PRIMER PERIODO + INTERESES DEL SEGUNDO</t>
  </si>
  <si>
    <t>3.3</t>
  </si>
  <si>
    <t>INTERES COMPUESTO</t>
  </si>
  <si>
    <t>Ahora la plata genera intereses que a su vez generan intereses</t>
  </si>
  <si>
    <t>C1 = C0*(1+TNA*N)</t>
  </si>
  <si>
    <t>SIMPLE</t>
  </si>
  <si>
    <t>C1 = C0*(1+TNA/M)^(M*N)</t>
  </si>
  <si>
    <t>M = CADA CUANTO SE PAGAN INTERESES</t>
  </si>
  <si>
    <t>?</t>
  </si>
  <si>
    <t>M</t>
  </si>
  <si>
    <t>MONTO = C0*(1+TNA/M)^(M*N)</t>
  </si>
  <si>
    <t>TEA [PERIODO IMPLICITO]</t>
  </si>
  <si>
    <t>INTERESES SOBRE EL CAPITAL</t>
  </si>
  <si>
    <t>INTERESES SOBRE INTERESES</t>
  </si>
  <si>
    <t>INTERESES TOTALES</t>
  </si>
  <si>
    <t>C1-C0</t>
  </si>
  <si>
    <t>3.5</t>
  </si>
  <si>
    <t>N (PERIODOS)</t>
  </si>
  <si>
    <t>NPER</t>
  </si>
  <si>
    <t>PAGO</t>
  </si>
  <si>
    <t>VA</t>
  </si>
  <si>
    <t>VF</t>
  </si>
  <si>
    <t>TNA/N</t>
  </si>
  <si>
    <t>TASA DEL PERIODO</t>
  </si>
  <si>
    <t>NADA</t>
  </si>
  <si>
    <t>3.6</t>
  </si>
  <si>
    <t>TASAS EQUIVALENTES</t>
  </si>
  <si>
    <t>IGUALAR C1</t>
  </si>
  <si>
    <t>GENERAN EL MISMO MONTO</t>
  </si>
  <si>
    <t>C1 = C0*(1+TEA)^N</t>
  </si>
  <si>
    <t>IGUAL A</t>
  </si>
  <si>
    <t>C1 = C0*(1TEM)^(360/30)*N</t>
  </si>
  <si>
    <t>DESPEJE</t>
  </si>
  <si>
    <t>C0*(1+TEA)^N</t>
  </si>
  <si>
    <t xml:space="preserve"> C0*(1TEM)^(360/30)*N</t>
  </si>
  <si>
    <t>(1+TEM) ^ (360/30)*N</t>
  </si>
  <si>
    <t xml:space="preserve">(1+TEA)^N </t>
  </si>
  <si>
    <t>(1+TEA)</t>
  </si>
  <si>
    <t>(1+TEM) ^ (360/30)</t>
  </si>
  <si>
    <t>(1+TEM) ^ (360/30) - 1</t>
  </si>
  <si>
    <t>TEM</t>
  </si>
  <si>
    <t>(1+TEM) ^ (30/360) - 1</t>
  </si>
  <si>
    <t>EQUIVALENTES</t>
  </si>
  <si>
    <t>TASA DE INTERES VENCIDA</t>
  </si>
  <si>
    <t>3.7</t>
  </si>
  <si>
    <t>3.8</t>
  </si>
  <si>
    <t>3.9</t>
  </si>
  <si>
    <t>Tasa Instantanea</t>
  </si>
  <si>
    <t>Capitalizaciones infinitas</t>
  </si>
  <si>
    <t>TIA</t>
  </si>
  <si>
    <t>TASA INSTANTANEA</t>
  </si>
  <si>
    <t>MAYOR MONTO</t>
  </si>
  <si>
    <t>MINIMO MONTO</t>
  </si>
  <si>
    <t>CAPITALIZACION CONTINUA</t>
  </si>
  <si>
    <t>C1 = C0*e^TIA*N</t>
  </si>
  <si>
    <t>Monto</t>
  </si>
  <si>
    <t>TIA = loge(1+TEA)</t>
  </si>
  <si>
    <t>3.10</t>
  </si>
  <si>
    <t>maximo monto = tasas instantaeas</t>
  </si>
  <si>
    <t>C1 = 100000 * e^0,2*1</t>
  </si>
  <si>
    <t>RENTAS</t>
  </si>
  <si>
    <t>Valor contado equivalente = c0</t>
  </si>
  <si>
    <t>Cuota 1</t>
  </si>
  <si>
    <t>Cuota 3</t>
  </si>
  <si>
    <t>Cuota 4</t>
  </si>
  <si>
    <t>Cuota 5</t>
  </si>
  <si>
    <t>Cuota 6</t>
  </si>
  <si>
    <t>Cuota 7</t>
  </si>
  <si>
    <t>Cuota 8</t>
  </si>
  <si>
    <t>Cuota 9</t>
  </si>
  <si>
    <t>Cuota 10</t>
  </si>
  <si>
    <t>Cuota 11</t>
  </si>
  <si>
    <t>Cuota 12</t>
  </si>
  <si>
    <t>Cuota 13</t>
  </si>
  <si>
    <t>Cuota 14</t>
  </si>
  <si>
    <t>Cuota 15</t>
  </si>
  <si>
    <t>Cuota 2</t>
  </si>
  <si>
    <t>Cuota 16</t>
  </si>
  <si>
    <t>Cuota 17</t>
  </si>
  <si>
    <t>Cuota 18</t>
  </si>
  <si>
    <t>Cuota 19</t>
  </si>
  <si>
    <t>Cuota 20</t>
  </si>
  <si>
    <t>Cuota 21</t>
  </si>
  <si>
    <t>Cuota 22</t>
  </si>
  <si>
    <t>Cuota 23</t>
  </si>
  <si>
    <t>Cuota 24</t>
  </si>
  <si>
    <t>Cuota 25</t>
  </si>
  <si>
    <t>Cuota 26</t>
  </si>
  <si>
    <t>Cuota 27</t>
  </si>
  <si>
    <t>Cuota 28</t>
  </si>
  <si>
    <t>Cuota 29</t>
  </si>
  <si>
    <t>Cuota 30</t>
  </si>
  <si>
    <t>Cuota 31</t>
  </si>
  <si>
    <t>Cuota 32</t>
  </si>
  <si>
    <t>Cuota 33</t>
  </si>
  <si>
    <t>Cuota 34</t>
  </si>
  <si>
    <t>Cuota 35</t>
  </si>
  <si>
    <t>Cuota 36</t>
  </si>
  <si>
    <t>Cuota 37</t>
  </si>
  <si>
    <t>Cuota 38</t>
  </si>
  <si>
    <t>Cuota 39</t>
  </si>
  <si>
    <t>Cuota 40</t>
  </si>
  <si>
    <t>Cuota 41</t>
  </si>
  <si>
    <t>Cuota 42</t>
  </si>
  <si>
    <t>Cuota 43</t>
  </si>
  <si>
    <t>Cuota 44</t>
  </si>
  <si>
    <t>Cuota 45</t>
  </si>
  <si>
    <t>Cuota 46</t>
  </si>
  <si>
    <t>Cuota 47</t>
  </si>
  <si>
    <t>Cuota 48</t>
  </si>
  <si>
    <t>Cuota 49</t>
  </si>
  <si>
    <t>Cuota 50</t>
  </si>
  <si>
    <t>Cuota 51</t>
  </si>
  <si>
    <t>Cuota 52</t>
  </si>
  <si>
    <t>Cuota 53</t>
  </si>
  <si>
    <t>Cuota 54</t>
  </si>
  <si>
    <t>Cuota 55</t>
  </si>
  <si>
    <t>Cuota 56</t>
  </si>
  <si>
    <t>Cuota 57</t>
  </si>
  <si>
    <t>Cuota 58</t>
  </si>
  <si>
    <t>Cuota 59</t>
  </si>
  <si>
    <t>Cuota 60</t>
  </si>
  <si>
    <t>Cuota 61</t>
  </si>
  <si>
    <t>Cuota 62</t>
  </si>
  <si>
    <t>Cuota 63</t>
  </si>
  <si>
    <t>Cuota 64</t>
  </si>
  <si>
    <t>Cuota 65</t>
  </si>
  <si>
    <t>Cuota 66</t>
  </si>
  <si>
    <t>Cuota 67</t>
  </si>
  <si>
    <t>Cuota 68</t>
  </si>
  <si>
    <t>Cuota 69</t>
  </si>
  <si>
    <t>Cuota 70</t>
  </si>
  <si>
    <t>Cuota 71</t>
  </si>
  <si>
    <t>Cuota 72</t>
  </si>
  <si>
    <t>Cuota 73</t>
  </si>
  <si>
    <t>Cuota 74</t>
  </si>
  <si>
    <t>Cuota 75</t>
  </si>
  <si>
    <t>Cuota 76</t>
  </si>
  <si>
    <t>Cuota 77</t>
  </si>
  <si>
    <t>Cuota 78</t>
  </si>
  <si>
    <t>Cuota 79</t>
  </si>
  <si>
    <t>Cuota 80</t>
  </si>
  <si>
    <t>Cuota 81</t>
  </si>
  <si>
    <t>Cuota 82</t>
  </si>
  <si>
    <t>Cuota 83</t>
  </si>
  <si>
    <t>Cuota 84</t>
  </si>
  <si>
    <t>Cuota 85</t>
  </si>
  <si>
    <t>Cuota 86</t>
  </si>
  <si>
    <t>Cuota 87</t>
  </si>
  <si>
    <t>Cuota 88</t>
  </si>
  <si>
    <t>Cuota 89</t>
  </si>
  <si>
    <t>Cuota 90</t>
  </si>
  <si>
    <t>Cuota 91</t>
  </si>
  <si>
    <t>Cuota 92</t>
  </si>
  <si>
    <t>Cuota 93</t>
  </si>
  <si>
    <t>Cuota 94</t>
  </si>
  <si>
    <t>Cuota 95</t>
  </si>
  <si>
    <t>Cuota 96</t>
  </si>
  <si>
    <t>Cuota 97</t>
  </si>
  <si>
    <t>Cuota 98</t>
  </si>
  <si>
    <t>Cuota 99</t>
  </si>
  <si>
    <t>Cuota 100</t>
  </si>
  <si>
    <t>Cuota 101</t>
  </si>
  <si>
    <t>Cuota 102</t>
  </si>
  <si>
    <t>Cuota 103</t>
  </si>
  <si>
    <t>Cuota 104</t>
  </si>
  <si>
    <t>Cuota 105</t>
  </si>
  <si>
    <t>Cuota 106</t>
  </si>
  <si>
    <t>Cuota 107</t>
  </si>
  <si>
    <t>Cuota 108</t>
  </si>
  <si>
    <t>Cuota 109</t>
  </si>
  <si>
    <t>Cuota 110</t>
  </si>
  <si>
    <t>Cuota 111</t>
  </si>
  <si>
    <t>Cuota 112</t>
  </si>
  <si>
    <t>Cuota 113</t>
  </si>
  <si>
    <t>Cuota 114</t>
  </si>
  <si>
    <t>Cuota 115</t>
  </si>
  <si>
    <t>Cuota 116</t>
  </si>
  <si>
    <t>Cuota 117</t>
  </si>
  <si>
    <t>Cuota 118</t>
  </si>
  <si>
    <t>Cuota 119</t>
  </si>
  <si>
    <t>Cuota 120</t>
  </si>
  <si>
    <t xml:space="preserve">COMPRA </t>
  </si>
  <si>
    <t>C0=C1/(1+TNA/M)^M*N</t>
  </si>
  <si>
    <t xml:space="preserve">C0 = </t>
  </si>
  <si>
    <t>CUOTA 1                          +</t>
  </si>
  <si>
    <t>(1+0,06/12)^12*1/12</t>
  </si>
  <si>
    <t>(1+0,06/12)^2</t>
  </si>
  <si>
    <t>Cuota 2             +</t>
  </si>
  <si>
    <t>,,,,,</t>
  </si>
  <si>
    <t>VA0 = CUOTA 1 a (n; TNA/M)</t>
  </si>
  <si>
    <t>(1+0,06/12)^120</t>
  </si>
  <si>
    <t>FORMULA VALOR ACTUAL PV</t>
  </si>
  <si>
    <t>CALCULA LA FORMULA DE X CANTIDAD DE CUOTAS VALUADAS UN PERIODO ANTES QUE LA CUOTA 1</t>
  </si>
  <si>
    <t>CANTIDAD DE CUOTAS</t>
  </si>
  <si>
    <t>nper</t>
  </si>
  <si>
    <t>valor immueble</t>
  </si>
  <si>
    <t>pago</t>
  </si>
  <si>
    <t>quedan 120-18 pagos</t>
  </si>
  <si>
    <t>VA 19 = CUOTA 19 a (102; 0,06/12)</t>
  </si>
  <si>
    <t>PERO VALUA DESDE EL MOMENTO 18</t>
  </si>
  <si>
    <t>VA19=VA18 * (1+0,06/12)</t>
  </si>
  <si>
    <t>CAPITALIZAR</t>
  </si>
  <si>
    <t>OSINO</t>
  </si>
  <si>
    <t>ARRANCAR CON LA CUOTA 20</t>
  </si>
  <si>
    <t>VA19 = CUOTA 20 a (101; 0,06/12) + CUOTA 19</t>
  </si>
  <si>
    <t>1.2</t>
  </si>
  <si>
    <t>Bono tipico</t>
  </si>
  <si>
    <t>titulo de deuda</t>
  </si>
  <si>
    <t>cotizan en bolsa</t>
  </si>
  <si>
    <t>devuelven intreses durante el plazo y el capital al vencimiento</t>
  </si>
  <si>
    <t>VALOR NOM</t>
  </si>
  <si>
    <t>GENERA PAGOS SEMESTRALES</t>
  </si>
  <si>
    <t>VENCE AÑOS</t>
  </si>
  <si>
    <t>PERIODO DE COBRO</t>
  </si>
  <si>
    <t>MESES</t>
  </si>
  <si>
    <t>AÑOS</t>
  </si>
  <si>
    <t>VA 0 = CUOTA 1 a(20;0,08/2) + 10000000/(1+0,08)^20</t>
  </si>
  <si>
    <t>rentas</t>
  </si>
  <si>
    <t>Cuotas constantes</t>
  </si>
  <si>
    <t>valor futuro</t>
  </si>
  <si>
    <t>cuotas contantes</t>
  </si>
  <si>
    <t>(C/i) * [1-1/(1+i)^n]</t>
  </si>
  <si>
    <t>(C) * [(1+i)^n + -1/ i ]</t>
  </si>
  <si>
    <t>g  = tasa de crecimiento del valor de la cuota</t>
  </si>
  <si>
    <t>n tiende a infinito VA[0] = C/i</t>
  </si>
  <si>
    <t>C[1]/i-g [ 1 -( (1+g)/(1+i) ) ^ n ]</t>
  </si>
  <si>
    <t>C[1]/i-g [ 1 -( (1+i)  ^ n - (1+g) ^n ) ]</t>
  </si>
  <si>
    <t>cuotas variables en progresion geometrica</t>
  </si>
  <si>
    <t>valor actual</t>
  </si>
  <si>
    <t>1.3</t>
  </si>
  <si>
    <t>1.4</t>
  </si>
  <si>
    <t>CALCULAR CUOTAS</t>
  </si>
  <si>
    <t>30 ABRIL</t>
  </si>
  <si>
    <t>30 MAYO</t>
  </si>
  <si>
    <t>30 JUNIO</t>
  </si>
  <si>
    <t>RECIBE PRESTAMO TOTAL</t>
  </si>
  <si>
    <t>CANCELACION</t>
  </si>
  <si>
    <t>12 PAGOS VENCIDOS, SEMESTRALES, PLAZO DE GRACIA DESDE EL 30 DE ABRIL</t>
  </si>
  <si>
    <t>30 04</t>
  </si>
  <si>
    <t>30 05</t>
  </si>
  <si>
    <t>30 06</t>
  </si>
  <si>
    <t>30 07</t>
  </si>
  <si>
    <t>30 08</t>
  </si>
  <si>
    <t>30 09</t>
  </si>
  <si>
    <t>30 10</t>
  </si>
  <si>
    <t>30 11</t>
  </si>
  <si>
    <t>30 12</t>
  </si>
  <si>
    <t>FIN PERIODO DE GRACIA</t>
  </si>
  <si>
    <t>30 01</t>
  </si>
  <si>
    <t>30 02</t>
  </si>
  <si>
    <t>30 03</t>
  </si>
  <si>
    <t>PRIMER SEMESTRE</t>
  </si>
  <si>
    <t>PAGO CUOTA 1 (VENCIDO)</t>
  </si>
  <si>
    <t>VA[0] = CUOTA 1 a (n; TNA/m)</t>
  </si>
  <si>
    <t>B</t>
  </si>
  <si>
    <t>1.5</t>
  </si>
  <si>
    <t>1 hotel por semestre</t>
  </si>
  <si>
    <t>EN 2 AÑOS</t>
  </si>
  <si>
    <t>1 HOTEL</t>
  </si>
  <si>
    <t>FLUJO NETO VENCIDO</t>
  </si>
  <si>
    <t>INVERTIR HOY</t>
  </si>
  <si>
    <t>VALOR ACTUAL</t>
  </si>
  <si>
    <t>1 HOTEL VENTA DESPUES DE 10 ANS</t>
  </si>
  <si>
    <t xml:space="preserve">VA[0] </t>
  </si>
  <si>
    <t>DE 8 HOTELES</t>
  </si>
  <si>
    <t>TEA?</t>
  </si>
  <si>
    <t>LINEA DE TIEMPO EN AÑOS</t>
  </si>
  <si>
    <t>1 HOTEL LISTO</t>
  </si>
  <si>
    <t>CUOTA 1</t>
  </si>
  <si>
    <t>CUOTA 2</t>
  </si>
  <si>
    <t>CUOTA 3</t>
  </si>
  <si>
    <t>CUOTA 4</t>
  </si>
  <si>
    <t>CUOTA 5</t>
  </si>
  <si>
    <t>CUOTA 6</t>
  </si>
  <si>
    <t>CUOTA 7</t>
  </si>
  <si>
    <t>CUOTA 8</t>
  </si>
  <si>
    <t>CUOTA 9</t>
  </si>
  <si>
    <t>CUOTA 10</t>
  </si>
  <si>
    <t>V 1 HOTEL = CUOTA a (10; TEA) + 2,500,000</t>
  </si>
  <si>
    <t>V 2 HOTEL = CUOTA a (10; TEA) + 2,500,000</t>
  </si>
  <si>
    <t>para parse donde corresponda</t>
  </si>
  <si>
    <t>VA [0] = CA 2 / (1+TEA)^2</t>
  </si>
  <si>
    <t>CON 8 HOTELES</t>
  </si>
  <si>
    <t>LINEA TE TIEMPO SEM</t>
  </si>
  <si>
    <t>1ER HOTEL</t>
  </si>
  <si>
    <t>HOTEL  2</t>
  </si>
  <si>
    <t>HOTEL  3</t>
  </si>
  <si>
    <t>HOTEL  4</t>
  </si>
  <si>
    <t>HOTEL  5</t>
  </si>
  <si>
    <t>HOTEL  6</t>
  </si>
  <si>
    <t>HOTEL  7</t>
  </si>
  <si>
    <t>HOTEL  8</t>
  </si>
  <si>
    <t>TIR</t>
  </si>
  <si>
    <t>VAN</t>
  </si>
  <si>
    <t>summa activo[T] / (1 + k)</t>
  </si>
  <si>
    <t>Para que el VAN sea 0</t>
  </si>
  <si>
    <t>un costo de capital posible</t>
  </si>
  <si>
    <t>pueden ser varios</t>
  </si>
  <si>
    <t>Decisión Tipo I</t>
  </si>
  <si>
    <t>Decisión Tipo II para proyectos de inversión simples</t>
  </si>
  <si>
    <t>Año</t>
  </si>
  <si>
    <t>Proyecto V</t>
  </si>
  <si>
    <t>Proyecto W</t>
  </si>
  <si>
    <t>Proyecto X</t>
  </si>
  <si>
    <t>Proyecto Y</t>
  </si>
  <si>
    <t>Proyecto Z</t>
  </si>
  <si>
    <t>Proyecto E</t>
  </si>
  <si>
    <t>Proyecto F</t>
  </si>
  <si>
    <t>Proyecto G</t>
  </si>
  <si>
    <t>Proyecto H</t>
  </si>
  <si>
    <t xml:space="preserve">TIR (TEA) </t>
  </si>
  <si>
    <t xml:space="preserve"> </t>
  </si>
  <si>
    <t>VAN (6%)</t>
  </si>
  <si>
    <t>VAN (10%)</t>
  </si>
  <si>
    <t>VAN (13%)</t>
  </si>
  <si>
    <t>En proyectos de inversión, incluso simples, mayor TIR no implica mayor VAN cuando los proyectos difieren</t>
  </si>
  <si>
    <t>en una o más de las siguientes características:</t>
  </si>
  <si>
    <t>1) Escala</t>
  </si>
  <si>
    <t>2) Estructura temporal de los flujos de fondos</t>
  </si>
  <si>
    <t>3) Rentabilidad exigida (costo de oportunidad del capital o tasa de descuento)</t>
  </si>
  <si>
    <t>Inversion</t>
  </si>
  <si>
    <t>Financiacion</t>
  </si>
  <si>
    <t>-</t>
  </si>
  <si>
    <t>+</t>
  </si>
  <si>
    <t>tiempo</t>
  </si>
  <si>
    <t>A</t>
  </si>
  <si>
    <t>K</t>
  </si>
  <si>
    <t>VAN A</t>
  </si>
  <si>
    <t>VAN B</t>
  </si>
  <si>
    <t>limite de la funcion siempre el limite tiende al flujo del momento 0</t>
  </si>
  <si>
    <t>lmite A</t>
  </si>
  <si>
    <t>limite B</t>
  </si>
  <si>
    <t>ORDENADA A L ORIGEN (VAN CON COSTO DE OPRTUNIDAD 0)</t>
  </si>
  <si>
    <t>COSTO DE OPRTUNIDAD = K</t>
  </si>
  <si>
    <t>PROYECTO INCREMENTAL / SU TIR HACE QUE EL DE A Y B SEA IGUAL CON CIERTO COSTO DE OP</t>
  </si>
  <si>
    <t xml:space="preserve">TASA DE FISCHER TIR DEL PROYECTO INCREMENTAL ES LA TASA QIE IGUALA AL VAN A = VAN B </t>
  </si>
  <si>
    <t>PROYECTO INCREMENTAL = FLUJO DE  A - FLUJO DE B</t>
  </si>
  <si>
    <t>NPV CON FLUJOS MENOS EL PRIMERO (QUE DESPUES SE SUMA)</t>
  </si>
  <si>
    <t>INTERVALOS DE DECISION</t>
  </si>
  <si>
    <t>SI K entre 0 y 6,46 conviene B</t>
  </si>
  <si>
    <t>si k entre 6,46 y 13,96 conviene A</t>
  </si>
  <si>
    <t>si k = 6,46 indiferente</t>
  </si>
  <si>
    <t>si k mayor a 13,96  = rechazo ambos</t>
  </si>
  <si>
    <t>PERIODO DE RECUPERO</t>
  </si>
  <si>
    <t>flujos descontados al costo de oportunidad</t>
  </si>
  <si>
    <t>acum</t>
  </si>
  <si>
    <t>descontados A</t>
  </si>
  <si>
    <t>TASAS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</si>
</sst>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£&quot;#,##0.00;[Red]\-&quot;£&quot;#,##0.00"/>
    <numFmt numFmtId="44" formatCode="_-&quot;£&quot;* #,##0.00_-;\-&quot;£&quot;* #,##0.00_-;_-&quot;£&quot;* &quot;-&quot;??_-;_-@_-"/>
    <numFmt numFmtId="164" formatCode="0.000%"/>
    <numFmt numFmtId="165" formatCode="0.00_ ;[Red]\-0.00\ "/>
    <numFmt numFmtId="166" formatCode="#,##0.00_ ;[Red]\-#,##0.00\ "/>
    <numFmt numFmtId="167" formatCode="0.00000%"/>
    <numFmt numFmtId="168" formatCode="_-&quot;$&quot;\ * #,##0.00_-;\-&quot;$&quot;\ * #,##0.00_-;_-&quot;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Arial"/>
      <family val="2"/>
    </font>
    <font>
      <sz val="8"/>
      <color theme="0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5" fontId="7" fillId="0" borderId="0" xfId="0" applyNumberFormat="1" applyFont="1"/>
    <xf numFmtId="166" fontId="0" fillId="0" borderId="0" xfId="0" applyNumberFormat="1"/>
    <xf numFmtId="166" fontId="5" fillId="0" borderId="0" xfId="0" applyNumberFormat="1" applyFont="1"/>
    <xf numFmtId="166" fontId="0" fillId="2" borderId="0" xfId="1" applyNumberFormat="1" applyFont="1" applyFill="1"/>
    <xf numFmtId="166" fontId="4" fillId="0" borderId="0" xfId="0" applyNumberFormat="1" applyFont="1"/>
    <xf numFmtId="166" fontId="0" fillId="0" borderId="1" xfId="0" applyNumberFormat="1" applyBorder="1"/>
    <xf numFmtId="166" fontId="5" fillId="0" borderId="1" xfId="0" applyNumberFormat="1" applyFont="1" applyBorder="1"/>
    <xf numFmtId="166" fontId="0" fillId="2" borderId="0" xfId="0" applyNumberFormat="1" applyFill="1"/>
    <xf numFmtId="166" fontId="5" fillId="0" borderId="0" xfId="0" applyNumberFormat="1" applyFont="1" applyAlignment="1">
      <alignment horizontal="center" vertical="center" wrapText="1"/>
    </xf>
    <xf numFmtId="166" fontId="4" fillId="3" borderId="0" xfId="0" applyNumberFormat="1" applyFont="1" applyFill="1"/>
    <xf numFmtId="166" fontId="5" fillId="3" borderId="0" xfId="0" applyNumberFormat="1" applyFont="1" applyFill="1"/>
    <xf numFmtId="166" fontId="0" fillId="3" borderId="0" xfId="1" applyNumberFormat="1" applyFont="1" applyFill="1"/>
    <xf numFmtId="166" fontId="0" fillId="3" borderId="0" xfId="0" applyNumberFormat="1" applyFill="1"/>
    <xf numFmtId="166" fontId="0" fillId="0" borderId="0" xfId="1" applyNumberFormat="1" applyFont="1"/>
    <xf numFmtId="166" fontId="0" fillId="4" borderId="0" xfId="0" applyNumberFormat="1" applyFill="1"/>
    <xf numFmtId="166" fontId="5" fillId="0" borderId="0" xfId="1" applyNumberFormat="1" applyFont="1"/>
    <xf numFmtId="166" fontId="10" fillId="3" borderId="0" xfId="0" applyNumberFormat="1" applyFont="1" applyFill="1"/>
    <xf numFmtId="166" fontId="11" fillId="3" borderId="0" xfId="0" applyNumberFormat="1" applyFont="1" applyFill="1"/>
    <xf numFmtId="166" fontId="9" fillId="3" borderId="0" xfId="1" applyNumberFormat="1" applyFont="1" applyFill="1"/>
    <xf numFmtId="166" fontId="9" fillId="3" borderId="0" xfId="0" applyNumberFormat="1" applyFont="1" applyFill="1"/>
    <xf numFmtId="166" fontId="5" fillId="2" borderId="0" xfId="0" applyNumberFormat="1" applyFont="1" applyFill="1"/>
    <xf numFmtId="166" fontId="5" fillId="5" borderId="4" xfId="0" applyNumberFormat="1" applyFont="1" applyFill="1" applyBorder="1"/>
    <xf numFmtId="166" fontId="5" fillId="5" borderId="0" xfId="0" applyNumberFormat="1" applyFont="1" applyFill="1"/>
    <xf numFmtId="167" fontId="5" fillId="0" borderId="0" xfId="0" applyNumberFormat="1" applyFont="1"/>
    <xf numFmtId="166" fontId="4" fillId="0" borderId="0" xfId="0" applyNumberFormat="1" applyFont="1" applyAlignment="1">
      <alignment wrapText="1"/>
    </xf>
    <xf numFmtId="166" fontId="0" fillId="0" borderId="1" xfId="0" applyNumberFormat="1" applyBorder="1" applyAlignment="1">
      <alignment wrapText="1"/>
    </xf>
    <xf numFmtId="166" fontId="0" fillId="2" borderId="0" xfId="0" applyNumberFormat="1" applyFill="1" applyAlignment="1">
      <alignment wrapText="1"/>
    </xf>
    <xf numFmtId="166" fontId="0" fillId="0" borderId="0" xfId="0" applyNumberFormat="1" applyAlignment="1">
      <alignment wrapText="1"/>
    </xf>
    <xf numFmtId="166" fontId="4" fillId="2" borderId="0" xfId="0" applyNumberFormat="1" applyFont="1" applyFill="1" applyAlignment="1">
      <alignment wrapText="1"/>
    </xf>
    <xf numFmtId="166" fontId="0" fillId="4" borderId="0" xfId="0" applyNumberFormat="1" applyFill="1" applyAlignment="1">
      <alignment wrapText="1"/>
    </xf>
    <xf numFmtId="166" fontId="0" fillId="5" borderId="0" xfId="0" applyNumberFormat="1" applyFill="1" applyAlignment="1">
      <alignment wrapText="1"/>
    </xf>
    <xf numFmtId="166" fontId="0" fillId="2" borderId="0" xfId="1" applyNumberFormat="1" applyFont="1" applyFill="1" applyAlignment="1">
      <alignment wrapText="1"/>
    </xf>
    <xf numFmtId="164" fontId="0" fillId="2" borderId="0" xfId="1" applyNumberFormat="1" applyFont="1" applyFill="1"/>
    <xf numFmtId="4" fontId="0" fillId="0" borderId="1" xfId="0" applyNumberFormat="1" applyBorder="1" applyAlignment="1">
      <alignment wrapText="1"/>
    </xf>
    <xf numFmtId="4" fontId="12" fillId="3" borderId="0" xfId="0" applyNumberFormat="1" applyFont="1" applyFill="1"/>
    <xf numFmtId="4" fontId="11" fillId="3" borderId="0" xfId="0" applyNumberFormat="1" applyFont="1" applyFill="1"/>
    <xf numFmtId="4" fontId="0" fillId="2" borderId="0" xfId="1" applyNumberFormat="1" applyFont="1" applyFill="1"/>
    <xf numFmtId="4" fontId="9" fillId="3" borderId="0" xfId="0" applyNumberFormat="1" applyFont="1" applyFill="1"/>
    <xf numFmtId="4" fontId="0" fillId="0" borderId="0" xfId="0" applyNumberFormat="1" applyAlignment="1">
      <alignment wrapText="1"/>
    </xf>
    <xf numFmtId="4" fontId="13" fillId="0" borderId="0" xfId="0" applyNumberFormat="1" applyFont="1"/>
    <xf numFmtId="4" fontId="5" fillId="0" borderId="0" xfId="0" applyNumberFormat="1" applyFont="1"/>
    <xf numFmtId="4" fontId="0" fillId="0" borderId="0" xfId="0" applyNumberFormat="1"/>
    <xf numFmtId="4" fontId="0" fillId="2" borderId="0" xfId="0" applyNumberFormat="1" applyFill="1" applyAlignment="1">
      <alignment wrapText="1"/>
    </xf>
    <xf numFmtId="4" fontId="13" fillId="2" borderId="0" xfId="0" applyNumberFormat="1" applyFont="1" applyFill="1"/>
    <xf numFmtId="4" fontId="0" fillId="2" borderId="0" xfId="0" applyNumberFormat="1" applyFill="1"/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4" fontId="0" fillId="6" borderId="0" xfId="0" applyNumberFormat="1" applyFill="1" applyAlignment="1">
      <alignment wrapText="1"/>
    </xf>
    <xf numFmtId="4" fontId="0" fillId="6" borderId="0" xfId="0" applyNumberFormat="1" applyFill="1"/>
    <xf numFmtId="4" fontId="13" fillId="0" borderId="0" xfId="0" quotePrefix="1" applyNumberFormat="1" applyFont="1"/>
    <xf numFmtId="4" fontId="0" fillId="7" borderId="0" xfId="0" applyNumberFormat="1" applyFill="1" applyAlignment="1">
      <alignment wrapText="1"/>
    </xf>
    <xf numFmtId="4" fontId="13" fillId="7" borderId="0" xfId="0" applyNumberFormat="1" applyFont="1" applyFill="1"/>
    <xf numFmtId="4" fontId="0" fillId="7" borderId="0" xfId="0" applyNumberFormat="1" applyFill="1"/>
    <xf numFmtId="4" fontId="0" fillId="3" borderId="0" xfId="0" applyNumberFormat="1" applyFill="1"/>
    <xf numFmtId="4" fontId="0" fillId="0" borderId="4" xfId="0" applyNumberFormat="1" applyBorder="1" applyAlignment="1">
      <alignment wrapText="1"/>
    </xf>
    <xf numFmtId="0" fontId="15" fillId="0" borderId="0" xfId="0" applyFont="1"/>
    <xf numFmtId="0" fontId="16" fillId="0" borderId="0" xfId="0" applyFont="1"/>
    <xf numFmtId="0" fontId="16" fillId="0" borderId="5" xfId="0" applyFont="1" applyBorder="1"/>
    <xf numFmtId="0" fontId="17" fillId="0" borderId="0" xfId="0" applyFont="1"/>
    <xf numFmtId="0" fontId="0" fillId="0" borderId="5" xfId="0" applyBorder="1"/>
    <xf numFmtId="0" fontId="14" fillId="8" borderId="0" xfId="0" applyFont="1" applyFill="1" applyAlignment="1">
      <alignment horizontal="center"/>
    </xf>
    <xf numFmtId="44" fontId="0" fillId="0" borderId="0" xfId="2" applyFont="1"/>
    <xf numFmtId="44" fontId="0" fillId="0" borderId="0" xfId="2" applyFont="1" applyBorder="1"/>
    <xf numFmtId="44" fontId="0" fillId="0" borderId="0" xfId="2" applyFont="1" applyFill="1" applyBorder="1"/>
    <xf numFmtId="0" fontId="14" fillId="0" borderId="6" xfId="0" applyFont="1" applyBorder="1"/>
    <xf numFmtId="10" fontId="0" fillId="0" borderId="6" xfId="0" applyNumberFormat="1" applyBorder="1"/>
    <xf numFmtId="0" fontId="14" fillId="0" borderId="0" xfId="0" applyFont="1"/>
    <xf numFmtId="168" fontId="0" fillId="0" borderId="6" xfId="0" applyNumberFormat="1" applyBorder="1"/>
    <xf numFmtId="168" fontId="0" fillId="0" borderId="7" xfId="0" applyNumberFormat="1" applyBorder="1"/>
    <xf numFmtId="0" fontId="14" fillId="0" borderId="8" xfId="0" applyFont="1" applyBorder="1"/>
    <xf numFmtId="0" fontId="0" fillId="0" borderId="6" xfId="0" applyBorder="1"/>
    <xf numFmtId="0" fontId="0" fillId="0" borderId="7" xfId="0" applyBorder="1"/>
    <xf numFmtId="10" fontId="0" fillId="0" borderId="0" xfId="0" applyNumberFormat="1"/>
    <xf numFmtId="9" fontId="0" fillId="0" borderId="0" xfId="0" applyNumberFormat="1"/>
    <xf numFmtId="0" fontId="6" fillId="2" borderId="1" xfId="0" applyFont="1" applyFill="1" applyBorder="1" applyAlignment="1">
      <alignment horizontal="center"/>
    </xf>
    <xf numFmtId="166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center" wrapText="1"/>
    </xf>
    <xf numFmtId="0" fontId="0" fillId="0" borderId="0" xfId="0" quotePrefix="1"/>
    <xf numFmtId="9" fontId="0" fillId="0" borderId="0" xfId="1" applyFont="1"/>
    <xf numFmtId="164" fontId="0" fillId="0" borderId="0" xfId="0" applyNumberFormat="1"/>
    <xf numFmtId="0" fontId="0" fillId="2" borderId="0" xfId="0" applyFill="1"/>
    <xf numFmtId="164" fontId="0" fillId="0" borderId="0" xfId="1" applyNumberFormat="1" applyFont="1" applyFill="1"/>
    <xf numFmtId="8" fontId="0" fillId="0" borderId="0" xfId="0" applyNumberFormat="1"/>
    <xf numFmtId="0" fontId="0" fillId="3" borderId="0" xfId="0" applyFill="1"/>
  </cellXfs>
  <cellStyles count="3">
    <cellStyle name="Currency" xfId="2" builtinId="4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FORMULAS!$C$57</c:f>
              <c:strCache>
                <c:ptCount val="1"/>
                <c:pt idx="0">
                  <c:v>SIMLPE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FORMULAS!$B$58:$B$63</c:f>
              <c:numCache>
                <c:formatCode>0.00_ ;[Red]\-0.00\ 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cat>
          <c:val>
            <c:numRef>
              <c:f>FORMULAS!$C$58:$C$63</c:f>
              <c:numCache>
                <c:formatCode>0.00_ ;[Red]\-0.00\ </c:formatCode>
                <c:ptCount val="6"/>
                <c:pt idx="0">
                  <c:v>1000000</c:v>
                </c:pt>
                <c:pt idx="1">
                  <c:v>1250000</c:v>
                </c:pt>
                <c:pt idx="2">
                  <c:v>1500000</c:v>
                </c:pt>
                <c:pt idx="3">
                  <c:v>1750000</c:v>
                </c:pt>
                <c:pt idx="4">
                  <c:v>2000000</c:v>
                </c:pt>
                <c:pt idx="5">
                  <c:v>2250000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6-4242-889F-949FE4E97204}"/>
            </c:ext>
          </c:extLst>
        </c:ser>
        <c:ser>
          <c:idx val="1"/>
          <c:order val="1"/>
          <c:tx>
            <c:strRef>
              <c:f>FORMULAS!$D$57</c:f>
              <c:strCache>
                <c:ptCount val="1"/>
                <c:pt idx="0">
                  <c:v>COMPUESTO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FORMULAS!$B$58:$B$63</c:f>
              <c:numCache>
                <c:formatCode>0.00_ ;[Red]\-0.00\ 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cat>
          <c:val>
            <c:numRef>
              <c:f>FORMULAS!$D$58:$D$63</c:f>
              <c:numCache>
                <c:formatCode>0.00_ ;[Red]\-0.00\ </c:formatCode>
                <c:ptCount val="6"/>
                <c:pt idx="0">
                  <c:v>1000000</c:v>
                </c:pt>
                <c:pt idx="1">
                  <c:v>1224744.8713915891</c:v>
                </c:pt>
                <c:pt idx="2">
                  <c:v>1500000</c:v>
                </c:pt>
                <c:pt idx="3">
                  <c:v>1837117.3070873837</c:v>
                </c:pt>
                <c:pt idx="4">
                  <c:v>2250000</c:v>
                </c:pt>
                <c:pt idx="5">
                  <c:v>2755675.9606310758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6-4242-889F-949FE4E97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535504"/>
        <c:axId val="572537168"/>
      </c:lineChart>
      <c:catAx>
        <c:axId val="572535504"/>
        <c:scaling>
          <c:orientation val="minMax"/>
        </c:scaling>
        <c:delete val="0"/>
        <c:axPos val="b"/>
        <c:numFmt formatCode="0.00_ ;[Red]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37168"/>
        <c:crosses val="autoZero"/>
        <c:auto val="1"/>
        <c:lblAlgn val="ctr"/>
        <c:lblOffset val="100"/>
        <c:noMultiLvlLbl val="0"/>
      </c:catAx>
      <c:valAx>
        <c:axId val="572537168"/>
        <c:scaling>
          <c:orientation val="minMax"/>
          <c:max val="2500000"/>
          <c:min val="9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3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'U3'!$B$18</c:f>
              <c:strCache>
                <c:ptCount val="1"/>
                <c:pt idx="0">
                  <c:v>VAN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'U3'!$A$19:$A$41</c:f>
              <c:numCache>
                <c:formatCode>0.000%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6.4604653317016369E-2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9.9999999999999992E-2</c:v>
                </c:pt>
                <c:pt idx="12">
                  <c:v>0.10999999999999999</c:v>
                </c:pt>
                <c:pt idx="13">
                  <c:v>0.11999999999999998</c:v>
                </c:pt>
                <c:pt idx="14">
                  <c:v>0.12999999999999998</c:v>
                </c:pt>
                <c:pt idx="15">
                  <c:v>0.13956159775417909</c:v>
                </c:pt>
                <c:pt idx="16">
                  <c:v>0.13999999999999999</c:v>
                </c:pt>
                <c:pt idx="17">
                  <c:v>0.15</c:v>
                </c:pt>
                <c:pt idx="18">
                  <c:v>0.16</c:v>
                </c:pt>
                <c:pt idx="19">
                  <c:v>0.17</c:v>
                </c:pt>
                <c:pt idx="20">
                  <c:v>0.18000000000000002</c:v>
                </c:pt>
                <c:pt idx="21">
                  <c:v>0.19000000000000003</c:v>
                </c:pt>
                <c:pt idx="22">
                  <c:v>0.20000000000000004</c:v>
                </c:pt>
              </c:numCache>
            </c:numRef>
          </c:xVal>
          <c:yVal>
            <c:numRef>
              <c:f>'U3'!$B$19:$B$41</c:f>
              <c:numCache>
                <c:formatCode>"£"#,##0.00_);[Red]\("£"#,##0.00\)</c:formatCode>
                <c:ptCount val="23"/>
                <c:pt idx="0">
                  <c:v>25</c:v>
                </c:pt>
                <c:pt idx="1">
                  <c:v>22.834972546377173</c:v>
                </c:pt>
                <c:pt idx="2">
                  <c:v>20.73783912702666</c:v>
                </c:pt>
                <c:pt idx="3">
                  <c:v>18.705650113924904</c:v>
                </c:pt>
                <c:pt idx="4">
                  <c:v>16.735616312454027</c:v>
                </c:pt>
                <c:pt idx="5">
                  <c:v>14.825098595749708</c:v>
                </c:pt>
                <c:pt idx="6">
                  <c:v>12.971598309405962</c:v>
                </c:pt>
                <c:pt idx="7">
                  <c:v>12.136640158903688</c:v>
                </c:pt>
                <c:pt idx="8">
                  <c:v>11.17274838210713</c:v>
                </c:pt>
                <c:pt idx="9">
                  <c:v>9.4263050837251825</c:v>
                </c:pt>
                <c:pt idx="10">
                  <c:v>7.7301403777851618</c:v>
                </c:pt>
                <c:pt idx="11">
                  <c:v>6.0822348200259313</c:v>
                </c:pt>
                <c:pt idx="12">
                  <c:v>4.4806709591289859</c:v>
                </c:pt>
                <c:pt idx="13">
                  <c:v>2.9236271996043541</c:v>
                </c:pt>
                <c:pt idx="14">
                  <c:v>1.4093720903584739</c:v>
                </c:pt>
                <c:pt idx="15">
                  <c:v>7.9154460763675161E-12</c:v>
                </c:pt>
                <c:pt idx="16">
                  <c:v>-6.3740994340548696E-2</c:v>
                </c:pt>
                <c:pt idx="17">
                  <c:v>-1.4972788118967486</c:v>
                </c:pt>
                <c:pt idx="18">
                  <c:v>-2.8927328742041709</c:v>
                </c:pt>
                <c:pt idx="19">
                  <c:v>-4.2515237616675989</c:v>
                </c:pt>
                <c:pt idx="20">
                  <c:v>-5.5750051516992727</c:v>
                </c:pt>
                <c:pt idx="21">
                  <c:v>-6.8644675830180404</c:v>
                </c:pt>
                <c:pt idx="22">
                  <c:v>-8.1211419753086318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0E-4E40-9CCB-763782E5949A}"/>
            </c:ext>
          </c:extLst>
        </c:ser>
        <c:ser>
          <c:idx val="1"/>
          <c:order val="1"/>
          <c:tx>
            <c:strRef>
              <c:f>'U3'!$C$18</c:f>
              <c:strCache>
                <c:ptCount val="1"/>
                <c:pt idx="0">
                  <c:v>VAN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'U3'!$A$19:$A$41</c:f>
              <c:numCache>
                <c:formatCode>0.000%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6.4604653317016369E-2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9.9999999999999992E-2</c:v>
                </c:pt>
                <c:pt idx="12">
                  <c:v>0.10999999999999999</c:v>
                </c:pt>
                <c:pt idx="13">
                  <c:v>0.11999999999999998</c:v>
                </c:pt>
                <c:pt idx="14">
                  <c:v>0.12999999999999998</c:v>
                </c:pt>
                <c:pt idx="15">
                  <c:v>0.13956159775417909</c:v>
                </c:pt>
                <c:pt idx="16">
                  <c:v>0.13999999999999999</c:v>
                </c:pt>
                <c:pt idx="17">
                  <c:v>0.15</c:v>
                </c:pt>
                <c:pt idx="18">
                  <c:v>0.16</c:v>
                </c:pt>
                <c:pt idx="19">
                  <c:v>0.17</c:v>
                </c:pt>
                <c:pt idx="20">
                  <c:v>0.18000000000000002</c:v>
                </c:pt>
                <c:pt idx="21">
                  <c:v>0.19000000000000003</c:v>
                </c:pt>
                <c:pt idx="22">
                  <c:v>0.20000000000000004</c:v>
                </c:pt>
              </c:numCache>
            </c:numRef>
          </c:xVal>
          <c:yVal>
            <c:numRef>
              <c:f>'U3'!$C$19:$C$41</c:f>
              <c:numCache>
                <c:formatCode>"£"#,##0.00_);[Red]\("£"#,##0.00\)</c:formatCode>
                <c:ptCount val="23"/>
                <c:pt idx="0">
                  <c:v>40</c:v>
                </c:pt>
                <c:pt idx="1">
                  <c:v>35.117689965465331</c:v>
                </c:pt>
                <c:pt idx="2">
                  <c:v>30.461829589394313</c:v>
                </c:pt>
                <c:pt idx="3">
                  <c:v>26.019688819672595</c:v>
                </c:pt>
                <c:pt idx="4">
                  <c:v>21.779371345541122</c:v>
                </c:pt>
                <c:pt idx="5">
                  <c:v>17.7297525208118</c:v>
                </c:pt>
                <c:pt idx="6">
                  <c:v>13.860422450798609</c:v>
                </c:pt>
                <c:pt idx="7">
                  <c:v>12.136640159538445</c:v>
                </c:pt>
                <c:pt idx="8">
                  <c:v>10.16163376939177</c:v>
                </c:pt>
                <c:pt idx="9">
                  <c:v>6.6242536800886569</c:v>
                </c:pt>
                <c:pt idx="10">
                  <c:v>3.2397198770533464</c:v>
                </c:pt>
                <c:pt idx="11">
                  <c:v>0</c:v>
                </c:pt>
                <c:pt idx="12">
                  <c:v>-3.1024456895908656</c:v>
                </c:pt>
                <c:pt idx="13">
                  <c:v>-6.0746986932527705</c:v>
                </c:pt>
                <c:pt idx="14">
                  <c:v>-8.9234139766297318</c:v>
                </c:pt>
                <c:pt idx="15">
                  <c:v>-11.537478844710961</c:v>
                </c:pt>
                <c:pt idx="16">
                  <c:v>-11.654849217994553</c:v>
                </c:pt>
                <c:pt idx="17">
                  <c:v>-14.274891813565517</c:v>
                </c:pt>
                <c:pt idx="18">
                  <c:v>-16.789083829482195</c:v>
                </c:pt>
                <c:pt idx="19">
                  <c:v>-19.202645072752262</c:v>
                </c:pt>
                <c:pt idx="20">
                  <c:v>-21.520494437691497</c:v>
                </c:pt>
                <c:pt idx="21">
                  <c:v>-23.747269670152207</c:v>
                </c:pt>
                <c:pt idx="22">
                  <c:v>-25.887345679012341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0E-4E40-9CCB-763782E59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382511"/>
        <c:axId val="335380847"/>
      </c:scatterChart>
      <c:valAx>
        <c:axId val="3353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80847"/>
        <c:crosses val="autoZero"/>
        <c:crossBetween val="midCat"/>
      </c:valAx>
      <c:valAx>
        <c:axId val="33538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_);[Red]\(&quot;£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82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'U3'!$B$76</c:f>
              <c:strCache>
                <c:ptCount val="1"/>
                <c:pt idx="0">
                  <c:v>VAN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'U3'!$A$77:$A$99</c:f>
              <c:numCache>
                <c:formatCode>0.000%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6.4604653315668115E-2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9.9999999999999992E-2</c:v>
                </c:pt>
                <c:pt idx="12">
                  <c:v>0.10999999999999999</c:v>
                </c:pt>
                <c:pt idx="13">
                  <c:v>0.11999999999999998</c:v>
                </c:pt>
                <c:pt idx="14">
                  <c:v>0.12999999999999998</c:v>
                </c:pt>
                <c:pt idx="15">
                  <c:v>0.13956159775419374</c:v>
                </c:pt>
                <c:pt idx="16">
                  <c:v>0.13999999999999999</c:v>
                </c:pt>
                <c:pt idx="17">
                  <c:v>0.15</c:v>
                </c:pt>
                <c:pt idx="18">
                  <c:v>0.16</c:v>
                </c:pt>
                <c:pt idx="19">
                  <c:v>0.17</c:v>
                </c:pt>
                <c:pt idx="20">
                  <c:v>0.18000000000000002</c:v>
                </c:pt>
                <c:pt idx="21">
                  <c:v>0.19000000000000003</c:v>
                </c:pt>
                <c:pt idx="22">
                  <c:v>0.20000000000000004</c:v>
                </c:pt>
              </c:numCache>
            </c:numRef>
          </c:xVal>
          <c:yVal>
            <c:numRef>
              <c:f>'U3'!$B$77:$B$99</c:f>
              <c:numCache>
                <c:formatCode>"£"#,##0.00_);[Red]\("£"#,##0.00\)</c:formatCode>
                <c:ptCount val="23"/>
                <c:pt idx="0">
                  <c:v>-25</c:v>
                </c:pt>
                <c:pt idx="1">
                  <c:v>-22.834972546377173</c:v>
                </c:pt>
                <c:pt idx="2">
                  <c:v>-20.73783912702666</c:v>
                </c:pt>
                <c:pt idx="3">
                  <c:v>-18.705650113924904</c:v>
                </c:pt>
                <c:pt idx="4">
                  <c:v>-16.735616312454027</c:v>
                </c:pt>
                <c:pt idx="5">
                  <c:v>-14.825098595749708</c:v>
                </c:pt>
                <c:pt idx="6">
                  <c:v>-12.971598309405962</c:v>
                </c:pt>
                <c:pt idx="7">
                  <c:v>-12.136640159146495</c:v>
                </c:pt>
                <c:pt idx="8">
                  <c:v>-11.17274838210713</c:v>
                </c:pt>
                <c:pt idx="9">
                  <c:v>-9.4263050837251825</c:v>
                </c:pt>
                <c:pt idx="10">
                  <c:v>-7.7301403777851618</c:v>
                </c:pt>
                <c:pt idx="11">
                  <c:v>-6.0822348200259313</c:v>
                </c:pt>
                <c:pt idx="12">
                  <c:v>-4.4806709591289859</c:v>
                </c:pt>
                <c:pt idx="13">
                  <c:v>-2.9236271996043541</c:v>
                </c:pt>
                <c:pt idx="14">
                  <c:v>-1.4093720903584739</c:v>
                </c:pt>
                <c:pt idx="15">
                  <c:v>-5.7980287238024175E-12</c:v>
                </c:pt>
                <c:pt idx="16">
                  <c:v>6.3740994340548696E-2</c:v>
                </c:pt>
                <c:pt idx="17">
                  <c:v>1.4972788118967486</c:v>
                </c:pt>
                <c:pt idx="18">
                  <c:v>2.8927328742041709</c:v>
                </c:pt>
                <c:pt idx="19">
                  <c:v>4.2515237616675989</c:v>
                </c:pt>
                <c:pt idx="20">
                  <c:v>5.5750051516992727</c:v>
                </c:pt>
                <c:pt idx="21">
                  <c:v>6.8644675830180404</c:v>
                </c:pt>
                <c:pt idx="22">
                  <c:v>8.1211419753086318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8-45BF-A70C-6F1FE2F04440}"/>
            </c:ext>
          </c:extLst>
        </c:ser>
        <c:ser>
          <c:idx val="1"/>
          <c:order val="1"/>
          <c:tx>
            <c:strRef>
              <c:f>'U3'!$C$76</c:f>
              <c:strCache>
                <c:ptCount val="1"/>
                <c:pt idx="0">
                  <c:v>VAN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'U3'!$A$77:$A$99</c:f>
              <c:numCache>
                <c:formatCode>0.000%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6.4604653315668115E-2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9.9999999999999992E-2</c:v>
                </c:pt>
                <c:pt idx="12">
                  <c:v>0.10999999999999999</c:v>
                </c:pt>
                <c:pt idx="13">
                  <c:v>0.11999999999999998</c:v>
                </c:pt>
                <c:pt idx="14">
                  <c:v>0.12999999999999998</c:v>
                </c:pt>
                <c:pt idx="15">
                  <c:v>0.13956159775419374</c:v>
                </c:pt>
                <c:pt idx="16">
                  <c:v>0.13999999999999999</c:v>
                </c:pt>
                <c:pt idx="17">
                  <c:v>0.15</c:v>
                </c:pt>
                <c:pt idx="18">
                  <c:v>0.16</c:v>
                </c:pt>
                <c:pt idx="19">
                  <c:v>0.17</c:v>
                </c:pt>
                <c:pt idx="20">
                  <c:v>0.18000000000000002</c:v>
                </c:pt>
                <c:pt idx="21">
                  <c:v>0.19000000000000003</c:v>
                </c:pt>
                <c:pt idx="22">
                  <c:v>0.20000000000000004</c:v>
                </c:pt>
              </c:numCache>
            </c:numRef>
          </c:xVal>
          <c:yVal>
            <c:numRef>
              <c:f>'U3'!$C$77:$C$99</c:f>
              <c:numCache>
                <c:formatCode>"£"#,##0.00_);[Red]\("£"#,##0.00\)</c:formatCode>
                <c:ptCount val="23"/>
                <c:pt idx="0">
                  <c:v>-40</c:v>
                </c:pt>
                <c:pt idx="1">
                  <c:v>-35.117689965465331</c:v>
                </c:pt>
                <c:pt idx="2">
                  <c:v>-30.461829589394313</c:v>
                </c:pt>
                <c:pt idx="3">
                  <c:v>-26.019688819672595</c:v>
                </c:pt>
                <c:pt idx="4">
                  <c:v>-21.779371345541122</c:v>
                </c:pt>
                <c:pt idx="5">
                  <c:v>-17.7297525208118</c:v>
                </c:pt>
                <c:pt idx="6">
                  <c:v>-13.860422450798609</c:v>
                </c:pt>
                <c:pt idx="7">
                  <c:v>-12.136640160037985</c:v>
                </c:pt>
                <c:pt idx="8">
                  <c:v>-10.16163376939177</c:v>
                </c:pt>
                <c:pt idx="9">
                  <c:v>-6.6242536800886569</c:v>
                </c:pt>
                <c:pt idx="10">
                  <c:v>-3.2397198770533464</c:v>
                </c:pt>
                <c:pt idx="11">
                  <c:v>0</c:v>
                </c:pt>
                <c:pt idx="12">
                  <c:v>3.1024456895908656</c:v>
                </c:pt>
                <c:pt idx="13">
                  <c:v>6.0746986932527705</c:v>
                </c:pt>
                <c:pt idx="14">
                  <c:v>8.9234139766297318</c:v>
                </c:pt>
                <c:pt idx="15">
                  <c:v>11.537478844714897</c:v>
                </c:pt>
                <c:pt idx="16">
                  <c:v>11.654849217994553</c:v>
                </c:pt>
                <c:pt idx="17">
                  <c:v>14.274891813565517</c:v>
                </c:pt>
                <c:pt idx="18">
                  <c:v>16.789083829482195</c:v>
                </c:pt>
                <c:pt idx="19">
                  <c:v>19.202645072752262</c:v>
                </c:pt>
                <c:pt idx="20">
                  <c:v>21.520494437691497</c:v>
                </c:pt>
                <c:pt idx="21">
                  <c:v>23.747269670152207</c:v>
                </c:pt>
                <c:pt idx="22">
                  <c:v>25.887345679012341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8-45BF-A70C-6F1FE2F04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987999"/>
        <c:axId val="2056986751"/>
      </c:scatterChart>
      <c:valAx>
        <c:axId val="205698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986751"/>
        <c:crosses val="autoZero"/>
        <c:crossBetween val="midCat"/>
      </c:valAx>
      <c:valAx>
        <c:axId val="20569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_);[Red]\(&quot;£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98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13" Type="http://schemas.openxmlformats.org/officeDocument/2006/relationships/customXml" Target="../ink/ink12.xml"/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2" Type="http://schemas.openxmlformats.org/officeDocument/2006/relationships/image" Target="../media/image1.png"/><Relationship Id="rId16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5" Type="http://schemas.openxmlformats.org/officeDocument/2006/relationships/customXml" Target="../ink/ink4.xml"/><Relationship Id="rId15" Type="http://schemas.openxmlformats.org/officeDocument/2006/relationships/customXml" Target="../ink/ink14.xml"/><Relationship Id="rId10" Type="http://schemas.openxmlformats.org/officeDocument/2006/relationships/customXml" Target="../ink/ink9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159026</xdr:colOff>
      <xdr:row>52</xdr:row>
      <xdr:rowOff>172279</xdr:rowOff>
    </xdr:from>
    <xdr:to>
      <xdr:col>12</xdr:col>
      <xdr:colOff>132521</xdr:colOff>
      <xdr:row>70</xdr:row>
      <xdr:rowOff>13252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AA5478-58C6-2A6F-4344-B5BD443FD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663000</xdr:colOff>
      <xdr:row>0</xdr:row>
      <xdr:rowOff>68400</xdr:rowOff>
    </xdr:from>
    <xdr:to>
      <xdr:col>1</xdr:col>
      <xdr:colOff>663360</xdr:colOff>
      <xdr:row>0</xdr:row>
      <xdr:rowOff>68760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905902F-EE08-A170-56CC-71EDFCCD8367}"/>
                </a:ext>
              </a:extLst>
            </xdr14:cNvPr>
            <xdr14:cNvContentPartPr/>
          </xdr14:nvContentPartPr>
          <xdr14:nvPr macro=""/>
          <xdr14:xfrm>
            <a:off x="1272600" y="684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905902F-EE08-A170-56CC-71EDFCCD836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63600" y="59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510360</xdr:colOff>
      <xdr:row>0</xdr:row>
      <xdr:rowOff>76320</xdr:rowOff>
    </xdr:from>
    <xdr:to>
      <xdr:col>1</xdr:col>
      <xdr:colOff>510720</xdr:colOff>
      <xdr:row>0</xdr:row>
      <xdr:rowOff>76680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9AF49E2-0B67-218A-479C-2667674635CC}"/>
                </a:ext>
              </a:extLst>
            </xdr14:cNvPr>
            <xdr14:cNvContentPartPr/>
          </xdr14:nvContentPartPr>
          <xdr14:nvPr macro=""/>
          <xdr14:xfrm>
            <a:off x="1119960" y="7632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59AF49E2-0B67-218A-479C-2667674635C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10960" y="67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266520</xdr:colOff>
      <xdr:row>0</xdr:row>
      <xdr:rowOff>114120</xdr:rowOff>
    </xdr:from>
    <xdr:to>
      <xdr:col>2</xdr:col>
      <xdr:colOff>266880</xdr:colOff>
      <xdr:row>0</xdr:row>
      <xdr:rowOff>114480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4A090325-5985-C6A9-E656-359C884C8255}"/>
                </a:ext>
              </a:extLst>
            </xdr14:cNvPr>
            <xdr14:cNvContentPartPr/>
          </xdr14:nvContentPartPr>
          <xdr14:nvPr macro=""/>
          <xdr14:xfrm>
            <a:off x="1760040" y="11412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4A090325-5985-C6A9-E656-359C884C825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51040" y="105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663000</xdr:colOff>
      <xdr:row>140</xdr:row>
      <xdr:rowOff>68400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ADA4C26C-F9B3-4175-92E6-8AA5057BC4B6}"/>
                </a:ext>
              </a:extLst>
            </xdr14:cNvPr>
            <xdr14:cNvContentPartPr/>
          </xdr14:nvContentPartPr>
          <xdr14:nvPr macro=""/>
          <xdr14:xfrm>
            <a:off x="1272600" y="684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ADA4C26C-F9B3-4175-92E6-8AA5057BC4B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63600" y="59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510360</xdr:colOff>
      <xdr:row>140</xdr:row>
      <xdr:rowOff>76320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B69CAD7D-899A-4B8E-9E30-89CF0DF7906D}"/>
                </a:ext>
              </a:extLst>
            </xdr14:cNvPr>
            <xdr14:cNvContentPartPr/>
          </xdr14:nvContentPartPr>
          <xdr14:nvPr macro=""/>
          <xdr14:xfrm>
            <a:off x="1119960" y="76320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69CAD7D-899A-4B8E-9E30-89CF0DF7906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10960" y="67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266520</xdr:colOff>
      <xdr:row>140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6D5671B1-CE73-487D-AC23-9042185CC41B}"/>
                </a:ext>
              </a:extLst>
            </xdr14:cNvPr>
            <xdr14:cNvContentPartPr/>
          </xdr14:nvContentPartPr>
          <xdr14:nvPr macro=""/>
          <xdr14:xfrm>
            <a:off x="1760040" y="1141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6D5671B1-CE73-487D-AC23-9042185CC41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51040" y="105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663000</xdr:colOff>
      <xdr:row>171</xdr:row>
      <xdr:rowOff>68400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BAE22A95-F324-4DD4-B207-C586B5590455}"/>
                </a:ext>
              </a:extLst>
            </xdr14:cNvPr>
            <xdr14:cNvContentPartPr/>
          </xdr14:nvContentPartPr>
          <xdr14:nvPr macro=""/>
          <xdr14:xfrm>
            <a:off x="1272600" y="684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ADA4C26C-F9B3-4175-92E6-8AA5057BC4B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63600" y="59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510360</xdr:colOff>
      <xdr:row>171</xdr:row>
      <xdr:rowOff>76320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CFF01564-3AFF-4C52-8D52-462846AC29FD}"/>
                </a:ext>
              </a:extLst>
            </xdr14:cNvPr>
            <xdr14:cNvContentPartPr/>
          </xdr14:nvContentPartPr>
          <xdr14:nvPr macro=""/>
          <xdr14:xfrm>
            <a:off x="1119960" y="76320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69CAD7D-899A-4B8E-9E30-89CF0DF7906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10960" y="67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266520</xdr:colOff>
      <xdr:row>171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12499E2B-8AE0-4DB5-8C58-614A55BD3714}"/>
                </a:ext>
              </a:extLst>
            </xdr14:cNvPr>
            <xdr14:cNvContentPartPr/>
          </xdr14:nvContentPartPr>
          <xdr14:nvPr macro=""/>
          <xdr14:xfrm>
            <a:off x="1760040" y="1141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6D5671B1-CE73-487D-AC23-9042185CC41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51040" y="105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663000</xdr:colOff>
      <xdr:row>176</xdr:row>
      <xdr:rowOff>68400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594CBC75-8FBE-4511-AC50-AA0CB59CA50D}"/>
                </a:ext>
              </a:extLst>
            </xdr14:cNvPr>
            <xdr14:cNvContentPartPr/>
          </xdr14:nvContentPartPr>
          <xdr14:nvPr macro=""/>
          <xdr14:xfrm>
            <a:off x="1272600" y="684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ADA4C26C-F9B3-4175-92E6-8AA5057BC4B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63600" y="59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510360</xdr:colOff>
      <xdr:row>176</xdr:row>
      <xdr:rowOff>76320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F2A4A0F1-0861-458C-B155-C7C953823D86}"/>
                </a:ext>
              </a:extLst>
            </xdr14:cNvPr>
            <xdr14:cNvContentPartPr/>
          </xdr14:nvContentPartPr>
          <xdr14:nvPr macro=""/>
          <xdr14:xfrm>
            <a:off x="1119960" y="76320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69CAD7D-899A-4B8E-9E30-89CF0DF7906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10960" y="67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266520</xdr:colOff>
      <xdr:row>176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2278B0AD-9B35-4D60-B490-68C016E3C5B3}"/>
                </a:ext>
              </a:extLst>
            </xdr14:cNvPr>
            <xdr14:cNvContentPartPr/>
          </xdr14:nvContentPartPr>
          <xdr14:nvPr macro=""/>
          <xdr14:xfrm>
            <a:off x="1760040" y="1141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6D5671B1-CE73-487D-AC23-9042185CC41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51040" y="105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663000</xdr:colOff>
      <xdr:row>249</xdr:row>
      <xdr:rowOff>68400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154F15BF-CB01-49D6-890B-FEC1591152E9}"/>
                </a:ext>
              </a:extLst>
            </xdr14:cNvPr>
            <xdr14:cNvContentPartPr/>
          </xdr14:nvContentPartPr>
          <xdr14:nvPr macro=""/>
          <xdr14:xfrm>
            <a:off x="1272600" y="684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ADA4C26C-F9B3-4175-92E6-8AA5057BC4B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63600" y="59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510360</xdr:colOff>
      <xdr:row>249</xdr:row>
      <xdr:rowOff>76320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26E916B1-E004-42B9-8F53-FA5C84A6EB4A}"/>
                </a:ext>
              </a:extLst>
            </xdr14:cNvPr>
            <xdr14:cNvContentPartPr/>
          </xdr14:nvContentPartPr>
          <xdr14:nvPr macro=""/>
          <xdr14:xfrm>
            <a:off x="1119960" y="76320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69CAD7D-899A-4B8E-9E30-89CF0DF7906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10960" y="67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266520</xdr:colOff>
      <xdr:row>249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5EF9EDF9-5E1E-4619-A387-1CA8675DB150}"/>
                </a:ext>
              </a:extLst>
            </xdr14:cNvPr>
            <xdr14:cNvContentPartPr/>
          </xdr14:nvContentPartPr>
          <xdr14:nvPr macro=""/>
          <xdr14:xfrm>
            <a:off x="1760040" y="1141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6D5671B1-CE73-487D-AC23-9042185CC41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51040" y="105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22</xdr:row>
      <xdr:rowOff>22860</xdr:rowOff>
    </xdr:from>
    <xdr:to>
      <xdr:col>10</xdr:col>
      <xdr:colOff>457200</xdr:colOff>
      <xdr:row>37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43B26-A92E-561E-4F59-217BDF396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79</xdr:row>
      <xdr:rowOff>76200</xdr:rowOff>
    </xdr:from>
    <xdr:to>
      <xdr:col>9</xdr:col>
      <xdr:colOff>243840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A8DA8B-57DB-5F98-09AC-158062EE7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01T16:00:30.2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08T15:46:58.7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08T15:46:58.7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08T15:46:58.7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08T16:22:51.5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08T16:22:51.5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08T16:22:51.5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01T16:00:30.6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01T16:00:32.3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01T16:40:37.5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01T16:40:37.5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01T16:40:37.5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08T15:46:56.8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08T15:46:56.8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08T15:46:56.8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CA5C-1C7B-4D26-82FE-3D5F4605BD0D}">
  <dimension ref="A1:N263"/>
  <sheetViews>
    <sheetView tabSelected="1" topLeftCell="A202" zoomScaleNormal="100" workbookViewId="0">
      <selection activeCell="D210" sqref="D210"/>
    </sheetView>
  </sheetViews>
  <sheetFormatPr defaultRowHeight="14.4" x14ac:dyDescent="0.3"/>
  <cols>
    <col min="1" max="1" width="23.88671875" style="48" customWidth="1"/>
    <col min="2" max="2" width="10.21875" customWidth="1"/>
    <col min="3" max="3" width="20.5546875" style="2" customWidth="1"/>
    <col min="4" max="4" width="19.109375" style="2" bestFit="1" customWidth="1"/>
    <col min="5" max="5" width="12.88671875" style="2" customWidth="1"/>
    <col min="10" max="14" width="18.77734375" customWidth="1"/>
  </cols>
  <sheetData>
    <row r="1" spans="1:11" x14ac:dyDescent="0.3">
      <c r="A1" s="48" t="s">
        <v>8</v>
      </c>
      <c r="B1" s="1" t="s">
        <v>9</v>
      </c>
    </row>
    <row r="2" spans="1:11" x14ac:dyDescent="0.3">
      <c r="A2" s="48" t="s">
        <v>19</v>
      </c>
      <c r="B2" t="s">
        <v>24</v>
      </c>
      <c r="C2" s="2" t="s">
        <v>20</v>
      </c>
    </row>
    <row r="3" spans="1:11" x14ac:dyDescent="0.3">
      <c r="A3" s="48" t="s">
        <v>21</v>
      </c>
      <c r="B3" t="s">
        <v>25</v>
      </c>
      <c r="C3" s="2" t="s">
        <v>22</v>
      </c>
    </row>
    <row r="5" spans="1:11" x14ac:dyDescent="0.3">
      <c r="A5" s="48" t="s">
        <v>269</v>
      </c>
    </row>
    <row r="9" spans="1:11" x14ac:dyDescent="0.3">
      <c r="A9" s="48" t="s">
        <v>34</v>
      </c>
      <c r="B9" t="s">
        <v>35</v>
      </c>
    </row>
    <row r="10" spans="1:11" x14ac:dyDescent="0.3">
      <c r="A10" s="49" t="s">
        <v>31</v>
      </c>
      <c r="B10" t="s">
        <v>32</v>
      </c>
      <c r="C10" s="2" t="s">
        <v>33</v>
      </c>
    </row>
    <row r="11" spans="1:11" ht="23.4" x14ac:dyDescent="0.45">
      <c r="A11" s="78" t="s">
        <v>36</v>
      </c>
      <c r="B11" s="78"/>
      <c r="C11" s="78"/>
      <c r="D11" s="78"/>
      <c r="E11" s="78"/>
      <c r="F11" s="78"/>
      <c r="G11" s="78"/>
      <c r="H11" s="78"/>
      <c r="I11" s="78"/>
      <c r="J11" s="78"/>
      <c r="K11" s="78"/>
    </row>
    <row r="12" spans="1:11" x14ac:dyDescent="0.3">
      <c r="A12" s="50" t="s">
        <v>36</v>
      </c>
      <c r="B12" t="s">
        <v>37</v>
      </c>
      <c r="C12" s="2" t="s">
        <v>38</v>
      </c>
    </row>
    <row r="13" spans="1:11" x14ac:dyDescent="0.3">
      <c r="A13" s="48" t="s">
        <v>39</v>
      </c>
      <c r="B13" t="s">
        <v>40</v>
      </c>
    </row>
    <row r="14" spans="1:11" x14ac:dyDescent="0.3">
      <c r="A14" s="48" t="s">
        <v>41</v>
      </c>
      <c r="B14" t="s">
        <v>144</v>
      </c>
    </row>
    <row r="15" spans="1:11" x14ac:dyDescent="0.3">
      <c r="A15" s="48" t="s">
        <v>42</v>
      </c>
      <c r="C15" s="2" t="s">
        <v>43</v>
      </c>
    </row>
    <row r="20" spans="1:11" ht="23.4" x14ac:dyDescent="0.45">
      <c r="A20" s="78" t="s">
        <v>44</v>
      </c>
      <c r="B20" s="78"/>
      <c r="C20" s="78"/>
      <c r="D20" s="78"/>
      <c r="E20" s="78"/>
      <c r="F20" s="78"/>
      <c r="G20" s="78"/>
      <c r="H20" s="78"/>
      <c r="I20" s="78"/>
      <c r="J20" s="78"/>
      <c r="K20" s="78"/>
    </row>
    <row r="21" spans="1:11" x14ac:dyDescent="0.3">
      <c r="A21" s="48" t="s">
        <v>45</v>
      </c>
      <c r="B21" t="s">
        <v>46</v>
      </c>
    </row>
    <row r="22" spans="1:11" x14ac:dyDescent="0.3">
      <c r="B22" t="s">
        <v>47</v>
      </c>
    </row>
    <row r="26" spans="1:11" x14ac:dyDescent="0.3">
      <c r="A26" s="48" t="s">
        <v>58</v>
      </c>
      <c r="B26" t="s">
        <v>51</v>
      </c>
    </row>
    <row r="27" spans="1:11" x14ac:dyDescent="0.3">
      <c r="A27" s="48" t="s">
        <v>52</v>
      </c>
      <c r="B27" t="s">
        <v>54</v>
      </c>
    </row>
    <row r="28" spans="1:11" x14ac:dyDescent="0.3">
      <c r="A28" s="48" t="s">
        <v>53</v>
      </c>
      <c r="B28" t="s">
        <v>55</v>
      </c>
    </row>
    <row r="31" spans="1:11" ht="23.4" x14ac:dyDescent="0.45">
      <c r="A31" s="78" t="s">
        <v>101</v>
      </c>
      <c r="B31" s="78"/>
      <c r="C31" s="78"/>
      <c r="D31" s="78"/>
      <c r="E31" s="78"/>
      <c r="F31" s="78"/>
      <c r="G31" s="78"/>
      <c r="H31" s="78"/>
      <c r="I31" s="78"/>
      <c r="J31" s="78"/>
      <c r="K31" s="78"/>
    </row>
    <row r="32" spans="1:11" x14ac:dyDescent="0.3">
      <c r="A32" s="48" t="s">
        <v>59</v>
      </c>
      <c r="B32" t="s">
        <v>61</v>
      </c>
      <c r="E32" s="2" t="s">
        <v>60</v>
      </c>
    </row>
    <row r="33" spans="1:11" x14ac:dyDescent="0.3">
      <c r="E33" s="3" t="s">
        <v>62</v>
      </c>
    </row>
    <row r="35" spans="1:11" ht="23.4" x14ac:dyDescent="0.45">
      <c r="A35" s="78" t="s">
        <v>145</v>
      </c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1:11" x14ac:dyDescent="0.3">
      <c r="A36" s="48" t="s">
        <v>146</v>
      </c>
      <c r="B36" t="s">
        <v>147</v>
      </c>
    </row>
    <row r="37" spans="1:11" x14ac:dyDescent="0.3">
      <c r="A37" s="48" t="s">
        <v>148</v>
      </c>
      <c r="B37" t="s">
        <v>149</v>
      </c>
      <c r="C37" s="2" t="s">
        <v>152</v>
      </c>
    </row>
    <row r="38" spans="1:11" x14ac:dyDescent="0.3">
      <c r="A38" s="48" t="s">
        <v>150</v>
      </c>
      <c r="B38" t="s">
        <v>151</v>
      </c>
      <c r="C38" s="2" t="s">
        <v>153</v>
      </c>
    </row>
    <row r="39" spans="1:11" x14ac:dyDescent="0.3">
      <c r="A39" s="48" t="s">
        <v>154</v>
      </c>
      <c r="B39" t="s">
        <v>155</v>
      </c>
      <c r="C39" s="2" t="s">
        <v>156</v>
      </c>
    </row>
    <row r="42" spans="1:11" x14ac:dyDescent="0.3">
      <c r="B42" t="s">
        <v>158</v>
      </c>
    </row>
    <row r="43" spans="1:11" x14ac:dyDescent="0.3">
      <c r="A43" s="48" t="s">
        <v>39</v>
      </c>
      <c r="B43" t="s">
        <v>40</v>
      </c>
    </row>
    <row r="44" spans="1:11" x14ac:dyDescent="0.3">
      <c r="A44" s="48" t="s">
        <v>159</v>
      </c>
      <c r="B44" t="s">
        <v>160</v>
      </c>
    </row>
    <row r="45" spans="1:11" x14ac:dyDescent="0.3">
      <c r="A45" s="48" t="s">
        <v>161</v>
      </c>
      <c r="B45" t="s">
        <v>162</v>
      </c>
    </row>
    <row r="46" spans="1:11" x14ac:dyDescent="0.3">
      <c r="A46" s="48" t="s">
        <v>154</v>
      </c>
      <c r="B46" t="s">
        <v>163</v>
      </c>
    </row>
    <row r="47" spans="1:11" x14ac:dyDescent="0.3">
      <c r="A47" s="48" t="s">
        <v>164</v>
      </c>
      <c r="B47" t="s">
        <v>165</v>
      </c>
    </row>
    <row r="48" spans="1:11" x14ac:dyDescent="0.3">
      <c r="B48" t="s">
        <v>166</v>
      </c>
    </row>
    <row r="51" spans="1:11" ht="23.4" x14ac:dyDescent="0.45">
      <c r="A51" s="78" t="s">
        <v>167</v>
      </c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1:11" x14ac:dyDescent="0.3">
      <c r="B52" t="s">
        <v>168</v>
      </c>
    </row>
    <row r="54" spans="1:11" x14ac:dyDescent="0.3">
      <c r="B54" s="2" t="s">
        <v>39</v>
      </c>
      <c r="C54" s="2">
        <v>1000000</v>
      </c>
    </row>
    <row r="55" spans="1:11" x14ac:dyDescent="0.3">
      <c r="B55" s="2" t="s">
        <v>41</v>
      </c>
      <c r="C55" s="2">
        <v>0.5</v>
      </c>
    </row>
    <row r="56" spans="1:11" x14ac:dyDescent="0.3">
      <c r="B56" s="2"/>
    </row>
    <row r="57" spans="1:11" x14ac:dyDescent="0.3">
      <c r="B57" s="2" t="s">
        <v>169</v>
      </c>
      <c r="C57" s="2" t="s">
        <v>170</v>
      </c>
      <c r="D57" s="2" t="s">
        <v>171</v>
      </c>
    </row>
    <row r="58" spans="1:11" x14ac:dyDescent="0.3">
      <c r="B58" s="2">
        <v>0</v>
      </c>
      <c r="C58" s="2">
        <v>1000000</v>
      </c>
      <c r="D58" s="2">
        <v>1000000</v>
      </c>
      <c r="F58" s="2"/>
      <c r="G58" s="2"/>
    </row>
    <row r="59" spans="1:11" x14ac:dyDescent="0.3">
      <c r="B59" s="2">
        <v>0.5</v>
      </c>
      <c r="C59" s="2">
        <v>1250000</v>
      </c>
      <c r="D59" s="2">
        <v>1224744.8713915891</v>
      </c>
    </row>
    <row r="60" spans="1:11" x14ac:dyDescent="0.3">
      <c r="B60" s="2">
        <v>1</v>
      </c>
      <c r="C60" s="3">
        <v>1500000</v>
      </c>
      <c r="D60" s="3">
        <v>1500000</v>
      </c>
    </row>
    <row r="61" spans="1:11" x14ac:dyDescent="0.3">
      <c r="B61" s="2">
        <v>1.5</v>
      </c>
      <c r="C61" s="2">
        <v>1750000</v>
      </c>
      <c r="D61" s="2">
        <v>1837117.3070873837</v>
      </c>
    </row>
    <row r="62" spans="1:11" x14ac:dyDescent="0.3">
      <c r="B62" s="2">
        <v>2</v>
      </c>
      <c r="C62" s="2">
        <v>2000000</v>
      </c>
      <c r="D62" s="2">
        <v>2250000</v>
      </c>
    </row>
    <row r="63" spans="1:11" x14ac:dyDescent="0.3">
      <c r="B63" s="2">
        <v>2.5</v>
      </c>
      <c r="C63" s="2">
        <v>2250000</v>
      </c>
      <c r="D63" s="2">
        <v>2755675.9606310758</v>
      </c>
    </row>
    <row r="64" spans="1:11" x14ac:dyDescent="0.3">
      <c r="B64" s="2"/>
    </row>
    <row r="65" spans="1:11" x14ac:dyDescent="0.3">
      <c r="B65" s="2"/>
    </row>
    <row r="66" spans="1:11" x14ac:dyDescent="0.3">
      <c r="B66" s="2"/>
    </row>
    <row r="67" spans="1:11" x14ac:dyDescent="0.3">
      <c r="B67" s="2"/>
    </row>
    <row r="68" spans="1:11" x14ac:dyDescent="0.3">
      <c r="B68" s="2"/>
    </row>
    <row r="72" spans="1:11" ht="23.4" x14ac:dyDescent="0.45">
      <c r="A72" s="78" t="s">
        <v>172</v>
      </c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82" spans="1:11" ht="23.4" x14ac:dyDescent="0.45">
      <c r="A82" s="78" t="s">
        <v>173</v>
      </c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1:11" x14ac:dyDescent="0.3">
      <c r="A83" s="48" t="s">
        <v>198</v>
      </c>
      <c r="B83" t="s">
        <v>199</v>
      </c>
    </row>
    <row r="85" spans="1:11" ht="28.8" x14ac:dyDescent="0.3">
      <c r="A85" s="48" t="s">
        <v>174</v>
      </c>
      <c r="B85" s="2" t="s">
        <v>175</v>
      </c>
      <c r="C85" s="2" t="s">
        <v>189</v>
      </c>
      <c r="D85" s="2" t="s">
        <v>192</v>
      </c>
    </row>
    <row r="86" spans="1:11" ht="28.8" x14ac:dyDescent="0.3">
      <c r="A86" s="48" t="s">
        <v>176</v>
      </c>
      <c r="B86" s="2" t="s">
        <v>177</v>
      </c>
      <c r="C86" s="2" t="s">
        <v>186</v>
      </c>
      <c r="D86" s="2" t="s">
        <v>193</v>
      </c>
    </row>
    <row r="87" spans="1:11" ht="28.8" x14ac:dyDescent="0.3">
      <c r="A87" s="48" t="s">
        <v>178</v>
      </c>
      <c r="B87" s="2" t="s">
        <v>179</v>
      </c>
      <c r="C87" s="2" t="s">
        <v>185</v>
      </c>
      <c r="D87" s="2" t="s">
        <v>194</v>
      </c>
    </row>
    <row r="88" spans="1:11" ht="28.8" x14ac:dyDescent="0.3">
      <c r="A88" s="48" t="s">
        <v>180</v>
      </c>
      <c r="B88" s="2" t="s">
        <v>181</v>
      </c>
      <c r="C88" s="2" t="s">
        <v>190</v>
      </c>
      <c r="D88" s="2" t="s">
        <v>195</v>
      </c>
    </row>
    <row r="89" spans="1:11" ht="28.8" x14ac:dyDescent="0.3">
      <c r="A89" s="48" t="s">
        <v>191</v>
      </c>
      <c r="B89" s="2" t="s">
        <v>182</v>
      </c>
      <c r="C89" s="2" t="s">
        <v>187</v>
      </c>
      <c r="D89" s="2" t="s">
        <v>196</v>
      </c>
    </row>
    <row r="90" spans="1:11" ht="28.8" x14ac:dyDescent="0.3">
      <c r="A90" s="48" t="s">
        <v>184</v>
      </c>
      <c r="B90" s="2" t="s">
        <v>183</v>
      </c>
      <c r="C90" s="2" t="s">
        <v>188</v>
      </c>
      <c r="D90" s="2" t="s">
        <v>197</v>
      </c>
    </row>
    <row r="95" spans="1:11" ht="23.4" x14ac:dyDescent="0.45">
      <c r="A95" s="78" t="s">
        <v>268</v>
      </c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1:11" x14ac:dyDescent="0.3">
      <c r="B96" s="79" t="s">
        <v>258</v>
      </c>
      <c r="C96" s="79"/>
      <c r="D96" s="79"/>
    </row>
    <row r="97" spans="2:4" x14ac:dyDescent="0.3">
      <c r="B97" s="30" t="s">
        <v>255</v>
      </c>
      <c r="C97" s="4" t="s">
        <v>256</v>
      </c>
      <c r="D97" s="5" t="s">
        <v>257</v>
      </c>
    </row>
    <row r="98" spans="2:4" x14ac:dyDescent="0.3">
      <c r="B98" s="30" t="s">
        <v>259</v>
      </c>
      <c r="C98" s="4" t="s">
        <v>256</v>
      </c>
      <c r="D98" s="5" t="s">
        <v>260</v>
      </c>
    </row>
    <row r="99" spans="2:4" x14ac:dyDescent="0.3">
      <c r="B99" s="30" t="s">
        <v>262</v>
      </c>
      <c r="C99" s="4" t="s">
        <v>256</v>
      </c>
      <c r="D99" s="5" t="s">
        <v>261</v>
      </c>
    </row>
    <row r="100" spans="2:4" x14ac:dyDescent="0.3">
      <c r="B100" s="30" t="s">
        <v>263</v>
      </c>
      <c r="C100" s="4" t="s">
        <v>256</v>
      </c>
      <c r="D100" s="5" t="s">
        <v>264</v>
      </c>
    </row>
    <row r="101" spans="2:4" x14ac:dyDescent="0.3">
      <c r="B101" s="29" t="s">
        <v>42</v>
      </c>
      <c r="C101" s="10" t="s">
        <v>256</v>
      </c>
      <c r="D101" s="23" t="s">
        <v>265</v>
      </c>
    </row>
    <row r="102" spans="2:4" x14ac:dyDescent="0.3">
      <c r="B102" s="29" t="s">
        <v>266</v>
      </c>
      <c r="C102" s="10" t="s">
        <v>256</v>
      </c>
      <c r="D102" s="23" t="s">
        <v>267</v>
      </c>
    </row>
    <row r="129" spans="1:11" ht="23.4" x14ac:dyDescent="0.45">
      <c r="A129" s="78" t="s">
        <v>444</v>
      </c>
      <c r="B129" s="78"/>
      <c r="C129" s="78"/>
      <c r="D129" s="78"/>
      <c r="E129" s="78"/>
      <c r="F129" s="78"/>
      <c r="G129" s="78"/>
      <c r="H129" s="78"/>
      <c r="I129" s="78"/>
      <c r="J129" s="78"/>
      <c r="K129" s="78"/>
    </row>
    <row r="130" spans="1:11" x14ac:dyDescent="0.3">
      <c r="A130" s="48" t="s">
        <v>445</v>
      </c>
    </row>
    <row r="131" spans="1:11" x14ac:dyDescent="0.3">
      <c r="B131" t="s">
        <v>455</v>
      </c>
      <c r="C131" s="2" t="s">
        <v>448</v>
      </c>
    </row>
    <row r="132" spans="1:11" x14ac:dyDescent="0.3">
      <c r="B132" t="s">
        <v>446</v>
      </c>
      <c r="C132" s="2" t="s">
        <v>449</v>
      </c>
    </row>
    <row r="133" spans="1:11" ht="28.8" x14ac:dyDescent="0.3">
      <c r="A133" s="48" t="s">
        <v>454</v>
      </c>
    </row>
    <row r="134" spans="1:11" x14ac:dyDescent="0.3">
      <c r="B134" t="s">
        <v>455</v>
      </c>
      <c r="C134" s="2" t="s">
        <v>452</v>
      </c>
      <c r="D134" s="2" t="s">
        <v>450</v>
      </c>
    </row>
    <row r="135" spans="1:11" x14ac:dyDescent="0.3">
      <c r="B135" t="s">
        <v>446</v>
      </c>
      <c r="C135" s="2" t="s">
        <v>453</v>
      </c>
    </row>
    <row r="136" spans="1:11" x14ac:dyDescent="0.3">
      <c r="A136" s="48" t="s">
        <v>447</v>
      </c>
    </row>
    <row r="137" spans="1:11" x14ac:dyDescent="0.3">
      <c r="B137" t="s">
        <v>451</v>
      </c>
    </row>
    <row r="162" spans="1:14" ht="23.4" x14ac:dyDescent="0.45">
      <c r="A162" s="78" t="s">
        <v>519</v>
      </c>
      <c r="B162" s="78"/>
      <c r="C162" s="78"/>
      <c r="D162" s="78"/>
      <c r="E162" s="78"/>
      <c r="F162" s="78"/>
      <c r="G162" s="78"/>
      <c r="H162" s="78"/>
      <c r="I162" s="78"/>
      <c r="J162" s="78"/>
      <c r="K162" s="78"/>
    </row>
    <row r="165" spans="1:14" x14ac:dyDescent="0.3">
      <c r="A165" s="48" t="s">
        <v>520</v>
      </c>
      <c r="B165" t="s">
        <v>521</v>
      </c>
    </row>
    <row r="166" spans="1:14" x14ac:dyDescent="0.3">
      <c r="A166" s="48" t="s">
        <v>519</v>
      </c>
      <c r="B166" t="s">
        <v>522</v>
      </c>
      <c r="D166" s="2" t="s">
        <v>524</v>
      </c>
    </row>
    <row r="167" spans="1:14" x14ac:dyDescent="0.3">
      <c r="C167" s="2" t="s">
        <v>523</v>
      </c>
    </row>
    <row r="175" spans="1:14" ht="18" x14ac:dyDescent="0.35">
      <c r="B175" s="59" t="s">
        <v>525</v>
      </c>
      <c r="C175" s="59"/>
      <c r="D175" s="60"/>
      <c r="E175" s="60"/>
      <c r="F175" s="60"/>
      <c r="G175" s="60"/>
      <c r="H175" s="60"/>
      <c r="I175" s="61"/>
      <c r="J175" s="59" t="s">
        <v>526</v>
      </c>
      <c r="K175" s="59"/>
      <c r="L175" s="59"/>
      <c r="M175" s="59"/>
      <c r="N175" s="62"/>
    </row>
    <row r="176" spans="1:14" x14ac:dyDescent="0.3">
      <c r="C176"/>
      <c r="D176"/>
      <c r="E176"/>
      <c r="I176" s="63"/>
    </row>
    <row r="177" spans="2:14" x14ac:dyDescent="0.3">
      <c r="B177" s="64" t="s">
        <v>527</v>
      </c>
      <c r="C177" s="64" t="s">
        <v>528</v>
      </c>
      <c r="D177" s="64" t="s">
        <v>529</v>
      </c>
      <c r="E177" s="64" t="s">
        <v>530</v>
      </c>
      <c r="F177" s="64" t="s">
        <v>531</v>
      </c>
      <c r="G177" s="64" t="s">
        <v>532</v>
      </c>
      <c r="I177" s="63"/>
      <c r="J177" s="64" t="s">
        <v>527</v>
      </c>
      <c r="K177" s="64" t="s">
        <v>533</v>
      </c>
      <c r="L177" s="64" t="s">
        <v>534</v>
      </c>
      <c r="M177" s="64" t="s">
        <v>535</v>
      </c>
      <c r="N177" s="64" t="s">
        <v>536</v>
      </c>
    </row>
    <row r="178" spans="2:14" x14ac:dyDescent="0.3">
      <c r="B178">
        <v>0</v>
      </c>
      <c r="C178" s="65">
        <v>-5000</v>
      </c>
      <c r="D178" s="65">
        <v>-1000</v>
      </c>
      <c r="E178" s="65">
        <v>-365</v>
      </c>
      <c r="F178" s="65">
        <v>-900</v>
      </c>
      <c r="G178" s="65">
        <v>-900</v>
      </c>
      <c r="I178" s="63"/>
      <c r="J178">
        <v>0</v>
      </c>
      <c r="K178" s="65">
        <v>-100000</v>
      </c>
      <c r="L178" s="65">
        <v>-100000</v>
      </c>
      <c r="M178" s="65">
        <v>-100000</v>
      </c>
      <c r="N178" s="65">
        <v>-50000</v>
      </c>
    </row>
    <row r="179" spans="2:14" x14ac:dyDescent="0.3">
      <c r="B179">
        <v>1</v>
      </c>
      <c r="C179" s="65">
        <v>20000</v>
      </c>
      <c r="D179" s="65">
        <v>6000</v>
      </c>
      <c r="E179" s="65">
        <v>200</v>
      </c>
      <c r="F179" s="65">
        <v>100</v>
      </c>
      <c r="G179" s="65">
        <v>-100</v>
      </c>
      <c r="I179" s="63"/>
      <c r="J179">
        <v>1</v>
      </c>
      <c r="K179" s="65">
        <v>10000</v>
      </c>
      <c r="L179" s="65">
        <v>0</v>
      </c>
      <c r="M179" s="65">
        <v>50000</v>
      </c>
      <c r="N179" s="65">
        <v>5500</v>
      </c>
    </row>
    <row r="180" spans="2:14" x14ac:dyDescent="0.3">
      <c r="B180">
        <v>2</v>
      </c>
      <c r="C180" s="65">
        <v>-24000</v>
      </c>
      <c r="D180" s="65">
        <v>-11000</v>
      </c>
      <c r="E180" s="65">
        <v>200</v>
      </c>
      <c r="F180" s="65">
        <v>100</v>
      </c>
      <c r="G180" s="65">
        <v>100</v>
      </c>
      <c r="I180" s="63"/>
      <c r="J180">
        <v>2</v>
      </c>
      <c r="K180" s="65">
        <v>10000</v>
      </c>
      <c r="L180" s="65">
        <v>0</v>
      </c>
      <c r="M180" s="65">
        <v>40000</v>
      </c>
      <c r="N180" s="65">
        <v>5500</v>
      </c>
    </row>
    <row r="181" spans="2:14" x14ac:dyDescent="0.3">
      <c r="B181">
        <v>3</v>
      </c>
      <c r="C181"/>
      <c r="D181" s="65">
        <v>6000</v>
      </c>
      <c r="E181" s="65">
        <v>200</v>
      </c>
      <c r="F181" s="66">
        <v>400</v>
      </c>
      <c r="G181" s="65">
        <v>500</v>
      </c>
      <c r="I181" s="63"/>
      <c r="J181">
        <v>3</v>
      </c>
      <c r="K181" s="65">
        <v>10000</v>
      </c>
      <c r="L181" s="65">
        <v>0</v>
      </c>
      <c r="M181" s="65">
        <v>25000</v>
      </c>
      <c r="N181" s="65">
        <v>5500</v>
      </c>
    </row>
    <row r="182" spans="2:14" x14ac:dyDescent="0.3">
      <c r="B182">
        <v>4</v>
      </c>
      <c r="C182"/>
      <c r="D182" s="77"/>
      <c r="E182" s="65">
        <v>200</v>
      </c>
      <c r="F182" s="67">
        <v>800</v>
      </c>
      <c r="G182" s="65">
        <v>900</v>
      </c>
      <c r="I182" s="63"/>
      <c r="J182">
        <v>4</v>
      </c>
      <c r="K182" s="65">
        <v>10000</v>
      </c>
      <c r="L182" s="65">
        <v>0</v>
      </c>
      <c r="M182" s="65">
        <v>8000</v>
      </c>
      <c r="N182" s="65">
        <v>5500</v>
      </c>
    </row>
    <row r="183" spans="2:14" ht="15" thickBot="1" x14ac:dyDescent="0.35">
      <c r="B183">
        <v>5</v>
      </c>
      <c r="C183"/>
      <c r="D183"/>
      <c r="E183" s="65">
        <v>200</v>
      </c>
      <c r="I183" s="63"/>
      <c r="J183">
        <v>5</v>
      </c>
      <c r="K183" s="65">
        <v>110000</v>
      </c>
      <c r="L183" s="65">
        <f>100000*1.1^5</f>
        <v>161051.00000000006</v>
      </c>
      <c r="M183" s="65">
        <v>5000</v>
      </c>
      <c r="N183" s="65">
        <v>55500</v>
      </c>
    </row>
    <row r="184" spans="2:14" ht="15" thickBot="1" x14ac:dyDescent="0.35">
      <c r="B184">
        <v>6</v>
      </c>
      <c r="C184"/>
      <c r="D184"/>
      <c r="E184" s="65">
        <v>-200</v>
      </c>
      <c r="I184" s="63"/>
      <c r="J184" s="68" t="s">
        <v>537</v>
      </c>
      <c r="K184" s="69"/>
      <c r="L184" s="69"/>
      <c r="M184" s="69"/>
    </row>
    <row r="185" spans="2:14" ht="15" thickBot="1" x14ac:dyDescent="0.35">
      <c r="B185">
        <v>7</v>
      </c>
      <c r="C185"/>
      <c r="D185"/>
      <c r="E185" s="65">
        <v>-200</v>
      </c>
      <c r="I185" s="63"/>
      <c r="J185" s="70" t="s">
        <v>538</v>
      </c>
    </row>
    <row r="186" spans="2:14" ht="15" thickBot="1" x14ac:dyDescent="0.35">
      <c r="B186">
        <v>8</v>
      </c>
      <c r="C186"/>
      <c r="D186"/>
      <c r="E186" s="65">
        <v>-200</v>
      </c>
      <c r="I186" s="63"/>
      <c r="J186" s="68" t="s">
        <v>539</v>
      </c>
      <c r="K186" s="71"/>
      <c r="L186" s="71"/>
      <c r="M186" s="71"/>
      <c r="N186" s="72"/>
    </row>
    <row r="187" spans="2:14" ht="15" thickBot="1" x14ac:dyDescent="0.35">
      <c r="B187">
        <v>9</v>
      </c>
      <c r="C187"/>
      <c r="D187"/>
      <c r="E187" s="65">
        <v>-200</v>
      </c>
      <c r="I187" s="63"/>
      <c r="J187" s="68" t="s">
        <v>540</v>
      </c>
      <c r="K187" s="71"/>
      <c r="L187" s="71"/>
      <c r="M187" s="71"/>
      <c r="N187" s="72"/>
    </row>
    <row r="188" spans="2:14" ht="15" thickBot="1" x14ac:dyDescent="0.35">
      <c r="B188">
        <v>10</v>
      </c>
      <c r="C188"/>
      <c r="D188"/>
      <c r="E188" s="65">
        <v>-200</v>
      </c>
      <c r="I188" s="63"/>
      <c r="J188" s="68" t="s">
        <v>541</v>
      </c>
      <c r="K188" s="71"/>
      <c r="L188" s="71"/>
      <c r="M188" s="71"/>
      <c r="N188" s="72"/>
    </row>
    <row r="189" spans="2:14" x14ac:dyDescent="0.3">
      <c r="B189">
        <v>11</v>
      </c>
      <c r="C189"/>
      <c r="D189"/>
      <c r="E189" s="65">
        <v>0</v>
      </c>
      <c r="I189" s="63"/>
    </row>
    <row r="190" spans="2:14" x14ac:dyDescent="0.3">
      <c r="B190">
        <v>12</v>
      </c>
      <c r="C190"/>
      <c r="D190"/>
      <c r="E190" s="65">
        <v>0</v>
      </c>
      <c r="I190" s="63"/>
    </row>
    <row r="191" spans="2:14" x14ac:dyDescent="0.3">
      <c r="B191">
        <v>13</v>
      </c>
      <c r="C191"/>
      <c r="D191"/>
      <c r="E191" s="65">
        <v>0</v>
      </c>
      <c r="I191" s="63"/>
      <c r="J191" s="70" t="s">
        <v>542</v>
      </c>
    </row>
    <row r="192" spans="2:14" x14ac:dyDescent="0.3">
      <c r="B192">
        <v>14</v>
      </c>
      <c r="C192"/>
      <c r="D192"/>
      <c r="E192" s="65">
        <v>0</v>
      </c>
      <c r="I192" s="63"/>
      <c r="J192" s="70" t="s">
        <v>543</v>
      </c>
    </row>
    <row r="193" spans="1:10" x14ac:dyDescent="0.3">
      <c r="B193">
        <v>15</v>
      </c>
      <c r="C193"/>
      <c r="D193"/>
      <c r="E193" s="65">
        <v>0</v>
      </c>
      <c r="I193" s="63"/>
      <c r="J193" s="70" t="s">
        <v>544</v>
      </c>
    </row>
    <row r="194" spans="1:10" x14ac:dyDescent="0.3">
      <c r="B194">
        <v>16</v>
      </c>
      <c r="C194"/>
      <c r="D194"/>
      <c r="E194" s="65">
        <v>0</v>
      </c>
      <c r="I194" s="63"/>
      <c r="J194" s="70" t="s">
        <v>545</v>
      </c>
    </row>
    <row r="195" spans="1:10" x14ac:dyDescent="0.3">
      <c r="B195">
        <v>17</v>
      </c>
      <c r="C195"/>
      <c r="D195"/>
      <c r="E195" s="65">
        <v>0</v>
      </c>
      <c r="I195" s="63"/>
      <c r="J195" s="70" t="s">
        <v>546</v>
      </c>
    </row>
    <row r="196" spans="1:10" x14ac:dyDescent="0.3">
      <c r="B196">
        <v>18</v>
      </c>
      <c r="C196"/>
      <c r="D196"/>
      <c r="E196" s="65">
        <v>0</v>
      </c>
      <c r="I196" s="63"/>
    </row>
    <row r="197" spans="1:10" x14ac:dyDescent="0.3">
      <c r="B197">
        <v>19</v>
      </c>
      <c r="C197"/>
      <c r="D197"/>
      <c r="E197" s="65">
        <v>0</v>
      </c>
      <c r="I197" s="63"/>
    </row>
    <row r="198" spans="1:10" x14ac:dyDescent="0.3">
      <c r="B198">
        <v>20</v>
      </c>
      <c r="C198"/>
      <c r="D198"/>
      <c r="E198" s="65">
        <v>400</v>
      </c>
      <c r="I198" s="63"/>
    </row>
    <row r="199" spans="1:10" ht="15" thickBot="1" x14ac:dyDescent="0.35">
      <c r="C199"/>
      <c r="D199"/>
      <c r="E199"/>
      <c r="I199" s="63"/>
    </row>
    <row r="200" spans="1:10" ht="15" thickBot="1" x14ac:dyDescent="0.35">
      <c r="B200" s="73" t="s">
        <v>537</v>
      </c>
      <c r="C200" s="74"/>
      <c r="D200" s="74"/>
      <c r="E200" s="69">
        <f>+IRR(E178:E198)</f>
        <v>0.16787924605730864</v>
      </c>
      <c r="F200" s="75"/>
      <c r="I200" s="63"/>
    </row>
    <row r="201" spans="1:10" x14ac:dyDescent="0.3">
      <c r="C201"/>
      <c r="D201"/>
      <c r="E201" s="76">
        <f>IRR(E178:E198,0.02)</f>
        <v>1.536569203576521E-2</v>
      </c>
      <c r="I201" s="63"/>
    </row>
    <row r="202" spans="1:10" x14ac:dyDescent="0.3">
      <c r="C202"/>
      <c r="D202"/>
      <c r="E202" s="76">
        <f>IRR(E178:E198,0.27)</f>
        <v>0.25999569677456025</v>
      </c>
      <c r="I202" s="63"/>
    </row>
    <row r="203" spans="1:10" x14ac:dyDescent="0.3">
      <c r="C203"/>
      <c r="D203"/>
      <c r="E203"/>
    </row>
    <row r="204" spans="1:10" x14ac:dyDescent="0.3">
      <c r="C204"/>
      <c r="D204"/>
      <c r="E204"/>
    </row>
    <row r="205" spans="1:10" x14ac:dyDescent="0.3">
      <c r="C205"/>
      <c r="D205"/>
      <c r="E205"/>
    </row>
    <row r="206" spans="1:10" x14ac:dyDescent="0.3">
      <c r="C206"/>
      <c r="D206"/>
      <c r="E206"/>
    </row>
    <row r="207" spans="1:10" x14ac:dyDescent="0.3">
      <c r="C207"/>
      <c r="D207"/>
      <c r="E207"/>
    </row>
    <row r="208" spans="1:10" x14ac:dyDescent="0.3">
      <c r="A208" s="48" t="s">
        <v>547</v>
      </c>
      <c r="B208" s="81" t="s">
        <v>549</v>
      </c>
      <c r="C208" s="81" t="s">
        <v>550</v>
      </c>
      <c r="D208" s="81" t="s">
        <v>550</v>
      </c>
      <c r="E208"/>
    </row>
    <row r="209" spans="1:5" x14ac:dyDescent="0.3">
      <c r="A209" s="48" t="s">
        <v>548</v>
      </c>
      <c r="B209" s="81" t="s">
        <v>550</v>
      </c>
      <c r="C209" s="81" t="s">
        <v>549</v>
      </c>
      <c r="D209" s="81" t="s">
        <v>549</v>
      </c>
      <c r="E209"/>
    </row>
    <row r="210" spans="1:5" x14ac:dyDescent="0.3">
      <c r="C210"/>
      <c r="D210"/>
      <c r="E210"/>
    </row>
    <row r="211" spans="1:5" x14ac:dyDescent="0.3">
      <c r="C211"/>
      <c r="D211"/>
      <c r="E211"/>
    </row>
    <row r="212" spans="1:5" x14ac:dyDescent="0.3">
      <c r="C212"/>
      <c r="D212"/>
      <c r="E212"/>
    </row>
    <row r="213" spans="1:5" x14ac:dyDescent="0.3">
      <c r="C213"/>
      <c r="D213"/>
      <c r="E213"/>
    </row>
    <row r="214" spans="1:5" x14ac:dyDescent="0.3">
      <c r="C214"/>
      <c r="D214"/>
      <c r="E214"/>
    </row>
    <row r="215" spans="1:5" x14ac:dyDescent="0.3">
      <c r="C215"/>
      <c r="D215"/>
      <c r="E215"/>
    </row>
    <row r="216" spans="1:5" x14ac:dyDescent="0.3">
      <c r="C216"/>
      <c r="D216"/>
      <c r="E216"/>
    </row>
    <row r="217" spans="1:5" x14ac:dyDescent="0.3">
      <c r="C217"/>
      <c r="D217"/>
      <c r="E217"/>
    </row>
    <row r="218" spans="1:5" x14ac:dyDescent="0.3">
      <c r="C218"/>
      <c r="D218"/>
      <c r="E218"/>
    </row>
    <row r="219" spans="1:5" x14ac:dyDescent="0.3">
      <c r="C219"/>
      <c r="D219"/>
      <c r="E219"/>
    </row>
    <row r="220" spans="1:5" x14ac:dyDescent="0.3">
      <c r="C220"/>
      <c r="D220"/>
      <c r="E220"/>
    </row>
    <row r="221" spans="1:5" x14ac:dyDescent="0.3">
      <c r="C221"/>
      <c r="D221"/>
      <c r="E221"/>
    </row>
    <row r="222" spans="1:5" x14ac:dyDescent="0.3">
      <c r="C222"/>
      <c r="D222"/>
      <c r="E222"/>
    </row>
    <row r="223" spans="1:5" x14ac:dyDescent="0.3">
      <c r="C223"/>
      <c r="D223"/>
      <c r="E223"/>
    </row>
    <row r="224" spans="1:5" x14ac:dyDescent="0.3">
      <c r="C224"/>
      <c r="D224"/>
      <c r="E224"/>
    </row>
    <row r="225" spans="3:5" x14ac:dyDescent="0.3">
      <c r="C225"/>
      <c r="D225"/>
      <c r="E225"/>
    </row>
    <row r="226" spans="3:5" x14ac:dyDescent="0.3">
      <c r="C226"/>
      <c r="D226"/>
      <c r="E226"/>
    </row>
    <row r="227" spans="3:5" x14ac:dyDescent="0.3">
      <c r="C227"/>
      <c r="D227"/>
      <c r="E227"/>
    </row>
    <row r="228" spans="3:5" x14ac:dyDescent="0.3">
      <c r="C228"/>
      <c r="D228"/>
      <c r="E228"/>
    </row>
    <row r="229" spans="3:5" x14ac:dyDescent="0.3">
      <c r="C229"/>
      <c r="D229"/>
      <c r="E229"/>
    </row>
    <row r="230" spans="3:5" x14ac:dyDescent="0.3">
      <c r="C230"/>
      <c r="D230"/>
      <c r="E230"/>
    </row>
    <row r="231" spans="3:5" x14ac:dyDescent="0.3">
      <c r="C231"/>
      <c r="D231"/>
      <c r="E231"/>
    </row>
    <row r="232" spans="3:5" x14ac:dyDescent="0.3">
      <c r="C232"/>
      <c r="D232"/>
      <c r="E232"/>
    </row>
    <row r="233" spans="3:5" x14ac:dyDescent="0.3">
      <c r="C233"/>
      <c r="D233"/>
      <c r="E233"/>
    </row>
    <row r="234" spans="3:5" x14ac:dyDescent="0.3">
      <c r="C234"/>
      <c r="D234"/>
      <c r="E234"/>
    </row>
    <row r="235" spans="3:5" x14ac:dyDescent="0.3">
      <c r="C235"/>
      <c r="D235"/>
      <c r="E235"/>
    </row>
    <row r="236" spans="3:5" x14ac:dyDescent="0.3">
      <c r="C236"/>
      <c r="D236"/>
      <c r="E236"/>
    </row>
    <row r="237" spans="3:5" x14ac:dyDescent="0.3">
      <c r="C237"/>
      <c r="D237"/>
      <c r="E237"/>
    </row>
    <row r="238" spans="3:5" x14ac:dyDescent="0.3">
      <c r="C238"/>
      <c r="D238"/>
      <c r="E238"/>
    </row>
    <row r="239" spans="3:5" x14ac:dyDescent="0.3">
      <c r="C239"/>
      <c r="D239"/>
      <c r="E239"/>
    </row>
    <row r="240" spans="3:5" x14ac:dyDescent="0.3">
      <c r="C240"/>
      <c r="D240"/>
      <c r="E240"/>
    </row>
    <row r="241" spans="3:5" x14ac:dyDescent="0.3">
      <c r="C241"/>
      <c r="D241"/>
      <c r="E241"/>
    </row>
    <row r="242" spans="3:5" x14ac:dyDescent="0.3">
      <c r="C242"/>
      <c r="D242"/>
      <c r="E242"/>
    </row>
    <row r="243" spans="3:5" x14ac:dyDescent="0.3">
      <c r="C243"/>
      <c r="D243"/>
      <c r="E243"/>
    </row>
    <row r="244" spans="3:5" x14ac:dyDescent="0.3">
      <c r="C244"/>
      <c r="D244"/>
      <c r="E244"/>
    </row>
    <row r="245" spans="3:5" x14ac:dyDescent="0.3">
      <c r="C245"/>
      <c r="D245"/>
      <c r="E245"/>
    </row>
    <row r="246" spans="3:5" x14ac:dyDescent="0.3">
      <c r="C246"/>
      <c r="D246"/>
      <c r="E246"/>
    </row>
    <row r="247" spans="3:5" x14ac:dyDescent="0.3">
      <c r="C247"/>
      <c r="D247"/>
      <c r="E247"/>
    </row>
    <row r="248" spans="3:5" x14ac:dyDescent="0.3">
      <c r="C248"/>
      <c r="D248"/>
      <c r="E248"/>
    </row>
    <row r="249" spans="3:5" x14ac:dyDescent="0.3">
      <c r="C249"/>
      <c r="D249"/>
      <c r="E249"/>
    </row>
    <row r="250" spans="3:5" x14ac:dyDescent="0.3">
      <c r="C250"/>
      <c r="D250"/>
      <c r="E250"/>
    </row>
    <row r="251" spans="3:5" x14ac:dyDescent="0.3">
      <c r="C251"/>
      <c r="D251"/>
      <c r="E251"/>
    </row>
    <row r="252" spans="3:5" x14ac:dyDescent="0.3">
      <c r="C252"/>
      <c r="D252"/>
      <c r="E252"/>
    </row>
    <row r="253" spans="3:5" x14ac:dyDescent="0.3">
      <c r="C253"/>
      <c r="D253"/>
      <c r="E253"/>
    </row>
    <row r="254" spans="3:5" x14ac:dyDescent="0.3">
      <c r="C254"/>
      <c r="D254"/>
      <c r="E254"/>
    </row>
    <row r="255" spans="3:5" x14ac:dyDescent="0.3">
      <c r="C255"/>
      <c r="D255"/>
      <c r="E255"/>
    </row>
    <row r="256" spans="3:5" x14ac:dyDescent="0.3">
      <c r="C256"/>
      <c r="D256"/>
      <c r="E256"/>
    </row>
    <row r="257" spans="3:5" x14ac:dyDescent="0.3">
      <c r="C257"/>
      <c r="D257"/>
      <c r="E257"/>
    </row>
    <row r="258" spans="3:5" x14ac:dyDescent="0.3">
      <c r="C258"/>
      <c r="D258"/>
      <c r="E258"/>
    </row>
    <row r="259" spans="3:5" x14ac:dyDescent="0.3">
      <c r="C259"/>
      <c r="D259"/>
      <c r="E259"/>
    </row>
    <row r="260" spans="3:5" x14ac:dyDescent="0.3">
      <c r="C260"/>
      <c r="D260"/>
      <c r="E260"/>
    </row>
    <row r="261" spans="3:5" x14ac:dyDescent="0.3">
      <c r="C261"/>
      <c r="D261"/>
      <c r="E261"/>
    </row>
    <row r="262" spans="3:5" x14ac:dyDescent="0.3">
      <c r="C262"/>
      <c r="D262"/>
      <c r="E262"/>
    </row>
    <row r="263" spans="3:5" x14ac:dyDescent="0.3">
      <c r="C263"/>
      <c r="D263"/>
      <c r="E263"/>
    </row>
  </sheetData>
  <mergeCells count="11">
    <mergeCell ref="A162:K162"/>
    <mergeCell ref="A129:K129"/>
    <mergeCell ref="B96:D96"/>
    <mergeCell ref="A95:K95"/>
    <mergeCell ref="A82:K82"/>
    <mergeCell ref="A72:K72"/>
    <mergeCell ref="A11:K11"/>
    <mergeCell ref="A20:K20"/>
    <mergeCell ref="A31:K31"/>
    <mergeCell ref="A35:K35"/>
    <mergeCell ref="A51:K51"/>
  </mergeCells>
  <phoneticPr fontId="8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A9E7-5754-4FFB-A08B-528EF1788800}">
  <dimension ref="A2:K230"/>
  <sheetViews>
    <sheetView topLeftCell="A228" workbookViewId="0">
      <selection activeCell="A230" sqref="A230"/>
    </sheetView>
  </sheetViews>
  <sheetFormatPr defaultRowHeight="14.4" x14ac:dyDescent="0.3"/>
  <cols>
    <col min="1" max="1" width="18.6640625" style="30" customWidth="1"/>
    <col min="2" max="2" width="20.88671875" style="4" customWidth="1"/>
    <col min="3" max="3" width="19.44140625" style="5" customWidth="1"/>
    <col min="4" max="4" width="18.44140625" style="5" customWidth="1"/>
    <col min="5" max="5" width="19.88671875" style="6" bestFit="1" customWidth="1"/>
    <col min="6" max="6" width="10.44140625" style="4" bestFit="1" customWidth="1"/>
    <col min="7" max="7" width="18.109375" style="4" bestFit="1" customWidth="1"/>
    <col min="8" max="16384" width="8.88671875" style="4"/>
  </cols>
  <sheetData>
    <row r="2" spans="1:11" x14ac:dyDescent="0.3">
      <c r="A2" s="27" t="s">
        <v>12</v>
      </c>
      <c r="B2" s="7">
        <v>124.79559999999999</v>
      </c>
    </row>
    <row r="3" spans="1:11" x14ac:dyDescent="0.3">
      <c r="A3" s="27" t="s">
        <v>13</v>
      </c>
      <c r="B3" s="7">
        <v>184.2552</v>
      </c>
      <c r="K3" s="4" t="s">
        <v>4</v>
      </c>
    </row>
    <row r="4" spans="1:11" x14ac:dyDescent="0.3">
      <c r="A4" s="27" t="s">
        <v>14</v>
      </c>
      <c r="B4" s="7">
        <v>283.44420000000002</v>
      </c>
      <c r="K4" s="4" t="s">
        <v>1</v>
      </c>
    </row>
    <row r="5" spans="1:11" x14ac:dyDescent="0.3">
      <c r="A5" s="28">
        <v>2</v>
      </c>
      <c r="B5" s="8"/>
      <c r="C5" s="9"/>
      <c r="D5" s="9"/>
      <c r="E5" s="6" t="s">
        <v>1</v>
      </c>
      <c r="K5" s="4" t="s">
        <v>2</v>
      </c>
    </row>
    <row r="6" spans="1:11" ht="20.399999999999999" x14ac:dyDescent="0.3">
      <c r="A6" s="29" t="s">
        <v>0</v>
      </c>
      <c r="B6" s="10">
        <v>2018</v>
      </c>
      <c r="C6" s="11" t="s">
        <v>10</v>
      </c>
      <c r="D6" s="11" t="s">
        <v>11</v>
      </c>
      <c r="E6" s="6">
        <f>+(B3-B2)/B2</f>
        <v>0.47645590068880644</v>
      </c>
      <c r="K6" s="4" t="s">
        <v>3</v>
      </c>
    </row>
    <row r="7" spans="1:11" ht="20.399999999999999" x14ac:dyDescent="0.3">
      <c r="A7" s="29" t="s">
        <v>0</v>
      </c>
      <c r="B7" s="10">
        <v>2019</v>
      </c>
      <c r="C7" s="11" t="s">
        <v>10</v>
      </c>
      <c r="D7" s="11" t="s">
        <v>15</v>
      </c>
      <c r="E7" s="6">
        <f>+(B4-B3)/B3</f>
        <v>0.5383240201633388</v>
      </c>
      <c r="K7" s="4" t="s">
        <v>5</v>
      </c>
    </row>
    <row r="8" spans="1:11" x14ac:dyDescent="0.3">
      <c r="A8" s="29" t="s">
        <v>16</v>
      </c>
      <c r="B8" s="10" t="s">
        <v>17</v>
      </c>
      <c r="E8" s="6">
        <f>+(B4-B2)/B2</f>
        <v>1.271267576741488</v>
      </c>
      <c r="K8" s="4" t="s">
        <v>7</v>
      </c>
    </row>
    <row r="9" spans="1:11" x14ac:dyDescent="0.3">
      <c r="K9" s="4" t="s">
        <v>6</v>
      </c>
    </row>
    <row r="10" spans="1:11" s="15" customFormat="1" x14ac:dyDescent="0.3">
      <c r="A10" s="30">
        <v>1</v>
      </c>
      <c r="B10" s="12"/>
      <c r="C10" s="13"/>
      <c r="D10" s="13"/>
      <c r="E10" s="14"/>
    </row>
    <row r="11" spans="1:11" x14ac:dyDescent="0.3">
      <c r="A11" s="27" t="s">
        <v>23</v>
      </c>
      <c r="B11" s="7">
        <v>200000</v>
      </c>
      <c r="C11" s="5" t="s">
        <v>29</v>
      </c>
      <c r="D11" s="7">
        <v>262.06610000000001</v>
      </c>
    </row>
    <row r="12" spans="1:11" x14ac:dyDescent="0.3">
      <c r="A12" s="27" t="s">
        <v>18</v>
      </c>
      <c r="B12" s="7">
        <v>206300</v>
      </c>
      <c r="C12" s="5" t="s">
        <v>30</v>
      </c>
      <c r="D12" s="7">
        <v>273.2158</v>
      </c>
    </row>
    <row r="13" spans="1:11" ht="28.8" x14ac:dyDescent="0.3">
      <c r="A13" s="30" t="s">
        <v>24</v>
      </c>
    </row>
    <row r="14" spans="1:11" x14ac:dyDescent="0.3">
      <c r="A14" s="29" t="s">
        <v>21</v>
      </c>
      <c r="E14" s="6">
        <f>+(B12-B11)/B11</f>
        <v>3.15E-2</v>
      </c>
    </row>
    <row r="15" spans="1:11" x14ac:dyDescent="0.3">
      <c r="A15" s="31" t="s">
        <v>28</v>
      </c>
      <c r="C15" s="5" t="s">
        <v>27</v>
      </c>
      <c r="E15" s="6">
        <f>+(D12-D11)/D11</f>
        <v>4.2545373094803163E-2</v>
      </c>
    </row>
    <row r="16" spans="1:11" x14ac:dyDescent="0.3">
      <c r="A16" s="29" t="s">
        <v>26</v>
      </c>
      <c r="E16" s="6">
        <f>+((1+E14)/(1+E15))-1</f>
        <v>-1.0594620991904447E-2</v>
      </c>
    </row>
    <row r="19" spans="1:5" s="15" customFormat="1" x14ac:dyDescent="0.3">
      <c r="A19" s="30">
        <v>1</v>
      </c>
      <c r="B19" s="12"/>
      <c r="C19" s="13"/>
      <c r="D19" s="13"/>
      <c r="E19" s="14"/>
    </row>
    <row r="24" spans="1:5" s="15" customFormat="1" x14ac:dyDescent="0.3">
      <c r="A24" s="30">
        <v>1</v>
      </c>
      <c r="B24" s="12"/>
      <c r="C24" s="13"/>
      <c r="D24" s="13"/>
      <c r="E24" s="14"/>
    </row>
    <row r="29" spans="1:5" s="15" customFormat="1" x14ac:dyDescent="0.3">
      <c r="A29" s="30">
        <v>1</v>
      </c>
      <c r="B29" s="12"/>
      <c r="C29" s="13"/>
      <c r="D29" s="13"/>
      <c r="E29" s="14"/>
    </row>
    <row r="31" spans="1:5" x14ac:dyDescent="0.3">
      <c r="A31" s="30" t="s">
        <v>50</v>
      </c>
      <c r="B31" s="16">
        <v>0.28000000000000003</v>
      </c>
    </row>
    <row r="32" spans="1:5" x14ac:dyDescent="0.3">
      <c r="B32" s="16"/>
    </row>
    <row r="33" spans="1:5" x14ac:dyDescent="0.3">
      <c r="A33" s="30" t="s">
        <v>49</v>
      </c>
      <c r="B33" s="16">
        <v>0.03</v>
      </c>
    </row>
    <row r="34" spans="1:5" x14ac:dyDescent="0.3">
      <c r="B34" s="16"/>
    </row>
    <row r="35" spans="1:5" x14ac:dyDescent="0.3">
      <c r="A35" s="30" t="s">
        <v>48</v>
      </c>
      <c r="B35" s="16">
        <f>+(1 + B33) * B37/B36 - 1</f>
        <v>0.86687499999999984</v>
      </c>
    </row>
    <row r="36" spans="1:5" x14ac:dyDescent="0.3">
      <c r="A36" s="32" t="s">
        <v>53</v>
      </c>
      <c r="B36" s="17">
        <v>160</v>
      </c>
    </row>
    <row r="37" spans="1:5" x14ac:dyDescent="0.3">
      <c r="A37" s="32" t="s">
        <v>52</v>
      </c>
      <c r="B37" s="17">
        <v>290</v>
      </c>
    </row>
    <row r="39" spans="1:5" s="15" customFormat="1" x14ac:dyDescent="0.3">
      <c r="A39" s="30" t="s">
        <v>56</v>
      </c>
      <c r="B39" s="12"/>
      <c r="C39" s="13"/>
      <c r="D39" s="13"/>
      <c r="E39" s="14"/>
    </row>
    <row r="40" spans="1:5" ht="28.8" x14ac:dyDescent="0.3">
      <c r="A40" s="32" t="s">
        <v>57</v>
      </c>
    </row>
    <row r="42" spans="1:5" x14ac:dyDescent="0.3">
      <c r="A42" s="30" t="s">
        <v>63</v>
      </c>
      <c r="B42" s="4">
        <v>0.05</v>
      </c>
    </row>
    <row r="43" spans="1:5" ht="28.8" x14ac:dyDescent="0.3">
      <c r="A43" s="30" t="s">
        <v>64</v>
      </c>
      <c r="B43" s="4">
        <v>97</v>
      </c>
      <c r="C43" s="5" t="s">
        <v>52</v>
      </c>
    </row>
    <row r="44" spans="1:5" x14ac:dyDescent="0.3">
      <c r="A44" s="30" t="s">
        <v>76</v>
      </c>
      <c r="B44" s="4">
        <v>93</v>
      </c>
      <c r="C44" s="5" t="s">
        <v>65</v>
      </c>
      <c r="D44" s="5" t="s">
        <v>59</v>
      </c>
    </row>
    <row r="45" spans="1:5" x14ac:dyDescent="0.3">
      <c r="A45" s="30" t="s">
        <v>68</v>
      </c>
      <c r="B45" s="4" t="s">
        <v>67</v>
      </c>
    </row>
    <row r="46" spans="1:5" x14ac:dyDescent="0.3">
      <c r="A46" s="30" t="s">
        <v>68</v>
      </c>
      <c r="B46" s="16">
        <f>+(B44* (1 + B42)/ B43)-1</f>
        <v>6.7010309278350277E-3</v>
      </c>
    </row>
    <row r="48" spans="1:5" ht="28.8" x14ac:dyDescent="0.3">
      <c r="A48" s="32" t="s">
        <v>70</v>
      </c>
    </row>
    <row r="49" spans="1:5" x14ac:dyDescent="0.3">
      <c r="B49" s="4" t="s">
        <v>69</v>
      </c>
    </row>
    <row r="50" spans="1:5" x14ac:dyDescent="0.3">
      <c r="A50" s="30" t="s">
        <v>66</v>
      </c>
      <c r="B50" s="16">
        <f>+(1 + 0.001)* (B43/B44) - 1</f>
        <v>4.4053763440859983E-2</v>
      </c>
    </row>
    <row r="51" spans="1:5" x14ac:dyDescent="0.3">
      <c r="A51" s="30" t="s">
        <v>71</v>
      </c>
      <c r="B51" s="4">
        <f>+B42</f>
        <v>0.05</v>
      </c>
    </row>
    <row r="54" spans="1:5" s="15" customFormat="1" x14ac:dyDescent="0.3">
      <c r="A54" s="28" t="s">
        <v>72</v>
      </c>
      <c r="B54" s="12"/>
      <c r="C54" s="13"/>
      <c r="D54" s="13"/>
      <c r="E54" s="14"/>
    </row>
    <row r="56" spans="1:5" x14ac:dyDescent="0.3">
      <c r="A56" s="30" t="s">
        <v>75</v>
      </c>
      <c r="B56" s="4">
        <v>124</v>
      </c>
      <c r="C56" s="5" t="s">
        <v>53</v>
      </c>
    </row>
    <row r="57" spans="1:5" x14ac:dyDescent="0.3">
      <c r="A57" s="30" t="s">
        <v>71</v>
      </c>
      <c r="B57" s="4">
        <v>0.35</v>
      </c>
    </row>
    <row r="58" spans="1:5" x14ac:dyDescent="0.3">
      <c r="A58" s="30" t="s">
        <v>73</v>
      </c>
      <c r="B58" s="4">
        <v>0.02</v>
      </c>
    </row>
    <row r="59" spans="1:5" x14ac:dyDescent="0.3">
      <c r="A59" s="30" t="s">
        <v>74</v>
      </c>
      <c r="B59" s="4" t="s">
        <v>77</v>
      </c>
    </row>
    <row r="60" spans="1:5" x14ac:dyDescent="0.3">
      <c r="C60" s="4">
        <v>93.69</v>
      </c>
      <c r="D60" s="5" t="s">
        <v>53</v>
      </c>
    </row>
    <row r="62" spans="1:5" x14ac:dyDescent="0.3">
      <c r="A62" s="32" t="s">
        <v>79</v>
      </c>
      <c r="B62" s="17"/>
    </row>
    <row r="63" spans="1:5" x14ac:dyDescent="0.3">
      <c r="A63" s="30" t="s">
        <v>80</v>
      </c>
      <c r="B63" s="4" t="s">
        <v>81</v>
      </c>
      <c r="D63" s="18">
        <f>+(1 + B58) * (B56/95) - 1</f>
        <v>0.33136842105263176</v>
      </c>
    </row>
    <row r="64" spans="1:5" x14ac:dyDescent="0.3">
      <c r="A64" s="30" t="s">
        <v>82</v>
      </c>
      <c r="B64" s="4" t="s">
        <v>83</v>
      </c>
      <c r="D64" s="18">
        <f>+B57</f>
        <v>0.35</v>
      </c>
    </row>
    <row r="66" spans="1:5" s="15" customFormat="1" x14ac:dyDescent="0.3">
      <c r="A66" s="28" t="s">
        <v>78</v>
      </c>
      <c r="B66" s="12"/>
      <c r="C66" s="13"/>
      <c r="D66" s="13"/>
      <c r="E66" s="14"/>
    </row>
    <row r="67" spans="1:5" x14ac:dyDescent="0.3">
      <c r="A67" s="30" t="s">
        <v>53</v>
      </c>
      <c r="B67" s="4">
        <v>93</v>
      </c>
    </row>
    <row r="68" spans="1:5" x14ac:dyDescent="0.3">
      <c r="A68" s="30" t="s">
        <v>85</v>
      </c>
      <c r="B68" s="4">
        <v>9.9500000000000005E-3</v>
      </c>
    </row>
    <row r="69" spans="1:5" x14ac:dyDescent="0.3">
      <c r="A69" s="30" t="s">
        <v>86</v>
      </c>
      <c r="B69" s="4">
        <v>0.17</v>
      </c>
    </row>
    <row r="70" spans="1:5" x14ac:dyDescent="0.3">
      <c r="A70" s="30" t="s">
        <v>87</v>
      </c>
      <c r="C70" s="5">
        <f>+B67*(1+B69)/(1+B68)</f>
        <v>107.73800683202138</v>
      </c>
      <c r="D70" s="5" t="s">
        <v>88</v>
      </c>
    </row>
    <row r="72" spans="1:5" x14ac:dyDescent="0.3">
      <c r="A72" s="32" t="s">
        <v>89</v>
      </c>
    </row>
    <row r="73" spans="1:5" x14ac:dyDescent="0.3">
      <c r="A73" s="30" t="s">
        <v>52</v>
      </c>
      <c r="B73" s="4">
        <v>105</v>
      </c>
    </row>
    <row r="74" spans="1:5" x14ac:dyDescent="0.3">
      <c r="A74" s="30" t="s">
        <v>90</v>
      </c>
      <c r="B74" s="4" t="s">
        <v>91</v>
      </c>
      <c r="D74" s="5">
        <f>+(1+B68)*(B73/B67)-1</f>
        <v>0.14026612903225799</v>
      </c>
    </row>
    <row r="75" spans="1:5" x14ac:dyDescent="0.3">
      <c r="A75" s="30" t="s">
        <v>71</v>
      </c>
      <c r="D75" s="5">
        <f>+B69</f>
        <v>0.17</v>
      </c>
    </row>
    <row r="77" spans="1:5" x14ac:dyDescent="0.3">
      <c r="A77" s="32" t="s">
        <v>92</v>
      </c>
    </row>
    <row r="78" spans="1:5" x14ac:dyDescent="0.3">
      <c r="A78" s="30" t="s">
        <v>93</v>
      </c>
      <c r="B78" s="4" t="s">
        <v>94</v>
      </c>
      <c r="C78" s="5">
        <f>100000*(1+B69)</f>
        <v>117000</v>
      </c>
    </row>
    <row r="80" spans="1:5" x14ac:dyDescent="0.3">
      <c r="A80" s="30" t="s">
        <v>95</v>
      </c>
      <c r="B80" s="4" t="s">
        <v>96</v>
      </c>
      <c r="C80" s="5">
        <f>100000/B67</f>
        <v>1075.2688172043011</v>
      </c>
    </row>
    <row r="81" spans="1:5" x14ac:dyDescent="0.3">
      <c r="A81" s="30" t="s">
        <v>97</v>
      </c>
      <c r="B81" s="4" t="s">
        <v>98</v>
      </c>
      <c r="C81" s="5">
        <f>+C80*(1+B68)</f>
        <v>1085.9677419354837</v>
      </c>
    </row>
    <row r="82" spans="1:5" x14ac:dyDescent="0.3">
      <c r="A82" s="30" t="s">
        <v>99</v>
      </c>
      <c r="B82" s="4" t="s">
        <v>100</v>
      </c>
      <c r="C82" s="5">
        <f>+C81*105</f>
        <v>114026.61290322579</v>
      </c>
    </row>
    <row r="84" spans="1:5" s="15" customFormat="1" x14ac:dyDescent="0.3">
      <c r="A84" s="28" t="s">
        <v>84</v>
      </c>
      <c r="B84" s="12"/>
      <c r="C84" s="13"/>
      <c r="D84" s="13"/>
      <c r="E84" s="14"/>
    </row>
    <row r="85" spans="1:5" x14ac:dyDescent="0.3">
      <c r="A85" s="30" t="s">
        <v>101</v>
      </c>
    </row>
    <row r="87" spans="1:5" x14ac:dyDescent="0.3">
      <c r="A87" s="30" t="s">
        <v>102</v>
      </c>
      <c r="B87" s="4">
        <f>+C70</f>
        <v>107.73800683202138</v>
      </c>
    </row>
    <row r="88" spans="1:5" x14ac:dyDescent="0.3">
      <c r="A88" s="30" t="s">
        <v>103</v>
      </c>
      <c r="B88" s="4">
        <v>106</v>
      </c>
      <c r="C88" s="5" t="s">
        <v>104</v>
      </c>
      <c r="D88" s="5" t="s">
        <v>105</v>
      </c>
    </row>
    <row r="89" spans="1:5" x14ac:dyDescent="0.3">
      <c r="D89" s="5" t="s">
        <v>106</v>
      </c>
    </row>
    <row r="91" spans="1:5" x14ac:dyDescent="0.3">
      <c r="A91" s="30" t="s">
        <v>107</v>
      </c>
      <c r="B91" s="4" t="s">
        <v>108</v>
      </c>
    </row>
    <row r="93" spans="1:5" x14ac:dyDescent="0.3">
      <c r="A93" s="30" t="s">
        <v>111</v>
      </c>
      <c r="B93" s="4" t="s">
        <v>109</v>
      </c>
    </row>
    <row r="94" spans="1:5" x14ac:dyDescent="0.3">
      <c r="A94" s="30" t="s">
        <v>110</v>
      </c>
      <c r="B94" s="4" t="s">
        <v>112</v>
      </c>
    </row>
    <row r="95" spans="1:5" x14ac:dyDescent="0.3">
      <c r="A95" s="30" t="s">
        <v>113</v>
      </c>
      <c r="B95" s="4">
        <f>100/(1+0.00995)</f>
        <v>99.014802713005608</v>
      </c>
      <c r="D95" s="5" t="s">
        <v>119</v>
      </c>
      <c r="E95" s="6">
        <v>-100</v>
      </c>
    </row>
    <row r="96" spans="1:5" x14ac:dyDescent="0.3">
      <c r="A96" s="30" t="s">
        <v>114</v>
      </c>
      <c r="B96" s="4">
        <f>100/(1+0.00995)</f>
        <v>99.014802713005608</v>
      </c>
      <c r="D96" s="5" t="s">
        <v>115</v>
      </c>
      <c r="E96" s="6">
        <f>100/(1+0.00995)*93*(1+0.17)</f>
        <v>10773.80068320214</v>
      </c>
    </row>
    <row r="97" spans="1:5" x14ac:dyDescent="0.3">
      <c r="D97" s="5" t="s">
        <v>118</v>
      </c>
      <c r="E97" s="6">
        <f>106*E95</f>
        <v>-10600</v>
      </c>
    </row>
    <row r="98" spans="1:5" x14ac:dyDescent="0.3">
      <c r="A98" s="30" t="s">
        <v>116</v>
      </c>
      <c r="B98" s="4">
        <f>100/(1+0.00995) * 93</f>
        <v>9208.3766523095219</v>
      </c>
      <c r="D98" s="5" t="s">
        <v>107</v>
      </c>
      <c r="E98" s="6">
        <f>+E96+E97</f>
        <v>173.80068320214014</v>
      </c>
    </row>
    <row r="99" spans="1:5" x14ac:dyDescent="0.3">
      <c r="A99" s="30" t="s">
        <v>117</v>
      </c>
      <c r="B99" s="4">
        <f>100/(1+0.00995) * 93</f>
        <v>9208.3766523095219</v>
      </c>
    </row>
    <row r="101" spans="1:5" x14ac:dyDescent="0.3">
      <c r="A101" s="32" t="s">
        <v>121</v>
      </c>
    </row>
    <row r="102" spans="1:5" s="15" customFormat="1" x14ac:dyDescent="0.3">
      <c r="A102" s="28" t="s">
        <v>120</v>
      </c>
      <c r="B102" s="12"/>
      <c r="C102" s="13"/>
      <c r="D102" s="13"/>
      <c r="E102" s="14"/>
    </row>
    <row r="103" spans="1:5" x14ac:dyDescent="0.3">
      <c r="A103" s="30" t="s">
        <v>53</v>
      </c>
      <c r="B103" s="4">
        <v>140</v>
      </c>
    </row>
    <row r="104" spans="1:5" x14ac:dyDescent="0.3">
      <c r="A104" s="30" t="s">
        <v>122</v>
      </c>
      <c r="B104" s="4">
        <v>170</v>
      </c>
    </row>
    <row r="105" spans="1:5" x14ac:dyDescent="0.3">
      <c r="A105" s="30" t="s">
        <v>123</v>
      </c>
      <c r="B105" s="4">
        <v>0.03</v>
      </c>
    </row>
    <row r="106" spans="1:5" x14ac:dyDescent="0.3">
      <c r="A106" s="30" t="s">
        <v>124</v>
      </c>
      <c r="C106" s="5" t="s">
        <v>125</v>
      </c>
    </row>
    <row r="107" spans="1:5" x14ac:dyDescent="0.3">
      <c r="A107" s="30" t="s">
        <v>31</v>
      </c>
      <c r="C107" s="5" t="s">
        <v>126</v>
      </c>
    </row>
    <row r="108" spans="1:5" x14ac:dyDescent="0.3">
      <c r="C108" s="18">
        <f>+(B104*(1+B105)/B103)-1</f>
        <v>0.25071428571428567</v>
      </c>
    </row>
    <row r="111" spans="1:5" x14ac:dyDescent="0.3">
      <c r="A111" s="32" t="s">
        <v>127</v>
      </c>
      <c r="B111" s="4" t="s">
        <v>128</v>
      </c>
    </row>
    <row r="112" spans="1:5" x14ac:dyDescent="0.3">
      <c r="A112" s="30" t="s">
        <v>130</v>
      </c>
    </row>
    <row r="113" spans="1:6" x14ac:dyDescent="0.3">
      <c r="A113" s="30" t="s">
        <v>129</v>
      </c>
    </row>
    <row r="115" spans="1:6" x14ac:dyDescent="0.3">
      <c r="A115" s="30" t="s">
        <v>131</v>
      </c>
    </row>
    <row r="116" spans="1:6" x14ac:dyDescent="0.3">
      <c r="A116" s="30" t="s">
        <v>132</v>
      </c>
      <c r="B116" s="4" t="s">
        <v>133</v>
      </c>
      <c r="C116" s="5">
        <f>100/1.03</f>
        <v>97.087378640776691</v>
      </c>
      <c r="D116" s="5" t="s">
        <v>137</v>
      </c>
      <c r="E116" s="6" t="s">
        <v>140</v>
      </c>
    </row>
    <row r="117" spans="1:6" x14ac:dyDescent="0.3">
      <c r="A117" s="30" t="s">
        <v>134</v>
      </c>
      <c r="B117" s="4">
        <f>-140*100</f>
        <v>-14000</v>
      </c>
      <c r="C117" s="5">
        <f>+B117/1.03</f>
        <v>-13592.233009708738</v>
      </c>
      <c r="D117" s="5" t="s">
        <v>138</v>
      </c>
      <c r="E117" s="6" t="s">
        <v>139</v>
      </c>
    </row>
    <row r="118" spans="1:6" x14ac:dyDescent="0.3">
      <c r="A118" s="30" t="s">
        <v>135</v>
      </c>
      <c r="B118" s="4" t="s">
        <v>136</v>
      </c>
      <c r="C118" s="5">
        <f>140*100/1.03</f>
        <v>13592.233009708738</v>
      </c>
      <c r="D118" s="5" t="s">
        <v>141</v>
      </c>
      <c r="E118" s="6">
        <v>100</v>
      </c>
    </row>
    <row r="119" spans="1:6" x14ac:dyDescent="0.3">
      <c r="D119" s="5" t="s">
        <v>142</v>
      </c>
      <c r="E119" s="6" t="s">
        <v>143</v>
      </c>
      <c r="F119" s="6">
        <f>140*100*1.23/1.03</f>
        <v>16718.446601941749</v>
      </c>
    </row>
    <row r="120" spans="1:6" x14ac:dyDescent="0.3">
      <c r="F120" s="6">
        <f>170*100</f>
        <v>17000</v>
      </c>
    </row>
    <row r="121" spans="1:6" x14ac:dyDescent="0.3">
      <c r="D121" s="5" t="s">
        <v>107</v>
      </c>
      <c r="F121" s="4">
        <f>+F120-F119</f>
        <v>281.55339805825133</v>
      </c>
    </row>
    <row r="123" spans="1:6" s="22" customFormat="1" x14ac:dyDescent="0.3">
      <c r="A123" s="28" t="s">
        <v>157</v>
      </c>
      <c r="B123" s="19" t="s">
        <v>36</v>
      </c>
      <c r="C123" s="20" t="s">
        <v>200</v>
      </c>
      <c r="D123" s="20"/>
      <c r="E123" s="21"/>
    </row>
    <row r="125" spans="1:6" x14ac:dyDescent="0.3">
      <c r="B125" s="4" t="s">
        <v>202</v>
      </c>
      <c r="C125" s="5">
        <v>1000000</v>
      </c>
    </row>
    <row r="126" spans="1:6" x14ac:dyDescent="0.3">
      <c r="A126" s="30" t="s">
        <v>208</v>
      </c>
      <c r="B126" s="10" t="s">
        <v>201</v>
      </c>
      <c r="C126" s="23">
        <v>80</v>
      </c>
    </row>
    <row r="127" spans="1:6" x14ac:dyDescent="0.3">
      <c r="B127" s="4" t="s">
        <v>203</v>
      </c>
      <c r="C127" s="5">
        <v>30</v>
      </c>
      <c r="D127" s="5" t="s">
        <v>204</v>
      </c>
    </row>
    <row r="128" spans="1:6" x14ac:dyDescent="0.3">
      <c r="B128" s="4" t="s">
        <v>205</v>
      </c>
      <c r="C128" s="5">
        <v>60</v>
      </c>
      <c r="D128" s="5" t="s">
        <v>204</v>
      </c>
    </row>
    <row r="129" spans="1:5" x14ac:dyDescent="0.3">
      <c r="B129" s="4" t="s">
        <v>207</v>
      </c>
      <c r="C129" s="5">
        <v>0.25</v>
      </c>
    </row>
    <row r="130" spans="1:5" x14ac:dyDescent="0.3">
      <c r="B130" s="4" t="s">
        <v>206</v>
      </c>
      <c r="C130" s="5">
        <v>0.03</v>
      </c>
    </row>
    <row r="132" spans="1:5" x14ac:dyDescent="0.3">
      <c r="A132" s="33" t="s">
        <v>210</v>
      </c>
      <c r="B132" s="24" t="s">
        <v>211</v>
      </c>
      <c r="C132" s="5" t="s">
        <v>217</v>
      </c>
      <c r="D132" s="24" t="s">
        <v>211</v>
      </c>
    </row>
    <row r="133" spans="1:5" x14ac:dyDescent="0.3">
      <c r="A133" s="33"/>
      <c r="B133" s="25" t="s">
        <v>212</v>
      </c>
      <c r="D133" s="25" t="s">
        <v>216</v>
      </c>
    </row>
    <row r="134" spans="1:5" x14ac:dyDescent="0.3">
      <c r="B134" s="5"/>
    </row>
    <row r="135" spans="1:5" x14ac:dyDescent="0.3">
      <c r="A135" s="33" t="s">
        <v>213</v>
      </c>
      <c r="B135" s="24" t="s">
        <v>211</v>
      </c>
      <c r="C135" s="5" t="s">
        <v>217</v>
      </c>
      <c r="D135" s="24" t="s">
        <v>211</v>
      </c>
    </row>
    <row r="136" spans="1:5" x14ac:dyDescent="0.3">
      <c r="A136" s="33"/>
      <c r="B136" s="25" t="s">
        <v>214</v>
      </c>
      <c r="D136" s="25" t="s">
        <v>215</v>
      </c>
    </row>
    <row r="137" spans="1:5" x14ac:dyDescent="0.3">
      <c r="B137" s="5"/>
    </row>
    <row r="138" spans="1:5" x14ac:dyDescent="0.3">
      <c r="A138" s="33" t="s">
        <v>213</v>
      </c>
      <c r="B138" s="25">
        <f>1/(1+0.24*30/360)</f>
        <v>0.98039215686274506</v>
      </c>
      <c r="C138" s="5" t="s">
        <v>217</v>
      </c>
      <c r="D138" s="25">
        <f>1/(1+0.24*60/360)</f>
        <v>0.96153846153846145</v>
      </c>
    </row>
    <row r="140" spans="1:5" x14ac:dyDescent="0.3">
      <c r="A140" s="33" t="s">
        <v>213</v>
      </c>
      <c r="B140" s="4">
        <f>+B138*D138</f>
        <v>0.94268476621417785</v>
      </c>
      <c r="D140" s="5">
        <f>100000/B140</f>
        <v>106080.00000000001</v>
      </c>
    </row>
    <row r="143" spans="1:5" s="22" customFormat="1" ht="15" customHeight="1" x14ac:dyDescent="0.3">
      <c r="A143" s="28" t="s">
        <v>218</v>
      </c>
      <c r="B143" s="19" t="s">
        <v>36</v>
      </c>
      <c r="C143" s="20"/>
      <c r="D143" s="20"/>
      <c r="E143" s="21"/>
    </row>
    <row r="145" spans="1:5" x14ac:dyDescent="0.3">
      <c r="A145" s="30" t="s">
        <v>219</v>
      </c>
      <c r="B145" s="4">
        <v>100000</v>
      </c>
    </row>
    <row r="146" spans="1:5" x14ac:dyDescent="0.3">
      <c r="A146" s="30" t="s">
        <v>220</v>
      </c>
      <c r="B146" s="4">
        <v>30</v>
      </c>
      <c r="C146" s="5" t="s">
        <v>221</v>
      </c>
    </row>
    <row r="147" spans="1:5" x14ac:dyDescent="0.3">
      <c r="A147" s="30" t="s">
        <v>222</v>
      </c>
      <c r="B147" s="4">
        <v>0.5</v>
      </c>
    </row>
    <row r="148" spans="1:5" x14ac:dyDescent="0.3">
      <c r="A148" s="30" t="s">
        <v>223</v>
      </c>
      <c r="B148" s="4">
        <v>0.6</v>
      </c>
    </row>
    <row r="150" spans="1:5" x14ac:dyDescent="0.3">
      <c r="A150" s="30" t="s">
        <v>224</v>
      </c>
      <c r="B150" s="4" t="s">
        <v>225</v>
      </c>
      <c r="C150" s="23">
        <f>100000+B145*(B147*B146/360)+B145*(B148*B146/360)</f>
        <v>109166.66666666667</v>
      </c>
    </row>
    <row r="151" spans="1:5" x14ac:dyDescent="0.3">
      <c r="A151" s="30" t="s">
        <v>148</v>
      </c>
      <c r="B151" s="4" t="s">
        <v>226</v>
      </c>
    </row>
    <row r="154" spans="1:5" s="22" customFormat="1" ht="15" customHeight="1" x14ac:dyDescent="0.3">
      <c r="A154" s="28" t="s">
        <v>227</v>
      </c>
      <c r="B154" s="19" t="s">
        <v>228</v>
      </c>
      <c r="C154" s="20"/>
      <c r="D154" s="20"/>
      <c r="E154" s="21"/>
    </row>
    <row r="155" spans="1:5" ht="28.8" x14ac:dyDescent="0.3">
      <c r="A155" s="30" t="s">
        <v>229</v>
      </c>
    </row>
    <row r="156" spans="1:5" s="10" customFormat="1" x14ac:dyDescent="0.3">
      <c r="A156" s="29" t="s">
        <v>231</v>
      </c>
      <c r="C156" s="23"/>
      <c r="D156" s="23"/>
      <c r="E156" s="6"/>
    </row>
    <row r="157" spans="1:5" x14ac:dyDescent="0.3">
      <c r="A157" s="30" t="s">
        <v>209</v>
      </c>
    </row>
    <row r="158" spans="1:5" x14ac:dyDescent="0.3">
      <c r="A158" s="30" t="s">
        <v>230</v>
      </c>
    </row>
    <row r="159" spans="1:5" s="10" customFormat="1" x14ac:dyDescent="0.3">
      <c r="A159" s="29" t="s">
        <v>171</v>
      </c>
      <c r="C159" s="23"/>
      <c r="D159" s="23"/>
      <c r="E159" s="6"/>
    </row>
    <row r="160" spans="1:5" x14ac:dyDescent="0.3">
      <c r="A160" s="30" t="s">
        <v>232</v>
      </c>
      <c r="B160" s="4" t="s">
        <v>233</v>
      </c>
    </row>
    <row r="163" spans="1:6" x14ac:dyDescent="0.3">
      <c r="A163" s="30" t="s">
        <v>148</v>
      </c>
      <c r="B163" s="4" t="s">
        <v>234</v>
      </c>
    </row>
    <row r="164" spans="1:6" x14ac:dyDescent="0.3">
      <c r="A164" s="30" t="s">
        <v>150</v>
      </c>
      <c r="B164" s="4">
        <v>1000000</v>
      </c>
    </row>
    <row r="165" spans="1:6" x14ac:dyDescent="0.3">
      <c r="A165" s="30" t="s">
        <v>154</v>
      </c>
      <c r="B165" s="4">
        <v>1</v>
      </c>
    </row>
    <row r="166" spans="1:6" x14ac:dyDescent="0.3">
      <c r="A166" s="30" t="s">
        <v>41</v>
      </c>
      <c r="B166" s="4">
        <v>0.2</v>
      </c>
    </row>
    <row r="169" spans="1:6" x14ac:dyDescent="0.3">
      <c r="F169" s="4" t="s">
        <v>241</v>
      </c>
    </row>
    <row r="170" spans="1:6" ht="43.2" x14ac:dyDescent="0.3">
      <c r="A170" s="30" t="s">
        <v>235</v>
      </c>
      <c r="B170" s="5" t="s">
        <v>236</v>
      </c>
      <c r="C170" s="5" t="s">
        <v>237</v>
      </c>
      <c r="D170" s="5" t="s">
        <v>238</v>
      </c>
      <c r="E170" s="34" t="s">
        <v>239</v>
      </c>
      <c r="F170" s="30" t="s">
        <v>240</v>
      </c>
    </row>
    <row r="171" spans="1:6" x14ac:dyDescent="0.3">
      <c r="A171" s="30">
        <v>1</v>
      </c>
      <c r="B171" s="5">
        <f>+$B$164*(1+$B$166/A171)^(A171*$B$165)</f>
        <v>1200000</v>
      </c>
      <c r="C171" s="26">
        <f>+(B171-$B$164)/$B$164</f>
        <v>0.2</v>
      </c>
      <c r="D171" s="5">
        <f>+$B$164*$B$166</f>
        <v>200000</v>
      </c>
      <c r="E171" s="6">
        <f>+F171-D171</f>
        <v>0</v>
      </c>
      <c r="F171" s="4">
        <f>+B171-$B$164</f>
        <v>200000</v>
      </c>
    </row>
    <row r="172" spans="1:6" x14ac:dyDescent="0.3">
      <c r="A172" s="30">
        <v>2</v>
      </c>
      <c r="B172" s="5">
        <f t="shared" ref="B172:B176" si="0">+$B$164*(1+$B$166/A172)^(A172*$B$165)</f>
        <v>1210000.0000000002</v>
      </c>
      <c r="C172" s="26">
        <f t="shared" ref="C172:C176" si="1">+(B172-$B$164)/$B$164</f>
        <v>0.21000000000000024</v>
      </c>
      <c r="D172" s="5">
        <f t="shared" ref="D172:D176" si="2">+$B$164*$B$166</f>
        <v>200000</v>
      </c>
      <c r="E172" s="6">
        <f t="shared" ref="E172:E176" si="3">+F172-D172</f>
        <v>10000.000000000233</v>
      </c>
      <c r="F172" s="4">
        <f t="shared" ref="F172:F176" si="4">+B172-$B$164</f>
        <v>210000.00000000023</v>
      </c>
    </row>
    <row r="173" spans="1:6" x14ac:dyDescent="0.3">
      <c r="A173" s="30">
        <v>4</v>
      </c>
      <c r="B173" s="5">
        <f t="shared" si="0"/>
        <v>1215506.25</v>
      </c>
      <c r="C173" s="26">
        <f t="shared" si="1"/>
        <v>0.21550625000000001</v>
      </c>
      <c r="D173" s="5">
        <f t="shared" si="2"/>
        <v>200000</v>
      </c>
      <c r="E173" s="6">
        <f t="shared" si="3"/>
        <v>15506.25</v>
      </c>
      <c r="F173" s="4">
        <f t="shared" si="4"/>
        <v>215506.25</v>
      </c>
    </row>
    <row r="174" spans="1:6" x14ac:dyDescent="0.3">
      <c r="A174" s="30">
        <v>6</v>
      </c>
      <c r="B174" s="5">
        <f t="shared" si="0"/>
        <v>1217426.174211249</v>
      </c>
      <c r="C174" s="26">
        <f t="shared" si="1"/>
        <v>0.21742617421124899</v>
      </c>
      <c r="D174" s="5">
        <f t="shared" si="2"/>
        <v>200000</v>
      </c>
      <c r="E174" s="6">
        <f t="shared" si="3"/>
        <v>17426.174211248988</v>
      </c>
      <c r="F174" s="4">
        <f t="shared" si="4"/>
        <v>217426.17421124899</v>
      </c>
    </row>
    <row r="175" spans="1:6" x14ac:dyDescent="0.3">
      <c r="A175" s="30">
        <v>12</v>
      </c>
      <c r="B175" s="5">
        <f t="shared" si="0"/>
        <v>1219391.0849052318</v>
      </c>
      <c r="C175" s="26">
        <f t="shared" si="1"/>
        <v>0.21939108490523185</v>
      </c>
      <c r="D175" s="5">
        <f t="shared" si="2"/>
        <v>200000</v>
      </c>
      <c r="E175" s="6">
        <f t="shared" si="3"/>
        <v>19391.084905231837</v>
      </c>
      <c r="F175" s="4">
        <f t="shared" si="4"/>
        <v>219391.08490523184</v>
      </c>
    </row>
    <row r="176" spans="1:6" x14ac:dyDescent="0.3">
      <c r="A176" s="30">
        <v>360</v>
      </c>
      <c r="B176" s="5">
        <f t="shared" si="0"/>
        <v>1221334.9294561611</v>
      </c>
      <c r="C176" s="26">
        <f t="shared" si="1"/>
        <v>0.22133492945616109</v>
      </c>
      <c r="D176" s="5">
        <f t="shared" si="2"/>
        <v>200000</v>
      </c>
      <c r="E176" s="6">
        <f t="shared" si="3"/>
        <v>21334.929456161102</v>
      </c>
      <c r="F176" s="4">
        <f t="shared" si="4"/>
        <v>221334.9294561611</v>
      </c>
    </row>
    <row r="178" spans="1:6" s="22" customFormat="1" ht="15" customHeight="1" x14ac:dyDescent="0.3">
      <c r="A178" s="28" t="s">
        <v>242</v>
      </c>
      <c r="B178" s="19" t="s">
        <v>228</v>
      </c>
      <c r="C178" s="20"/>
      <c r="D178" s="20"/>
      <c r="E178" s="21"/>
    </row>
    <row r="179" spans="1:6" x14ac:dyDescent="0.3">
      <c r="A179" s="30" t="s">
        <v>150</v>
      </c>
      <c r="B179" s="4">
        <v>100000</v>
      </c>
      <c r="C179" s="5" t="s">
        <v>148</v>
      </c>
      <c r="D179" s="5">
        <f>+B179*1.5</f>
        <v>150000</v>
      </c>
    </row>
    <row r="180" spans="1:6" x14ac:dyDescent="0.3">
      <c r="A180" s="30" t="s">
        <v>41</v>
      </c>
      <c r="B180" s="4">
        <v>0.5</v>
      </c>
    </row>
    <row r="182" spans="1:6" x14ac:dyDescent="0.3">
      <c r="A182" s="30" t="s">
        <v>243</v>
      </c>
      <c r="B182" s="4" t="s">
        <v>244</v>
      </c>
      <c r="D182" s="5" t="s">
        <v>244</v>
      </c>
    </row>
    <row r="183" spans="1:6" x14ac:dyDescent="0.3">
      <c r="A183" s="30">
        <v>1</v>
      </c>
      <c r="B183" s="4">
        <f>NPER(0.5,-100000,150000)</f>
        <v>3.4190225827029095</v>
      </c>
      <c r="D183" s="5" t="s">
        <v>1</v>
      </c>
      <c r="E183" s="6" t="s">
        <v>248</v>
      </c>
      <c r="F183" s="4" t="s">
        <v>249</v>
      </c>
    </row>
    <row r="184" spans="1:6" x14ac:dyDescent="0.3">
      <c r="A184" s="30">
        <v>2</v>
      </c>
      <c r="B184" s="4">
        <f>NPER(0.5/A184,-100000,150000)</f>
        <v>2.1062837195053903</v>
      </c>
      <c r="D184" s="5" t="s">
        <v>245</v>
      </c>
      <c r="E184" s="6" t="s">
        <v>250</v>
      </c>
    </row>
    <row r="185" spans="1:6" x14ac:dyDescent="0.3">
      <c r="A185" s="30">
        <v>360</v>
      </c>
      <c r="B185" s="4">
        <f>NPER(0.5/A185,-100000,150000)</f>
        <v>1.5026071855703063</v>
      </c>
      <c r="D185" s="5" t="s">
        <v>246</v>
      </c>
      <c r="E185" s="6" t="s">
        <v>150</v>
      </c>
    </row>
    <row r="186" spans="1:6" x14ac:dyDescent="0.3">
      <c r="D186" s="5" t="s">
        <v>247</v>
      </c>
      <c r="E186" s="6" t="s">
        <v>148</v>
      </c>
    </row>
    <row r="188" spans="1:6" s="22" customFormat="1" ht="15" customHeight="1" x14ac:dyDescent="0.3">
      <c r="A188" s="28" t="s">
        <v>251</v>
      </c>
      <c r="B188" s="19" t="s">
        <v>228</v>
      </c>
      <c r="C188" s="20"/>
      <c r="D188" s="20"/>
      <c r="E188" s="21"/>
    </row>
    <row r="190" spans="1:6" ht="28.8" x14ac:dyDescent="0.3">
      <c r="A190" s="30" t="s">
        <v>252</v>
      </c>
      <c r="B190" s="4" t="s">
        <v>254</v>
      </c>
    </row>
    <row r="192" spans="1:6" x14ac:dyDescent="0.3">
      <c r="A192" s="30" t="s">
        <v>253</v>
      </c>
    </row>
    <row r="193" spans="1:5" x14ac:dyDescent="0.3">
      <c r="A193" s="79" t="s">
        <v>258</v>
      </c>
      <c r="B193" s="79"/>
      <c r="C193" s="79"/>
    </row>
    <row r="194" spans="1:5" x14ac:dyDescent="0.3">
      <c r="A194" s="30" t="s">
        <v>255</v>
      </c>
      <c r="B194" s="4" t="s">
        <v>256</v>
      </c>
      <c r="C194" s="5" t="s">
        <v>257</v>
      </c>
    </row>
    <row r="195" spans="1:5" x14ac:dyDescent="0.3">
      <c r="A195" s="30" t="s">
        <v>259</v>
      </c>
      <c r="B195" s="4" t="s">
        <v>256</v>
      </c>
      <c r="C195" s="5" t="s">
        <v>260</v>
      </c>
    </row>
    <row r="196" spans="1:5" x14ac:dyDescent="0.3">
      <c r="A196" s="30" t="s">
        <v>262</v>
      </c>
      <c r="B196" s="4" t="s">
        <v>256</v>
      </c>
      <c r="C196" s="5" t="s">
        <v>261</v>
      </c>
    </row>
    <row r="197" spans="1:5" x14ac:dyDescent="0.3">
      <c r="A197" s="30" t="s">
        <v>263</v>
      </c>
      <c r="B197" s="4" t="s">
        <v>256</v>
      </c>
      <c r="C197" s="5" t="s">
        <v>264</v>
      </c>
    </row>
    <row r="198" spans="1:5" x14ac:dyDescent="0.3">
      <c r="A198" s="29" t="s">
        <v>42</v>
      </c>
      <c r="B198" s="10" t="s">
        <v>256</v>
      </c>
      <c r="C198" s="23" t="s">
        <v>265</v>
      </c>
    </row>
    <row r="199" spans="1:5" x14ac:dyDescent="0.3">
      <c r="A199" s="29" t="s">
        <v>266</v>
      </c>
      <c r="B199" s="10" t="s">
        <v>256</v>
      </c>
      <c r="C199" s="23" t="s">
        <v>267</v>
      </c>
    </row>
    <row r="203" spans="1:5" s="22" customFormat="1" ht="15" customHeight="1" x14ac:dyDescent="0.3">
      <c r="A203" s="28" t="s">
        <v>270</v>
      </c>
      <c r="B203" s="19"/>
      <c r="C203" s="20"/>
      <c r="D203" s="20"/>
      <c r="E203" s="21"/>
    </row>
    <row r="210" spans="1:5" s="22" customFormat="1" ht="15" customHeight="1" x14ac:dyDescent="0.3">
      <c r="A210" s="28" t="s">
        <v>271</v>
      </c>
      <c r="B210" s="19"/>
      <c r="C210" s="20"/>
      <c r="D210" s="20"/>
      <c r="E210" s="21"/>
    </row>
    <row r="217" spans="1:5" s="22" customFormat="1" x14ac:dyDescent="0.3">
      <c r="A217" s="28" t="s">
        <v>272</v>
      </c>
      <c r="B217" s="19" t="s">
        <v>273</v>
      </c>
      <c r="C217" s="20" t="s">
        <v>274</v>
      </c>
      <c r="D217" s="20"/>
      <c r="E217" s="21"/>
    </row>
    <row r="219" spans="1:5" x14ac:dyDescent="0.3">
      <c r="A219" s="30" t="s">
        <v>275</v>
      </c>
      <c r="C219" s="4" t="s">
        <v>281</v>
      </c>
      <c r="D219" s="5" t="s">
        <v>42</v>
      </c>
      <c r="E219" s="6" t="s">
        <v>275</v>
      </c>
    </row>
    <row r="220" spans="1:5" x14ac:dyDescent="0.3">
      <c r="A220" s="30" t="s">
        <v>276</v>
      </c>
      <c r="B220" s="30">
        <v>1</v>
      </c>
      <c r="C220" s="5">
        <f t="shared" ref="C220:C225" si="5">+$B$164*(1+$B$166/B220)^(B220*$B$165)</f>
        <v>1200000</v>
      </c>
      <c r="D220" s="26">
        <f>+(C220-$B$164)/$B$164</f>
        <v>0.2</v>
      </c>
      <c r="E220" s="35">
        <f>+LN(1+D220)</f>
        <v>0.18232155679395459</v>
      </c>
    </row>
    <row r="221" spans="1:5" x14ac:dyDescent="0.3">
      <c r="A221" s="30" t="s">
        <v>277</v>
      </c>
      <c r="B221" s="30">
        <v>2</v>
      </c>
      <c r="C221" s="5">
        <f t="shared" si="5"/>
        <v>1210000.0000000002</v>
      </c>
      <c r="D221" s="26">
        <f t="shared" ref="D221:D225" si="6">+(C221-$B$164)/$B$164</f>
        <v>0.21000000000000024</v>
      </c>
      <c r="E221" s="35">
        <f t="shared" ref="E221:E225" si="7">+LN(1+D221)</f>
        <v>0.19062035960864987</v>
      </c>
    </row>
    <row r="222" spans="1:5" x14ac:dyDescent="0.3">
      <c r="A222" s="30" t="s">
        <v>278</v>
      </c>
      <c r="B222" s="30">
        <v>4</v>
      </c>
      <c r="C222" s="5">
        <f t="shared" si="5"/>
        <v>1215506.25</v>
      </c>
      <c r="D222" s="26">
        <f t="shared" si="6"/>
        <v>0.21550625000000001</v>
      </c>
      <c r="E222" s="35">
        <f t="shared" si="7"/>
        <v>0.19516065667772803</v>
      </c>
    </row>
    <row r="223" spans="1:5" ht="28.8" x14ac:dyDescent="0.3">
      <c r="A223" s="30" t="s">
        <v>279</v>
      </c>
      <c r="B223" s="30">
        <v>6</v>
      </c>
      <c r="C223" s="5">
        <f t="shared" si="5"/>
        <v>1217426.174211249</v>
      </c>
      <c r="D223" s="26">
        <f t="shared" si="6"/>
        <v>0.21742617421124899</v>
      </c>
      <c r="E223" s="35">
        <f t="shared" si="7"/>
        <v>0.19673893693794589</v>
      </c>
    </row>
    <row r="224" spans="1:5" x14ac:dyDescent="0.3">
      <c r="B224" s="30">
        <v>12</v>
      </c>
      <c r="C224" s="5">
        <f t="shared" si="5"/>
        <v>1219391.0849052318</v>
      </c>
      <c r="D224" s="26">
        <f t="shared" si="6"/>
        <v>0.21939108490523185</v>
      </c>
      <c r="E224" s="35">
        <f t="shared" si="7"/>
        <v>0.19835162341452631</v>
      </c>
    </row>
    <row r="225" spans="1:5" x14ac:dyDescent="0.3">
      <c r="A225" s="30" t="s">
        <v>280</v>
      </c>
      <c r="B225" s="30">
        <v>360</v>
      </c>
      <c r="C225" s="5">
        <f t="shared" si="5"/>
        <v>1221334.9294561611</v>
      </c>
      <c r="D225" s="26">
        <f t="shared" si="6"/>
        <v>0.22133492945616109</v>
      </c>
      <c r="E225" s="35">
        <f t="shared" si="7"/>
        <v>0.19994446501204771</v>
      </c>
    </row>
    <row r="226" spans="1:5" x14ac:dyDescent="0.3">
      <c r="A226" s="30" t="s">
        <v>282</v>
      </c>
    </row>
    <row r="228" spans="1:5" s="22" customFormat="1" x14ac:dyDescent="0.3">
      <c r="A228" s="28" t="s">
        <v>283</v>
      </c>
      <c r="B228" s="19" t="s">
        <v>273</v>
      </c>
      <c r="C228" s="20" t="s">
        <v>274</v>
      </c>
      <c r="D228" s="20"/>
      <c r="E228" s="21"/>
    </row>
    <row r="230" spans="1:5" ht="28.8" x14ac:dyDescent="0.3">
      <c r="A230" s="30" t="s">
        <v>284</v>
      </c>
      <c r="B230" s="4" t="s">
        <v>285</v>
      </c>
      <c r="C230" s="5">
        <f>100000*EXP(0.2*1)</f>
        <v>122140.27581601699</v>
      </c>
    </row>
  </sheetData>
  <mergeCells count="1">
    <mergeCell ref="A193:C193"/>
  </mergeCells>
  <phoneticPr fontId="8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9ED6-F920-4644-AF8B-C7260D8AB317}">
  <dimension ref="A1:G305"/>
  <sheetViews>
    <sheetView topLeftCell="A277" workbookViewId="0">
      <selection activeCell="C286" sqref="C286"/>
    </sheetView>
  </sheetViews>
  <sheetFormatPr defaultRowHeight="14.4" x14ac:dyDescent="0.3"/>
  <cols>
    <col min="1" max="1" width="26.109375" style="41" bestFit="1" customWidth="1"/>
    <col min="2" max="2" width="18.77734375" style="42" customWidth="1"/>
    <col min="3" max="3" width="16.6640625" style="44" bestFit="1" customWidth="1"/>
    <col min="4" max="4" width="18.77734375" style="44" customWidth="1"/>
    <col min="5" max="5" width="17.33203125" style="39" customWidth="1"/>
    <col min="6" max="16384" width="8.88671875" style="44"/>
  </cols>
  <sheetData>
    <row r="1" spans="1:5" s="40" customFormat="1" x14ac:dyDescent="0.3">
      <c r="A1" s="36">
        <v>1.1000000000000001</v>
      </c>
      <c r="B1" s="37" t="s">
        <v>286</v>
      </c>
      <c r="C1" s="38"/>
      <c r="D1" s="38"/>
      <c r="E1" s="39"/>
    </row>
    <row r="2" spans="1:5" x14ac:dyDescent="0.3">
      <c r="C2" s="43"/>
      <c r="D2" s="43"/>
    </row>
    <row r="4" spans="1:5" ht="28.8" x14ac:dyDescent="0.3">
      <c r="A4" s="41" t="s">
        <v>287</v>
      </c>
    </row>
    <row r="5" spans="1:5" x14ac:dyDescent="0.3">
      <c r="A5" s="41" t="s">
        <v>409</v>
      </c>
    </row>
    <row r="6" spans="1:5" x14ac:dyDescent="0.3">
      <c r="A6" s="41" t="s">
        <v>410</v>
      </c>
      <c r="B6" s="42" t="s">
        <v>411</v>
      </c>
      <c r="C6" s="44" t="s">
        <v>414</v>
      </c>
      <c r="D6" s="44" t="s">
        <v>415</v>
      </c>
      <c r="E6" s="39" t="s">
        <v>407</v>
      </c>
    </row>
    <row r="7" spans="1:5" x14ac:dyDescent="0.3">
      <c r="B7" s="42" t="s">
        <v>412</v>
      </c>
      <c r="C7" s="42" t="s">
        <v>413</v>
      </c>
      <c r="E7" s="39" t="s">
        <v>417</v>
      </c>
    </row>
    <row r="9" spans="1:5" x14ac:dyDescent="0.3">
      <c r="A9" s="41" t="s">
        <v>418</v>
      </c>
    </row>
    <row r="10" spans="1:5" x14ac:dyDescent="0.3">
      <c r="A10" s="41" t="s">
        <v>416</v>
      </c>
    </row>
    <row r="12" spans="1:5" x14ac:dyDescent="0.3">
      <c r="A12" s="41" t="s">
        <v>1</v>
      </c>
      <c r="B12" s="42" t="s">
        <v>249</v>
      </c>
      <c r="C12" s="44" t="s">
        <v>248</v>
      </c>
    </row>
    <row r="13" spans="1:5" x14ac:dyDescent="0.3">
      <c r="A13" s="41" t="s">
        <v>421</v>
      </c>
      <c r="B13" s="42" t="s">
        <v>420</v>
      </c>
    </row>
    <row r="14" spans="1:5" x14ac:dyDescent="0.3">
      <c r="B14" s="42" t="s">
        <v>419</v>
      </c>
    </row>
    <row r="16" spans="1:5" x14ac:dyDescent="0.3">
      <c r="A16" s="45">
        <f>PV(0.06/12, 120, 4000)</f>
        <v>-360293.81330866663</v>
      </c>
    </row>
    <row r="17" spans="1:3" x14ac:dyDescent="0.3">
      <c r="A17" s="41" t="s">
        <v>422</v>
      </c>
      <c r="B17" s="42">
        <f>+C19-A16</f>
        <v>560293.81330866669</v>
      </c>
    </row>
    <row r="19" spans="1:3" x14ac:dyDescent="0.3">
      <c r="A19" s="41">
        <v>0</v>
      </c>
      <c r="B19" s="42" t="s">
        <v>408</v>
      </c>
      <c r="C19" s="44">
        <v>200000</v>
      </c>
    </row>
    <row r="20" spans="1:3" x14ac:dyDescent="0.3">
      <c r="A20" s="41">
        <v>1</v>
      </c>
      <c r="B20" s="42" t="s">
        <v>288</v>
      </c>
      <c r="C20" s="44">
        <v>4000</v>
      </c>
    </row>
    <row r="21" spans="1:3" x14ac:dyDescent="0.3">
      <c r="A21" s="41">
        <v>2</v>
      </c>
      <c r="B21" s="42" t="s">
        <v>302</v>
      </c>
      <c r="C21" s="44">
        <v>4000</v>
      </c>
    </row>
    <row r="22" spans="1:3" x14ac:dyDescent="0.3">
      <c r="A22" s="41">
        <v>3</v>
      </c>
      <c r="B22" s="42" t="s">
        <v>289</v>
      </c>
      <c r="C22" s="44">
        <v>4000</v>
      </c>
    </row>
    <row r="23" spans="1:3" x14ac:dyDescent="0.3">
      <c r="A23" s="41">
        <v>4</v>
      </c>
      <c r="B23" s="42" t="s">
        <v>290</v>
      </c>
      <c r="C23" s="44">
        <v>4000</v>
      </c>
    </row>
    <row r="24" spans="1:3" x14ac:dyDescent="0.3">
      <c r="A24" s="41">
        <v>5</v>
      </c>
      <c r="B24" s="42" t="s">
        <v>291</v>
      </c>
      <c r="C24" s="44">
        <v>4000</v>
      </c>
    </row>
    <row r="25" spans="1:3" x14ac:dyDescent="0.3">
      <c r="A25" s="41">
        <v>6</v>
      </c>
      <c r="B25" s="42" t="s">
        <v>292</v>
      </c>
      <c r="C25" s="44">
        <v>4000</v>
      </c>
    </row>
    <row r="26" spans="1:3" x14ac:dyDescent="0.3">
      <c r="A26" s="41">
        <v>7</v>
      </c>
      <c r="B26" s="42" t="s">
        <v>293</v>
      </c>
      <c r="C26" s="44">
        <v>4000</v>
      </c>
    </row>
    <row r="27" spans="1:3" x14ac:dyDescent="0.3">
      <c r="A27" s="41">
        <v>8</v>
      </c>
      <c r="B27" s="42" t="s">
        <v>294</v>
      </c>
      <c r="C27" s="44">
        <v>4000</v>
      </c>
    </row>
    <row r="28" spans="1:3" x14ac:dyDescent="0.3">
      <c r="A28" s="41">
        <v>9</v>
      </c>
      <c r="B28" s="42" t="s">
        <v>295</v>
      </c>
      <c r="C28" s="44">
        <v>4000</v>
      </c>
    </row>
    <row r="29" spans="1:3" x14ac:dyDescent="0.3">
      <c r="A29" s="41">
        <v>10</v>
      </c>
      <c r="B29" s="42" t="s">
        <v>296</v>
      </c>
      <c r="C29" s="44">
        <v>4000</v>
      </c>
    </row>
    <row r="30" spans="1:3" x14ac:dyDescent="0.3">
      <c r="A30" s="41">
        <v>11</v>
      </c>
      <c r="B30" s="42" t="s">
        <v>297</v>
      </c>
      <c r="C30" s="44">
        <v>4000</v>
      </c>
    </row>
    <row r="31" spans="1:3" x14ac:dyDescent="0.3">
      <c r="A31" s="41">
        <v>12</v>
      </c>
      <c r="B31" s="42" t="s">
        <v>298</v>
      </c>
      <c r="C31" s="44">
        <v>4000</v>
      </c>
    </row>
    <row r="32" spans="1:3" x14ac:dyDescent="0.3">
      <c r="A32" s="41">
        <v>13</v>
      </c>
      <c r="B32" s="42" t="s">
        <v>299</v>
      </c>
      <c r="C32" s="44">
        <v>4000</v>
      </c>
    </row>
    <row r="33" spans="1:7" x14ac:dyDescent="0.3">
      <c r="A33" s="41">
        <v>14</v>
      </c>
      <c r="B33" s="42" t="s">
        <v>300</v>
      </c>
      <c r="C33" s="44">
        <v>4000</v>
      </c>
    </row>
    <row r="34" spans="1:7" x14ac:dyDescent="0.3">
      <c r="A34" s="41">
        <v>15</v>
      </c>
      <c r="B34" s="42" t="s">
        <v>301</v>
      </c>
      <c r="C34" s="44">
        <v>4000</v>
      </c>
    </row>
    <row r="35" spans="1:7" x14ac:dyDescent="0.3">
      <c r="A35" s="41">
        <v>16</v>
      </c>
      <c r="B35" s="42" t="s">
        <v>303</v>
      </c>
      <c r="C35" s="44">
        <v>4000</v>
      </c>
    </row>
    <row r="36" spans="1:7" x14ac:dyDescent="0.3">
      <c r="A36" s="41">
        <v>17</v>
      </c>
      <c r="B36" s="42" t="s">
        <v>304</v>
      </c>
      <c r="C36" s="44">
        <v>4000</v>
      </c>
    </row>
    <row r="37" spans="1:7" x14ac:dyDescent="0.3">
      <c r="A37" s="45">
        <v>18</v>
      </c>
      <c r="B37" s="46" t="s">
        <v>305</v>
      </c>
      <c r="C37" s="47">
        <v>4000</v>
      </c>
      <c r="D37" s="47" t="s">
        <v>423</v>
      </c>
      <c r="E37" s="39">
        <f>+SUM(C20:C37)</f>
        <v>72000</v>
      </c>
    </row>
    <row r="38" spans="1:7" x14ac:dyDescent="0.3">
      <c r="A38" s="41">
        <v>19</v>
      </c>
      <c r="B38" s="42" t="s">
        <v>306</v>
      </c>
      <c r="C38" s="44">
        <v>4000</v>
      </c>
      <c r="E38" s="39" t="s">
        <v>424</v>
      </c>
    </row>
    <row r="39" spans="1:7" x14ac:dyDescent="0.3">
      <c r="A39" s="41">
        <v>20</v>
      </c>
      <c r="B39" s="42" t="s">
        <v>307</v>
      </c>
      <c r="C39" s="44">
        <v>4000</v>
      </c>
      <c r="E39" s="39" t="s">
        <v>425</v>
      </c>
    </row>
    <row r="40" spans="1:7" x14ac:dyDescent="0.3">
      <c r="A40" s="41">
        <v>21</v>
      </c>
      <c r="B40" s="42" t="s">
        <v>308</v>
      </c>
      <c r="C40" s="44">
        <v>4000</v>
      </c>
      <c r="E40" s="39" t="s">
        <v>426</v>
      </c>
    </row>
    <row r="41" spans="1:7" x14ac:dyDescent="0.3">
      <c r="A41" s="41">
        <v>22</v>
      </c>
      <c r="B41" s="42" t="s">
        <v>309</v>
      </c>
      <c r="C41" s="44">
        <v>4000</v>
      </c>
      <c r="E41" s="39" t="s">
        <v>427</v>
      </c>
      <c r="G41" s="44" t="s">
        <v>428</v>
      </c>
    </row>
    <row r="42" spans="1:7" x14ac:dyDescent="0.3">
      <c r="A42" s="41">
        <v>23</v>
      </c>
      <c r="B42" s="42" t="s">
        <v>310</v>
      </c>
      <c r="C42" s="44">
        <v>4000</v>
      </c>
    </row>
    <row r="43" spans="1:7" x14ac:dyDescent="0.3">
      <c r="A43" s="41">
        <v>24</v>
      </c>
      <c r="B43" s="42" t="s">
        <v>311</v>
      </c>
      <c r="C43" s="44">
        <v>4000</v>
      </c>
      <c r="E43" s="39" t="s">
        <v>429</v>
      </c>
    </row>
    <row r="44" spans="1:7" x14ac:dyDescent="0.3">
      <c r="A44" s="41">
        <v>25</v>
      </c>
      <c r="B44" s="42" t="s">
        <v>312</v>
      </c>
      <c r="C44" s="44">
        <v>4000</v>
      </c>
    </row>
    <row r="45" spans="1:7" x14ac:dyDescent="0.3">
      <c r="A45" s="41">
        <v>26</v>
      </c>
      <c r="B45" s="42" t="s">
        <v>313</v>
      </c>
      <c r="C45" s="44">
        <v>4000</v>
      </c>
      <c r="E45" s="39" t="s">
        <v>430</v>
      </c>
    </row>
    <row r="46" spans="1:7" x14ac:dyDescent="0.3">
      <c r="A46" s="41">
        <v>27</v>
      </c>
      <c r="B46" s="42" t="s">
        <v>314</v>
      </c>
      <c r="C46" s="44">
        <v>4000</v>
      </c>
      <c r="E46" s="39" t="s">
        <v>431</v>
      </c>
    </row>
    <row r="47" spans="1:7" x14ac:dyDescent="0.3">
      <c r="A47" s="41">
        <v>28</v>
      </c>
      <c r="B47" s="42" t="s">
        <v>315</v>
      </c>
      <c r="C47" s="44">
        <v>4000</v>
      </c>
    </row>
    <row r="48" spans="1:7" x14ac:dyDescent="0.3">
      <c r="A48" s="41">
        <v>29</v>
      </c>
      <c r="B48" s="42" t="s">
        <v>316</v>
      </c>
      <c r="C48" s="44">
        <v>4000</v>
      </c>
    </row>
    <row r="49" spans="1:3" x14ac:dyDescent="0.3">
      <c r="A49" s="41">
        <v>30</v>
      </c>
      <c r="B49" s="42" t="s">
        <v>317</v>
      </c>
      <c r="C49" s="44">
        <v>4000</v>
      </c>
    </row>
    <row r="50" spans="1:3" x14ac:dyDescent="0.3">
      <c r="A50" s="41">
        <v>31</v>
      </c>
      <c r="B50" s="42" t="s">
        <v>318</v>
      </c>
      <c r="C50" s="44">
        <v>4000</v>
      </c>
    </row>
    <row r="51" spans="1:3" x14ac:dyDescent="0.3">
      <c r="A51" s="41">
        <v>32</v>
      </c>
      <c r="B51" s="42" t="s">
        <v>319</v>
      </c>
      <c r="C51" s="44">
        <v>4000</v>
      </c>
    </row>
    <row r="52" spans="1:3" x14ac:dyDescent="0.3">
      <c r="A52" s="41">
        <v>33</v>
      </c>
      <c r="B52" s="42" t="s">
        <v>320</v>
      </c>
      <c r="C52" s="44">
        <v>4000</v>
      </c>
    </row>
    <row r="53" spans="1:3" x14ac:dyDescent="0.3">
      <c r="A53" s="41">
        <v>34</v>
      </c>
      <c r="B53" s="42" t="s">
        <v>321</v>
      </c>
      <c r="C53" s="44">
        <v>4000</v>
      </c>
    </row>
    <row r="54" spans="1:3" x14ac:dyDescent="0.3">
      <c r="A54" s="41">
        <v>35</v>
      </c>
      <c r="B54" s="42" t="s">
        <v>322</v>
      </c>
      <c r="C54" s="44">
        <v>4000</v>
      </c>
    </row>
    <row r="55" spans="1:3" x14ac:dyDescent="0.3">
      <c r="A55" s="41">
        <v>36</v>
      </c>
      <c r="B55" s="42" t="s">
        <v>323</v>
      </c>
      <c r="C55" s="44">
        <v>4000</v>
      </c>
    </row>
    <row r="56" spans="1:3" x14ac:dyDescent="0.3">
      <c r="A56" s="41">
        <v>37</v>
      </c>
      <c r="B56" s="42" t="s">
        <v>324</v>
      </c>
      <c r="C56" s="44">
        <v>4000</v>
      </c>
    </row>
    <row r="57" spans="1:3" x14ac:dyDescent="0.3">
      <c r="A57" s="41">
        <v>38</v>
      </c>
      <c r="B57" s="42" t="s">
        <v>325</v>
      </c>
      <c r="C57" s="44">
        <v>4000</v>
      </c>
    </row>
    <row r="58" spans="1:3" x14ac:dyDescent="0.3">
      <c r="A58" s="41">
        <v>39</v>
      </c>
      <c r="B58" s="42" t="s">
        <v>326</v>
      </c>
      <c r="C58" s="44">
        <v>4000</v>
      </c>
    </row>
    <row r="59" spans="1:3" x14ac:dyDescent="0.3">
      <c r="A59" s="41">
        <v>40</v>
      </c>
      <c r="B59" s="42" t="s">
        <v>327</v>
      </c>
      <c r="C59" s="44">
        <v>4000</v>
      </c>
    </row>
    <row r="60" spans="1:3" x14ac:dyDescent="0.3">
      <c r="A60" s="41">
        <v>41</v>
      </c>
      <c r="B60" s="42" t="s">
        <v>328</v>
      </c>
      <c r="C60" s="44">
        <v>4000</v>
      </c>
    </row>
    <row r="61" spans="1:3" x14ac:dyDescent="0.3">
      <c r="A61" s="41">
        <v>42</v>
      </c>
      <c r="B61" s="42" t="s">
        <v>329</v>
      </c>
      <c r="C61" s="44">
        <v>4000</v>
      </c>
    </row>
    <row r="62" spans="1:3" x14ac:dyDescent="0.3">
      <c r="A62" s="41">
        <v>43</v>
      </c>
      <c r="B62" s="42" t="s">
        <v>330</v>
      </c>
      <c r="C62" s="44">
        <v>4000</v>
      </c>
    </row>
    <row r="63" spans="1:3" x14ac:dyDescent="0.3">
      <c r="A63" s="41">
        <v>44</v>
      </c>
      <c r="B63" s="42" t="s">
        <v>331</v>
      </c>
      <c r="C63" s="44">
        <v>4000</v>
      </c>
    </row>
    <row r="64" spans="1:3" x14ac:dyDescent="0.3">
      <c r="A64" s="41">
        <v>45</v>
      </c>
      <c r="B64" s="42" t="s">
        <v>332</v>
      </c>
      <c r="C64" s="44">
        <v>4000</v>
      </c>
    </row>
    <row r="65" spans="1:3" x14ac:dyDescent="0.3">
      <c r="A65" s="41">
        <v>46</v>
      </c>
      <c r="B65" s="42" t="s">
        <v>333</v>
      </c>
      <c r="C65" s="44">
        <v>4000</v>
      </c>
    </row>
    <row r="66" spans="1:3" x14ac:dyDescent="0.3">
      <c r="A66" s="41">
        <v>47</v>
      </c>
      <c r="B66" s="42" t="s">
        <v>334</v>
      </c>
      <c r="C66" s="44">
        <v>4000</v>
      </c>
    </row>
    <row r="67" spans="1:3" x14ac:dyDescent="0.3">
      <c r="A67" s="41">
        <v>48</v>
      </c>
      <c r="B67" s="42" t="s">
        <v>335</v>
      </c>
      <c r="C67" s="44">
        <v>4000</v>
      </c>
    </row>
    <row r="68" spans="1:3" x14ac:dyDescent="0.3">
      <c r="A68" s="41">
        <v>49</v>
      </c>
      <c r="B68" s="42" t="s">
        <v>336</v>
      </c>
      <c r="C68" s="44">
        <v>4000</v>
      </c>
    </row>
    <row r="69" spans="1:3" x14ac:dyDescent="0.3">
      <c r="A69" s="41">
        <v>50</v>
      </c>
      <c r="B69" s="42" t="s">
        <v>337</v>
      </c>
      <c r="C69" s="44">
        <v>4000</v>
      </c>
    </row>
    <row r="70" spans="1:3" x14ac:dyDescent="0.3">
      <c r="A70" s="41">
        <v>51</v>
      </c>
      <c r="B70" s="42" t="s">
        <v>338</v>
      </c>
      <c r="C70" s="44">
        <v>4000</v>
      </c>
    </row>
    <row r="71" spans="1:3" x14ac:dyDescent="0.3">
      <c r="A71" s="41">
        <v>52</v>
      </c>
      <c r="B71" s="42" t="s">
        <v>339</v>
      </c>
      <c r="C71" s="44">
        <v>4000</v>
      </c>
    </row>
    <row r="72" spans="1:3" x14ac:dyDescent="0.3">
      <c r="A72" s="41">
        <v>53</v>
      </c>
      <c r="B72" s="42" t="s">
        <v>340</v>
      </c>
      <c r="C72" s="44">
        <v>4000</v>
      </c>
    </row>
    <row r="73" spans="1:3" x14ac:dyDescent="0.3">
      <c r="A73" s="41">
        <v>54</v>
      </c>
      <c r="B73" s="42" t="s">
        <v>341</v>
      </c>
      <c r="C73" s="44">
        <v>4000</v>
      </c>
    </row>
    <row r="74" spans="1:3" x14ac:dyDescent="0.3">
      <c r="A74" s="41">
        <v>55</v>
      </c>
      <c r="B74" s="42" t="s">
        <v>342</v>
      </c>
      <c r="C74" s="44">
        <v>4000</v>
      </c>
    </row>
    <row r="75" spans="1:3" x14ac:dyDescent="0.3">
      <c r="A75" s="41">
        <v>56</v>
      </c>
      <c r="B75" s="42" t="s">
        <v>343</v>
      </c>
      <c r="C75" s="44">
        <v>4000</v>
      </c>
    </row>
    <row r="76" spans="1:3" x14ac:dyDescent="0.3">
      <c r="A76" s="41">
        <v>57</v>
      </c>
      <c r="B76" s="42" t="s">
        <v>344</v>
      </c>
      <c r="C76" s="44">
        <v>4000</v>
      </c>
    </row>
    <row r="77" spans="1:3" x14ac:dyDescent="0.3">
      <c r="A77" s="41">
        <v>58</v>
      </c>
      <c r="B77" s="42" t="s">
        <v>345</v>
      </c>
      <c r="C77" s="44">
        <v>4000</v>
      </c>
    </row>
    <row r="78" spans="1:3" x14ac:dyDescent="0.3">
      <c r="A78" s="41">
        <v>59</v>
      </c>
      <c r="B78" s="42" t="s">
        <v>346</v>
      </c>
      <c r="C78" s="44">
        <v>4000</v>
      </c>
    </row>
    <row r="79" spans="1:3" x14ac:dyDescent="0.3">
      <c r="A79" s="41">
        <v>60</v>
      </c>
      <c r="B79" s="42" t="s">
        <v>347</v>
      </c>
      <c r="C79" s="44">
        <v>4000</v>
      </c>
    </row>
    <row r="80" spans="1:3" x14ac:dyDescent="0.3">
      <c r="A80" s="41">
        <v>61</v>
      </c>
      <c r="B80" s="42" t="s">
        <v>348</v>
      </c>
      <c r="C80" s="44">
        <v>4000</v>
      </c>
    </row>
    <row r="81" spans="1:3" x14ac:dyDescent="0.3">
      <c r="A81" s="41">
        <v>62</v>
      </c>
      <c r="B81" s="42" t="s">
        <v>349</v>
      </c>
      <c r="C81" s="44">
        <v>4000</v>
      </c>
    </row>
    <row r="82" spans="1:3" x14ac:dyDescent="0.3">
      <c r="A82" s="41">
        <v>63</v>
      </c>
      <c r="B82" s="42" t="s">
        <v>350</v>
      </c>
      <c r="C82" s="44">
        <v>4000</v>
      </c>
    </row>
    <row r="83" spans="1:3" x14ac:dyDescent="0.3">
      <c r="A83" s="41">
        <v>64</v>
      </c>
      <c r="B83" s="42" t="s">
        <v>351</v>
      </c>
      <c r="C83" s="44">
        <v>4000</v>
      </c>
    </row>
    <row r="84" spans="1:3" x14ac:dyDescent="0.3">
      <c r="A84" s="41">
        <v>65</v>
      </c>
      <c r="B84" s="42" t="s">
        <v>352</v>
      </c>
      <c r="C84" s="44">
        <v>4000</v>
      </c>
    </row>
    <row r="85" spans="1:3" x14ac:dyDescent="0.3">
      <c r="A85" s="41">
        <v>66</v>
      </c>
      <c r="B85" s="42" t="s">
        <v>353</v>
      </c>
      <c r="C85" s="44">
        <v>4000</v>
      </c>
    </row>
    <row r="86" spans="1:3" x14ac:dyDescent="0.3">
      <c r="A86" s="41">
        <v>67</v>
      </c>
      <c r="B86" s="42" t="s">
        <v>354</v>
      </c>
      <c r="C86" s="44">
        <v>4000</v>
      </c>
    </row>
    <row r="87" spans="1:3" x14ac:dyDescent="0.3">
      <c r="A87" s="41">
        <v>68</v>
      </c>
      <c r="B87" s="42" t="s">
        <v>355</v>
      </c>
      <c r="C87" s="44">
        <v>4000</v>
      </c>
    </row>
    <row r="88" spans="1:3" x14ac:dyDescent="0.3">
      <c r="A88" s="41">
        <v>69</v>
      </c>
      <c r="B88" s="42" t="s">
        <v>356</v>
      </c>
      <c r="C88" s="44">
        <v>4000</v>
      </c>
    </row>
    <row r="89" spans="1:3" x14ac:dyDescent="0.3">
      <c r="A89" s="41">
        <v>70</v>
      </c>
      <c r="B89" s="42" t="s">
        <v>357</v>
      </c>
      <c r="C89" s="44">
        <v>4000</v>
      </c>
    </row>
    <row r="90" spans="1:3" x14ac:dyDescent="0.3">
      <c r="A90" s="41">
        <v>71</v>
      </c>
      <c r="B90" s="42" t="s">
        <v>358</v>
      </c>
      <c r="C90" s="44">
        <v>4000</v>
      </c>
    </row>
    <row r="91" spans="1:3" x14ac:dyDescent="0.3">
      <c r="A91" s="41">
        <v>72</v>
      </c>
      <c r="B91" s="42" t="s">
        <v>359</v>
      </c>
      <c r="C91" s="44">
        <v>4000</v>
      </c>
    </row>
    <row r="92" spans="1:3" x14ac:dyDescent="0.3">
      <c r="A92" s="41">
        <v>73</v>
      </c>
      <c r="B92" s="42" t="s">
        <v>360</v>
      </c>
      <c r="C92" s="44">
        <v>4000</v>
      </c>
    </row>
    <row r="93" spans="1:3" x14ac:dyDescent="0.3">
      <c r="A93" s="41">
        <v>74</v>
      </c>
      <c r="B93" s="42" t="s">
        <v>361</v>
      </c>
      <c r="C93" s="44">
        <v>4000</v>
      </c>
    </row>
    <row r="94" spans="1:3" x14ac:dyDescent="0.3">
      <c r="A94" s="41">
        <v>75</v>
      </c>
      <c r="B94" s="42" t="s">
        <v>362</v>
      </c>
      <c r="C94" s="44">
        <v>4000</v>
      </c>
    </row>
    <row r="95" spans="1:3" x14ac:dyDescent="0.3">
      <c r="A95" s="41">
        <v>76</v>
      </c>
      <c r="B95" s="42" t="s">
        <v>363</v>
      </c>
      <c r="C95" s="44">
        <v>4000</v>
      </c>
    </row>
    <row r="96" spans="1:3" x14ac:dyDescent="0.3">
      <c r="A96" s="41">
        <v>77</v>
      </c>
      <c r="B96" s="42" t="s">
        <v>364</v>
      </c>
      <c r="C96" s="44">
        <v>4000</v>
      </c>
    </row>
    <row r="97" spans="1:3" x14ac:dyDescent="0.3">
      <c r="A97" s="41">
        <v>78</v>
      </c>
      <c r="B97" s="42" t="s">
        <v>365</v>
      </c>
      <c r="C97" s="44">
        <v>4000</v>
      </c>
    </row>
    <row r="98" spans="1:3" x14ac:dyDescent="0.3">
      <c r="A98" s="41">
        <v>79</v>
      </c>
      <c r="B98" s="42" t="s">
        <v>366</v>
      </c>
      <c r="C98" s="44">
        <v>4000</v>
      </c>
    </row>
    <row r="99" spans="1:3" x14ac:dyDescent="0.3">
      <c r="A99" s="41">
        <v>80</v>
      </c>
      <c r="B99" s="42" t="s">
        <v>367</v>
      </c>
      <c r="C99" s="44">
        <v>4000</v>
      </c>
    </row>
    <row r="100" spans="1:3" x14ac:dyDescent="0.3">
      <c r="A100" s="41">
        <v>81</v>
      </c>
      <c r="B100" s="42" t="s">
        <v>368</v>
      </c>
      <c r="C100" s="44">
        <v>4000</v>
      </c>
    </row>
    <row r="101" spans="1:3" x14ac:dyDescent="0.3">
      <c r="A101" s="41">
        <v>82</v>
      </c>
      <c r="B101" s="42" t="s">
        <v>369</v>
      </c>
      <c r="C101" s="44">
        <v>4000</v>
      </c>
    </row>
    <row r="102" spans="1:3" x14ac:dyDescent="0.3">
      <c r="A102" s="41">
        <v>83</v>
      </c>
      <c r="B102" s="42" t="s">
        <v>370</v>
      </c>
      <c r="C102" s="44">
        <v>4000</v>
      </c>
    </row>
    <row r="103" spans="1:3" x14ac:dyDescent="0.3">
      <c r="A103" s="41">
        <v>84</v>
      </c>
      <c r="B103" s="42" t="s">
        <v>371</v>
      </c>
      <c r="C103" s="44">
        <v>4000</v>
      </c>
    </row>
    <row r="104" spans="1:3" x14ac:dyDescent="0.3">
      <c r="A104" s="41">
        <v>85</v>
      </c>
      <c r="B104" s="42" t="s">
        <v>372</v>
      </c>
      <c r="C104" s="44">
        <v>4000</v>
      </c>
    </row>
    <row r="105" spans="1:3" x14ac:dyDescent="0.3">
      <c r="A105" s="41">
        <v>86</v>
      </c>
      <c r="B105" s="42" t="s">
        <v>373</v>
      </c>
      <c r="C105" s="44">
        <v>4000</v>
      </c>
    </row>
    <row r="106" spans="1:3" x14ac:dyDescent="0.3">
      <c r="A106" s="41">
        <v>87</v>
      </c>
      <c r="B106" s="42" t="s">
        <v>374</v>
      </c>
      <c r="C106" s="44">
        <v>4000</v>
      </c>
    </row>
    <row r="107" spans="1:3" x14ac:dyDescent="0.3">
      <c r="A107" s="41">
        <v>88</v>
      </c>
      <c r="B107" s="42" t="s">
        <v>375</v>
      </c>
      <c r="C107" s="44">
        <v>4000</v>
      </c>
    </row>
    <row r="108" spans="1:3" x14ac:dyDescent="0.3">
      <c r="A108" s="41">
        <v>89</v>
      </c>
      <c r="B108" s="42" t="s">
        <v>376</v>
      </c>
      <c r="C108" s="44">
        <v>4000</v>
      </c>
    </row>
    <row r="109" spans="1:3" x14ac:dyDescent="0.3">
      <c r="A109" s="41">
        <v>90</v>
      </c>
      <c r="B109" s="42" t="s">
        <v>377</v>
      </c>
      <c r="C109" s="44">
        <v>4000</v>
      </c>
    </row>
    <row r="110" spans="1:3" x14ac:dyDescent="0.3">
      <c r="A110" s="41">
        <v>91</v>
      </c>
      <c r="B110" s="42" t="s">
        <v>378</v>
      </c>
      <c r="C110" s="44">
        <v>4000</v>
      </c>
    </row>
    <row r="111" spans="1:3" x14ac:dyDescent="0.3">
      <c r="A111" s="41">
        <v>92</v>
      </c>
      <c r="B111" s="42" t="s">
        <v>379</v>
      </c>
      <c r="C111" s="44">
        <v>4000</v>
      </c>
    </row>
    <row r="112" spans="1:3" x14ac:dyDescent="0.3">
      <c r="A112" s="41">
        <v>93</v>
      </c>
      <c r="B112" s="42" t="s">
        <v>380</v>
      </c>
      <c r="C112" s="44">
        <v>4000</v>
      </c>
    </row>
    <row r="113" spans="1:3" x14ac:dyDescent="0.3">
      <c r="A113" s="41">
        <v>94</v>
      </c>
      <c r="B113" s="42" t="s">
        <v>381</v>
      </c>
      <c r="C113" s="44">
        <v>4000</v>
      </c>
    </row>
    <row r="114" spans="1:3" x14ac:dyDescent="0.3">
      <c r="A114" s="41">
        <v>95</v>
      </c>
      <c r="B114" s="42" t="s">
        <v>382</v>
      </c>
      <c r="C114" s="44">
        <v>4000</v>
      </c>
    </row>
    <row r="115" spans="1:3" x14ac:dyDescent="0.3">
      <c r="A115" s="41">
        <v>96</v>
      </c>
      <c r="B115" s="42" t="s">
        <v>383</v>
      </c>
      <c r="C115" s="44">
        <v>4000</v>
      </c>
    </row>
    <row r="116" spans="1:3" x14ac:dyDescent="0.3">
      <c r="A116" s="41">
        <v>97</v>
      </c>
      <c r="B116" s="42" t="s">
        <v>384</v>
      </c>
      <c r="C116" s="44">
        <v>4000</v>
      </c>
    </row>
    <row r="117" spans="1:3" x14ac:dyDescent="0.3">
      <c r="A117" s="41">
        <v>98</v>
      </c>
      <c r="B117" s="42" t="s">
        <v>385</v>
      </c>
      <c r="C117" s="44">
        <v>4000</v>
      </c>
    </row>
    <row r="118" spans="1:3" x14ac:dyDescent="0.3">
      <c r="A118" s="41">
        <v>99</v>
      </c>
      <c r="B118" s="42" t="s">
        <v>386</v>
      </c>
      <c r="C118" s="44">
        <v>4000</v>
      </c>
    </row>
    <row r="119" spans="1:3" x14ac:dyDescent="0.3">
      <c r="A119" s="41">
        <v>100</v>
      </c>
      <c r="B119" s="42" t="s">
        <v>387</v>
      </c>
      <c r="C119" s="44">
        <v>4000</v>
      </c>
    </row>
    <row r="120" spans="1:3" x14ac:dyDescent="0.3">
      <c r="A120" s="41">
        <v>101</v>
      </c>
      <c r="B120" s="42" t="s">
        <v>388</v>
      </c>
      <c r="C120" s="44">
        <v>4000</v>
      </c>
    </row>
    <row r="121" spans="1:3" x14ac:dyDescent="0.3">
      <c r="A121" s="41">
        <v>102</v>
      </c>
      <c r="B121" s="42" t="s">
        <v>389</v>
      </c>
      <c r="C121" s="44">
        <v>4000</v>
      </c>
    </row>
    <row r="122" spans="1:3" x14ac:dyDescent="0.3">
      <c r="A122" s="41">
        <v>103</v>
      </c>
      <c r="B122" s="42" t="s">
        <v>390</v>
      </c>
      <c r="C122" s="44">
        <v>4000</v>
      </c>
    </row>
    <row r="123" spans="1:3" x14ac:dyDescent="0.3">
      <c r="A123" s="41">
        <v>104</v>
      </c>
      <c r="B123" s="42" t="s">
        <v>391</v>
      </c>
      <c r="C123" s="44">
        <v>4000</v>
      </c>
    </row>
    <row r="124" spans="1:3" x14ac:dyDescent="0.3">
      <c r="A124" s="41">
        <v>105</v>
      </c>
      <c r="B124" s="42" t="s">
        <v>392</v>
      </c>
      <c r="C124" s="44">
        <v>4000</v>
      </c>
    </row>
    <row r="125" spans="1:3" x14ac:dyDescent="0.3">
      <c r="A125" s="41">
        <v>106</v>
      </c>
      <c r="B125" s="42" t="s">
        <v>393</v>
      </c>
      <c r="C125" s="44">
        <v>4000</v>
      </c>
    </row>
    <row r="126" spans="1:3" x14ac:dyDescent="0.3">
      <c r="A126" s="41">
        <v>107</v>
      </c>
      <c r="B126" s="42" t="s">
        <v>394</v>
      </c>
      <c r="C126" s="44">
        <v>4000</v>
      </c>
    </row>
    <row r="127" spans="1:3" x14ac:dyDescent="0.3">
      <c r="A127" s="41">
        <v>108</v>
      </c>
      <c r="B127" s="42" t="s">
        <v>395</v>
      </c>
      <c r="C127" s="44">
        <v>4000</v>
      </c>
    </row>
    <row r="128" spans="1:3" x14ac:dyDescent="0.3">
      <c r="A128" s="41">
        <v>109</v>
      </c>
      <c r="B128" s="42" t="s">
        <v>396</v>
      </c>
      <c r="C128" s="44">
        <v>4000</v>
      </c>
    </row>
    <row r="129" spans="1:5" x14ac:dyDescent="0.3">
      <c r="A129" s="41">
        <v>110</v>
      </c>
      <c r="B129" s="42" t="s">
        <v>397</v>
      </c>
      <c r="C129" s="44">
        <v>4000</v>
      </c>
    </row>
    <row r="130" spans="1:5" x14ac:dyDescent="0.3">
      <c r="A130" s="41">
        <v>111</v>
      </c>
      <c r="B130" s="42" t="s">
        <v>398</v>
      </c>
      <c r="C130" s="44">
        <v>4000</v>
      </c>
    </row>
    <row r="131" spans="1:5" x14ac:dyDescent="0.3">
      <c r="A131" s="41">
        <v>112</v>
      </c>
      <c r="B131" s="42" t="s">
        <v>399</v>
      </c>
      <c r="C131" s="44">
        <v>4000</v>
      </c>
    </row>
    <row r="132" spans="1:5" x14ac:dyDescent="0.3">
      <c r="A132" s="41">
        <v>113</v>
      </c>
      <c r="B132" s="42" t="s">
        <v>400</v>
      </c>
      <c r="C132" s="44">
        <v>4000</v>
      </c>
    </row>
    <row r="133" spans="1:5" x14ac:dyDescent="0.3">
      <c r="A133" s="41">
        <v>114</v>
      </c>
      <c r="B133" s="42" t="s">
        <v>401</v>
      </c>
      <c r="C133" s="44">
        <v>4000</v>
      </c>
    </row>
    <row r="134" spans="1:5" x14ac:dyDescent="0.3">
      <c r="A134" s="41">
        <v>115</v>
      </c>
      <c r="B134" s="42" t="s">
        <v>402</v>
      </c>
      <c r="C134" s="44">
        <v>4000</v>
      </c>
    </row>
    <row r="135" spans="1:5" x14ac:dyDescent="0.3">
      <c r="A135" s="41">
        <v>116</v>
      </c>
      <c r="B135" s="42" t="s">
        <v>403</v>
      </c>
      <c r="C135" s="44">
        <v>4000</v>
      </c>
    </row>
    <row r="136" spans="1:5" x14ac:dyDescent="0.3">
      <c r="A136" s="41">
        <v>117</v>
      </c>
      <c r="B136" s="42" t="s">
        <v>404</v>
      </c>
      <c r="C136" s="44">
        <v>4000</v>
      </c>
    </row>
    <row r="137" spans="1:5" x14ac:dyDescent="0.3">
      <c r="A137" s="41">
        <v>118</v>
      </c>
      <c r="B137" s="42" t="s">
        <v>405</v>
      </c>
      <c r="C137" s="44">
        <v>4000</v>
      </c>
    </row>
    <row r="138" spans="1:5" x14ac:dyDescent="0.3">
      <c r="A138" s="41">
        <v>119</v>
      </c>
      <c r="B138" s="42" t="s">
        <v>406</v>
      </c>
      <c r="C138" s="44">
        <v>4000</v>
      </c>
    </row>
    <row r="139" spans="1:5" x14ac:dyDescent="0.3">
      <c r="A139" s="41">
        <v>120</v>
      </c>
      <c r="B139" s="42" t="s">
        <v>407</v>
      </c>
      <c r="C139" s="44">
        <v>4000</v>
      </c>
    </row>
    <row r="141" spans="1:5" s="40" customFormat="1" x14ac:dyDescent="0.3">
      <c r="A141" s="36" t="s">
        <v>432</v>
      </c>
      <c r="B141" s="37" t="s">
        <v>286</v>
      </c>
      <c r="C141" s="38"/>
      <c r="D141" s="38"/>
      <c r="E141" s="39"/>
    </row>
    <row r="142" spans="1:5" x14ac:dyDescent="0.3">
      <c r="A142" s="41" t="s">
        <v>433</v>
      </c>
      <c r="B142" s="42" t="s">
        <v>434</v>
      </c>
      <c r="C142" s="44" t="s">
        <v>435</v>
      </c>
    </row>
    <row r="143" spans="1:5" x14ac:dyDescent="0.3">
      <c r="B143" s="42" t="s">
        <v>436</v>
      </c>
    </row>
    <row r="144" spans="1:5" x14ac:dyDescent="0.3">
      <c r="A144" s="41" t="s">
        <v>437</v>
      </c>
      <c r="B144" s="42">
        <v>1000000</v>
      </c>
    </row>
    <row r="145" spans="1:3" x14ac:dyDescent="0.3">
      <c r="A145" s="41" t="s">
        <v>438</v>
      </c>
      <c r="B145" s="42">
        <v>25000</v>
      </c>
    </row>
    <row r="146" spans="1:3" x14ac:dyDescent="0.3">
      <c r="A146" s="41" t="s">
        <v>440</v>
      </c>
      <c r="B146" s="42">
        <v>2</v>
      </c>
      <c r="C146" s="44" t="s">
        <v>441</v>
      </c>
    </row>
    <row r="147" spans="1:3" x14ac:dyDescent="0.3">
      <c r="A147" s="41" t="s">
        <v>439</v>
      </c>
      <c r="B147" s="42">
        <v>10</v>
      </c>
      <c r="C147" s="44" t="s">
        <v>442</v>
      </c>
    </row>
    <row r="150" spans="1:3" x14ac:dyDescent="0.3">
      <c r="A150" s="41">
        <v>0</v>
      </c>
      <c r="C150" s="44" t="s">
        <v>443</v>
      </c>
    </row>
    <row r="151" spans="1:3" x14ac:dyDescent="0.3">
      <c r="A151" s="41">
        <v>1</v>
      </c>
    </row>
    <row r="152" spans="1:3" x14ac:dyDescent="0.3">
      <c r="A152" s="41">
        <v>2</v>
      </c>
    </row>
    <row r="153" spans="1:3" x14ac:dyDescent="0.3">
      <c r="A153" s="41">
        <v>3</v>
      </c>
    </row>
    <row r="154" spans="1:3" x14ac:dyDescent="0.3">
      <c r="A154" s="41">
        <v>4</v>
      </c>
    </row>
    <row r="155" spans="1:3" x14ac:dyDescent="0.3">
      <c r="A155" s="41">
        <v>5</v>
      </c>
    </row>
    <row r="156" spans="1:3" x14ac:dyDescent="0.3">
      <c r="A156" s="41">
        <v>6</v>
      </c>
    </row>
    <row r="157" spans="1:3" x14ac:dyDescent="0.3">
      <c r="A157" s="41">
        <v>7</v>
      </c>
    </row>
    <row r="158" spans="1:3" x14ac:dyDescent="0.3">
      <c r="A158" s="41">
        <v>8</v>
      </c>
    </row>
    <row r="159" spans="1:3" x14ac:dyDescent="0.3">
      <c r="A159" s="41">
        <v>9</v>
      </c>
    </row>
    <row r="160" spans="1:3" x14ac:dyDescent="0.3">
      <c r="A160" s="41">
        <v>10</v>
      </c>
    </row>
    <row r="161" spans="1:5" x14ac:dyDescent="0.3">
      <c r="A161" s="41">
        <v>11</v>
      </c>
    </row>
    <row r="162" spans="1:5" x14ac:dyDescent="0.3">
      <c r="A162" s="41">
        <v>12</v>
      </c>
    </row>
    <row r="163" spans="1:5" x14ac:dyDescent="0.3">
      <c r="A163" s="41">
        <v>13</v>
      </c>
    </row>
    <row r="164" spans="1:5" x14ac:dyDescent="0.3">
      <c r="A164" s="41">
        <v>14</v>
      </c>
    </row>
    <row r="165" spans="1:5" x14ac:dyDescent="0.3">
      <c r="A165" s="41">
        <v>15</v>
      </c>
    </row>
    <row r="166" spans="1:5" x14ac:dyDescent="0.3">
      <c r="A166" s="41">
        <v>16</v>
      </c>
    </row>
    <row r="167" spans="1:5" x14ac:dyDescent="0.3">
      <c r="A167" s="41">
        <v>17</v>
      </c>
    </row>
    <row r="168" spans="1:5" x14ac:dyDescent="0.3">
      <c r="A168" s="41">
        <v>18</v>
      </c>
    </row>
    <row r="169" spans="1:5" x14ac:dyDescent="0.3">
      <c r="A169" s="41">
        <v>19</v>
      </c>
    </row>
    <row r="170" spans="1:5" x14ac:dyDescent="0.3">
      <c r="A170" s="41">
        <v>20</v>
      </c>
      <c r="B170" s="42">
        <v>1000000</v>
      </c>
    </row>
    <row r="172" spans="1:5" s="40" customFormat="1" x14ac:dyDescent="0.3">
      <c r="A172" s="36" t="s">
        <v>456</v>
      </c>
      <c r="B172" s="37" t="s">
        <v>286</v>
      </c>
      <c r="C172" s="38"/>
      <c r="D172" s="38"/>
      <c r="E172" s="39"/>
    </row>
    <row r="177" spans="1:5" s="40" customFormat="1" x14ac:dyDescent="0.3">
      <c r="A177" s="36" t="s">
        <v>457</v>
      </c>
      <c r="B177" s="37" t="s">
        <v>286</v>
      </c>
      <c r="C177" s="38"/>
      <c r="D177" s="38"/>
      <c r="E177" s="39"/>
    </row>
    <row r="178" spans="1:5" x14ac:dyDescent="0.3">
      <c r="A178" s="41" t="s">
        <v>458</v>
      </c>
    </row>
    <row r="179" spans="1:5" x14ac:dyDescent="0.3">
      <c r="A179" s="41" t="s">
        <v>462</v>
      </c>
      <c r="B179" s="42">
        <v>2000000</v>
      </c>
    </row>
    <row r="180" spans="1:5" x14ac:dyDescent="0.3">
      <c r="A180" s="41" t="s">
        <v>459</v>
      </c>
      <c r="B180" s="42">
        <v>700000</v>
      </c>
    </row>
    <row r="181" spans="1:5" x14ac:dyDescent="0.3">
      <c r="A181" s="41" t="s">
        <v>460</v>
      </c>
      <c r="B181" s="42">
        <v>800000</v>
      </c>
    </row>
    <row r="182" spans="1:5" x14ac:dyDescent="0.3">
      <c r="A182" s="41" t="s">
        <v>461</v>
      </c>
      <c r="B182" s="42">
        <v>500000</v>
      </c>
    </row>
    <row r="183" spans="1:5" x14ac:dyDescent="0.3">
      <c r="A183" s="41" t="s">
        <v>463</v>
      </c>
      <c r="B183" s="42" t="s">
        <v>464</v>
      </c>
    </row>
    <row r="184" spans="1:5" x14ac:dyDescent="0.3">
      <c r="A184" s="41" t="s">
        <v>41</v>
      </c>
      <c r="B184" s="42">
        <v>0.12</v>
      </c>
    </row>
    <row r="186" spans="1:5" x14ac:dyDescent="0.3">
      <c r="A186" s="41" t="s">
        <v>465</v>
      </c>
      <c r="B186" s="42">
        <v>700000</v>
      </c>
    </row>
    <row r="187" spans="1:5" x14ac:dyDescent="0.3">
      <c r="A187" s="41" t="s">
        <v>466</v>
      </c>
      <c r="B187" s="42">
        <v>800000</v>
      </c>
    </row>
    <row r="188" spans="1:5" x14ac:dyDescent="0.3">
      <c r="A188" s="41" t="s">
        <v>467</v>
      </c>
      <c r="B188" s="42">
        <v>500000</v>
      </c>
    </row>
    <row r="189" spans="1:5" x14ac:dyDescent="0.3">
      <c r="A189" s="41" t="s">
        <v>468</v>
      </c>
    </row>
    <row r="190" spans="1:5" x14ac:dyDescent="0.3">
      <c r="A190" s="41" t="s">
        <v>469</v>
      </c>
    </row>
    <row r="191" spans="1:5" x14ac:dyDescent="0.3">
      <c r="A191" s="41" t="s">
        <v>470</v>
      </c>
    </row>
    <row r="192" spans="1:5" x14ac:dyDescent="0.3">
      <c r="A192" s="41" t="s">
        <v>471</v>
      </c>
    </row>
    <row r="193" spans="1:3" x14ac:dyDescent="0.3">
      <c r="A193" s="41" t="s">
        <v>472</v>
      </c>
    </row>
    <row r="194" spans="1:3" x14ac:dyDescent="0.3">
      <c r="A194" s="54" t="s">
        <v>473</v>
      </c>
      <c r="B194" s="55" t="s">
        <v>474</v>
      </c>
      <c r="C194" s="56"/>
    </row>
    <row r="195" spans="1:3" x14ac:dyDescent="0.3">
      <c r="A195" s="51" t="s">
        <v>475</v>
      </c>
    </row>
    <row r="196" spans="1:3" x14ac:dyDescent="0.3">
      <c r="A196" s="51" t="s">
        <v>476</v>
      </c>
    </row>
    <row r="197" spans="1:3" x14ac:dyDescent="0.3">
      <c r="A197" s="51" t="s">
        <v>477</v>
      </c>
    </row>
    <row r="198" spans="1:3" x14ac:dyDescent="0.3">
      <c r="A198" s="51" t="s">
        <v>465</v>
      </c>
    </row>
    <row r="199" spans="1:3" x14ac:dyDescent="0.3">
      <c r="A199" s="51" t="s">
        <v>466</v>
      </c>
    </row>
    <row r="200" spans="1:3" x14ac:dyDescent="0.3">
      <c r="A200" s="51" t="s">
        <v>467</v>
      </c>
      <c r="B200" s="53" t="s">
        <v>479</v>
      </c>
      <c r="C200" s="52" t="s">
        <v>478</v>
      </c>
    </row>
    <row r="205" spans="1:3" x14ac:dyDescent="0.3">
      <c r="A205" s="41" t="s">
        <v>480</v>
      </c>
    </row>
    <row r="213" spans="1:4" x14ac:dyDescent="0.3">
      <c r="C213" s="57"/>
      <c r="D213" s="57"/>
    </row>
    <row r="214" spans="1:4" x14ac:dyDescent="0.3">
      <c r="A214" s="58" t="s">
        <v>481</v>
      </c>
    </row>
    <row r="250" spans="1:5" s="40" customFormat="1" x14ac:dyDescent="0.3">
      <c r="A250" s="36" t="s">
        <v>482</v>
      </c>
      <c r="B250" s="37" t="s">
        <v>286</v>
      </c>
      <c r="C250" s="38"/>
      <c r="D250" s="38"/>
      <c r="E250" s="39"/>
    </row>
    <row r="251" spans="1:5" x14ac:dyDescent="0.3">
      <c r="A251" s="41" t="s">
        <v>487</v>
      </c>
      <c r="B251" s="42" t="s">
        <v>488</v>
      </c>
    </row>
    <row r="252" spans="1:5" x14ac:dyDescent="0.3">
      <c r="A252" s="41" t="s">
        <v>483</v>
      </c>
    </row>
    <row r="253" spans="1:5" x14ac:dyDescent="0.3">
      <c r="A253" s="41">
        <v>1</v>
      </c>
      <c r="B253" s="42" t="s">
        <v>484</v>
      </c>
    </row>
    <row r="254" spans="1:5" x14ac:dyDescent="0.3">
      <c r="A254" s="41" t="s">
        <v>485</v>
      </c>
      <c r="B254" s="42" t="s">
        <v>486</v>
      </c>
      <c r="C254" s="44">
        <v>300000</v>
      </c>
    </row>
    <row r="255" spans="1:5" ht="28.8" x14ac:dyDescent="0.3">
      <c r="A255" s="41" t="s">
        <v>489</v>
      </c>
      <c r="C255" s="44">
        <v>2500000</v>
      </c>
    </row>
    <row r="258" spans="1:3" x14ac:dyDescent="0.3">
      <c r="A258" s="41" t="s">
        <v>492</v>
      </c>
      <c r="B258" s="42">
        <v>0.15</v>
      </c>
    </row>
    <row r="259" spans="1:3" x14ac:dyDescent="0.3">
      <c r="A259" s="41" t="s">
        <v>490</v>
      </c>
      <c r="B259" s="42" t="s">
        <v>491</v>
      </c>
    </row>
    <row r="262" spans="1:3" x14ac:dyDescent="0.3">
      <c r="A262" s="80" t="s">
        <v>493</v>
      </c>
      <c r="B262" s="80"/>
      <c r="C262" s="80"/>
    </row>
    <row r="263" spans="1:3" x14ac:dyDescent="0.3">
      <c r="A263" s="41">
        <v>0</v>
      </c>
    </row>
    <row r="264" spans="1:3" x14ac:dyDescent="0.3">
      <c r="A264" s="41">
        <v>1</v>
      </c>
    </row>
    <row r="265" spans="1:3" x14ac:dyDescent="0.3">
      <c r="A265" s="41">
        <v>2</v>
      </c>
      <c r="B265" s="42" t="s">
        <v>494</v>
      </c>
    </row>
    <row r="266" spans="1:3" x14ac:dyDescent="0.3">
      <c r="A266" s="41">
        <v>3</v>
      </c>
      <c r="B266" s="42" t="s">
        <v>495</v>
      </c>
      <c r="C266" s="44">
        <v>300000</v>
      </c>
    </row>
    <row r="267" spans="1:3" x14ac:dyDescent="0.3">
      <c r="A267" s="41">
        <v>4</v>
      </c>
      <c r="B267" s="42" t="s">
        <v>496</v>
      </c>
      <c r="C267" s="44">
        <v>300000</v>
      </c>
    </row>
    <row r="268" spans="1:3" x14ac:dyDescent="0.3">
      <c r="A268" s="41">
        <v>5</v>
      </c>
      <c r="B268" s="42" t="s">
        <v>497</v>
      </c>
      <c r="C268" s="44">
        <v>300000</v>
      </c>
    </row>
    <row r="269" spans="1:3" x14ac:dyDescent="0.3">
      <c r="A269" s="41">
        <v>6</v>
      </c>
      <c r="B269" s="42" t="s">
        <v>498</v>
      </c>
      <c r="C269" s="44">
        <v>300000</v>
      </c>
    </row>
    <row r="270" spans="1:3" x14ac:dyDescent="0.3">
      <c r="A270" s="41">
        <v>7</v>
      </c>
      <c r="B270" s="42" t="s">
        <v>499</v>
      </c>
      <c r="C270" s="44">
        <v>300000</v>
      </c>
    </row>
    <row r="271" spans="1:3" x14ac:dyDescent="0.3">
      <c r="A271" s="41">
        <v>8</v>
      </c>
      <c r="B271" s="42" t="s">
        <v>500</v>
      </c>
      <c r="C271" s="44">
        <v>300000</v>
      </c>
    </row>
    <row r="272" spans="1:3" x14ac:dyDescent="0.3">
      <c r="A272" s="41">
        <v>9</v>
      </c>
      <c r="B272" s="42" t="s">
        <v>501</v>
      </c>
      <c r="C272" s="44">
        <v>300000</v>
      </c>
    </row>
    <row r="273" spans="1:4" x14ac:dyDescent="0.3">
      <c r="A273" s="41">
        <v>10</v>
      </c>
      <c r="B273" s="42" t="s">
        <v>502</v>
      </c>
      <c r="C273" s="44">
        <v>300000</v>
      </c>
    </row>
    <row r="274" spans="1:4" x14ac:dyDescent="0.3">
      <c r="A274" s="41">
        <v>11</v>
      </c>
      <c r="B274" s="42" t="s">
        <v>503</v>
      </c>
      <c r="C274" s="44">
        <v>300000</v>
      </c>
    </row>
    <row r="275" spans="1:4" x14ac:dyDescent="0.3">
      <c r="A275" s="41">
        <v>12</v>
      </c>
      <c r="B275" s="42" t="s">
        <v>504</v>
      </c>
      <c r="C275" s="44">
        <v>300000</v>
      </c>
      <c r="D275" s="44">
        <v>2500000</v>
      </c>
    </row>
    <row r="278" spans="1:4" ht="28.8" x14ac:dyDescent="0.3">
      <c r="A278" s="41" t="s">
        <v>505</v>
      </c>
    </row>
    <row r="279" spans="1:4" ht="28.8" x14ac:dyDescent="0.3">
      <c r="A279" s="41" t="s">
        <v>506</v>
      </c>
      <c r="B279" s="42" t="s">
        <v>507</v>
      </c>
    </row>
    <row r="280" spans="1:4" x14ac:dyDescent="0.3">
      <c r="A280" s="41" t="s">
        <v>508</v>
      </c>
      <c r="C280" s="47">
        <f>-PV(0.15, 10, C275, C255)</f>
        <v>2123592.3530609333</v>
      </c>
    </row>
    <row r="283" spans="1:4" x14ac:dyDescent="0.3">
      <c r="A283" s="41" t="s">
        <v>509</v>
      </c>
    </row>
    <row r="284" spans="1:4" x14ac:dyDescent="0.3">
      <c r="A284" s="41" t="s">
        <v>510</v>
      </c>
    </row>
    <row r="285" spans="1:4" x14ac:dyDescent="0.3">
      <c r="A285" s="41">
        <v>0</v>
      </c>
      <c r="B285" s="42" t="s">
        <v>511</v>
      </c>
    </row>
    <row r="286" spans="1:4" x14ac:dyDescent="0.3">
      <c r="A286" s="41">
        <v>1</v>
      </c>
      <c r="B286" s="42" t="s">
        <v>512</v>
      </c>
    </row>
    <row r="287" spans="1:4" x14ac:dyDescent="0.3">
      <c r="A287" s="41">
        <v>2</v>
      </c>
      <c r="B287" s="42" t="s">
        <v>513</v>
      </c>
    </row>
    <row r="288" spans="1:4" x14ac:dyDescent="0.3">
      <c r="A288" s="41">
        <v>3</v>
      </c>
      <c r="B288" s="42" t="s">
        <v>514</v>
      </c>
    </row>
    <row r="289" spans="1:2" x14ac:dyDescent="0.3">
      <c r="A289" s="41">
        <v>4</v>
      </c>
      <c r="B289" s="42" t="s">
        <v>515</v>
      </c>
    </row>
    <row r="290" spans="1:2" x14ac:dyDescent="0.3">
      <c r="A290" s="41">
        <v>5</v>
      </c>
      <c r="B290" s="42" t="s">
        <v>516</v>
      </c>
    </row>
    <row r="291" spans="1:2" x14ac:dyDescent="0.3">
      <c r="A291" s="41">
        <v>6</v>
      </c>
      <c r="B291" s="42" t="s">
        <v>517</v>
      </c>
    </row>
    <row r="292" spans="1:2" x14ac:dyDescent="0.3">
      <c r="A292" s="41">
        <v>7</v>
      </c>
      <c r="B292" s="42" t="s">
        <v>518</v>
      </c>
    </row>
    <row r="293" spans="1:2" x14ac:dyDescent="0.3">
      <c r="A293" s="41">
        <v>8</v>
      </c>
    </row>
    <row r="294" spans="1:2" x14ac:dyDescent="0.3">
      <c r="A294" s="41">
        <v>9</v>
      </c>
    </row>
    <row r="295" spans="1:2" x14ac:dyDescent="0.3">
      <c r="A295" s="41">
        <v>10</v>
      </c>
    </row>
    <row r="296" spans="1:2" x14ac:dyDescent="0.3">
      <c r="A296" s="41">
        <v>11</v>
      </c>
    </row>
    <row r="297" spans="1:2" x14ac:dyDescent="0.3">
      <c r="A297" s="41">
        <v>12</v>
      </c>
    </row>
    <row r="298" spans="1:2" x14ac:dyDescent="0.3">
      <c r="A298" s="41">
        <v>13</v>
      </c>
    </row>
    <row r="299" spans="1:2" x14ac:dyDescent="0.3">
      <c r="A299" s="41">
        <v>14</v>
      </c>
    </row>
    <row r="300" spans="1:2" x14ac:dyDescent="0.3">
      <c r="A300" s="41">
        <v>15</v>
      </c>
    </row>
    <row r="301" spans="1:2" x14ac:dyDescent="0.3">
      <c r="A301" s="41">
        <v>16</v>
      </c>
    </row>
    <row r="302" spans="1:2" x14ac:dyDescent="0.3">
      <c r="A302" s="41">
        <v>17</v>
      </c>
    </row>
    <row r="303" spans="1:2" x14ac:dyDescent="0.3">
      <c r="A303" s="41">
        <v>18</v>
      </c>
    </row>
    <row r="304" spans="1:2" x14ac:dyDescent="0.3">
      <c r="A304" s="41">
        <v>19</v>
      </c>
    </row>
    <row r="305" spans="1:1" x14ac:dyDescent="0.3">
      <c r="A305" s="41">
        <v>20</v>
      </c>
    </row>
  </sheetData>
  <mergeCells count="1">
    <mergeCell ref="A262:C262"/>
  </mergeCells>
  <phoneticPr fontId="8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F1A1-74DB-4181-8368-693915BB7C1F}">
  <dimension ref="A1:G111"/>
  <sheetViews>
    <sheetView topLeftCell="A94" workbookViewId="0">
      <selection activeCell="E109" sqref="E109"/>
    </sheetView>
  </sheetViews>
  <sheetFormatPr defaultRowHeight="14.4" x14ac:dyDescent="0.3"/>
  <cols>
    <col min="1" max="1" width="12.109375" customWidth="1"/>
    <col min="4" max="4" width="16.5546875" customWidth="1"/>
    <col min="6" max="6" width="13.21875" customWidth="1"/>
  </cols>
  <sheetData>
    <row r="1" spans="1:6" s="87" customFormat="1" x14ac:dyDescent="0.3">
      <c r="A1">
        <v>1</v>
      </c>
    </row>
    <row r="3" spans="1:6" x14ac:dyDescent="0.3">
      <c r="A3" t="s">
        <v>556</v>
      </c>
    </row>
    <row r="4" spans="1:6" x14ac:dyDescent="0.3">
      <c r="A4" t="s">
        <v>557</v>
      </c>
      <c r="B4">
        <v>-100</v>
      </c>
    </row>
    <row r="5" spans="1:6" x14ac:dyDescent="0.3">
      <c r="A5" t="s">
        <v>558</v>
      </c>
      <c r="B5">
        <v>-100</v>
      </c>
    </row>
    <row r="7" spans="1:6" x14ac:dyDescent="0.3">
      <c r="D7" t="s">
        <v>561</v>
      </c>
    </row>
    <row r="8" spans="1:6" x14ac:dyDescent="0.3">
      <c r="D8" t="s">
        <v>562</v>
      </c>
    </row>
    <row r="9" spans="1:6" x14ac:dyDescent="0.3">
      <c r="A9" t="s">
        <v>551</v>
      </c>
      <c r="B9" t="s">
        <v>552</v>
      </c>
      <c r="C9" t="s">
        <v>481</v>
      </c>
      <c r="D9" t="s">
        <v>563</v>
      </c>
    </row>
    <row r="10" spans="1:6" x14ac:dyDescent="0.3">
      <c r="A10">
        <v>0</v>
      </c>
      <c r="B10" s="84">
        <v>-100</v>
      </c>
      <c r="C10" s="84">
        <v>-100</v>
      </c>
      <c r="D10">
        <f>+B10-C10</f>
        <v>0</v>
      </c>
    </row>
    <row r="11" spans="1:6" x14ac:dyDescent="0.3">
      <c r="A11">
        <v>1</v>
      </c>
      <c r="B11">
        <v>65</v>
      </c>
      <c r="C11">
        <v>10</v>
      </c>
      <c r="D11">
        <f t="shared" ref="D11:D14" si="0">+B11-C11</f>
        <v>55</v>
      </c>
    </row>
    <row r="12" spans="1:6" x14ac:dyDescent="0.3">
      <c r="A12">
        <v>2</v>
      </c>
      <c r="B12">
        <v>30</v>
      </c>
      <c r="C12">
        <v>10</v>
      </c>
      <c r="D12">
        <f t="shared" si="0"/>
        <v>20</v>
      </c>
      <c r="F12" t="s">
        <v>564</v>
      </c>
    </row>
    <row r="13" spans="1:6" x14ac:dyDescent="0.3">
      <c r="A13">
        <v>3</v>
      </c>
      <c r="B13">
        <v>25</v>
      </c>
      <c r="C13">
        <v>10</v>
      </c>
      <c r="D13">
        <f t="shared" si="0"/>
        <v>15</v>
      </c>
    </row>
    <row r="14" spans="1:6" x14ac:dyDescent="0.3">
      <c r="A14">
        <v>4</v>
      </c>
      <c r="B14">
        <v>5</v>
      </c>
      <c r="C14">
        <v>110</v>
      </c>
      <c r="D14">
        <f t="shared" si="0"/>
        <v>-105</v>
      </c>
    </row>
    <row r="15" spans="1:6" x14ac:dyDescent="0.3">
      <c r="A15" t="s">
        <v>519</v>
      </c>
      <c r="B15" s="83">
        <f>+IRR(B10:B14)</f>
        <v>0.13956159775417909</v>
      </c>
      <c r="C15" s="83">
        <f>+IRR(C10:C14)</f>
        <v>0.10000000000000009</v>
      </c>
      <c r="D15" s="83">
        <f>+IRR(D10:D14)</f>
        <v>6.4604653317016369E-2</v>
      </c>
    </row>
    <row r="17" spans="1:4" x14ac:dyDescent="0.3">
      <c r="A17" t="s">
        <v>560</v>
      </c>
    </row>
    <row r="18" spans="1:4" x14ac:dyDescent="0.3">
      <c r="A18" t="s">
        <v>553</v>
      </c>
      <c r="B18" t="s">
        <v>554</v>
      </c>
      <c r="C18" t="s">
        <v>555</v>
      </c>
    </row>
    <row r="19" spans="1:4" x14ac:dyDescent="0.3">
      <c r="A19" s="1">
        <v>0</v>
      </c>
      <c r="B19" s="86">
        <f>+NPV(A19, $B$11:$B$14)+$B$10</f>
        <v>25</v>
      </c>
      <c r="C19" s="86">
        <f>+NPV(A19, $C$11:$C$14)+$C$10</f>
        <v>40</v>
      </c>
      <c r="D19" t="s">
        <v>559</v>
      </c>
    </row>
    <row r="20" spans="1:4" x14ac:dyDescent="0.3">
      <c r="A20" s="1">
        <f>+A19+0.01</f>
        <v>0.01</v>
      </c>
      <c r="B20" s="86">
        <f t="shared" ref="B20:B41" si="1">+NPV(A20, $B$11:$B$14)+$B$10</f>
        <v>22.834972546377173</v>
      </c>
      <c r="C20" s="86">
        <f t="shared" ref="C20:C31" si="2">+NPV(A20, $C$11:$C$14)+$C$10</f>
        <v>35.117689965465331</v>
      </c>
    </row>
    <row r="21" spans="1:4" x14ac:dyDescent="0.3">
      <c r="A21" s="1">
        <f>+A20+0.01</f>
        <v>0.02</v>
      </c>
      <c r="B21" s="86">
        <f t="shared" si="1"/>
        <v>20.73783912702666</v>
      </c>
      <c r="C21" s="86">
        <f t="shared" si="2"/>
        <v>30.461829589394313</v>
      </c>
    </row>
    <row r="22" spans="1:4" x14ac:dyDescent="0.3">
      <c r="A22" s="1">
        <f t="shared" ref="A22:A39" si="3">+A21+0.01</f>
        <v>0.03</v>
      </c>
      <c r="B22" s="86">
        <f t="shared" si="1"/>
        <v>18.705650113924904</v>
      </c>
      <c r="C22" s="86">
        <f t="shared" si="2"/>
        <v>26.019688819672595</v>
      </c>
    </row>
    <row r="23" spans="1:4" x14ac:dyDescent="0.3">
      <c r="A23" s="1">
        <f t="shared" si="3"/>
        <v>0.04</v>
      </c>
      <c r="B23" s="86">
        <f t="shared" si="1"/>
        <v>16.735616312454027</v>
      </c>
      <c r="C23" s="86">
        <f t="shared" si="2"/>
        <v>21.779371345541122</v>
      </c>
    </row>
    <row r="24" spans="1:4" x14ac:dyDescent="0.3">
      <c r="A24" s="1">
        <f t="shared" si="3"/>
        <v>0.05</v>
      </c>
      <c r="B24" s="86">
        <f t="shared" si="1"/>
        <v>14.825098595749708</v>
      </c>
      <c r="C24" s="86">
        <f t="shared" si="2"/>
        <v>17.7297525208118</v>
      </c>
    </row>
    <row r="25" spans="1:4" x14ac:dyDescent="0.3">
      <c r="A25" s="1">
        <f t="shared" si="3"/>
        <v>6.0000000000000005E-2</v>
      </c>
      <c r="B25" s="86">
        <f t="shared" si="1"/>
        <v>12.971598309405962</v>
      </c>
      <c r="C25" s="86">
        <f t="shared" si="2"/>
        <v>13.860422450798609</v>
      </c>
    </row>
    <row r="26" spans="1:4" x14ac:dyDescent="0.3">
      <c r="A26" s="1">
        <f>+D15</f>
        <v>6.4604653317016369E-2</v>
      </c>
      <c r="B26" s="86">
        <f t="shared" si="1"/>
        <v>12.136640158903688</v>
      </c>
      <c r="C26" s="86">
        <f t="shared" si="2"/>
        <v>12.136640159538445</v>
      </c>
    </row>
    <row r="27" spans="1:4" x14ac:dyDescent="0.3">
      <c r="A27" s="1">
        <f>+A25+0.01</f>
        <v>7.0000000000000007E-2</v>
      </c>
      <c r="B27" s="86">
        <f t="shared" si="1"/>
        <v>11.17274838210713</v>
      </c>
      <c r="C27" s="86">
        <f t="shared" si="2"/>
        <v>10.16163376939177</v>
      </c>
    </row>
    <row r="28" spans="1:4" x14ac:dyDescent="0.3">
      <c r="A28" s="1">
        <f>+A27+0.01</f>
        <v>0.08</v>
      </c>
      <c r="B28" s="86">
        <f t="shared" si="1"/>
        <v>9.4263050837251825</v>
      </c>
      <c r="C28" s="86">
        <f t="shared" si="2"/>
        <v>6.6242536800886569</v>
      </c>
    </row>
    <row r="29" spans="1:4" x14ac:dyDescent="0.3">
      <c r="A29" s="1">
        <f>+A28+0.01</f>
        <v>0.09</v>
      </c>
      <c r="B29" s="86">
        <f t="shared" si="1"/>
        <v>7.7301403777851618</v>
      </c>
      <c r="C29" s="86">
        <f t="shared" si="2"/>
        <v>3.2397198770533464</v>
      </c>
    </row>
    <row r="30" spans="1:4" x14ac:dyDescent="0.3">
      <c r="A30" s="1">
        <f>+A29+0.01</f>
        <v>9.9999999999999992E-2</v>
      </c>
      <c r="B30" s="86">
        <f t="shared" si="1"/>
        <v>6.0822348200259313</v>
      </c>
      <c r="C30" s="86">
        <f t="shared" si="2"/>
        <v>0</v>
      </c>
    </row>
    <row r="31" spans="1:4" x14ac:dyDescent="0.3">
      <c r="A31" s="1">
        <f>+A30+0.01</f>
        <v>0.10999999999999999</v>
      </c>
      <c r="B31" s="86">
        <f t="shared" si="1"/>
        <v>4.4806709591289859</v>
      </c>
      <c r="C31" s="86">
        <f t="shared" si="2"/>
        <v>-3.1024456895908656</v>
      </c>
    </row>
    <row r="32" spans="1:4" x14ac:dyDescent="0.3">
      <c r="A32" s="1">
        <f>+A31+0.01</f>
        <v>0.11999999999999998</v>
      </c>
      <c r="B32" s="86">
        <f>+NPV(A32, $B$11:$B$14)+$B$10</f>
        <v>2.9236271996043541</v>
      </c>
      <c r="C32" s="86">
        <f>+NPV(A32, $C$11:$C$14)+$C$10</f>
        <v>-6.0746986932527705</v>
      </c>
    </row>
    <row r="33" spans="1:5" x14ac:dyDescent="0.3">
      <c r="A33" s="1">
        <f>+A32+0.01</f>
        <v>0.12999999999999998</v>
      </c>
      <c r="B33" s="86">
        <f t="shared" si="1"/>
        <v>1.4093720903584739</v>
      </c>
      <c r="C33" s="86">
        <f t="shared" ref="C33:C41" si="4">+NPV(A33, $C$11:$C$14)+$C$10</f>
        <v>-8.9234139766297318</v>
      </c>
    </row>
    <row r="34" spans="1:5" x14ac:dyDescent="0.3">
      <c r="A34" s="85">
        <f>+B15</f>
        <v>0.13956159775417909</v>
      </c>
      <c r="B34" s="86">
        <f t="shared" si="1"/>
        <v>7.9154460763675161E-12</v>
      </c>
      <c r="C34" s="86">
        <f t="shared" si="4"/>
        <v>-11.537478844710961</v>
      </c>
    </row>
    <row r="35" spans="1:5" x14ac:dyDescent="0.3">
      <c r="A35" s="1">
        <f>+A33+0.01</f>
        <v>0.13999999999999999</v>
      </c>
      <c r="B35" s="86">
        <f t="shared" si="1"/>
        <v>-6.3740994340548696E-2</v>
      </c>
      <c r="C35" s="86">
        <f t="shared" si="4"/>
        <v>-11.654849217994553</v>
      </c>
    </row>
    <row r="36" spans="1:5" x14ac:dyDescent="0.3">
      <c r="A36" s="1">
        <f>+A35+0.01</f>
        <v>0.15</v>
      </c>
      <c r="B36" s="86">
        <f t="shared" si="1"/>
        <v>-1.4972788118967486</v>
      </c>
      <c r="C36" s="86">
        <f t="shared" si="4"/>
        <v>-14.274891813565517</v>
      </c>
    </row>
    <row r="37" spans="1:5" x14ac:dyDescent="0.3">
      <c r="A37" s="1">
        <f>+A36+0.01</f>
        <v>0.16</v>
      </c>
      <c r="B37" s="86">
        <f t="shared" si="1"/>
        <v>-2.8927328742041709</v>
      </c>
      <c r="C37" s="86">
        <f t="shared" si="4"/>
        <v>-16.789083829482195</v>
      </c>
    </row>
    <row r="38" spans="1:5" x14ac:dyDescent="0.3">
      <c r="A38" s="1">
        <f>+A37+0.01</f>
        <v>0.17</v>
      </c>
      <c r="B38" s="86">
        <f t="shared" si="1"/>
        <v>-4.2515237616675989</v>
      </c>
      <c r="C38" s="86">
        <f t="shared" si="4"/>
        <v>-19.202645072752262</v>
      </c>
    </row>
    <row r="39" spans="1:5" x14ac:dyDescent="0.3">
      <c r="A39" s="1">
        <f>+A38+0.01</f>
        <v>0.18000000000000002</v>
      </c>
      <c r="B39" s="86">
        <f t="shared" si="1"/>
        <v>-5.5750051516992727</v>
      </c>
      <c r="C39" s="86">
        <f t="shared" si="4"/>
        <v>-21.520494437691497</v>
      </c>
    </row>
    <row r="40" spans="1:5" x14ac:dyDescent="0.3">
      <c r="A40" s="1">
        <f>+A39+0.01</f>
        <v>0.19000000000000003</v>
      </c>
      <c r="B40" s="86">
        <f t="shared" si="1"/>
        <v>-6.8644675830180404</v>
      </c>
      <c r="C40" s="86">
        <f t="shared" si="4"/>
        <v>-23.747269670152207</v>
      </c>
      <c r="E40" t="s">
        <v>565</v>
      </c>
    </row>
    <row r="41" spans="1:5" x14ac:dyDescent="0.3">
      <c r="A41" s="1">
        <f>+A40+0.01</f>
        <v>0.20000000000000004</v>
      </c>
      <c r="B41" s="86">
        <f t="shared" si="1"/>
        <v>-8.1211419753086318</v>
      </c>
      <c r="C41" s="86">
        <f t="shared" si="4"/>
        <v>-25.887345679012341</v>
      </c>
    </row>
    <row r="42" spans="1:5" x14ac:dyDescent="0.3">
      <c r="A42" s="82"/>
    </row>
    <row r="43" spans="1:5" x14ac:dyDescent="0.3">
      <c r="A43" s="82"/>
      <c r="E43" t="s">
        <v>566</v>
      </c>
    </row>
    <row r="44" spans="1:5" x14ac:dyDescent="0.3">
      <c r="A44" s="82"/>
      <c r="E44" t="s">
        <v>567</v>
      </c>
    </row>
    <row r="45" spans="1:5" x14ac:dyDescent="0.3">
      <c r="A45" s="82"/>
      <c r="E45" t="s">
        <v>568</v>
      </c>
    </row>
    <row r="46" spans="1:5" x14ac:dyDescent="0.3">
      <c r="A46" s="82"/>
      <c r="E46" t="s">
        <v>569</v>
      </c>
    </row>
    <row r="47" spans="1:5" x14ac:dyDescent="0.3">
      <c r="A47" s="82"/>
    </row>
    <row r="48" spans="1:5" x14ac:dyDescent="0.3">
      <c r="A48" s="82"/>
    </row>
    <row r="49" spans="1:7" x14ac:dyDescent="0.3">
      <c r="A49" s="82"/>
    </row>
    <row r="50" spans="1:7" s="87" customFormat="1" x14ac:dyDescent="0.3">
      <c r="A50">
        <v>2</v>
      </c>
    </row>
    <row r="51" spans="1:7" x14ac:dyDescent="0.3">
      <c r="A51" s="82" t="s">
        <v>570</v>
      </c>
    </row>
    <row r="52" spans="1:7" x14ac:dyDescent="0.3">
      <c r="A52" s="82"/>
    </row>
    <row r="53" spans="1:7" x14ac:dyDescent="0.3">
      <c r="A53" s="82"/>
      <c r="D53" t="s">
        <v>571</v>
      </c>
    </row>
    <row r="54" spans="1:7" x14ac:dyDescent="0.3">
      <c r="A54" t="s">
        <v>551</v>
      </c>
      <c r="B54" t="s">
        <v>552</v>
      </c>
      <c r="C54" t="s">
        <v>481</v>
      </c>
      <c r="D54" t="s">
        <v>573</v>
      </c>
      <c r="E54" t="s">
        <v>572</v>
      </c>
      <c r="F54" t="s">
        <v>573</v>
      </c>
      <c r="G54" t="s">
        <v>572</v>
      </c>
    </row>
    <row r="55" spans="1:7" x14ac:dyDescent="0.3">
      <c r="A55">
        <v>0</v>
      </c>
      <c r="B55" s="84">
        <v>-100</v>
      </c>
      <c r="C55" s="84">
        <v>-100</v>
      </c>
      <c r="D55">
        <f>+B55/(1+0.08)^A55</f>
        <v>-100</v>
      </c>
      <c r="E55">
        <f>+D55</f>
        <v>-100</v>
      </c>
      <c r="F55">
        <f>+C55/(1+0.08)^A55</f>
        <v>-100</v>
      </c>
      <c r="G55">
        <f>+F55</f>
        <v>-100</v>
      </c>
    </row>
    <row r="56" spans="1:7" x14ac:dyDescent="0.3">
      <c r="A56">
        <v>1</v>
      </c>
      <c r="B56">
        <v>65</v>
      </c>
      <c r="C56">
        <v>10</v>
      </c>
      <c r="D56">
        <f>+B56/(1+0.08)^A56</f>
        <v>60.185185185185183</v>
      </c>
      <c r="E56">
        <f>+D56+E55</f>
        <v>-39.814814814814817</v>
      </c>
      <c r="F56">
        <f>+C56/(1+0.08)^A56</f>
        <v>9.2592592592592595</v>
      </c>
      <c r="G56">
        <f>+F56+G55</f>
        <v>-90.740740740740733</v>
      </c>
    </row>
    <row r="57" spans="1:7" x14ac:dyDescent="0.3">
      <c r="A57">
        <v>2</v>
      </c>
      <c r="B57">
        <v>30</v>
      </c>
      <c r="C57">
        <v>10</v>
      </c>
      <c r="D57">
        <f t="shared" ref="D57:E59" si="5">+B57/(1+0.08)^A57</f>
        <v>25.720164609053494</v>
      </c>
      <c r="E57">
        <f>+D57+E56</f>
        <v>-14.094650205761322</v>
      </c>
      <c r="F57">
        <f>+C57/(1+0.08)^A57</f>
        <v>8.5733882030178314</v>
      </c>
      <c r="G57">
        <f t="shared" ref="G57:G59" si="6">+F57+G56</f>
        <v>-82.167352537722905</v>
      </c>
    </row>
    <row r="58" spans="1:7" x14ac:dyDescent="0.3">
      <c r="A58">
        <v>3</v>
      </c>
      <c r="B58">
        <v>25</v>
      </c>
      <c r="C58">
        <v>10</v>
      </c>
      <c r="D58">
        <f t="shared" si="5"/>
        <v>19.845806025504238</v>
      </c>
      <c r="E58">
        <f>+D58+E57</f>
        <v>5.751155819742916</v>
      </c>
      <c r="F58">
        <f>+C58/(1+0.08)^A58</f>
        <v>7.938322410201696</v>
      </c>
      <c r="G58">
        <f t="shared" si="6"/>
        <v>-74.229030127521213</v>
      </c>
    </row>
    <row r="59" spans="1:7" x14ac:dyDescent="0.3">
      <c r="A59">
        <v>4</v>
      </c>
      <c r="B59">
        <v>5</v>
      </c>
      <c r="C59">
        <v>110</v>
      </c>
      <c r="D59">
        <f t="shared" si="5"/>
        <v>3.675149263982266</v>
      </c>
      <c r="E59">
        <f>+D59+E58</f>
        <v>9.4263050837251825</v>
      </c>
      <c r="F59">
        <f>+C59/(1+0.08)^A59</f>
        <v>80.853283807609856</v>
      </c>
      <c r="G59">
        <f t="shared" si="6"/>
        <v>6.6242536800886427</v>
      </c>
    </row>
    <row r="60" spans="1:7" x14ac:dyDescent="0.3">
      <c r="A60" s="82"/>
    </row>
    <row r="61" spans="1:7" x14ac:dyDescent="0.3">
      <c r="A61" s="82"/>
    </row>
    <row r="62" spans="1:7" x14ac:dyDescent="0.3">
      <c r="A62" s="82"/>
    </row>
    <row r="63" spans="1:7" s="87" customFormat="1" x14ac:dyDescent="0.3">
      <c r="A63">
        <v>3</v>
      </c>
    </row>
    <row r="64" spans="1:7" x14ac:dyDescent="0.3">
      <c r="A64" s="82"/>
    </row>
    <row r="65" spans="1:4" x14ac:dyDescent="0.3">
      <c r="A65" t="s">
        <v>551</v>
      </c>
      <c r="B65" t="s">
        <v>552</v>
      </c>
      <c r="C65" t="s">
        <v>481</v>
      </c>
      <c r="D65" t="s">
        <v>563</v>
      </c>
    </row>
    <row r="66" spans="1:4" x14ac:dyDescent="0.3">
      <c r="A66">
        <v>0</v>
      </c>
      <c r="B66" s="84">
        <v>100</v>
      </c>
      <c r="C66" s="84">
        <v>100</v>
      </c>
      <c r="D66">
        <f>+B66-C66</f>
        <v>0</v>
      </c>
    </row>
    <row r="67" spans="1:4" x14ac:dyDescent="0.3">
      <c r="A67">
        <v>1</v>
      </c>
      <c r="B67">
        <v>-65</v>
      </c>
      <c r="C67">
        <v>-10</v>
      </c>
      <c r="D67">
        <f t="shared" ref="D67:D70" si="7">+B67-C67</f>
        <v>-55</v>
      </c>
    </row>
    <row r="68" spans="1:4" x14ac:dyDescent="0.3">
      <c r="A68">
        <v>2</v>
      </c>
      <c r="B68">
        <v>-30</v>
      </c>
      <c r="C68">
        <v>-10</v>
      </c>
      <c r="D68">
        <f t="shared" si="7"/>
        <v>-20</v>
      </c>
    </row>
    <row r="69" spans="1:4" x14ac:dyDescent="0.3">
      <c r="A69">
        <v>3</v>
      </c>
      <c r="B69">
        <v>-25</v>
      </c>
      <c r="C69">
        <v>-10</v>
      </c>
      <c r="D69">
        <f t="shared" si="7"/>
        <v>-15</v>
      </c>
    </row>
    <row r="70" spans="1:4" x14ac:dyDescent="0.3">
      <c r="A70">
        <v>4</v>
      </c>
      <c r="B70">
        <v>-5</v>
      </c>
      <c r="C70">
        <v>-110</v>
      </c>
      <c r="D70">
        <f t="shared" si="7"/>
        <v>105</v>
      </c>
    </row>
    <row r="71" spans="1:4" x14ac:dyDescent="0.3">
      <c r="A71" t="s">
        <v>519</v>
      </c>
      <c r="B71" s="83">
        <f>+IRR(B66:B70)</f>
        <v>0.13956159775419374</v>
      </c>
      <c r="C71" s="83">
        <f>+IRR(C66:C70)</f>
        <v>0.10000000000000009</v>
      </c>
      <c r="D71" s="83">
        <f>+IRR(D66:D70)</f>
        <v>6.4604653315668115E-2</v>
      </c>
    </row>
    <row r="75" spans="1:4" x14ac:dyDescent="0.3">
      <c r="A75" t="s">
        <v>560</v>
      </c>
    </row>
    <row r="76" spans="1:4" x14ac:dyDescent="0.3">
      <c r="A76" t="s">
        <v>553</v>
      </c>
      <c r="B76" t="s">
        <v>554</v>
      </c>
      <c r="C76" t="s">
        <v>555</v>
      </c>
    </row>
    <row r="77" spans="1:4" x14ac:dyDescent="0.3">
      <c r="A77" s="1">
        <v>0</v>
      </c>
      <c r="B77" s="86">
        <f>+NPV(A77, $B$67:$B$70)+$B$66</f>
        <v>-25</v>
      </c>
      <c r="C77" s="86">
        <f>+NPV(A77, $C$67:$C$70)+$C$66</f>
        <v>-40</v>
      </c>
    </row>
    <row r="78" spans="1:4" x14ac:dyDescent="0.3">
      <c r="A78" s="1">
        <f>+A77+0.01</f>
        <v>0.01</v>
      </c>
      <c r="B78" s="86">
        <f t="shared" ref="B78:B99" si="8">+NPV(A78, $B$67:$B$70)+$B$66</f>
        <v>-22.834972546377173</v>
      </c>
      <c r="C78" s="86">
        <f t="shared" ref="C78:C99" si="9">+NPV(A78, $C$67:$C$70)+$C$66</f>
        <v>-35.117689965465331</v>
      </c>
    </row>
    <row r="79" spans="1:4" x14ac:dyDescent="0.3">
      <c r="A79" s="1">
        <f>+A78+0.01</f>
        <v>0.02</v>
      </c>
      <c r="B79" s="86">
        <f t="shared" si="8"/>
        <v>-20.73783912702666</v>
      </c>
      <c r="C79" s="86">
        <f t="shared" si="9"/>
        <v>-30.461829589394313</v>
      </c>
    </row>
    <row r="80" spans="1:4" x14ac:dyDescent="0.3">
      <c r="A80" s="1">
        <f t="shared" ref="A80:A97" si="10">+A79+0.01</f>
        <v>0.03</v>
      </c>
      <c r="B80" s="86">
        <f t="shared" si="8"/>
        <v>-18.705650113924904</v>
      </c>
      <c r="C80" s="86">
        <f t="shared" si="9"/>
        <v>-26.019688819672595</v>
      </c>
    </row>
    <row r="81" spans="1:3" x14ac:dyDescent="0.3">
      <c r="A81" s="1">
        <f t="shared" si="10"/>
        <v>0.04</v>
      </c>
      <c r="B81" s="86">
        <f t="shared" si="8"/>
        <v>-16.735616312454027</v>
      </c>
      <c r="C81" s="86">
        <f t="shared" si="9"/>
        <v>-21.779371345541122</v>
      </c>
    </row>
    <row r="82" spans="1:3" x14ac:dyDescent="0.3">
      <c r="A82" s="1">
        <f t="shared" si="10"/>
        <v>0.05</v>
      </c>
      <c r="B82" s="86">
        <f t="shared" si="8"/>
        <v>-14.825098595749708</v>
      </c>
      <c r="C82" s="86">
        <f t="shared" si="9"/>
        <v>-17.7297525208118</v>
      </c>
    </row>
    <row r="83" spans="1:3" x14ac:dyDescent="0.3">
      <c r="A83" s="1">
        <f t="shared" si="10"/>
        <v>6.0000000000000005E-2</v>
      </c>
      <c r="B83" s="86">
        <f t="shared" si="8"/>
        <v>-12.971598309405962</v>
      </c>
      <c r="C83" s="86">
        <f t="shared" si="9"/>
        <v>-13.860422450798609</v>
      </c>
    </row>
    <row r="84" spans="1:3" x14ac:dyDescent="0.3">
      <c r="A84" s="1">
        <f>+D71</f>
        <v>6.4604653315668115E-2</v>
      </c>
      <c r="B84" s="86">
        <f t="shared" si="8"/>
        <v>-12.136640159146495</v>
      </c>
      <c r="C84" s="86">
        <f t="shared" si="9"/>
        <v>-12.136640160037985</v>
      </c>
    </row>
    <row r="85" spans="1:3" x14ac:dyDescent="0.3">
      <c r="A85" s="1">
        <f>+A83+0.01</f>
        <v>7.0000000000000007E-2</v>
      </c>
      <c r="B85" s="86">
        <f t="shared" si="8"/>
        <v>-11.17274838210713</v>
      </c>
      <c r="C85" s="86">
        <f t="shared" si="9"/>
        <v>-10.16163376939177</v>
      </c>
    </row>
    <row r="86" spans="1:3" x14ac:dyDescent="0.3">
      <c r="A86" s="1">
        <f>+A85+0.01</f>
        <v>0.08</v>
      </c>
      <c r="B86" s="86">
        <f t="shared" si="8"/>
        <v>-9.4263050837251825</v>
      </c>
      <c r="C86" s="86">
        <f t="shared" si="9"/>
        <v>-6.6242536800886569</v>
      </c>
    </row>
    <row r="87" spans="1:3" x14ac:dyDescent="0.3">
      <c r="A87" s="1">
        <f>+A86+0.01</f>
        <v>0.09</v>
      </c>
      <c r="B87" s="86">
        <f t="shared" si="8"/>
        <v>-7.7301403777851618</v>
      </c>
      <c r="C87" s="86">
        <f t="shared" si="9"/>
        <v>-3.2397198770533464</v>
      </c>
    </row>
    <row r="88" spans="1:3" x14ac:dyDescent="0.3">
      <c r="A88" s="1">
        <f>+A87+0.01</f>
        <v>9.9999999999999992E-2</v>
      </c>
      <c r="B88" s="86">
        <f t="shared" si="8"/>
        <v>-6.0822348200259313</v>
      </c>
      <c r="C88" s="86">
        <f t="shared" si="9"/>
        <v>0</v>
      </c>
    </row>
    <row r="89" spans="1:3" x14ac:dyDescent="0.3">
      <c r="A89" s="1">
        <f>+A88+0.01</f>
        <v>0.10999999999999999</v>
      </c>
      <c r="B89" s="86">
        <f t="shared" si="8"/>
        <v>-4.4806709591289859</v>
      </c>
      <c r="C89" s="86">
        <f t="shared" si="9"/>
        <v>3.1024456895908656</v>
      </c>
    </row>
    <row r="90" spans="1:3" x14ac:dyDescent="0.3">
      <c r="A90" s="1">
        <f>+A89+0.01</f>
        <v>0.11999999999999998</v>
      </c>
      <c r="B90" s="86">
        <f t="shared" si="8"/>
        <v>-2.9236271996043541</v>
      </c>
      <c r="C90" s="86">
        <f t="shared" si="9"/>
        <v>6.0746986932527705</v>
      </c>
    </row>
    <row r="91" spans="1:3" x14ac:dyDescent="0.3">
      <c r="A91" s="1">
        <f>+A90+0.01</f>
        <v>0.12999999999999998</v>
      </c>
      <c r="B91" s="86">
        <f t="shared" si="8"/>
        <v>-1.4093720903584739</v>
      </c>
      <c r="C91" s="86">
        <f t="shared" si="9"/>
        <v>8.9234139766297318</v>
      </c>
    </row>
    <row r="92" spans="1:3" x14ac:dyDescent="0.3">
      <c r="A92" s="85">
        <f>+B71</f>
        <v>0.13956159775419374</v>
      </c>
      <c r="B92" s="86">
        <f t="shared" si="8"/>
        <v>-5.7980287238024175E-12</v>
      </c>
      <c r="C92" s="86">
        <f t="shared" si="9"/>
        <v>11.537478844714897</v>
      </c>
    </row>
    <row r="93" spans="1:3" x14ac:dyDescent="0.3">
      <c r="A93" s="1">
        <f>+A91+0.01</f>
        <v>0.13999999999999999</v>
      </c>
      <c r="B93" s="86">
        <f t="shared" si="8"/>
        <v>6.3740994340548696E-2</v>
      </c>
      <c r="C93" s="86">
        <f t="shared" si="9"/>
        <v>11.654849217994553</v>
      </c>
    </row>
    <row r="94" spans="1:3" x14ac:dyDescent="0.3">
      <c r="A94" s="1">
        <f>+A93+0.01</f>
        <v>0.15</v>
      </c>
      <c r="B94" s="86">
        <f t="shared" si="8"/>
        <v>1.4972788118967486</v>
      </c>
      <c r="C94" s="86">
        <f t="shared" si="9"/>
        <v>14.274891813565517</v>
      </c>
    </row>
    <row r="95" spans="1:3" x14ac:dyDescent="0.3">
      <c r="A95" s="1">
        <f>+A94+0.01</f>
        <v>0.16</v>
      </c>
      <c r="B95" s="86">
        <f t="shared" si="8"/>
        <v>2.8927328742041709</v>
      </c>
      <c r="C95" s="86">
        <f t="shared" si="9"/>
        <v>16.789083829482195</v>
      </c>
    </row>
    <row r="96" spans="1:3" x14ac:dyDescent="0.3">
      <c r="A96" s="1">
        <f>+A95+0.01</f>
        <v>0.17</v>
      </c>
      <c r="B96" s="86">
        <f t="shared" si="8"/>
        <v>4.2515237616675989</v>
      </c>
      <c r="C96" s="86">
        <f t="shared" si="9"/>
        <v>19.202645072752262</v>
      </c>
    </row>
    <row r="97" spans="1:3" x14ac:dyDescent="0.3">
      <c r="A97" s="1">
        <f>+A96+0.01</f>
        <v>0.18000000000000002</v>
      </c>
      <c r="B97" s="86">
        <f t="shared" si="8"/>
        <v>5.5750051516992727</v>
      </c>
      <c r="C97" s="86">
        <f t="shared" si="9"/>
        <v>21.520494437691497</v>
      </c>
    </row>
    <row r="98" spans="1:3" x14ac:dyDescent="0.3">
      <c r="A98" s="1">
        <f>+A97+0.01</f>
        <v>0.19000000000000003</v>
      </c>
      <c r="B98" s="86">
        <f t="shared" si="8"/>
        <v>6.8644675830180404</v>
      </c>
      <c r="C98" s="86">
        <f t="shared" si="9"/>
        <v>23.747269670152207</v>
      </c>
    </row>
    <row r="99" spans="1:3" x14ac:dyDescent="0.3">
      <c r="A99" s="1">
        <f>+A98+0.01</f>
        <v>0.20000000000000004</v>
      </c>
      <c r="B99" s="86">
        <f t="shared" si="8"/>
        <v>8.1211419753086318</v>
      </c>
      <c r="C99" s="86">
        <f t="shared" si="9"/>
        <v>25.887345679012341</v>
      </c>
    </row>
    <row r="104" spans="1:3" s="87" customFormat="1" x14ac:dyDescent="0.3">
      <c r="A104">
        <v>5</v>
      </c>
    </row>
    <row r="107" spans="1:3" x14ac:dyDescent="0.3">
      <c r="A107" t="s">
        <v>574</v>
      </c>
      <c r="B107" t="s">
        <v>554</v>
      </c>
    </row>
    <row r="108" spans="1:3" x14ac:dyDescent="0.3">
      <c r="A108">
        <v>-0.5</v>
      </c>
      <c r="B108">
        <v>-100</v>
      </c>
      <c r="C108" s="86">
        <f>+NPV(A108,B109:B110)+B108</f>
        <v>0</v>
      </c>
    </row>
    <row r="109" spans="1:3" x14ac:dyDescent="0.3">
      <c r="A109">
        <v>-0.12</v>
      </c>
      <c r="B109">
        <v>200</v>
      </c>
      <c r="C109" s="86">
        <f t="shared" ref="C109:C111" si="11">+NPV(A109,B110:B111)+B109</f>
        <v>114.77272727272727</v>
      </c>
    </row>
    <row r="110" spans="1:3" x14ac:dyDescent="0.3">
      <c r="A110">
        <v>-0.05</v>
      </c>
      <c r="B110">
        <v>-75</v>
      </c>
      <c r="C110" s="86">
        <f t="shared" si="11"/>
        <v>-75</v>
      </c>
    </row>
    <row r="111" spans="1:3" x14ac:dyDescent="0.3">
      <c r="A111">
        <v>0.5</v>
      </c>
      <c r="C111" s="86">
        <f t="shared" si="1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FORMULAS</vt:lpstr>
      <vt:lpstr>U1</vt:lpstr>
      <vt:lpstr>U2</vt:lpstr>
      <vt:lpstr>U3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</dc:creator>
  <cp:lastModifiedBy>Federico Lopez</cp:lastModifiedBy>
  <dcterms:created xsi:type="dcterms:W3CDTF">2022-08-11T16:14:45Z</dcterms:created>
  <dcterms:modified xsi:type="dcterms:W3CDTF">2022-09-17T15:48:25Z</dcterms:modified>
</cp:coreProperties>
</file>