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d55e916249d8decc/Documents/Udesa/04 Cuatrimestre/Finanzas 1/REP FINAL/"/>
    </mc:Choice>
  </mc:AlternateContent>
  <xr:revisionPtr revIDLastSave="1" documentId="11_5A8D07A77136F4A67426BE3A8360F1062F49A846" xr6:coauthVersionLast="47" xr6:coauthVersionMax="47" xr10:uidLastSave="{E5C190E9-5FE2-4A14-9F41-729CF05C4CDC}"/>
  <bookViews>
    <workbookView xWindow="516" yWindow="624" windowWidth="20700" windowHeight="10488" activeTab="1" xr2:uid="{00000000-000D-0000-FFFF-FFFF00000000}"/>
  </bookViews>
  <sheets>
    <sheet name="1" sheetId="1" r:id="rId1"/>
    <sheet name="2" sheetId="2" r:id="rId2"/>
    <sheet name="3" sheetId="3" r:id="rId3"/>
    <sheet name="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2" l="1"/>
  <c r="E15" i="2" s="1"/>
  <c r="E13" i="2"/>
  <c r="E12" i="2"/>
  <c r="F6" i="2"/>
  <c r="F3" i="2"/>
  <c r="I7" i="2"/>
  <c r="F4" i="2" s="1"/>
  <c r="J7" i="2"/>
  <c r="F5" i="2" s="1"/>
  <c r="K7" i="2"/>
  <c r="H7" i="2"/>
  <c r="E3" i="2"/>
  <c r="L3" i="2" s="1"/>
  <c r="E4" i="2"/>
  <c r="L4" i="2" s="1"/>
  <c r="E5" i="2"/>
  <c r="E6" i="2" s="1"/>
  <c r="L6" i="2" s="1"/>
  <c r="E48" i="1"/>
  <c r="D48" i="1"/>
  <c r="E58" i="1"/>
  <c r="E59" i="1"/>
  <c r="E61" i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D59" i="1"/>
  <c r="D60" i="1"/>
  <c r="E60" i="1" s="1"/>
  <c r="D61" i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N16" i="1"/>
  <c r="D11" i="1"/>
  <c r="D12" i="1" s="1"/>
  <c r="G6" i="1"/>
  <c r="H6" i="1" s="1"/>
  <c r="I6" i="1" s="1"/>
  <c r="J6" i="1" s="1"/>
  <c r="K6" i="1" s="1"/>
  <c r="L6" i="1" s="1"/>
  <c r="M6" i="1" s="1"/>
  <c r="N6" i="1" s="1"/>
  <c r="E7" i="1"/>
  <c r="O10" i="1"/>
  <c r="F4" i="1"/>
  <c r="G4" i="1" s="1"/>
  <c r="E4" i="1"/>
  <c r="D16" i="1" s="1"/>
  <c r="D17" i="1" s="1"/>
  <c r="N9" i="1"/>
  <c r="I43" i="1"/>
  <c r="J43" i="1" s="1"/>
  <c r="K43" i="1" s="1"/>
  <c r="L43" i="1" s="1"/>
  <c r="M43" i="1" s="1"/>
  <c r="N43" i="1" s="1"/>
  <c r="D41" i="1"/>
  <c r="D42" i="1"/>
  <c r="E42" i="1" s="1"/>
  <c r="D43" i="1"/>
  <c r="E43" i="1" s="1"/>
  <c r="F43" i="1" s="1"/>
  <c r="G43" i="1" s="1"/>
  <c r="H43" i="1" s="1"/>
  <c r="E35" i="1"/>
  <c r="F35" i="1" s="1"/>
  <c r="G35" i="1" s="1"/>
  <c r="E34" i="1"/>
  <c r="F34" i="1" s="1"/>
  <c r="G34" i="1" s="1"/>
  <c r="H34" i="1" s="1"/>
  <c r="I34" i="1" s="1"/>
  <c r="J34" i="1" s="1"/>
  <c r="K34" i="1" s="1"/>
  <c r="L34" i="1" s="1"/>
  <c r="M34" i="1" s="1"/>
  <c r="N34" i="1" s="1"/>
  <c r="E33" i="1"/>
  <c r="F33" i="1" s="1"/>
  <c r="G33" i="1" s="1"/>
  <c r="H33" i="1" s="1"/>
  <c r="I33" i="1" s="1"/>
  <c r="J33" i="1" s="1"/>
  <c r="K33" i="1" s="1"/>
  <c r="L33" i="1" s="1"/>
  <c r="M33" i="1" s="1"/>
  <c r="N33" i="1" s="1"/>
  <c r="C36" i="1"/>
  <c r="C44" i="1" s="1"/>
  <c r="C33" i="1"/>
  <c r="C41" i="1" s="1"/>
  <c r="C34" i="1"/>
  <c r="C42" i="1" s="1"/>
  <c r="C35" i="1"/>
  <c r="C43" i="1" s="1"/>
  <c r="C32" i="1"/>
  <c r="C40" i="1" s="1"/>
  <c r="D24" i="1"/>
  <c r="D40" i="1" s="1"/>
  <c r="E28" i="1"/>
  <c r="E18" i="1" s="1"/>
  <c r="F28" i="1"/>
  <c r="F18" i="1" s="1"/>
  <c r="G28" i="1"/>
  <c r="G18" i="1" s="1"/>
  <c r="H28" i="1"/>
  <c r="H18" i="1" s="1"/>
  <c r="I28" i="1"/>
  <c r="I18" i="1" s="1"/>
  <c r="J28" i="1"/>
  <c r="J18" i="1" s="1"/>
  <c r="K28" i="1"/>
  <c r="K18" i="1" s="1"/>
  <c r="L28" i="1"/>
  <c r="L18" i="1" s="1"/>
  <c r="M28" i="1"/>
  <c r="M18" i="1" s="1"/>
  <c r="N28" i="1"/>
  <c r="L5" i="2" l="1"/>
  <c r="L7" i="2" s="1"/>
  <c r="G12" i="2"/>
  <c r="G14" i="2"/>
  <c r="G47" i="1"/>
  <c r="G15" i="2"/>
  <c r="F17" i="2" s="1"/>
  <c r="E41" i="1"/>
  <c r="F41" i="1" s="1"/>
  <c r="G41" i="1" s="1"/>
  <c r="H41" i="1" s="1"/>
  <c r="I41" i="1" s="1"/>
  <c r="J41" i="1" s="1"/>
  <c r="K41" i="1" s="1"/>
  <c r="L41" i="1" s="1"/>
  <c r="M41" i="1" s="1"/>
  <c r="N41" i="1" s="1"/>
  <c r="N10" i="1" s="1"/>
  <c r="N18" i="1" s="1"/>
  <c r="D17" i="2"/>
  <c r="D18" i="2" s="1"/>
  <c r="D28" i="1"/>
  <c r="D44" i="1" s="1"/>
  <c r="H4" i="1"/>
  <c r="F16" i="1"/>
  <c r="G7" i="1"/>
  <c r="E40" i="1"/>
  <c r="F42" i="1"/>
  <c r="G42" i="1" s="1"/>
  <c r="H42" i="1" s="1"/>
  <c r="I42" i="1" s="1"/>
  <c r="J42" i="1" s="1"/>
  <c r="K42" i="1" s="1"/>
  <c r="L42" i="1" s="1"/>
  <c r="M42" i="1" s="1"/>
  <c r="N42" i="1" s="1"/>
  <c r="D18" i="1"/>
  <c r="D19" i="1" s="1"/>
  <c r="E32" i="1"/>
  <c r="F7" i="1"/>
  <c r="E16" i="1"/>
  <c r="E17" i="1" s="1"/>
  <c r="E11" i="2" l="1"/>
  <c r="D19" i="2"/>
  <c r="D20" i="2" s="1"/>
  <c r="F17" i="1"/>
  <c r="I4" i="1"/>
  <c r="H7" i="1"/>
  <c r="G16" i="1"/>
  <c r="G17" i="1" s="1"/>
  <c r="E36" i="1"/>
  <c r="E8" i="1" s="1"/>
  <c r="E11" i="1" s="1"/>
  <c r="F32" i="1"/>
  <c r="J4" i="1" l="1"/>
  <c r="I7" i="1"/>
  <c r="H16" i="1"/>
  <c r="H17" i="1" s="1"/>
  <c r="F36" i="1"/>
  <c r="F8" i="1" s="1"/>
  <c r="F11" i="1" s="1"/>
  <c r="G32" i="1"/>
  <c r="F40" i="1"/>
  <c r="G40" i="1" s="1"/>
  <c r="E12" i="1"/>
  <c r="E19" i="1" s="1"/>
  <c r="F12" i="1" l="1"/>
  <c r="F19" i="1"/>
  <c r="H32" i="1"/>
  <c r="H40" i="1" s="1"/>
  <c r="G36" i="1"/>
  <c r="G8" i="1" s="1"/>
  <c r="G11" i="1" s="1"/>
  <c r="K4" i="1"/>
  <c r="I16" i="1"/>
  <c r="I17" i="1" s="1"/>
  <c r="J7" i="1"/>
  <c r="G12" i="1" l="1"/>
  <c r="G19" i="1"/>
  <c r="L4" i="1"/>
  <c r="K7" i="1"/>
  <c r="J16" i="1"/>
  <c r="J17" i="1" s="1"/>
  <c r="I32" i="1"/>
  <c r="H36" i="1"/>
  <c r="H8" i="1" s="1"/>
  <c r="H11" i="1" s="1"/>
  <c r="J32" i="1" l="1"/>
  <c r="I36" i="1"/>
  <c r="I8" i="1" s="1"/>
  <c r="I11" i="1" s="1"/>
  <c r="M4" i="1"/>
  <c r="K16" i="1"/>
  <c r="K17" i="1" s="1"/>
  <c r="L7" i="1"/>
  <c r="H12" i="1"/>
  <c r="H19" i="1" s="1"/>
  <c r="I40" i="1"/>
  <c r="J40" i="1" s="1"/>
  <c r="N4" i="1" l="1"/>
  <c r="L16" i="1"/>
  <c r="L17" i="1" s="1"/>
  <c r="M7" i="1"/>
  <c r="I12" i="1"/>
  <c r="I19" i="1" s="1"/>
  <c r="K32" i="1"/>
  <c r="K40" i="1" s="1"/>
  <c r="J36" i="1"/>
  <c r="J8" i="1" s="1"/>
  <c r="J11" i="1" s="1"/>
  <c r="J12" i="1" l="1"/>
  <c r="J19" i="1" s="1"/>
  <c r="M16" i="1"/>
  <c r="N7" i="1"/>
  <c r="L32" i="1"/>
  <c r="L40" i="1" s="1"/>
  <c r="K36" i="1"/>
  <c r="K8" i="1" s="1"/>
  <c r="K11" i="1" s="1"/>
  <c r="M32" i="1" l="1"/>
  <c r="L36" i="1"/>
  <c r="L8" i="1" s="1"/>
  <c r="L11" i="1" s="1"/>
  <c r="N17" i="1"/>
  <c r="M17" i="1"/>
  <c r="K12" i="1"/>
  <c r="K19" i="1" s="1"/>
  <c r="N32" i="1" l="1"/>
  <c r="N36" i="1" s="1"/>
  <c r="N8" i="1" s="1"/>
  <c r="N11" i="1" s="1"/>
  <c r="M36" i="1"/>
  <c r="M8" i="1" s="1"/>
  <c r="M11" i="1" s="1"/>
  <c r="L12" i="1"/>
  <c r="L19" i="1" s="1"/>
  <c r="M40" i="1"/>
  <c r="N40" i="1" s="1"/>
  <c r="M12" i="1" l="1"/>
  <c r="M19" i="1" s="1"/>
  <c r="N12" i="1"/>
  <c r="N19" i="1"/>
  <c r="D21" i="1" l="1"/>
  <c r="M49" i="1" s="1"/>
</calcChain>
</file>

<file path=xl/sharedStrings.xml><?xml version="1.0" encoding="utf-8"?>
<sst xmlns="http://schemas.openxmlformats.org/spreadsheetml/2006/main" count="94" uniqueCount="87">
  <si>
    <t>Año</t>
  </si>
  <si>
    <t>Ventas</t>
  </si>
  <si>
    <t>Costos Fijos Operativos Erogables</t>
  </si>
  <si>
    <t>Costos Semifijos Operativos Erogables</t>
  </si>
  <si>
    <t>Costos Variables Operaivos Erogables</t>
  </si>
  <si>
    <t>Depreciaciones y Amortizaciones</t>
  </si>
  <si>
    <t xml:space="preserve">Ingreso por venta de activos fijos </t>
  </si>
  <si>
    <t>Costo de venta de activos fijos</t>
  </si>
  <si>
    <t>Resultado antes de intereses e impuesos</t>
  </si>
  <si>
    <t>Impuesto a las Ganancias</t>
  </si>
  <si>
    <t>Activo Corriente</t>
  </si>
  <si>
    <t>Pasivo Corriente</t>
  </si>
  <si>
    <t>Capital de Trabajo</t>
  </si>
  <si>
    <t>Inversión en Capital de Trabajo</t>
  </si>
  <si>
    <t>Inversión en Activo no Corriente</t>
  </si>
  <si>
    <t>Flujos de Fondos Libres</t>
  </si>
  <si>
    <t>Activos Fijos</t>
  </si>
  <si>
    <t>Barcos</t>
  </si>
  <si>
    <t>Puesto de control y oficinas</t>
  </si>
  <si>
    <t>Instalaciones</t>
  </si>
  <si>
    <t>Equipos informáticos</t>
  </si>
  <si>
    <t>TOTAL</t>
  </si>
  <si>
    <t>Amortizaciones y Depreciaciones</t>
  </si>
  <si>
    <t>Valor contable residual</t>
  </si>
  <si>
    <t>VAN =</t>
  </si>
  <si>
    <t>=</t>
  </si>
  <si>
    <t>&gt; 0, recomiendo aceptar</t>
  </si>
  <si>
    <t>Cupones</t>
  </si>
  <si>
    <t>Semestre</t>
  </si>
  <si>
    <t>Escudo Fiscal</t>
  </si>
  <si>
    <t>VAN incluyendo el efecto de la deuda =</t>
  </si>
  <si>
    <t>Fecha</t>
  </si>
  <si>
    <t>Flujo</t>
  </si>
  <si>
    <t>k</t>
  </si>
  <si>
    <t>Bono 1</t>
  </si>
  <si>
    <t>Bono 2</t>
  </si>
  <si>
    <t>Bono 3</t>
  </si>
  <si>
    <t>Bono 4</t>
  </si>
  <si>
    <t>TIR (TES)</t>
  </si>
  <si>
    <t>VA de cada flujo</t>
  </si>
  <si>
    <t>PRECIO</t>
  </si>
  <si>
    <t>COMPRO</t>
  </si>
  <si>
    <t>VENDO</t>
  </si>
  <si>
    <t xml:space="preserve"> + Precio  2</t>
  </si>
  <si>
    <t>(1+ S 0,2)^2</t>
  </si>
  <si>
    <t>S 0,2</t>
  </si>
  <si>
    <t>S 0,1</t>
  </si>
  <si>
    <t>(1+ S 0,1)(1+ f 1,2)</t>
  </si>
  <si>
    <t>S 0,3</t>
  </si>
  <si>
    <t>S 0,4</t>
  </si>
  <si>
    <t>(1+ S 0,3)^3</t>
  </si>
  <si>
    <t>((1+  S 0,2)^2)(1+ f2,3)</t>
  </si>
  <si>
    <t xml:space="preserve">(1+ S 0,4)^4 </t>
  </si>
  <si>
    <t>((1+ S 0,2)^2)(1+ f 2,4)^2</t>
  </si>
  <si>
    <t xml:space="preserve"> f 1,2 =</t>
  </si>
  <si>
    <t xml:space="preserve"> f 2,3 =</t>
  </si>
  <si>
    <t>f 2,4 =</t>
  </si>
  <si>
    <t>Precio 2 =</t>
  </si>
  <si>
    <t>VF 2 (F+) =</t>
  </si>
  <si>
    <t>VA 0 (F-) =</t>
  </si>
  <si>
    <t>+</t>
  </si>
  <si>
    <t>TIR M (TEA) =</t>
  </si>
  <si>
    <t>H = 1</t>
  </si>
  <si>
    <t>AÑOS</t>
  </si>
  <si>
    <t>VA de los</t>
  </si>
  <si>
    <t>Escudos Fiscales =</t>
  </si>
  <si>
    <t>3)</t>
  </si>
  <si>
    <t>2)</t>
  </si>
  <si>
    <t>1)</t>
  </si>
  <si>
    <t>El VANOC es el valor que la reinversión de ganancias agrega a las acciones de la firma.</t>
  </si>
  <si>
    <t>Se mide haciendo:</t>
  </si>
  <si>
    <t>Valor CON reinversión - Valor SIN reinversión.</t>
  </si>
  <si>
    <t xml:space="preserve">Sirve para tomar la decisión de reinvertir ganancias. </t>
  </si>
  <si>
    <t xml:space="preserve">Debería haber reinversión de ganancias en la medida de que la misma incremente el valor de la acción </t>
  </si>
  <si>
    <t>(genere un VANOC positivo o nulo como mínimo)</t>
  </si>
  <si>
    <t>Flujos incrementales son los flujos de fondos generados por el proyecto que está siendo evaluado.</t>
  </si>
  <si>
    <t>Se los estima a través de la diferencia:</t>
  </si>
  <si>
    <t>Flujos CON proyecto - Flujos SIN proyecto.</t>
  </si>
  <si>
    <t>Ejemplo de flujos incrementales:</t>
  </si>
  <si>
    <t>si una empresa lanza un nuevo producto al mercado, producto que compite contra otros comercializados</t>
  </si>
  <si>
    <t>por la misma firma, tanto la reducción en la facturación de los productos canibalizados como en los costos</t>
  </si>
  <si>
    <t>de producción y comercialización de los mismos deben considerarse como flujos incrementales.</t>
  </si>
  <si>
    <t xml:space="preserve">(salvo que se estime que, si la empresa que está evaluando el proyecto  no llegara a lanzar el nuevo producto,  lo haría una empresa </t>
  </si>
  <si>
    <t>competidora, por lo que  de todas formas caerían las ventas de los productos que  perderían mercado)</t>
  </si>
  <si>
    <t>Ejemplo de flujos no incrementales:</t>
  </si>
  <si>
    <t xml:space="preserve">una librería paga un alquiler de $300.000 por su local comercial. Ahora evalúa destinar un sector </t>
  </si>
  <si>
    <t>del local a una pequeña cafetería. El alquiler del local no es un flujo incremental del proyecto de abrir la cafetería, dado que hay que pagar el alquiler se acepte este emprendimiento o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</si>
</sst>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&quot;$&quot;\ #,##0.00;[Red]\-&quot;$&quot;\ #,##0.00"/>
    <numFmt numFmtId="165" formatCode="_-&quot;$&quot;\ * #,##0.00_-;\-&quot;$&quot;\ * #,##0.00_-;_-&quot;$&quot;\ * &quot;-&quot;??_-;_-@_-"/>
    <numFmt numFmtId="166" formatCode="0.0000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24"/>
      <color theme="1"/>
      <name val="Calibri"/>
      <family val="2"/>
      <scheme val="minor"/>
    </font>
    <font>
      <i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0" fillId="0" borderId="2" xfId="0" applyBorder="1"/>
    <xf numFmtId="0" fontId="2" fillId="0" borderId="0" xfId="0" applyFont="1"/>
    <xf numFmtId="0" fontId="4" fillId="0" borderId="0" xfId="0" applyFont="1"/>
    <xf numFmtId="0" fontId="5" fillId="0" borderId="4" xfId="0" applyFont="1" applyBorder="1"/>
    <xf numFmtId="0" fontId="5" fillId="0" borderId="5" xfId="0" applyFont="1" applyBorder="1"/>
    <xf numFmtId="14" fontId="5" fillId="0" borderId="6" xfId="0" applyNumberFormat="1" applyFont="1" applyBorder="1"/>
    <xf numFmtId="14" fontId="5" fillId="0" borderId="8" xfId="0" applyNumberFormat="1" applyFont="1" applyBorder="1"/>
    <xf numFmtId="0" fontId="5" fillId="0" borderId="6" xfId="0" applyFont="1" applyBorder="1"/>
    <xf numFmtId="14" fontId="5" fillId="0" borderId="0" xfId="0" applyNumberFormat="1" applyFont="1"/>
    <xf numFmtId="0" fontId="5" fillId="0" borderId="0" xfId="0" applyFont="1"/>
    <xf numFmtId="0" fontId="4" fillId="0" borderId="7" xfId="0" applyFont="1" applyBorder="1"/>
    <xf numFmtId="0" fontId="5" fillId="0" borderId="8" xfId="0" applyFont="1" applyBorder="1"/>
    <xf numFmtId="14" fontId="5" fillId="0" borderId="2" xfId="0" applyNumberFormat="1" applyFont="1" applyBorder="1"/>
    <xf numFmtId="0" fontId="5" fillId="0" borderId="2" xfId="0" applyFont="1" applyBorder="1"/>
    <xf numFmtId="0" fontId="5" fillId="0" borderId="10" xfId="0" applyFont="1" applyBorder="1"/>
    <xf numFmtId="0" fontId="5" fillId="0" borderId="11" xfId="0" applyFont="1" applyBorder="1"/>
    <xf numFmtId="0" fontId="4" fillId="0" borderId="12" xfId="0" applyFont="1" applyBorder="1" applyAlignment="1">
      <alignment horizontal="center"/>
    </xf>
    <xf numFmtId="10" fontId="4" fillId="0" borderId="7" xfId="0" applyNumberFormat="1" applyFont="1" applyBorder="1"/>
    <xf numFmtId="10" fontId="4" fillId="0" borderId="9" xfId="0" applyNumberFormat="1" applyFont="1" applyBorder="1"/>
    <xf numFmtId="0" fontId="5" fillId="0" borderId="13" xfId="0" applyFont="1" applyBorder="1"/>
    <xf numFmtId="0" fontId="0" fillId="0" borderId="14" xfId="0" applyBorder="1"/>
    <xf numFmtId="0" fontId="3" fillId="2" borderId="10" xfId="0" applyFont="1" applyFill="1" applyBorder="1"/>
    <xf numFmtId="10" fontId="3" fillId="2" borderId="11" xfId="0" applyNumberFormat="1" applyFont="1" applyFill="1" applyBorder="1"/>
    <xf numFmtId="10" fontId="3" fillId="2" borderId="12" xfId="0" applyNumberFormat="1" applyFont="1" applyFill="1" applyBorder="1"/>
    <xf numFmtId="165" fontId="3" fillId="3" borderId="3" xfId="2" applyFont="1" applyFill="1" applyBorder="1"/>
    <xf numFmtId="0" fontId="3" fillId="3" borderId="0" xfId="0" applyFont="1" applyFill="1"/>
    <xf numFmtId="0" fontId="5" fillId="3" borderId="6" xfId="0" applyFont="1" applyFill="1" applyBorder="1"/>
    <xf numFmtId="14" fontId="5" fillId="3" borderId="0" xfId="0" applyNumberFormat="1" applyFont="1" applyFill="1"/>
    <xf numFmtId="0" fontId="0" fillId="3" borderId="0" xfId="0" applyFill="1"/>
    <xf numFmtId="165" fontId="4" fillId="3" borderId="0" xfId="0" applyNumberFormat="1" applyFont="1" applyFill="1"/>
    <xf numFmtId="0" fontId="4" fillId="3" borderId="0" xfId="0" applyFont="1" applyFill="1"/>
    <xf numFmtId="0" fontId="4" fillId="0" borderId="0" xfId="0" applyFont="1" applyAlignment="1">
      <alignment horizontal="center"/>
    </xf>
    <xf numFmtId="0" fontId="3" fillId="0" borderId="0" xfId="0" applyFont="1"/>
    <xf numFmtId="0" fontId="0" fillId="4" borderId="0" xfId="0" applyFill="1"/>
    <xf numFmtId="0" fontId="4" fillId="4" borderId="0" xfId="0" applyFont="1" applyFill="1"/>
    <xf numFmtId="0" fontId="3" fillId="4" borderId="0" xfId="0" applyFont="1" applyFill="1"/>
    <xf numFmtId="0" fontId="7" fillId="5" borderId="10" xfId="0" applyFont="1" applyFill="1" applyBorder="1"/>
    <xf numFmtId="0" fontId="4" fillId="5" borderId="12" xfId="0" applyFont="1" applyFill="1" applyBorder="1"/>
    <xf numFmtId="0" fontId="6" fillId="5" borderId="10" xfId="0" applyFont="1" applyFill="1" applyBorder="1"/>
    <xf numFmtId="10" fontId="2" fillId="0" borderId="0" xfId="3" applyNumberFormat="1" applyFont="1"/>
    <xf numFmtId="0" fontId="8" fillId="2" borderId="1" xfId="0" applyFont="1" applyFill="1" applyBorder="1" applyAlignment="1">
      <alignment horizontal="center"/>
    </xf>
    <xf numFmtId="0" fontId="9" fillId="0" borderId="0" xfId="0" applyFont="1"/>
    <xf numFmtId="0" fontId="9" fillId="0" borderId="1" xfId="0" applyFont="1" applyBorder="1"/>
    <xf numFmtId="165" fontId="9" fillId="0" borderId="1" xfId="2" applyFont="1" applyBorder="1"/>
    <xf numFmtId="166" fontId="9" fillId="0" borderId="0" xfId="0" applyNumberFormat="1" applyFont="1"/>
    <xf numFmtId="0" fontId="8" fillId="2" borderId="0" xfId="0" applyFont="1" applyFill="1" applyAlignment="1">
      <alignment horizontal="center"/>
    </xf>
    <xf numFmtId="0" fontId="10" fillId="0" borderId="0" xfId="0" applyFont="1"/>
    <xf numFmtId="0" fontId="9" fillId="0" borderId="2" xfId="0" applyFont="1" applyBorder="1"/>
    <xf numFmtId="43" fontId="9" fillId="0" borderId="0" xfId="1" applyFont="1"/>
    <xf numFmtId="0" fontId="8" fillId="2" borderId="0" xfId="0" applyFont="1" applyFill="1"/>
    <xf numFmtId="0" fontId="8" fillId="5" borderId="0" xfId="0" applyFont="1" applyFill="1"/>
    <xf numFmtId="164" fontId="8" fillId="5" borderId="0" xfId="0" applyNumberFormat="1" applyFont="1" applyFill="1"/>
    <xf numFmtId="0" fontId="8" fillId="5" borderId="4" xfId="0" applyFont="1" applyFill="1" applyBorder="1"/>
    <xf numFmtId="0" fontId="8" fillId="5" borderId="15" xfId="0" applyFont="1" applyFill="1" applyBorder="1"/>
    <xf numFmtId="0" fontId="8" fillId="5" borderId="8" xfId="0" applyFont="1" applyFill="1" applyBorder="1"/>
    <xf numFmtId="164" fontId="8" fillId="5" borderId="9" xfId="0" applyNumberFormat="1" applyFont="1" applyFill="1" applyBorder="1"/>
    <xf numFmtId="0" fontId="11" fillId="5" borderId="10" xfId="0" applyFont="1" applyFill="1" applyBorder="1"/>
    <xf numFmtId="0" fontId="11" fillId="5" borderId="11" xfId="0" applyFont="1" applyFill="1" applyBorder="1"/>
    <xf numFmtId="164" fontId="11" fillId="5" borderId="12" xfId="0" applyNumberFormat="1" applyFont="1" applyFill="1" applyBorder="1"/>
    <xf numFmtId="0" fontId="8" fillId="0" borderId="0" xfId="0" applyFont="1" applyAlignment="1">
      <alignment horizontal="right"/>
    </xf>
    <xf numFmtId="0" fontId="2" fillId="0" borderId="10" xfId="0" applyFont="1" applyBorder="1"/>
    <xf numFmtId="0" fontId="2" fillId="0" borderId="11" xfId="0" applyFont="1" applyBorder="1"/>
    <xf numFmtId="165" fontId="2" fillId="0" borderId="12" xfId="0" applyNumberFormat="1" applyFont="1" applyBorder="1"/>
    <xf numFmtId="10" fontId="2" fillId="0" borderId="12" xfId="3" applyNumberFormat="1" applyFont="1" applyBorder="1"/>
    <xf numFmtId="165" fontId="2" fillId="0" borderId="12" xfId="2" applyFont="1" applyBorder="1"/>
    <xf numFmtId="165" fontId="2" fillId="0" borderId="11" xfId="2" applyFont="1" applyBorder="1"/>
    <xf numFmtId="0" fontId="12" fillId="0" borderId="0" xfId="0" applyFont="1"/>
  </cellXfs>
  <cellStyles count="4">
    <cellStyle name="Comma" xfId="1" builtinId="3"/>
    <cellStyle name="Currency" xfId="2" builtinId="4"/>
    <cellStyle name="Normal" xfId="0" builtinId="0"/>
    <cellStyle name="Per 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I84"/>
  <sheetViews>
    <sheetView zoomScale="10" zoomScaleNormal="10" workbookViewId="0">
      <selection sqref="A1:Q71"/>
    </sheetView>
  </sheetViews>
  <sheetFormatPr defaultColWidth="11.5546875" defaultRowHeight="14.4" x14ac:dyDescent="0.3"/>
  <cols>
    <col min="3" max="3" width="50" customWidth="1"/>
    <col min="4" max="4" width="26.44140625" bestFit="1" customWidth="1"/>
    <col min="5" max="5" width="27.44140625" customWidth="1"/>
    <col min="6" max="6" width="21.109375" customWidth="1"/>
    <col min="7" max="9" width="20.5546875" bestFit="1" customWidth="1"/>
    <col min="10" max="10" width="26.44140625" bestFit="1" customWidth="1"/>
    <col min="11" max="11" width="20.5546875" bestFit="1" customWidth="1"/>
    <col min="12" max="12" width="23.109375" bestFit="1" customWidth="1"/>
    <col min="13" max="13" width="26.44140625" bestFit="1" customWidth="1"/>
    <col min="14" max="14" width="30.88671875" bestFit="1" customWidth="1"/>
    <col min="15" max="15" width="31.88671875" bestFit="1" customWidth="1"/>
  </cols>
  <sheetData>
    <row r="3" spans="3:35" ht="18" x14ac:dyDescent="0.35">
      <c r="C3" s="41" t="s">
        <v>0</v>
      </c>
      <c r="D3" s="41">
        <v>0</v>
      </c>
      <c r="E3" s="41">
        <v>1</v>
      </c>
      <c r="F3" s="41">
        <v>2</v>
      </c>
      <c r="G3" s="41">
        <v>3</v>
      </c>
      <c r="H3" s="41">
        <v>4</v>
      </c>
      <c r="I3" s="41">
        <v>5</v>
      </c>
      <c r="J3" s="41">
        <v>6</v>
      </c>
      <c r="K3" s="41">
        <v>7</v>
      </c>
      <c r="L3" s="41">
        <v>8</v>
      </c>
      <c r="M3" s="41">
        <v>9</v>
      </c>
      <c r="N3" s="41">
        <v>10</v>
      </c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</row>
    <row r="4" spans="3:35" ht="18" x14ac:dyDescent="0.35">
      <c r="C4" s="43" t="s">
        <v>1</v>
      </c>
      <c r="D4" s="44"/>
      <c r="E4" s="44">
        <f>12.5*24</f>
        <v>300</v>
      </c>
      <c r="F4" s="44">
        <f>+E4</f>
        <v>300</v>
      </c>
      <c r="G4" s="44">
        <f>+F4*1.03</f>
        <v>309</v>
      </c>
      <c r="H4" s="44">
        <f t="shared" ref="H4:N4" si="0">+G4*1.03</f>
        <v>318.27</v>
      </c>
      <c r="I4" s="44">
        <f t="shared" si="0"/>
        <v>327.81810000000002</v>
      </c>
      <c r="J4" s="44">
        <f t="shared" si="0"/>
        <v>337.65264300000001</v>
      </c>
      <c r="K4" s="44">
        <f t="shared" si="0"/>
        <v>347.78222228999999</v>
      </c>
      <c r="L4" s="44">
        <f t="shared" si="0"/>
        <v>358.21568895870001</v>
      </c>
      <c r="M4" s="44">
        <f t="shared" si="0"/>
        <v>368.96215962746101</v>
      </c>
      <c r="N4" s="44">
        <f t="shared" si="0"/>
        <v>380.03102441628482</v>
      </c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</row>
    <row r="5" spans="3:35" ht="18" x14ac:dyDescent="0.35">
      <c r="C5" s="43" t="s">
        <v>2</v>
      </c>
      <c r="D5" s="44"/>
      <c r="E5" s="44">
        <v>10</v>
      </c>
      <c r="F5" s="44">
        <v>15</v>
      </c>
      <c r="G5" s="44">
        <v>20</v>
      </c>
      <c r="H5" s="44">
        <v>20</v>
      </c>
      <c r="I5" s="44">
        <v>20</v>
      </c>
      <c r="J5" s="44">
        <v>20</v>
      </c>
      <c r="K5" s="44">
        <v>20</v>
      </c>
      <c r="L5" s="44">
        <v>20</v>
      </c>
      <c r="M5" s="44">
        <v>20</v>
      </c>
      <c r="N5" s="44">
        <v>20</v>
      </c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</row>
    <row r="6" spans="3:35" ht="18" x14ac:dyDescent="0.35">
      <c r="C6" s="43" t="s">
        <v>3</v>
      </c>
      <c r="D6" s="44"/>
      <c r="E6" s="44">
        <v>9</v>
      </c>
      <c r="F6" s="44">
        <v>18</v>
      </c>
      <c r="G6" s="44">
        <f>+F6+1.5</f>
        <v>19.5</v>
      </c>
      <c r="H6" s="44">
        <f t="shared" ref="H6:N6" si="1">+G6+1.5</f>
        <v>21</v>
      </c>
      <c r="I6" s="44">
        <f t="shared" si="1"/>
        <v>22.5</v>
      </c>
      <c r="J6" s="44">
        <f t="shared" si="1"/>
        <v>24</v>
      </c>
      <c r="K6" s="44">
        <f t="shared" si="1"/>
        <v>25.5</v>
      </c>
      <c r="L6" s="44">
        <f t="shared" si="1"/>
        <v>27</v>
      </c>
      <c r="M6" s="44">
        <f t="shared" si="1"/>
        <v>28.5</v>
      </c>
      <c r="N6" s="44">
        <f t="shared" si="1"/>
        <v>30</v>
      </c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</row>
    <row r="7" spans="3:35" ht="18" x14ac:dyDescent="0.35">
      <c r="C7" s="43" t="s">
        <v>4</v>
      </c>
      <c r="D7" s="44"/>
      <c r="E7" s="44">
        <f>0.5*E4</f>
        <v>150</v>
      </c>
      <c r="F7" s="44">
        <f t="shared" ref="F7:N7" si="2">0.5*F4</f>
        <v>150</v>
      </c>
      <c r="G7" s="44">
        <f t="shared" si="2"/>
        <v>154.5</v>
      </c>
      <c r="H7" s="44">
        <f t="shared" si="2"/>
        <v>159.13499999999999</v>
      </c>
      <c r="I7" s="44">
        <f t="shared" si="2"/>
        <v>163.90905000000001</v>
      </c>
      <c r="J7" s="44">
        <f t="shared" si="2"/>
        <v>168.82632150000001</v>
      </c>
      <c r="K7" s="44">
        <f t="shared" si="2"/>
        <v>173.891111145</v>
      </c>
      <c r="L7" s="44">
        <f t="shared" si="2"/>
        <v>179.10784447935001</v>
      </c>
      <c r="M7" s="44">
        <f t="shared" si="2"/>
        <v>184.4810798137305</v>
      </c>
      <c r="N7" s="44">
        <f t="shared" si="2"/>
        <v>190.01551220814241</v>
      </c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</row>
    <row r="8" spans="3:35" ht="18" x14ac:dyDescent="0.35">
      <c r="C8" s="43" t="s">
        <v>5</v>
      </c>
      <c r="D8" s="44"/>
      <c r="E8" s="44">
        <f>+E36</f>
        <v>49.566666666666663</v>
      </c>
      <c r="F8" s="44">
        <f t="shared" ref="F8:M8" si="3">+F36</f>
        <v>49.566666666666663</v>
      </c>
      <c r="G8" s="44">
        <f t="shared" si="3"/>
        <v>49.566666666666663</v>
      </c>
      <c r="H8" s="44">
        <f t="shared" si="3"/>
        <v>48.566666666666663</v>
      </c>
      <c r="I8" s="44">
        <f t="shared" si="3"/>
        <v>48.566666666666663</v>
      </c>
      <c r="J8" s="44">
        <f t="shared" si="3"/>
        <v>49.566666666666663</v>
      </c>
      <c r="K8" s="44">
        <f t="shared" si="3"/>
        <v>49.566666666666663</v>
      </c>
      <c r="L8" s="44">
        <f t="shared" si="3"/>
        <v>49.566666666666663</v>
      </c>
      <c r="M8" s="44">
        <f t="shared" si="3"/>
        <v>48.566666666666663</v>
      </c>
      <c r="N8" s="44">
        <f>+N36</f>
        <v>48.566666666666663</v>
      </c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</row>
    <row r="9" spans="3:35" ht="18" x14ac:dyDescent="0.35">
      <c r="C9" s="43" t="s">
        <v>6</v>
      </c>
      <c r="D9" s="44"/>
      <c r="E9" s="44"/>
      <c r="F9" s="44"/>
      <c r="G9" s="44"/>
      <c r="H9" s="44"/>
      <c r="I9" s="44"/>
      <c r="J9" s="44"/>
      <c r="K9" s="44"/>
      <c r="L9" s="44"/>
      <c r="M9" s="44"/>
      <c r="N9" s="44">
        <f>24*6+5</f>
        <v>149</v>
      </c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</row>
    <row r="10" spans="3:35" ht="18" x14ac:dyDescent="0.35">
      <c r="C10" s="43" t="s">
        <v>7</v>
      </c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>
        <f>+N41</f>
        <v>3.3333333333333326</v>
      </c>
      <c r="O10" s="42">
        <f>20*5/30</f>
        <v>3.3333333333333335</v>
      </c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</row>
    <row r="11" spans="3:35" ht="18" x14ac:dyDescent="0.35">
      <c r="C11" s="43" t="s">
        <v>8</v>
      </c>
      <c r="D11" s="44">
        <f>+D4-D5-D6-D7-D8+D9-D10</f>
        <v>0</v>
      </c>
      <c r="E11" s="44">
        <f t="shared" ref="E11:M11" si="4">+E4-E5-E6-E7-E8+E9-E10</f>
        <v>81.433333333333337</v>
      </c>
      <c r="F11" s="44">
        <f t="shared" si="4"/>
        <v>67.433333333333337</v>
      </c>
      <c r="G11" s="44">
        <f t="shared" si="4"/>
        <v>65.433333333333337</v>
      </c>
      <c r="H11" s="44">
        <f t="shared" si="4"/>
        <v>69.568333333333328</v>
      </c>
      <c r="I11" s="44">
        <f t="shared" si="4"/>
        <v>72.842383333333345</v>
      </c>
      <c r="J11" s="44">
        <f t="shared" si="4"/>
        <v>75.259654833333343</v>
      </c>
      <c r="K11" s="44">
        <f t="shared" si="4"/>
        <v>78.824444478333334</v>
      </c>
      <c r="L11" s="44">
        <f t="shared" si="4"/>
        <v>82.541177812683344</v>
      </c>
      <c r="M11" s="44">
        <f t="shared" si="4"/>
        <v>87.41441314706384</v>
      </c>
      <c r="N11" s="44">
        <f>+N4-N5-N6-N7-N8+N9-N10</f>
        <v>237.11551220814241</v>
      </c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</row>
    <row r="12" spans="3:35" ht="18" x14ac:dyDescent="0.35">
      <c r="C12" s="43" t="s">
        <v>9</v>
      </c>
      <c r="D12" s="44">
        <f>0.35*D11</f>
        <v>0</v>
      </c>
      <c r="E12" s="44">
        <f t="shared" ref="E12:N12" si="5">0.35*E11</f>
        <v>28.501666666666665</v>
      </c>
      <c r="F12" s="44">
        <f t="shared" si="5"/>
        <v>23.601666666666667</v>
      </c>
      <c r="G12" s="44">
        <f t="shared" si="5"/>
        <v>22.901666666666667</v>
      </c>
      <c r="H12" s="44">
        <f t="shared" si="5"/>
        <v>24.348916666666664</v>
      </c>
      <c r="I12" s="44">
        <f t="shared" si="5"/>
        <v>25.494834166666671</v>
      </c>
      <c r="J12" s="44">
        <f t="shared" si="5"/>
        <v>26.340879191666669</v>
      </c>
      <c r="K12" s="44">
        <f t="shared" si="5"/>
        <v>27.588555567416666</v>
      </c>
      <c r="L12" s="44">
        <f t="shared" si="5"/>
        <v>28.889412234439167</v>
      </c>
      <c r="M12" s="44">
        <f t="shared" si="5"/>
        <v>30.595044601472342</v>
      </c>
      <c r="N12" s="44">
        <f t="shared" si="5"/>
        <v>82.990429272849838</v>
      </c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</row>
    <row r="13" spans="3:35" ht="18" x14ac:dyDescent="0.35">
      <c r="C13" s="43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</row>
    <row r="14" spans="3:35" ht="18" x14ac:dyDescent="0.35">
      <c r="C14" s="43" t="s">
        <v>10</v>
      </c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</row>
    <row r="15" spans="3:35" ht="18" x14ac:dyDescent="0.35">
      <c r="C15" s="43" t="s">
        <v>11</v>
      </c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</row>
    <row r="16" spans="3:35" ht="18" x14ac:dyDescent="0.35">
      <c r="C16" s="43" t="s">
        <v>12</v>
      </c>
      <c r="D16" s="44">
        <f>0.1*E4</f>
        <v>30</v>
      </c>
      <c r="E16" s="44">
        <f>0.1*F4</f>
        <v>30</v>
      </c>
      <c r="F16" s="44">
        <f t="shared" ref="F16:M16" si="6">0.1*G4</f>
        <v>30.900000000000002</v>
      </c>
      <c r="G16" s="44">
        <f t="shared" si="6"/>
        <v>31.826999999999998</v>
      </c>
      <c r="H16" s="44">
        <f t="shared" si="6"/>
        <v>32.78181</v>
      </c>
      <c r="I16" s="44">
        <f t="shared" si="6"/>
        <v>33.765264300000005</v>
      </c>
      <c r="J16" s="44">
        <f t="shared" si="6"/>
        <v>34.778222229000001</v>
      </c>
      <c r="K16" s="44">
        <f t="shared" si="6"/>
        <v>35.821568895870001</v>
      </c>
      <c r="L16" s="44">
        <f t="shared" si="6"/>
        <v>36.896215962746105</v>
      </c>
      <c r="M16" s="44">
        <f t="shared" si="6"/>
        <v>38.003102441628485</v>
      </c>
      <c r="N16" s="44">
        <f>0.1*O4</f>
        <v>0</v>
      </c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</row>
    <row r="17" spans="2:35" ht="18" x14ac:dyDescent="0.35">
      <c r="C17" s="43" t="s">
        <v>13</v>
      </c>
      <c r="D17" s="44">
        <f>+D16</f>
        <v>30</v>
      </c>
      <c r="E17" s="44">
        <f>+E16-D16</f>
        <v>0</v>
      </c>
      <c r="F17" s="44">
        <f t="shared" ref="F17:N17" si="7">+F16-E16</f>
        <v>0.90000000000000213</v>
      </c>
      <c r="G17" s="44">
        <f t="shared" si="7"/>
        <v>0.92699999999999605</v>
      </c>
      <c r="H17" s="44">
        <f t="shared" si="7"/>
        <v>0.95481000000000193</v>
      </c>
      <c r="I17" s="44">
        <f t="shared" si="7"/>
        <v>0.98345430000000533</v>
      </c>
      <c r="J17" s="44">
        <f t="shared" si="7"/>
        <v>1.0129579289999953</v>
      </c>
      <c r="K17" s="44">
        <f t="shared" si="7"/>
        <v>1.0433466668700007</v>
      </c>
      <c r="L17" s="44">
        <f t="shared" si="7"/>
        <v>1.0746470668761035</v>
      </c>
      <c r="M17" s="44">
        <f t="shared" si="7"/>
        <v>1.1068864788823802</v>
      </c>
      <c r="N17" s="44">
        <f t="shared" si="7"/>
        <v>-38.003102441628485</v>
      </c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</row>
    <row r="18" spans="2:35" ht="18" x14ac:dyDescent="0.35">
      <c r="C18" s="43" t="s">
        <v>14</v>
      </c>
      <c r="D18" s="44">
        <f>+D28</f>
        <v>492</v>
      </c>
      <c r="E18" s="44">
        <f t="shared" ref="E18:M18" si="8">+E28</f>
        <v>0</v>
      </c>
      <c r="F18" s="44">
        <f t="shared" si="8"/>
        <v>0</v>
      </c>
      <c r="G18" s="44">
        <f t="shared" si="8"/>
        <v>0</v>
      </c>
      <c r="H18" s="44">
        <f t="shared" si="8"/>
        <v>0</v>
      </c>
      <c r="I18" s="44">
        <f t="shared" si="8"/>
        <v>3</v>
      </c>
      <c r="J18" s="44">
        <f t="shared" si="8"/>
        <v>0</v>
      </c>
      <c r="K18" s="44">
        <f t="shared" si="8"/>
        <v>0</v>
      </c>
      <c r="L18" s="44">
        <f t="shared" si="8"/>
        <v>0</v>
      </c>
      <c r="M18" s="44">
        <f t="shared" si="8"/>
        <v>0</v>
      </c>
      <c r="N18" s="44">
        <f>-N10</f>
        <v>-3.3333333333333326</v>
      </c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</row>
    <row r="19" spans="2:35" ht="18" x14ac:dyDescent="0.35">
      <c r="B19" s="42" t="s">
        <v>68</v>
      </c>
      <c r="C19" s="43" t="s">
        <v>15</v>
      </c>
      <c r="D19" s="44">
        <f>+D11-D12+D8-D17-D18</f>
        <v>-522</v>
      </c>
      <c r="E19" s="44">
        <f t="shared" ref="E19:N19" si="9">+E11-E12+E8-E17-E18</f>
        <v>102.49833333333333</v>
      </c>
      <c r="F19" s="44">
        <f t="shared" si="9"/>
        <v>92.498333333333335</v>
      </c>
      <c r="G19" s="44">
        <f t="shared" si="9"/>
        <v>91.171333333333337</v>
      </c>
      <c r="H19" s="44">
        <f t="shared" si="9"/>
        <v>92.831273333333314</v>
      </c>
      <c r="I19" s="44">
        <f t="shared" si="9"/>
        <v>91.930761533333339</v>
      </c>
      <c r="J19" s="44">
        <f t="shared" si="9"/>
        <v>97.472484379333338</v>
      </c>
      <c r="K19" s="44">
        <f t="shared" si="9"/>
        <v>99.75920891071334</v>
      </c>
      <c r="L19" s="44">
        <f t="shared" si="9"/>
        <v>102.14378517803473</v>
      </c>
      <c r="M19" s="44">
        <f t="shared" si="9"/>
        <v>104.27914873337579</v>
      </c>
      <c r="N19" s="44">
        <f t="shared" si="9"/>
        <v>244.02818537692107</v>
      </c>
      <c r="O19" s="45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</row>
    <row r="20" spans="2:35" ht="18" x14ac:dyDescent="0.35"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</row>
    <row r="21" spans="2:35" ht="18" x14ac:dyDescent="0.35">
      <c r="B21" s="42" t="s">
        <v>67</v>
      </c>
      <c r="C21" s="51" t="s">
        <v>24</v>
      </c>
      <c r="D21" s="52">
        <f>+NPV(0.1,E19:N19)+D19</f>
        <v>128.78207941538369</v>
      </c>
      <c r="E21" s="51" t="s">
        <v>26</v>
      </c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</row>
    <row r="22" spans="2:35" ht="18" x14ac:dyDescent="0.35">
      <c r="C22" s="42"/>
      <c r="D22" s="46">
        <v>0</v>
      </c>
      <c r="E22" s="46">
        <v>1</v>
      </c>
      <c r="F22" s="46">
        <v>2</v>
      </c>
      <c r="G22" s="46">
        <v>3</v>
      </c>
      <c r="H22" s="46">
        <v>4</v>
      </c>
      <c r="I22" s="46">
        <v>5</v>
      </c>
      <c r="J22" s="46">
        <v>6</v>
      </c>
      <c r="K22" s="46">
        <v>7</v>
      </c>
      <c r="L22" s="46">
        <v>8</v>
      </c>
      <c r="M22" s="46">
        <v>9</v>
      </c>
      <c r="N22" s="46">
        <v>10</v>
      </c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</row>
    <row r="23" spans="2:35" ht="18" x14ac:dyDescent="0.35">
      <c r="C23" s="47" t="s">
        <v>16</v>
      </c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</row>
    <row r="24" spans="2:35" ht="18" x14ac:dyDescent="0.35">
      <c r="C24" s="42" t="s">
        <v>17</v>
      </c>
      <c r="D24" s="42">
        <f>20*24</f>
        <v>480</v>
      </c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</row>
    <row r="25" spans="2:35" ht="18" x14ac:dyDescent="0.35">
      <c r="C25" s="42" t="s">
        <v>18</v>
      </c>
      <c r="D25" s="42">
        <v>5</v>
      </c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</row>
    <row r="26" spans="2:35" ht="18" x14ac:dyDescent="0.35">
      <c r="C26" s="42" t="s">
        <v>19</v>
      </c>
      <c r="D26" s="42">
        <v>4</v>
      </c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</row>
    <row r="27" spans="2:35" ht="18.600000000000001" thickBot="1" x14ac:dyDescent="0.4">
      <c r="C27" s="48" t="s">
        <v>20</v>
      </c>
      <c r="D27" s="48">
        <v>3</v>
      </c>
      <c r="E27" s="48"/>
      <c r="F27" s="48"/>
      <c r="G27" s="48"/>
      <c r="H27" s="48"/>
      <c r="I27" s="48">
        <v>3</v>
      </c>
      <c r="J27" s="48"/>
      <c r="K27" s="48"/>
      <c r="L27" s="48"/>
      <c r="M27" s="48"/>
      <c r="N27" s="48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</row>
    <row r="28" spans="2:35" ht="18" x14ac:dyDescent="0.35">
      <c r="C28" s="42" t="s">
        <v>21</v>
      </c>
      <c r="D28" s="42">
        <f>+SUM(D24:D27)</f>
        <v>492</v>
      </c>
      <c r="E28" s="42">
        <f t="shared" ref="E28:N28" si="10">+SUM(E24:E27)</f>
        <v>0</v>
      </c>
      <c r="F28" s="42">
        <f t="shared" si="10"/>
        <v>0</v>
      </c>
      <c r="G28" s="42">
        <f t="shared" si="10"/>
        <v>0</v>
      </c>
      <c r="H28" s="42">
        <f t="shared" si="10"/>
        <v>0</v>
      </c>
      <c r="I28" s="42">
        <f t="shared" si="10"/>
        <v>3</v>
      </c>
      <c r="J28" s="42">
        <f t="shared" si="10"/>
        <v>0</v>
      </c>
      <c r="K28" s="42">
        <f t="shared" si="10"/>
        <v>0</v>
      </c>
      <c r="L28" s="42">
        <f t="shared" si="10"/>
        <v>0</v>
      </c>
      <c r="M28" s="42">
        <f t="shared" si="10"/>
        <v>0</v>
      </c>
      <c r="N28" s="42">
        <f t="shared" si="10"/>
        <v>0</v>
      </c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</row>
    <row r="29" spans="2:35" ht="18" x14ac:dyDescent="0.35"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</row>
    <row r="30" spans="2:35" ht="18" x14ac:dyDescent="0.35"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</row>
    <row r="31" spans="2:35" ht="18" x14ac:dyDescent="0.35">
      <c r="C31" s="47" t="s">
        <v>22</v>
      </c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</row>
    <row r="32" spans="2:35" ht="18" x14ac:dyDescent="0.35">
      <c r="C32" s="42" t="str">
        <f>+C24</f>
        <v>Barcos</v>
      </c>
      <c r="D32" s="42"/>
      <c r="E32" s="42">
        <f>+D24/10</f>
        <v>48</v>
      </c>
      <c r="F32" s="42">
        <f>+E32</f>
        <v>48</v>
      </c>
      <c r="G32" s="42">
        <f t="shared" ref="G32:N32" si="11">+F32</f>
        <v>48</v>
      </c>
      <c r="H32" s="42">
        <f t="shared" si="11"/>
        <v>48</v>
      </c>
      <c r="I32" s="42">
        <f t="shared" si="11"/>
        <v>48</v>
      </c>
      <c r="J32" s="42">
        <f t="shared" si="11"/>
        <v>48</v>
      </c>
      <c r="K32" s="42">
        <f t="shared" si="11"/>
        <v>48</v>
      </c>
      <c r="L32" s="42">
        <f t="shared" si="11"/>
        <v>48</v>
      </c>
      <c r="M32" s="42">
        <f t="shared" si="11"/>
        <v>48</v>
      </c>
      <c r="N32" s="42">
        <f t="shared" si="11"/>
        <v>48</v>
      </c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</row>
    <row r="33" spans="3:35" ht="18" x14ac:dyDescent="0.35">
      <c r="C33" s="42" t="str">
        <f t="shared" ref="C33:C36" si="12">+C25</f>
        <v>Puesto de control y oficinas</v>
      </c>
      <c r="D33" s="42"/>
      <c r="E33" s="42">
        <f>+D25/30</f>
        <v>0.16666666666666666</v>
      </c>
      <c r="F33" s="42">
        <f>+E33</f>
        <v>0.16666666666666666</v>
      </c>
      <c r="G33" s="42">
        <f t="shared" ref="G33:N33" si="13">+F33</f>
        <v>0.16666666666666666</v>
      </c>
      <c r="H33" s="42">
        <f t="shared" si="13"/>
        <v>0.16666666666666666</v>
      </c>
      <c r="I33" s="42">
        <f t="shared" si="13"/>
        <v>0.16666666666666666</v>
      </c>
      <c r="J33" s="42">
        <f t="shared" si="13"/>
        <v>0.16666666666666666</v>
      </c>
      <c r="K33" s="42">
        <f t="shared" si="13"/>
        <v>0.16666666666666666</v>
      </c>
      <c r="L33" s="42">
        <f t="shared" si="13"/>
        <v>0.16666666666666666</v>
      </c>
      <c r="M33" s="42">
        <f t="shared" si="13"/>
        <v>0.16666666666666666</v>
      </c>
      <c r="N33" s="42">
        <f t="shared" si="13"/>
        <v>0.16666666666666666</v>
      </c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</row>
    <row r="34" spans="3:35" ht="18" x14ac:dyDescent="0.35">
      <c r="C34" s="42" t="str">
        <f t="shared" si="12"/>
        <v>Instalaciones</v>
      </c>
      <c r="D34" s="42"/>
      <c r="E34" s="42">
        <f>+D26/10</f>
        <v>0.4</v>
      </c>
      <c r="F34" s="42">
        <f>+E34</f>
        <v>0.4</v>
      </c>
      <c r="G34" s="42">
        <f t="shared" ref="G34:N34" si="14">+F34</f>
        <v>0.4</v>
      </c>
      <c r="H34" s="42">
        <f t="shared" si="14"/>
        <v>0.4</v>
      </c>
      <c r="I34" s="42">
        <f t="shared" si="14"/>
        <v>0.4</v>
      </c>
      <c r="J34" s="42">
        <f t="shared" si="14"/>
        <v>0.4</v>
      </c>
      <c r="K34" s="42">
        <f t="shared" si="14"/>
        <v>0.4</v>
      </c>
      <c r="L34" s="42">
        <f t="shared" si="14"/>
        <v>0.4</v>
      </c>
      <c r="M34" s="42">
        <f t="shared" si="14"/>
        <v>0.4</v>
      </c>
      <c r="N34" s="42">
        <f t="shared" si="14"/>
        <v>0.4</v>
      </c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</row>
    <row r="35" spans="3:35" ht="18.600000000000001" thickBot="1" x14ac:dyDescent="0.4">
      <c r="C35" s="48" t="str">
        <f t="shared" si="12"/>
        <v>Equipos informáticos</v>
      </c>
      <c r="D35" s="48"/>
      <c r="E35" s="48">
        <f>+D27/3</f>
        <v>1</v>
      </c>
      <c r="F35" s="48">
        <f>+E35</f>
        <v>1</v>
      </c>
      <c r="G35" s="48">
        <f>+F35</f>
        <v>1</v>
      </c>
      <c r="H35" s="48">
        <v>0</v>
      </c>
      <c r="I35" s="48">
        <v>0</v>
      </c>
      <c r="J35" s="48">
        <v>1</v>
      </c>
      <c r="K35" s="48">
        <v>1</v>
      </c>
      <c r="L35" s="48">
        <v>1</v>
      </c>
      <c r="M35" s="48">
        <v>0</v>
      </c>
      <c r="N35" s="48">
        <v>0</v>
      </c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</row>
    <row r="36" spans="3:35" ht="18" x14ac:dyDescent="0.35">
      <c r="C36" s="42" t="str">
        <f t="shared" si="12"/>
        <v>TOTAL</v>
      </c>
      <c r="D36" s="42"/>
      <c r="E36" s="42">
        <f>+E32+E33+E34+E35</f>
        <v>49.566666666666663</v>
      </c>
      <c r="F36" s="42">
        <f t="shared" ref="F36:N36" si="15">+F32+F33+F34+F35</f>
        <v>49.566666666666663</v>
      </c>
      <c r="G36" s="42">
        <f t="shared" si="15"/>
        <v>49.566666666666663</v>
      </c>
      <c r="H36" s="42">
        <f t="shared" si="15"/>
        <v>48.566666666666663</v>
      </c>
      <c r="I36" s="42">
        <f t="shared" si="15"/>
        <v>48.566666666666663</v>
      </c>
      <c r="J36" s="42">
        <f t="shared" si="15"/>
        <v>49.566666666666663</v>
      </c>
      <c r="K36" s="42">
        <f t="shared" si="15"/>
        <v>49.566666666666663</v>
      </c>
      <c r="L36" s="42">
        <f t="shared" si="15"/>
        <v>49.566666666666663</v>
      </c>
      <c r="M36" s="42">
        <f t="shared" si="15"/>
        <v>48.566666666666663</v>
      </c>
      <c r="N36" s="42">
        <f t="shared" si="15"/>
        <v>48.566666666666663</v>
      </c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</row>
    <row r="37" spans="3:35" ht="18" x14ac:dyDescent="0.35"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</row>
    <row r="38" spans="3:35" ht="18" x14ac:dyDescent="0.35">
      <c r="C38" s="42"/>
      <c r="D38" s="46">
        <v>0</v>
      </c>
      <c r="E38" s="46">
        <v>1</v>
      </c>
      <c r="F38" s="46">
        <v>2</v>
      </c>
      <c r="G38" s="46">
        <v>3</v>
      </c>
      <c r="H38" s="46">
        <v>4</v>
      </c>
      <c r="I38" s="46">
        <v>5</v>
      </c>
      <c r="J38" s="46">
        <v>6</v>
      </c>
      <c r="K38" s="46">
        <v>7</v>
      </c>
      <c r="L38" s="46">
        <v>8</v>
      </c>
      <c r="M38" s="46">
        <v>9</v>
      </c>
      <c r="N38" s="46">
        <v>10</v>
      </c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</row>
    <row r="39" spans="3:35" ht="18" x14ac:dyDescent="0.35">
      <c r="C39" s="47" t="s">
        <v>23</v>
      </c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</row>
    <row r="40" spans="3:35" ht="18" x14ac:dyDescent="0.35">
      <c r="C40" s="42" t="str">
        <f>+C32</f>
        <v>Barcos</v>
      </c>
      <c r="D40" s="42">
        <f>+D24</f>
        <v>480</v>
      </c>
      <c r="E40" s="42">
        <f>+D40-E32</f>
        <v>432</v>
      </c>
      <c r="F40" s="42">
        <f t="shared" ref="F40:N40" si="16">+E40-F32</f>
        <v>384</v>
      </c>
      <c r="G40" s="42">
        <f t="shared" si="16"/>
        <v>336</v>
      </c>
      <c r="H40" s="42">
        <f t="shared" si="16"/>
        <v>288</v>
      </c>
      <c r="I40" s="42">
        <f t="shared" si="16"/>
        <v>240</v>
      </c>
      <c r="J40" s="42">
        <f t="shared" si="16"/>
        <v>192</v>
      </c>
      <c r="K40" s="42">
        <f t="shared" si="16"/>
        <v>144</v>
      </c>
      <c r="L40" s="42">
        <f t="shared" si="16"/>
        <v>96</v>
      </c>
      <c r="M40" s="42">
        <f t="shared" si="16"/>
        <v>48</v>
      </c>
      <c r="N40" s="42">
        <f t="shared" si="16"/>
        <v>0</v>
      </c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</row>
    <row r="41" spans="3:35" ht="18" x14ac:dyDescent="0.35">
      <c r="C41" s="42" t="str">
        <f t="shared" ref="C41:C44" si="17">+C33</f>
        <v>Puesto de control y oficinas</v>
      </c>
      <c r="D41" s="42">
        <f t="shared" ref="D41:D44" si="18">+D25</f>
        <v>5</v>
      </c>
      <c r="E41" s="42">
        <f>+D41-E33</f>
        <v>4.833333333333333</v>
      </c>
      <c r="F41" s="42">
        <f t="shared" ref="F41:N41" si="19">+E41-F33</f>
        <v>4.6666666666666661</v>
      </c>
      <c r="G41" s="42">
        <f t="shared" si="19"/>
        <v>4.4999999999999991</v>
      </c>
      <c r="H41" s="42">
        <f t="shared" si="19"/>
        <v>4.3333333333333321</v>
      </c>
      <c r="I41" s="42">
        <f t="shared" si="19"/>
        <v>4.1666666666666652</v>
      </c>
      <c r="J41" s="42">
        <f t="shared" si="19"/>
        <v>3.9999999999999987</v>
      </c>
      <c r="K41" s="42">
        <f t="shared" si="19"/>
        <v>3.8333333333333321</v>
      </c>
      <c r="L41" s="42">
        <f t="shared" si="19"/>
        <v>3.6666666666666656</v>
      </c>
      <c r="M41" s="42">
        <f t="shared" si="19"/>
        <v>3.4999999999999991</v>
      </c>
      <c r="N41" s="42">
        <f t="shared" si="19"/>
        <v>3.3333333333333326</v>
      </c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</row>
    <row r="42" spans="3:35" ht="18" x14ac:dyDescent="0.35">
      <c r="C42" s="42" t="str">
        <f t="shared" si="17"/>
        <v>Instalaciones</v>
      </c>
      <c r="D42" s="42">
        <f t="shared" si="18"/>
        <v>4</v>
      </c>
      <c r="E42" s="42">
        <f>+D42-E34</f>
        <v>3.6</v>
      </c>
      <c r="F42" s="42">
        <f t="shared" ref="F42:N42" si="20">+E42-F34</f>
        <v>3.2</v>
      </c>
      <c r="G42" s="42">
        <f t="shared" si="20"/>
        <v>2.8000000000000003</v>
      </c>
      <c r="H42" s="42">
        <f t="shared" si="20"/>
        <v>2.4000000000000004</v>
      </c>
      <c r="I42" s="42">
        <f t="shared" si="20"/>
        <v>2.0000000000000004</v>
      </c>
      <c r="J42" s="42">
        <f t="shared" si="20"/>
        <v>1.6000000000000005</v>
      </c>
      <c r="K42" s="42">
        <f t="shared" si="20"/>
        <v>1.2000000000000006</v>
      </c>
      <c r="L42" s="42">
        <f t="shared" si="20"/>
        <v>0.8000000000000006</v>
      </c>
      <c r="M42" s="42">
        <f t="shared" si="20"/>
        <v>0.40000000000000058</v>
      </c>
      <c r="N42" s="49">
        <f t="shared" si="20"/>
        <v>5.5511151231257827E-16</v>
      </c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</row>
    <row r="43" spans="3:35" ht="18.600000000000001" thickBot="1" x14ac:dyDescent="0.4">
      <c r="C43" s="48" t="str">
        <f t="shared" si="17"/>
        <v>Equipos informáticos</v>
      </c>
      <c r="D43" s="48">
        <f t="shared" si="18"/>
        <v>3</v>
      </c>
      <c r="E43" s="48">
        <f>+D43-E35</f>
        <v>2</v>
      </c>
      <c r="F43" s="48">
        <f t="shared" ref="F43:H43" si="21">+E43-F35</f>
        <v>1</v>
      </c>
      <c r="G43" s="48">
        <f t="shared" si="21"/>
        <v>0</v>
      </c>
      <c r="H43" s="48">
        <f t="shared" si="21"/>
        <v>0</v>
      </c>
      <c r="I43" s="48">
        <f>+I27</f>
        <v>3</v>
      </c>
      <c r="J43" s="48">
        <f>+I43-J35</f>
        <v>2</v>
      </c>
      <c r="K43" s="48">
        <f t="shared" ref="K43:N43" si="22">+J43-K35</f>
        <v>1</v>
      </c>
      <c r="L43" s="48">
        <f t="shared" si="22"/>
        <v>0</v>
      </c>
      <c r="M43" s="48">
        <f t="shared" si="22"/>
        <v>0</v>
      </c>
      <c r="N43" s="48">
        <f t="shared" si="22"/>
        <v>0</v>
      </c>
      <c r="O43" s="48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</row>
    <row r="44" spans="3:35" ht="18" x14ac:dyDescent="0.35">
      <c r="C44" s="42" t="str">
        <f t="shared" si="17"/>
        <v>TOTAL</v>
      </c>
      <c r="D44" s="42">
        <f t="shared" si="18"/>
        <v>492</v>
      </c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</row>
    <row r="45" spans="3:35" ht="18.600000000000001" thickBot="1" x14ac:dyDescent="0.4"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</row>
    <row r="46" spans="3:35" ht="18" x14ac:dyDescent="0.35">
      <c r="C46" s="50" t="s">
        <v>28</v>
      </c>
      <c r="D46" s="50" t="s">
        <v>27</v>
      </c>
      <c r="E46" s="50" t="s">
        <v>29</v>
      </c>
      <c r="F46" s="53" t="s">
        <v>64</v>
      </c>
      <c r="G46" s="54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</row>
    <row r="47" spans="3:35" ht="18.600000000000001" thickBot="1" x14ac:dyDescent="0.4">
      <c r="C47" s="42">
        <v>0</v>
      </c>
      <c r="D47" s="42"/>
      <c r="E47" s="42"/>
      <c r="F47" s="55" t="s">
        <v>65</v>
      </c>
      <c r="G47" s="56">
        <f>+NPV(0.025,E48:E67)</f>
        <v>34.101292499852427</v>
      </c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</row>
    <row r="48" spans="3:35" ht="18.600000000000001" thickBot="1" x14ac:dyDescent="0.4">
      <c r="C48" s="42">
        <v>1</v>
      </c>
      <c r="D48" s="42">
        <f>250*0.05/2</f>
        <v>6.25</v>
      </c>
      <c r="E48" s="42">
        <f>0.35*D48</f>
        <v>2.1875</v>
      </c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</row>
    <row r="49" spans="3:35" ht="24" thickBot="1" x14ac:dyDescent="0.5">
      <c r="C49" s="42">
        <v>2</v>
      </c>
      <c r="D49" s="42">
        <f t="shared" ref="D49:D67" si="23">250*0.05/2</f>
        <v>6.25</v>
      </c>
      <c r="E49" s="42">
        <f t="shared" ref="E49:E67" si="24">0.35*D49</f>
        <v>2.1875</v>
      </c>
      <c r="F49" s="60" t="s">
        <v>66</v>
      </c>
      <c r="G49" s="57" t="s">
        <v>30</v>
      </c>
      <c r="H49" s="58"/>
      <c r="I49" s="58"/>
      <c r="J49" s="58"/>
      <c r="K49" s="58"/>
      <c r="L49" s="58"/>
      <c r="M49" s="59">
        <f>+G47+D21</f>
        <v>162.88337191523613</v>
      </c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</row>
    <row r="50" spans="3:35" ht="18" x14ac:dyDescent="0.35">
      <c r="C50" s="42">
        <v>3</v>
      </c>
      <c r="D50" s="42">
        <f t="shared" si="23"/>
        <v>6.25</v>
      </c>
      <c r="E50" s="42">
        <f t="shared" si="24"/>
        <v>2.1875</v>
      </c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</row>
    <row r="51" spans="3:35" ht="18" x14ac:dyDescent="0.35">
      <c r="C51" s="42">
        <v>4</v>
      </c>
      <c r="D51" s="42">
        <f t="shared" si="23"/>
        <v>6.25</v>
      </c>
      <c r="E51" s="42">
        <f t="shared" si="24"/>
        <v>2.1875</v>
      </c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</row>
    <row r="52" spans="3:35" ht="18" x14ac:dyDescent="0.35">
      <c r="C52" s="42">
        <v>5</v>
      </c>
      <c r="D52" s="42">
        <f t="shared" si="23"/>
        <v>6.25</v>
      </c>
      <c r="E52" s="42">
        <f t="shared" si="24"/>
        <v>2.1875</v>
      </c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</row>
    <row r="53" spans="3:35" ht="18" x14ac:dyDescent="0.35">
      <c r="C53" s="42">
        <v>6</v>
      </c>
      <c r="D53" s="42">
        <f t="shared" si="23"/>
        <v>6.25</v>
      </c>
      <c r="E53" s="42">
        <f t="shared" si="24"/>
        <v>2.1875</v>
      </c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</row>
    <row r="54" spans="3:35" ht="18" x14ac:dyDescent="0.35">
      <c r="C54" s="42">
        <v>7</v>
      </c>
      <c r="D54" s="42">
        <f t="shared" si="23"/>
        <v>6.25</v>
      </c>
      <c r="E54" s="42">
        <f t="shared" si="24"/>
        <v>2.1875</v>
      </c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</row>
    <row r="55" spans="3:35" ht="18" x14ac:dyDescent="0.35">
      <c r="C55" s="42">
        <v>8</v>
      </c>
      <c r="D55" s="42">
        <f t="shared" si="23"/>
        <v>6.25</v>
      </c>
      <c r="E55" s="42">
        <f t="shared" si="24"/>
        <v>2.1875</v>
      </c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</row>
    <row r="56" spans="3:35" ht="18" x14ac:dyDescent="0.35">
      <c r="C56" s="42">
        <v>9</v>
      </c>
      <c r="D56" s="42">
        <f t="shared" si="23"/>
        <v>6.25</v>
      </c>
      <c r="E56" s="42">
        <f t="shared" si="24"/>
        <v>2.1875</v>
      </c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</row>
    <row r="57" spans="3:35" ht="18" x14ac:dyDescent="0.35">
      <c r="C57" s="42">
        <v>10</v>
      </c>
      <c r="D57" s="42">
        <f t="shared" si="23"/>
        <v>6.25</v>
      </c>
      <c r="E57" s="42">
        <f t="shared" si="24"/>
        <v>2.1875</v>
      </c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</row>
    <row r="58" spans="3:35" ht="18" x14ac:dyDescent="0.35">
      <c r="C58" s="42">
        <v>11</v>
      </c>
      <c r="D58" s="42">
        <f t="shared" si="23"/>
        <v>6.25</v>
      </c>
      <c r="E58" s="42">
        <f t="shared" si="24"/>
        <v>2.1875</v>
      </c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</row>
    <row r="59" spans="3:35" ht="18" x14ac:dyDescent="0.35">
      <c r="C59" s="42">
        <v>12</v>
      </c>
      <c r="D59" s="42">
        <f t="shared" si="23"/>
        <v>6.25</v>
      </c>
      <c r="E59" s="42">
        <f t="shared" si="24"/>
        <v>2.1875</v>
      </c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</row>
    <row r="60" spans="3:35" ht="18" x14ac:dyDescent="0.35">
      <c r="C60" s="42">
        <v>13</v>
      </c>
      <c r="D60" s="42">
        <f t="shared" si="23"/>
        <v>6.25</v>
      </c>
      <c r="E60" s="42">
        <f t="shared" si="24"/>
        <v>2.1875</v>
      </c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</row>
    <row r="61" spans="3:35" ht="18" x14ac:dyDescent="0.35">
      <c r="C61" s="42">
        <v>14</v>
      </c>
      <c r="D61" s="42">
        <f t="shared" si="23"/>
        <v>6.25</v>
      </c>
      <c r="E61" s="42">
        <f t="shared" si="24"/>
        <v>2.1875</v>
      </c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</row>
    <row r="62" spans="3:35" ht="18" x14ac:dyDescent="0.35">
      <c r="C62" s="42">
        <v>15</v>
      </c>
      <c r="D62" s="42">
        <f t="shared" si="23"/>
        <v>6.25</v>
      </c>
      <c r="E62" s="42">
        <f t="shared" si="24"/>
        <v>2.1875</v>
      </c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</row>
    <row r="63" spans="3:35" ht="18" x14ac:dyDescent="0.35">
      <c r="C63" s="42">
        <v>16</v>
      </c>
      <c r="D63" s="42">
        <f t="shared" si="23"/>
        <v>6.25</v>
      </c>
      <c r="E63" s="42">
        <f t="shared" si="24"/>
        <v>2.1875</v>
      </c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</row>
    <row r="64" spans="3:35" ht="18" x14ac:dyDescent="0.35">
      <c r="C64" s="42">
        <v>17</v>
      </c>
      <c r="D64" s="42">
        <f t="shared" si="23"/>
        <v>6.25</v>
      </c>
      <c r="E64" s="42">
        <f>0.35*D64</f>
        <v>2.1875</v>
      </c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</row>
    <row r="65" spans="3:35" ht="18" x14ac:dyDescent="0.35">
      <c r="C65" s="42">
        <v>18</v>
      </c>
      <c r="D65" s="42">
        <f t="shared" si="23"/>
        <v>6.25</v>
      </c>
      <c r="E65" s="42">
        <f t="shared" si="24"/>
        <v>2.1875</v>
      </c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</row>
    <row r="66" spans="3:35" ht="18" x14ac:dyDescent="0.35">
      <c r="C66" s="42">
        <v>19</v>
      </c>
      <c r="D66" s="42">
        <f t="shared" si="23"/>
        <v>6.25</v>
      </c>
      <c r="E66" s="42">
        <f t="shared" si="24"/>
        <v>2.1875</v>
      </c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</row>
    <row r="67" spans="3:35" ht="18" x14ac:dyDescent="0.35">
      <c r="C67" s="42">
        <v>20</v>
      </c>
      <c r="D67" s="42">
        <f t="shared" si="23"/>
        <v>6.25</v>
      </c>
      <c r="E67" s="42">
        <f t="shared" si="24"/>
        <v>2.1875</v>
      </c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</row>
    <row r="68" spans="3:35" ht="18" x14ac:dyDescent="0.35"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</row>
    <row r="69" spans="3:35" ht="18" x14ac:dyDescent="0.35"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</row>
    <row r="70" spans="3:35" ht="18" x14ac:dyDescent="0.35"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</row>
    <row r="71" spans="3:35" ht="18" x14ac:dyDescent="0.35"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</row>
    <row r="72" spans="3:35" ht="18" x14ac:dyDescent="0.35"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</row>
    <row r="73" spans="3:35" ht="18" x14ac:dyDescent="0.35"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</row>
    <row r="74" spans="3:35" ht="18" x14ac:dyDescent="0.35"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</row>
    <row r="75" spans="3:35" ht="18" x14ac:dyDescent="0.35"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</row>
    <row r="76" spans="3:35" ht="18" x14ac:dyDescent="0.35"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</row>
    <row r="77" spans="3:35" ht="18" x14ac:dyDescent="0.35"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</row>
    <row r="78" spans="3:35" ht="18" x14ac:dyDescent="0.35"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</row>
    <row r="79" spans="3:35" ht="18" x14ac:dyDescent="0.35"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</row>
    <row r="80" spans="3:35" ht="18" x14ac:dyDescent="0.35"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</row>
    <row r="81" spans="18:35" ht="18" x14ac:dyDescent="0.35"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</row>
    <row r="82" spans="18:35" ht="18" x14ac:dyDescent="0.35"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</row>
    <row r="83" spans="18:35" ht="18" x14ac:dyDescent="0.35"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</row>
    <row r="84" spans="18:35" ht="18" x14ac:dyDescent="0.35"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Q21"/>
  <sheetViews>
    <sheetView tabSelected="1" zoomScale="10" zoomScaleNormal="10" workbookViewId="0">
      <selection activeCell="G15" sqref="G15"/>
    </sheetView>
  </sheetViews>
  <sheetFormatPr defaultColWidth="11.5546875" defaultRowHeight="14.4" x14ac:dyDescent="0.3"/>
  <cols>
    <col min="3" max="3" width="34.6640625" customWidth="1"/>
    <col min="4" max="4" width="23.109375" bestFit="1" customWidth="1"/>
    <col min="5" max="5" width="17.88671875" bestFit="1" customWidth="1"/>
    <col min="6" max="6" width="23.5546875" customWidth="1"/>
    <col min="7" max="7" width="18" customWidth="1"/>
    <col min="8" max="11" width="12" bestFit="1" customWidth="1"/>
    <col min="12" max="12" width="20.6640625" bestFit="1" customWidth="1"/>
    <col min="13" max="13" width="14.6640625" customWidth="1"/>
  </cols>
  <sheetData>
    <row r="1" spans="3:17" ht="26.4" thickBot="1" x14ac:dyDescent="0.55000000000000004">
      <c r="C1" s="15" t="s">
        <v>28</v>
      </c>
      <c r="D1" s="16" t="s">
        <v>31</v>
      </c>
      <c r="E1" s="16" t="s">
        <v>32</v>
      </c>
      <c r="F1" s="17" t="s">
        <v>33</v>
      </c>
      <c r="G1" s="4" t="s">
        <v>31</v>
      </c>
      <c r="H1" s="5" t="s">
        <v>34</v>
      </c>
      <c r="I1" s="5" t="s">
        <v>35</v>
      </c>
      <c r="J1" s="5" t="s">
        <v>36</v>
      </c>
      <c r="K1" s="5" t="s">
        <v>37</v>
      </c>
      <c r="L1" s="20" t="s">
        <v>39</v>
      </c>
    </row>
    <row r="2" spans="3:17" ht="25.8" x14ac:dyDescent="0.5">
      <c r="C2" s="8">
        <v>0</v>
      </c>
      <c r="D2" s="9">
        <v>44895</v>
      </c>
      <c r="E2" s="10"/>
      <c r="F2" s="11"/>
      <c r="G2" s="6">
        <v>44895</v>
      </c>
      <c r="H2">
        <v>-97.56</v>
      </c>
      <c r="I2">
        <v>-95</v>
      </c>
      <c r="J2">
        <v>-92.32</v>
      </c>
      <c r="K2">
        <v>-89.54</v>
      </c>
      <c r="L2" s="21"/>
    </row>
    <row r="3" spans="3:17" ht="25.8" x14ac:dyDescent="0.5">
      <c r="C3" s="8">
        <v>1</v>
      </c>
      <c r="D3" s="9">
        <v>45076</v>
      </c>
      <c r="E3" s="10">
        <f>100*0.12/2</f>
        <v>6</v>
      </c>
      <c r="F3" s="18">
        <f>+H7</f>
        <v>2.5010250102500908E-2</v>
      </c>
      <c r="G3" s="6">
        <v>45076</v>
      </c>
      <c r="H3">
        <v>100</v>
      </c>
      <c r="I3">
        <v>0</v>
      </c>
      <c r="J3">
        <v>0</v>
      </c>
      <c r="K3">
        <v>0</v>
      </c>
      <c r="L3" s="21">
        <f>+E3/(1+H7)</f>
        <v>5.853600000000001</v>
      </c>
    </row>
    <row r="4" spans="3:17" ht="25.8" x14ac:dyDescent="0.5">
      <c r="C4" s="8">
        <v>2</v>
      </c>
      <c r="D4" s="9">
        <v>45260</v>
      </c>
      <c r="E4" s="10">
        <f t="shared" ref="E4:E5" si="0">100*0.12/2</f>
        <v>6</v>
      </c>
      <c r="F4" s="18">
        <f>+I7</f>
        <v>2.5978352085153977E-2</v>
      </c>
      <c r="G4" s="6">
        <v>45260</v>
      </c>
      <c r="I4">
        <v>100</v>
      </c>
      <c r="J4">
        <v>0</v>
      </c>
      <c r="K4">
        <v>0</v>
      </c>
      <c r="L4" s="21">
        <f>+E4/(1+I7)^2</f>
        <v>5.700000000000002</v>
      </c>
    </row>
    <row r="5" spans="3:17" ht="25.8" x14ac:dyDescent="0.5">
      <c r="C5" s="8">
        <v>3</v>
      </c>
      <c r="D5" s="9">
        <v>45442</v>
      </c>
      <c r="E5" s="10">
        <f t="shared" si="0"/>
        <v>6</v>
      </c>
      <c r="F5" s="18">
        <f>+J7</f>
        <v>2.6994382458545463E-2</v>
      </c>
      <c r="G5" s="6">
        <v>45442</v>
      </c>
      <c r="J5">
        <v>100</v>
      </c>
      <c r="K5">
        <v>0</v>
      </c>
      <c r="L5" s="21">
        <f>+E5/(1+J7)^3</f>
        <v>5.5391999999999832</v>
      </c>
    </row>
    <row r="6" spans="3:17" ht="26.4" thickBot="1" x14ac:dyDescent="0.55000000000000004">
      <c r="C6" s="12">
        <v>4</v>
      </c>
      <c r="D6" s="13">
        <v>45626</v>
      </c>
      <c r="E6" s="14">
        <f>100+E5</f>
        <v>106</v>
      </c>
      <c r="F6" s="19">
        <f>+K7</f>
        <v>2.8006184734877149E-2</v>
      </c>
      <c r="G6" s="7">
        <v>45626</v>
      </c>
      <c r="H6" s="1"/>
      <c r="I6" s="1"/>
      <c r="J6" s="1"/>
      <c r="K6" s="1">
        <v>100</v>
      </c>
      <c r="L6" s="21">
        <f>+E6/(1+K7)^4</f>
        <v>94.912399999954047</v>
      </c>
    </row>
    <row r="7" spans="3:17" ht="29.4" thickBot="1" x14ac:dyDescent="0.6">
      <c r="G7" s="22" t="s">
        <v>38</v>
      </c>
      <c r="H7" s="23">
        <f>+IRR(H2:H6)</f>
        <v>2.5010250102500908E-2</v>
      </c>
      <c r="I7" s="23">
        <f t="shared" ref="I7:K7" si="1">+IRR(I2:I6)</f>
        <v>2.5978352085153977E-2</v>
      </c>
      <c r="J7" s="23">
        <f t="shared" si="1"/>
        <v>2.6994382458545463E-2</v>
      </c>
      <c r="K7" s="24">
        <f t="shared" si="1"/>
        <v>2.8006184734877149E-2</v>
      </c>
      <c r="L7" s="25">
        <f>SUM(L3:L6)</f>
        <v>112.00519999995403</v>
      </c>
      <c r="M7" s="26" t="s">
        <v>40</v>
      </c>
    </row>
    <row r="8" spans="3:17" ht="28.8" x14ac:dyDescent="0.55000000000000004">
      <c r="H8" s="33" t="s">
        <v>46</v>
      </c>
      <c r="I8" s="32" t="s">
        <v>45</v>
      </c>
      <c r="J8" s="33" t="s">
        <v>48</v>
      </c>
      <c r="K8" s="33" t="s">
        <v>49</v>
      </c>
    </row>
    <row r="9" spans="3:17" ht="15" thickBot="1" x14ac:dyDescent="0.35"/>
    <row r="10" spans="3:17" ht="26.4" thickBot="1" x14ac:dyDescent="0.55000000000000004">
      <c r="C10" s="15" t="s">
        <v>28</v>
      </c>
      <c r="D10" s="16" t="s">
        <v>31</v>
      </c>
      <c r="E10" s="16" t="s">
        <v>32</v>
      </c>
      <c r="I10" s="3"/>
      <c r="J10" s="3"/>
      <c r="K10" s="3"/>
    </row>
    <row r="11" spans="3:17" ht="26.4" thickBot="1" x14ac:dyDescent="0.55000000000000004">
      <c r="C11" s="27">
        <v>0</v>
      </c>
      <c r="D11" s="28">
        <v>44895</v>
      </c>
      <c r="E11" s="30">
        <f>-L7</f>
        <v>-112.00519999995403</v>
      </c>
      <c r="F11" s="31"/>
      <c r="G11" s="29" t="s">
        <v>41</v>
      </c>
      <c r="H11" s="34"/>
      <c r="I11" s="35" t="s">
        <v>44</v>
      </c>
      <c r="J11" s="35"/>
      <c r="K11" s="35" t="s">
        <v>25</v>
      </c>
      <c r="L11" s="35" t="s">
        <v>47</v>
      </c>
      <c r="M11" s="35"/>
      <c r="N11" s="34"/>
      <c r="O11" s="34"/>
    </row>
    <row r="12" spans="3:17" ht="29.4" thickBot="1" x14ac:dyDescent="0.6">
      <c r="C12" s="8">
        <v>1</v>
      </c>
      <c r="D12" s="9">
        <v>45076</v>
      </c>
      <c r="E12" s="31">
        <f>100*0.12/2</f>
        <v>6</v>
      </c>
      <c r="F12" s="37" t="s">
        <v>54</v>
      </c>
      <c r="G12" s="38">
        <f>+((1+I7)^2)/(1+H7)-1</f>
        <v>2.6947368421052387E-2</v>
      </c>
      <c r="H12" s="34"/>
      <c r="I12" s="35"/>
      <c r="J12" s="35"/>
      <c r="K12" s="35"/>
      <c r="L12" s="34"/>
      <c r="M12" s="34"/>
      <c r="N12" s="34"/>
      <c r="O12" s="34"/>
    </row>
    <row r="13" spans="3:17" ht="26.4" thickBot="1" x14ac:dyDescent="0.55000000000000004">
      <c r="C13" s="27">
        <v>2</v>
      </c>
      <c r="D13" s="28">
        <v>45260</v>
      </c>
      <c r="E13" s="31">
        <f t="shared" ref="E13:E14" si="2">100*0.12/2</f>
        <v>6</v>
      </c>
      <c r="F13" s="31" t="s">
        <v>43</v>
      </c>
      <c r="G13" s="29" t="s">
        <v>42</v>
      </c>
      <c r="H13" s="34"/>
      <c r="I13" s="35"/>
      <c r="J13" s="35"/>
      <c r="K13" s="35"/>
      <c r="L13" s="34"/>
      <c r="M13" s="34"/>
      <c r="N13" s="34"/>
      <c r="O13" s="34"/>
    </row>
    <row r="14" spans="3:17" ht="31.8" thickBot="1" x14ac:dyDescent="0.65">
      <c r="C14" s="8">
        <v>3</v>
      </c>
      <c r="D14" s="9">
        <v>45442</v>
      </c>
      <c r="E14" s="10">
        <f t="shared" si="2"/>
        <v>6</v>
      </c>
      <c r="F14" s="39" t="s">
        <v>55</v>
      </c>
      <c r="G14" s="38">
        <f>+((1+J7)^3)/(1+I7)^2-1</f>
        <v>2.9029462738304979E-2</v>
      </c>
      <c r="H14" s="34"/>
      <c r="I14" s="36" t="s">
        <v>50</v>
      </c>
      <c r="J14" s="36"/>
      <c r="K14" s="36" t="s">
        <v>25</v>
      </c>
      <c r="L14" s="36" t="s">
        <v>51</v>
      </c>
      <c r="M14" s="36"/>
      <c r="N14" s="36"/>
      <c r="O14" s="36"/>
      <c r="P14" s="33"/>
      <c r="Q14" s="33"/>
    </row>
    <row r="15" spans="3:17" ht="31.8" thickBot="1" x14ac:dyDescent="0.65">
      <c r="C15" s="12">
        <v>4</v>
      </c>
      <c r="D15" s="13">
        <v>45626</v>
      </c>
      <c r="E15" s="14">
        <f>100+E14</f>
        <v>106</v>
      </c>
      <c r="F15" s="39" t="s">
        <v>56</v>
      </c>
      <c r="G15" s="38">
        <f>+((((1+K7)^4)/(1+I7)^2)^0.5)-1</f>
        <v>3.0038025369025112E-2</v>
      </c>
      <c r="H15" s="34"/>
      <c r="I15" s="36"/>
      <c r="J15" s="36"/>
      <c r="K15" s="36"/>
      <c r="L15" s="36"/>
      <c r="M15" s="36"/>
      <c r="N15" s="36"/>
      <c r="O15" s="36"/>
      <c r="P15" s="33"/>
      <c r="Q15" s="33"/>
    </row>
    <row r="16" spans="3:17" ht="29.4" thickBot="1" x14ac:dyDescent="0.6">
      <c r="H16" s="34"/>
      <c r="I16" s="36"/>
      <c r="J16" s="36"/>
      <c r="K16" s="36"/>
      <c r="L16" s="36"/>
      <c r="M16" s="36"/>
      <c r="N16" s="36"/>
      <c r="O16" s="36"/>
      <c r="P16" s="33"/>
      <c r="Q16" s="33"/>
    </row>
    <row r="17" spans="3:17" ht="34.200000000000003" thickBot="1" x14ac:dyDescent="0.7">
      <c r="C17" s="61" t="s">
        <v>57</v>
      </c>
      <c r="D17" s="66">
        <f>+E14/(1+G14)</f>
        <v>5.8307368421052441</v>
      </c>
      <c r="E17" s="62" t="s">
        <v>60</v>
      </c>
      <c r="F17" s="65">
        <f>106/(1+G15)^2</f>
        <v>99.907789473635802</v>
      </c>
      <c r="H17" s="34"/>
      <c r="I17" s="36" t="s">
        <v>52</v>
      </c>
      <c r="J17" s="36"/>
      <c r="K17" s="36" t="s">
        <v>25</v>
      </c>
      <c r="L17" s="36" t="s">
        <v>53</v>
      </c>
      <c r="M17" s="36"/>
      <c r="N17" s="36"/>
      <c r="O17" s="36"/>
      <c r="P17" s="33"/>
      <c r="Q17" s="33"/>
    </row>
    <row r="18" spans="3:17" ht="34.200000000000003" thickBot="1" x14ac:dyDescent="0.7">
      <c r="C18" s="61" t="s">
        <v>58</v>
      </c>
      <c r="D18" s="65">
        <f>+D17+F17+E13+E12*(1+G12)</f>
        <v>117.90021052626736</v>
      </c>
      <c r="E18" s="2"/>
      <c r="F18" s="2"/>
      <c r="H18" s="34"/>
      <c r="I18" s="36"/>
      <c r="J18" s="36"/>
      <c r="K18" s="36"/>
      <c r="L18" s="36"/>
      <c r="M18" s="36"/>
      <c r="N18" s="36"/>
      <c r="O18" s="36"/>
      <c r="P18" s="33"/>
      <c r="Q18" s="33"/>
    </row>
    <row r="19" spans="3:17" ht="34.200000000000003" thickBot="1" x14ac:dyDescent="0.7">
      <c r="C19" s="61" t="s">
        <v>59</v>
      </c>
      <c r="D19" s="63">
        <f>+L7</f>
        <v>112.00519999995403</v>
      </c>
      <c r="E19" s="2"/>
      <c r="F19" s="2"/>
      <c r="H19" s="34"/>
      <c r="I19" s="36"/>
      <c r="J19" s="36"/>
      <c r="K19" s="36"/>
      <c r="L19" s="36"/>
      <c r="M19" s="36"/>
      <c r="N19" s="36"/>
      <c r="O19" s="36"/>
      <c r="P19" s="33"/>
      <c r="Q19" s="33"/>
    </row>
    <row r="20" spans="3:17" ht="34.200000000000003" thickBot="1" x14ac:dyDescent="0.7">
      <c r="C20" s="61" t="s">
        <v>61</v>
      </c>
      <c r="D20" s="64">
        <f>+(D18-D19)/D19</f>
        <v>5.263157894736805E-2</v>
      </c>
      <c r="E20" s="40"/>
      <c r="H20" s="34"/>
      <c r="I20" s="36"/>
      <c r="J20" s="36"/>
      <c r="K20" s="36"/>
      <c r="L20" s="36"/>
      <c r="M20" s="36"/>
      <c r="N20" s="36"/>
      <c r="O20" s="36"/>
      <c r="P20" s="33"/>
      <c r="Q20" s="33"/>
    </row>
    <row r="21" spans="3:17" ht="33.6" x14ac:dyDescent="0.65">
      <c r="C21" s="2" t="s">
        <v>62</v>
      </c>
      <c r="D21" s="3" t="s">
        <v>63</v>
      </c>
      <c r="H21" s="34"/>
      <c r="I21" s="36"/>
      <c r="J21" s="36"/>
      <c r="K21" s="36"/>
      <c r="L21" s="36"/>
      <c r="M21" s="36"/>
      <c r="N21" s="36"/>
      <c r="O21" s="36"/>
      <c r="P21" s="33"/>
      <c r="Q21" s="3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"/>
  <sheetViews>
    <sheetView workbookViewId="0">
      <selection activeCell="B8" sqref="B8"/>
    </sheetView>
  </sheetViews>
  <sheetFormatPr defaultColWidth="11.5546875" defaultRowHeight="14.4" x14ac:dyDescent="0.3"/>
  <sheetData>
    <row r="1" spans="1:14" ht="25.8" x14ac:dyDescent="0.5">
      <c r="A1" s="3"/>
      <c r="B1" s="3" t="s">
        <v>69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25.8" x14ac:dyDescent="0.5">
      <c r="A2" s="3"/>
      <c r="B2" s="3" t="s">
        <v>70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ht="25.8" x14ac:dyDescent="0.5">
      <c r="A3" s="3"/>
      <c r="B3" s="3" t="s">
        <v>71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25.8" x14ac:dyDescent="0.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25.8" x14ac:dyDescent="0.5">
      <c r="A5" s="3"/>
      <c r="B5" s="3" t="s">
        <v>72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25.8" x14ac:dyDescent="0.5">
      <c r="A6" s="3"/>
      <c r="B6" s="3" t="s">
        <v>73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25.8" x14ac:dyDescent="0.5">
      <c r="A7" s="3"/>
      <c r="B7" s="3" t="s">
        <v>74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25.8" x14ac:dyDescent="0.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25.8" x14ac:dyDescent="0.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25.8" x14ac:dyDescent="0.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M17"/>
  <sheetViews>
    <sheetView topLeftCell="A7" workbookViewId="0">
      <selection activeCell="A18" sqref="A18"/>
    </sheetView>
  </sheetViews>
  <sheetFormatPr defaultColWidth="11.5546875" defaultRowHeight="14.4" x14ac:dyDescent="0.3"/>
  <sheetData>
    <row r="2" spans="2:13" ht="25.8" x14ac:dyDescent="0.5">
      <c r="B2" s="3" t="s">
        <v>75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2:13" ht="25.8" x14ac:dyDescent="0.5">
      <c r="B3" s="3" t="s">
        <v>76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2:13" ht="25.8" x14ac:dyDescent="0.5">
      <c r="B4" s="3" t="s">
        <v>77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2:13" ht="25.8" x14ac:dyDescent="0.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2:13" ht="25.8" x14ac:dyDescent="0.5">
      <c r="B6" s="67" t="s">
        <v>78</v>
      </c>
      <c r="C6" s="67"/>
      <c r="D6" s="67"/>
      <c r="E6" s="67"/>
      <c r="F6" s="67"/>
      <c r="G6" s="3"/>
      <c r="H6" s="3"/>
      <c r="I6" s="3"/>
      <c r="J6" s="3"/>
      <c r="K6" s="3"/>
      <c r="L6" s="3"/>
      <c r="M6" s="3"/>
    </row>
    <row r="7" spans="2:13" ht="25.8" x14ac:dyDescent="0.5">
      <c r="B7" s="3" t="s">
        <v>79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2:13" ht="25.8" x14ac:dyDescent="0.5">
      <c r="B8" s="3" t="s">
        <v>80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2:13" ht="25.8" x14ac:dyDescent="0.5">
      <c r="B9" s="3" t="s">
        <v>81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2:13" ht="25.8" x14ac:dyDescent="0.5">
      <c r="B10" s="3" t="s">
        <v>82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2:13" ht="25.8" x14ac:dyDescent="0.5">
      <c r="B11" s="3" t="s">
        <v>83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2:13" ht="25.8" x14ac:dyDescent="0.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2:13" ht="25.8" x14ac:dyDescent="0.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2:13" ht="25.8" x14ac:dyDescent="0.5">
      <c r="B14" s="67" t="s">
        <v>84</v>
      </c>
      <c r="C14" s="67"/>
      <c r="D14" s="67"/>
      <c r="E14" s="67"/>
      <c r="F14" s="67"/>
      <c r="G14" s="3"/>
      <c r="H14" s="3"/>
      <c r="I14" s="3"/>
      <c r="J14" s="3"/>
      <c r="K14" s="3"/>
      <c r="L14" s="3"/>
      <c r="M14" s="3"/>
    </row>
    <row r="15" spans="2:13" ht="25.8" x14ac:dyDescent="0.5">
      <c r="B15" s="3" t="s">
        <v>85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2:13" ht="25.8" x14ac:dyDescent="0.5">
      <c r="B16" s="3" t="s">
        <v>86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2:13" ht="25.8" x14ac:dyDescent="0.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aula</dc:creator>
  <cp:lastModifiedBy>Federico Lopez</cp:lastModifiedBy>
  <dcterms:created xsi:type="dcterms:W3CDTF">2022-11-16T17:33:48Z</dcterms:created>
  <dcterms:modified xsi:type="dcterms:W3CDTF">2022-11-25T14:18:40Z</dcterms:modified>
</cp:coreProperties>
</file>