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fmolero\Documents\"/>
    </mc:Choice>
  </mc:AlternateContent>
  <bookViews>
    <workbookView xWindow="0" yWindow="0" windowWidth="20490" windowHeight="7020" activeTab="1"/>
  </bookViews>
  <sheets>
    <sheet name="1" sheetId="1" r:id="rId1"/>
    <sheet name="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2" l="1"/>
  <c r="J3" i="2"/>
  <c r="I3" i="2"/>
  <c r="H3" i="2"/>
  <c r="G3" i="2"/>
  <c r="F3" i="2"/>
  <c r="F11" i="2" l="1"/>
  <c r="F5" i="2"/>
  <c r="G7" i="2"/>
  <c r="G10" i="2" s="1"/>
  <c r="G5" i="2"/>
  <c r="H7" i="2"/>
  <c r="H10" i="2" s="1"/>
  <c r="H5" i="2"/>
  <c r="I7" i="2"/>
  <c r="I10" i="2" s="1"/>
  <c r="I5" i="2"/>
  <c r="J7" i="2"/>
  <c r="J10" i="2" s="1"/>
  <c r="J5" i="2"/>
  <c r="K7" i="2"/>
  <c r="K10" i="2" s="1"/>
  <c r="K5" i="2"/>
  <c r="F7" i="2"/>
  <c r="G13" i="2"/>
  <c r="H13" i="2"/>
  <c r="I13" i="2"/>
  <c r="J13" i="2"/>
  <c r="K13" i="2"/>
  <c r="F13" i="2"/>
  <c r="D25" i="2"/>
  <c r="D26" i="2" s="1"/>
  <c r="E25" i="2"/>
  <c r="E16" i="2"/>
  <c r="D16" i="2"/>
  <c r="H12" i="2"/>
  <c r="I12" i="2"/>
  <c r="J12" i="2" s="1"/>
  <c r="K12" i="2" s="1"/>
  <c r="G12" i="2"/>
  <c r="G11" i="2"/>
  <c r="H11" i="2"/>
  <c r="I11" i="2"/>
  <c r="J11" i="2"/>
  <c r="K11" i="2"/>
  <c r="H8" i="2"/>
  <c r="I8" i="2" s="1"/>
  <c r="J8" i="2" s="1"/>
  <c r="K8" i="2" s="1"/>
  <c r="G8" i="2"/>
  <c r="G6" i="2"/>
  <c r="H6" i="2"/>
  <c r="I6" i="2"/>
  <c r="J6" i="2"/>
  <c r="K6" i="2"/>
  <c r="F6" i="2"/>
  <c r="K4" i="2"/>
  <c r="H4" i="2"/>
  <c r="I4" i="2" s="1"/>
  <c r="J4" i="2" s="1"/>
  <c r="G4" i="2"/>
  <c r="D21" i="2"/>
  <c r="E15" i="2"/>
  <c r="D15" i="2"/>
  <c r="F25" i="2" l="1"/>
  <c r="G25" i="2" s="1"/>
  <c r="H25" i="2" s="1"/>
  <c r="I25" i="2" s="1"/>
  <c r="J25" i="2" s="1"/>
  <c r="K25" i="2" s="1"/>
  <c r="K26" i="2" s="1"/>
  <c r="D22" i="2"/>
  <c r="D27" i="2" s="1"/>
  <c r="F10" i="2"/>
  <c r="E40" i="1"/>
  <c r="D40" i="1"/>
  <c r="E37" i="1"/>
  <c r="D37" i="1"/>
  <c r="E35" i="1"/>
  <c r="F10" i="1"/>
  <c r="E10" i="1"/>
  <c r="G4" i="1"/>
  <c r="F12" i="1" s="1"/>
  <c r="F20" i="1"/>
  <c r="E20" i="1"/>
  <c r="F19" i="1"/>
  <c r="G19" i="1" s="1"/>
  <c r="E14" i="1"/>
  <c r="E15" i="1" s="1"/>
  <c r="F9" i="1"/>
  <c r="E9" i="1"/>
  <c r="L7" i="1"/>
  <c r="K7" i="1"/>
  <c r="J7" i="1"/>
  <c r="I7" i="1"/>
  <c r="H7" i="1"/>
  <c r="G7" i="1"/>
  <c r="L6" i="1"/>
  <c r="K6" i="1"/>
  <c r="J6" i="1"/>
  <c r="I6" i="1"/>
  <c r="H6" i="1"/>
  <c r="G6" i="1"/>
  <c r="G26" i="2" l="1"/>
  <c r="H26" i="2"/>
  <c r="J26" i="2"/>
  <c r="I26" i="2"/>
  <c r="F26" i="2"/>
  <c r="F15" i="2"/>
  <c r="F16" i="2" s="1"/>
  <c r="E21" i="2"/>
  <c r="E22" i="2" s="1"/>
  <c r="E27" i="2" s="1"/>
  <c r="E16" i="1"/>
  <c r="E21" i="1" s="1"/>
  <c r="G5" i="1"/>
  <c r="H19" i="1"/>
  <c r="G20" i="1"/>
  <c r="H4" i="1"/>
  <c r="H5" i="1" s="1"/>
  <c r="G15" i="2" l="1"/>
  <c r="G16" i="2" s="1"/>
  <c r="F21" i="2"/>
  <c r="G9" i="1"/>
  <c r="G10" i="1" s="1"/>
  <c r="F13" i="1"/>
  <c r="F14" i="1" s="1"/>
  <c r="F15" i="1" s="1"/>
  <c r="F16" i="1" s="1"/>
  <c r="F21" i="1" s="1"/>
  <c r="I4" i="1"/>
  <c r="I5" i="1" s="1"/>
  <c r="G13" i="1"/>
  <c r="G12" i="1"/>
  <c r="H9" i="1"/>
  <c r="H10" i="1" s="1"/>
  <c r="H20" i="1"/>
  <c r="I19" i="1"/>
  <c r="F22" i="2" l="1"/>
  <c r="G21" i="2"/>
  <c r="H15" i="2"/>
  <c r="H16" i="2" s="1"/>
  <c r="G14" i="1"/>
  <c r="G15" i="1" s="1"/>
  <c r="H13" i="1"/>
  <c r="H12" i="1"/>
  <c r="J4" i="1"/>
  <c r="J5" i="1" s="1"/>
  <c r="J19" i="1"/>
  <c r="I20" i="1"/>
  <c r="G22" i="2" l="1"/>
  <c r="H21" i="2"/>
  <c r="I15" i="2"/>
  <c r="I16" i="2" s="1"/>
  <c r="G16" i="1"/>
  <c r="G21" i="1" s="1"/>
  <c r="I9" i="1"/>
  <c r="I10" i="1" s="1"/>
  <c r="H14" i="1"/>
  <c r="H15" i="1" s="1"/>
  <c r="H16" i="1" s="1"/>
  <c r="H21" i="1" s="1"/>
  <c r="I13" i="1"/>
  <c r="K4" i="1"/>
  <c r="K5" i="1" s="1"/>
  <c r="J9" i="1"/>
  <c r="J10" i="1" s="1"/>
  <c r="I12" i="1"/>
  <c r="K19" i="1"/>
  <c r="J20" i="1"/>
  <c r="H22" i="2" l="1"/>
  <c r="I21" i="2"/>
  <c r="J15" i="2"/>
  <c r="J16" i="2" s="1"/>
  <c r="I14" i="1"/>
  <c r="I15" i="1" s="1"/>
  <c r="I16" i="1" s="1"/>
  <c r="I21" i="1" s="1"/>
  <c r="L19" i="1"/>
  <c r="L20" i="1" s="1"/>
  <c r="K20" i="1"/>
  <c r="J12" i="1"/>
  <c r="L4" i="1"/>
  <c r="L5" i="1" s="1"/>
  <c r="J13" i="1"/>
  <c r="I22" i="2" l="1"/>
  <c r="K15" i="2"/>
  <c r="K16" i="2" s="1"/>
  <c r="J14" i="1"/>
  <c r="J15" i="1" s="1"/>
  <c r="J16" i="1" s="1"/>
  <c r="J21" i="1" s="1"/>
  <c r="K9" i="1"/>
  <c r="K10" i="1" s="1"/>
  <c r="K12" i="1"/>
  <c r="M4" i="1"/>
  <c r="K13" i="1"/>
  <c r="J21" i="2" l="1"/>
  <c r="J22" i="2" s="1"/>
  <c r="K21" i="2"/>
  <c r="K14" i="1"/>
  <c r="K15" i="1" s="1"/>
  <c r="K16" i="1" s="1"/>
  <c r="K21" i="1" s="1"/>
  <c r="E28" i="1" s="1"/>
  <c r="L12" i="1"/>
  <c r="M5" i="1"/>
  <c r="L13" i="1" s="1"/>
  <c r="L9" i="1"/>
  <c r="L10" i="1" s="1"/>
  <c r="K22" i="2" l="1"/>
  <c r="K27" i="2" s="1"/>
  <c r="D30" i="2" s="1"/>
  <c r="D31" i="2" s="1"/>
  <c r="L14" i="1"/>
  <c r="L15" i="1" s="1"/>
  <c r="L16" i="1" s="1"/>
  <c r="L21" i="1" s="1"/>
  <c r="E26" i="1" s="1"/>
  <c r="E27" i="1" s="1"/>
  <c r="E29" i="1" s="1"/>
  <c r="G27" i="2"/>
  <c r="H27" i="2"/>
  <c r="I27" i="2"/>
  <c r="J27" i="2"/>
  <c r="F27" i="2"/>
  <c r="D32" i="2" l="1"/>
  <c r="D33" i="2" s="1"/>
</calcChain>
</file>

<file path=xl/sharedStrings.xml><?xml version="1.0" encoding="utf-8"?>
<sst xmlns="http://schemas.openxmlformats.org/spreadsheetml/2006/main" count="69" uniqueCount="47">
  <si>
    <t>Año</t>
  </si>
  <si>
    <t>Ventas</t>
  </si>
  <si>
    <t>Costos Variables Erogables</t>
  </si>
  <si>
    <t>Costos Fijos Erogables</t>
  </si>
  <si>
    <t>Costos no Erogables (Amortizaciones)</t>
  </si>
  <si>
    <t xml:space="preserve">Resultado por venta de Activos </t>
  </si>
  <si>
    <t>EBIT</t>
  </si>
  <si>
    <t>Impuesto a las Ganancias</t>
  </si>
  <si>
    <t>Activo Corriente</t>
  </si>
  <si>
    <t>Pasivo Corriente</t>
  </si>
  <si>
    <t xml:space="preserve">Capital de Trabajo </t>
  </si>
  <si>
    <t>Inversión en Capital de Trabajo</t>
  </si>
  <si>
    <t>FLUJOS DE FONDOS OPERATIVOS</t>
  </si>
  <si>
    <t>Activo no Corriente neto de amortizaciones</t>
  </si>
  <si>
    <t>Inversión en Activo no Corriente (a valor libros)</t>
  </si>
  <si>
    <t>FLUJOS DE FONDOS LIBRES</t>
  </si>
  <si>
    <t>Los honorarios del estudio de arquitectos son costos hundidos. Su pago no depende de si se acepta o no el proyecto. No forman parte de los flujos generados por el proyecto, por lo que no deben</t>
  </si>
  <si>
    <t>ser incluidos en el cálculo del VAN.</t>
  </si>
  <si>
    <t>VA de la perpetuidad en t = 6:</t>
  </si>
  <si>
    <t>VA de la perpetuidad en t = 0:</t>
  </si>
  <si>
    <t>VA de los primeros seis flujos futuros:</t>
  </si>
  <si>
    <t>VAN =</t>
  </si>
  <si>
    <t>Dado que el VAN esperado es positivo, se recomienda aceptar el proyecto</t>
  </si>
  <si>
    <t>1.1)</t>
  </si>
  <si>
    <t>a)</t>
  </si>
  <si>
    <t>VAN esperado =</t>
  </si>
  <si>
    <t>VAN con una reducción del 10% en las ventas =</t>
  </si>
  <si>
    <t>Variación del VAN =</t>
  </si>
  <si>
    <t>b)</t>
  </si>
  <si>
    <t>VAN con un incremento de los costos variables</t>
  </si>
  <si>
    <t>igual al 20% de las ventas =</t>
  </si>
  <si>
    <t>1.2)</t>
  </si>
  <si>
    <t xml:space="preserve">Las ventas deberían ser igual al </t>
  </si>
  <si>
    <t>de lo esperado, para alcanzar el punto de equilibrio</t>
  </si>
  <si>
    <t xml:space="preserve">Los costos variables deberían ser igual al </t>
  </si>
  <si>
    <t>de las ventas, para alcanzar el punto de equilibrio</t>
  </si>
  <si>
    <t>Habitaciones</t>
  </si>
  <si>
    <t>Ocupación</t>
  </si>
  <si>
    <t>Ingresos restaurantes</t>
  </si>
  <si>
    <t>Comisiones agencias</t>
  </si>
  <si>
    <t>Tarifa promedio</t>
  </si>
  <si>
    <t>Ingresos anuales</t>
  </si>
  <si>
    <t>Costos variables por habitación ocupada</t>
  </si>
  <si>
    <t>1)</t>
  </si>
  <si>
    <t>2)</t>
  </si>
  <si>
    <t xml:space="preserve">El VAN sería nulo si se alcanzara el </t>
  </si>
  <si>
    <t>de la ocupación esperada.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</si>
</sst>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8" formatCode="&quot;$&quot;\ #,##0.00;[Red]\-&quot;$&quot;\ #,##0.00"/>
    <numFmt numFmtId="44" formatCode="_-&quot;$&quot;\ * #,##0.00_-;\-&quot;$&quot;\ * #,##0.00_-;_-&quot;$&quot;\ 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2">
    <xf numFmtId="0" fontId="0" fillId="0" borderId="0" xfId="0"/>
    <xf numFmtId="0" fontId="2" fillId="2" borderId="1" xfId="0" applyFont="1" applyFill="1" applyBorder="1" applyAlignment="1">
      <alignment horizontal="center"/>
    </xf>
    <xf numFmtId="0" fontId="0" fillId="0" borderId="1" xfId="0" applyBorder="1"/>
    <xf numFmtId="44" fontId="0" fillId="0" borderId="1" xfId="1" applyFont="1" applyBorder="1"/>
    <xf numFmtId="0" fontId="0" fillId="0" borderId="2" xfId="0" applyBorder="1"/>
    <xf numFmtId="44" fontId="0" fillId="0" borderId="2" xfId="1" applyFont="1" applyBorder="1"/>
    <xf numFmtId="0" fontId="0" fillId="0" borderId="3" xfId="0" applyBorder="1"/>
    <xf numFmtId="44" fontId="0" fillId="0" borderId="4" xfId="1" applyFont="1" applyBorder="1"/>
    <xf numFmtId="0" fontId="0" fillId="0" borderId="5" xfId="0" applyBorder="1"/>
    <xf numFmtId="44" fontId="0" fillId="0" borderId="5" xfId="1" applyFont="1" applyBorder="1"/>
    <xf numFmtId="0" fontId="3" fillId="0" borderId="0" xfId="0" applyFont="1"/>
    <xf numFmtId="8" fontId="0" fillId="0" borderId="0" xfId="0" applyNumberFormat="1"/>
    <xf numFmtId="0" fontId="2" fillId="2" borderId="3" xfId="0" applyFont="1" applyFill="1" applyBorder="1"/>
    <xf numFmtId="44" fontId="2" fillId="2" borderId="6" xfId="0" applyNumberFormat="1" applyFont="1" applyFill="1" applyBorder="1"/>
    <xf numFmtId="44" fontId="0" fillId="0" borderId="0" xfId="1" applyFont="1"/>
    <xf numFmtId="0" fontId="0" fillId="0" borderId="7" xfId="0" applyBorder="1"/>
    <xf numFmtId="44" fontId="0" fillId="0" borderId="7" xfId="1" applyFont="1" applyBorder="1"/>
    <xf numFmtId="44" fontId="0" fillId="0" borderId="0" xfId="0" applyNumberFormat="1"/>
    <xf numFmtId="10" fontId="0" fillId="0" borderId="0" xfId="2" applyNumberFormat="1" applyFont="1"/>
    <xf numFmtId="44" fontId="0" fillId="0" borderId="7" xfId="0" applyNumberFormat="1" applyBorder="1"/>
    <xf numFmtId="0" fontId="0" fillId="2" borderId="3" xfId="0" applyFill="1" applyBorder="1"/>
    <xf numFmtId="44" fontId="0" fillId="2" borderId="6" xfId="0" applyNumberFormat="1" applyFill="1" applyBorder="1"/>
  </cellXfs>
  <cellStyles count="3"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M46"/>
  <sheetViews>
    <sheetView topLeftCell="A29" workbookViewId="0">
      <selection activeCell="B51" sqref="B51"/>
    </sheetView>
  </sheetViews>
  <sheetFormatPr baseColWidth="10" defaultRowHeight="15" x14ac:dyDescent="0.25"/>
  <cols>
    <col min="4" max="4" width="48.5703125" customWidth="1"/>
  </cols>
  <sheetData>
    <row r="3" spans="3:13" x14ac:dyDescent="0.25">
      <c r="D3" s="1" t="s">
        <v>0</v>
      </c>
      <c r="E3" s="1">
        <v>0</v>
      </c>
      <c r="F3" s="1">
        <v>1</v>
      </c>
      <c r="G3" s="1">
        <v>2</v>
      </c>
      <c r="H3" s="1">
        <v>3</v>
      </c>
      <c r="I3" s="1">
        <v>4</v>
      </c>
      <c r="J3" s="1">
        <v>5</v>
      </c>
      <c r="K3" s="1">
        <v>6</v>
      </c>
      <c r="L3" s="1">
        <v>7</v>
      </c>
    </row>
    <row r="4" spans="3:13" x14ac:dyDescent="0.25">
      <c r="C4">
        <v>1</v>
      </c>
      <c r="D4" s="2" t="s">
        <v>1</v>
      </c>
      <c r="E4" s="3"/>
      <c r="F4" s="3"/>
      <c r="G4" s="3">
        <f>2*2*$C$4</f>
        <v>4</v>
      </c>
      <c r="H4" s="3">
        <f>+G4*1.08</f>
        <v>4.32</v>
      </c>
      <c r="I4" s="3">
        <f t="shared" ref="I4:M4" si="0">+H4*1.08</f>
        <v>4.6656000000000004</v>
      </c>
      <c r="J4" s="3">
        <f t="shared" si="0"/>
        <v>5.0388480000000007</v>
      </c>
      <c r="K4" s="3">
        <f t="shared" si="0"/>
        <v>5.4419558400000012</v>
      </c>
      <c r="L4" s="3">
        <f t="shared" si="0"/>
        <v>5.8773123072000013</v>
      </c>
      <c r="M4" s="3">
        <f t="shared" si="0"/>
        <v>6.3474972917760022</v>
      </c>
    </row>
    <row r="5" spans="3:13" x14ac:dyDescent="0.25">
      <c r="C5">
        <v>0.7</v>
      </c>
      <c r="D5" s="2" t="s">
        <v>2</v>
      </c>
      <c r="E5" s="3"/>
      <c r="F5" s="3"/>
      <c r="G5" s="3">
        <f>$C$5*G4</f>
        <v>2.8</v>
      </c>
      <c r="H5" s="3">
        <f t="shared" ref="H5:L5" si="1">$C$5*H4</f>
        <v>3.024</v>
      </c>
      <c r="I5" s="3">
        <f t="shared" si="1"/>
        <v>3.2659199999999999</v>
      </c>
      <c r="J5" s="3">
        <f t="shared" si="1"/>
        <v>3.5271936000000004</v>
      </c>
      <c r="K5" s="3">
        <f t="shared" si="1"/>
        <v>3.8093690880000004</v>
      </c>
      <c r="L5" s="3">
        <f t="shared" si="1"/>
        <v>4.1141186150400006</v>
      </c>
      <c r="M5" s="3">
        <f t="shared" ref="M5" si="2">0.7*M4</f>
        <v>4.4432481042432013</v>
      </c>
    </row>
    <row r="6" spans="3:13" x14ac:dyDescent="0.25">
      <c r="D6" s="2" t="s">
        <v>3</v>
      </c>
      <c r="E6" s="3"/>
      <c r="F6" s="3"/>
      <c r="G6" s="3">
        <f>0.3*2</f>
        <v>0.6</v>
      </c>
      <c r="H6" s="3">
        <f t="shared" ref="H6:J6" si="3">0.3*2</f>
        <v>0.6</v>
      </c>
      <c r="I6" s="3">
        <f t="shared" si="3"/>
        <v>0.6</v>
      </c>
      <c r="J6" s="3">
        <f t="shared" si="3"/>
        <v>0.6</v>
      </c>
      <c r="K6" s="3">
        <f>0.5*2</f>
        <v>1</v>
      </c>
      <c r="L6" s="3">
        <f>0.5*2</f>
        <v>1</v>
      </c>
    </row>
    <row r="7" spans="3:13" x14ac:dyDescent="0.25">
      <c r="D7" s="2" t="s">
        <v>4</v>
      </c>
      <c r="E7" s="3"/>
      <c r="F7" s="3"/>
      <c r="G7" s="3">
        <f>2*1.6/30+2*2.2/6</f>
        <v>0.84000000000000008</v>
      </c>
      <c r="H7" s="3">
        <f t="shared" ref="H7:L7" si="4">2*1.6/30+2*2.2/6</f>
        <v>0.84000000000000008</v>
      </c>
      <c r="I7" s="3">
        <f t="shared" si="4"/>
        <v>0.84000000000000008</v>
      </c>
      <c r="J7" s="3">
        <f t="shared" si="4"/>
        <v>0.84000000000000008</v>
      </c>
      <c r="K7" s="3">
        <f t="shared" si="4"/>
        <v>0.84000000000000008</v>
      </c>
      <c r="L7" s="3">
        <f t="shared" si="4"/>
        <v>0.84000000000000008</v>
      </c>
    </row>
    <row r="8" spans="3:13" x14ac:dyDescent="0.25">
      <c r="D8" s="2" t="s">
        <v>5</v>
      </c>
      <c r="E8" s="3"/>
      <c r="F8" s="3"/>
      <c r="G8" s="3"/>
      <c r="H8" s="3"/>
      <c r="I8" s="3"/>
      <c r="J8" s="3"/>
      <c r="K8" s="3"/>
      <c r="L8" s="3"/>
    </row>
    <row r="9" spans="3:13" x14ac:dyDescent="0.25">
      <c r="D9" s="2" t="s">
        <v>6</v>
      </c>
      <c r="E9" s="3">
        <f>+E4-E5-E6-E7+E8</f>
        <v>0</v>
      </c>
      <c r="F9" s="3">
        <f t="shared" ref="F9:L9" si="5">+F4-F5-F6-F7+F8</f>
        <v>0</v>
      </c>
      <c r="G9" s="3">
        <f t="shared" si="5"/>
        <v>-0.23999999999999988</v>
      </c>
      <c r="H9" s="3">
        <f t="shared" si="5"/>
        <v>-0.14399999999999979</v>
      </c>
      <c r="I9" s="3">
        <f t="shared" si="5"/>
        <v>-4.0319999999999578E-2</v>
      </c>
      <c r="J9" s="3">
        <f t="shared" si="5"/>
        <v>7.1654400000000229E-2</v>
      </c>
      <c r="K9" s="3">
        <f t="shared" si="5"/>
        <v>-0.20741324799999927</v>
      </c>
      <c r="L9" s="3">
        <f t="shared" si="5"/>
        <v>-7.6806307839999421E-2</v>
      </c>
    </row>
    <row r="10" spans="3:13" x14ac:dyDescent="0.25">
      <c r="D10" s="2" t="s">
        <v>7</v>
      </c>
      <c r="E10" s="3">
        <f>+E9*$C$10</f>
        <v>0</v>
      </c>
      <c r="F10" s="3">
        <f t="shared" ref="F10:L10" si="6">+F9*$C$10</f>
        <v>0</v>
      </c>
      <c r="G10" s="3">
        <f t="shared" si="6"/>
        <v>0</v>
      </c>
      <c r="H10" s="3">
        <f t="shared" si="6"/>
        <v>0</v>
      </c>
      <c r="I10" s="3">
        <f t="shared" si="6"/>
        <v>0</v>
      </c>
      <c r="J10" s="3">
        <f t="shared" si="6"/>
        <v>0</v>
      </c>
      <c r="K10" s="3">
        <f t="shared" si="6"/>
        <v>0</v>
      </c>
      <c r="L10" s="3">
        <f t="shared" si="6"/>
        <v>0</v>
      </c>
    </row>
    <row r="11" spans="3:13" x14ac:dyDescent="0.25">
      <c r="D11" s="2"/>
      <c r="E11" s="3"/>
      <c r="F11" s="3"/>
      <c r="G11" s="3"/>
      <c r="H11" s="3"/>
      <c r="I11" s="3"/>
      <c r="J11" s="3"/>
      <c r="K11" s="3"/>
      <c r="L11" s="3"/>
    </row>
    <row r="12" spans="3:13" x14ac:dyDescent="0.25">
      <c r="D12" s="2" t="s">
        <v>8</v>
      </c>
      <c r="E12" s="3"/>
      <c r="F12" s="3">
        <f>0.03*G4+0.2*2</f>
        <v>0.52</v>
      </c>
      <c r="G12" s="3">
        <f t="shared" ref="G12:L12" si="7">0.03*H4+0.2*2</f>
        <v>0.52960000000000007</v>
      </c>
      <c r="H12" s="3">
        <f t="shared" si="7"/>
        <v>0.539968</v>
      </c>
      <c r="I12" s="3">
        <f t="shared" si="7"/>
        <v>0.55116544000000001</v>
      </c>
      <c r="J12" s="3">
        <f t="shared" si="7"/>
        <v>0.56325867520000006</v>
      </c>
      <c r="K12" s="3">
        <f t="shared" si="7"/>
        <v>0.57631936921600002</v>
      </c>
      <c r="L12" s="3">
        <f t="shared" si="7"/>
        <v>0.59042491875328007</v>
      </c>
    </row>
    <row r="13" spans="3:13" x14ac:dyDescent="0.25">
      <c r="D13" s="2" t="s">
        <v>9</v>
      </c>
      <c r="E13" s="3"/>
      <c r="F13" s="3">
        <f>+(0.273972602739726)*G5</f>
        <v>0.76712328767123283</v>
      </c>
      <c r="G13" s="3">
        <f t="shared" ref="G13:L13" si="8">+(0.273972602739726)*H5</f>
        <v>0.82849315068493146</v>
      </c>
      <c r="H13" s="3">
        <f t="shared" si="8"/>
        <v>0.89477260273972592</v>
      </c>
      <c r="I13" s="3">
        <f t="shared" si="8"/>
        <v>0.96635441095890418</v>
      </c>
      <c r="J13" s="3">
        <f t="shared" si="8"/>
        <v>1.0436627638356164</v>
      </c>
      <c r="K13" s="3">
        <f t="shared" si="8"/>
        <v>1.1271557849424658</v>
      </c>
      <c r="L13" s="3">
        <f t="shared" si="8"/>
        <v>1.2173282477378633</v>
      </c>
    </row>
    <row r="14" spans="3:13" x14ac:dyDescent="0.25">
      <c r="D14" s="2" t="s">
        <v>10</v>
      </c>
      <c r="E14" s="3">
        <f>+E12-E13</f>
        <v>0</v>
      </c>
      <c r="F14" s="3">
        <f>+F12-F13</f>
        <v>-0.24712328767123282</v>
      </c>
      <c r="G14" s="3">
        <f t="shared" ref="G14:L14" si="9">+G12-G13</f>
        <v>-0.29889315068493139</v>
      </c>
      <c r="H14" s="3">
        <f t="shared" si="9"/>
        <v>-0.35480460273972592</v>
      </c>
      <c r="I14" s="3">
        <f t="shared" si="9"/>
        <v>-0.41518897095890417</v>
      </c>
      <c r="J14" s="3">
        <f t="shared" si="9"/>
        <v>-0.48040408863561634</v>
      </c>
      <c r="K14" s="3">
        <f t="shared" si="9"/>
        <v>-0.5508364157264658</v>
      </c>
      <c r="L14" s="3">
        <f t="shared" si="9"/>
        <v>-0.62690332898458323</v>
      </c>
    </row>
    <row r="15" spans="3:13" ht="15.75" thickBot="1" x14ac:dyDescent="0.3">
      <c r="D15" s="4" t="s">
        <v>11</v>
      </c>
      <c r="E15" s="5">
        <f>+E14</f>
        <v>0</v>
      </c>
      <c r="F15" s="5">
        <f>+F14-E14</f>
        <v>-0.24712328767123282</v>
      </c>
      <c r="G15" s="5">
        <f t="shared" ref="G15:L15" si="10">+G14-F14</f>
        <v>-5.1769863013698569E-2</v>
      </c>
      <c r="H15" s="5">
        <f t="shared" si="10"/>
        <v>-5.591145205479453E-2</v>
      </c>
      <c r="I15" s="5">
        <f t="shared" si="10"/>
        <v>-6.0384368219178253E-2</v>
      </c>
      <c r="J15" s="5">
        <f t="shared" si="10"/>
        <v>-6.5215117676712175E-2</v>
      </c>
      <c r="K15" s="5">
        <f t="shared" si="10"/>
        <v>-7.0432327090849456E-2</v>
      </c>
      <c r="L15" s="5">
        <f t="shared" si="10"/>
        <v>-7.606691325811743E-2</v>
      </c>
    </row>
    <row r="16" spans="3:13" ht="15.75" thickBot="1" x14ac:dyDescent="0.3">
      <c r="D16" s="6" t="s">
        <v>12</v>
      </c>
      <c r="E16" s="7">
        <f>+E9-E10+E7-E15</f>
        <v>0</v>
      </c>
      <c r="F16" s="7">
        <f t="shared" ref="F16:L16" si="11">+F9-F10+F7-F15</f>
        <v>0.24712328767123282</v>
      </c>
      <c r="G16" s="7">
        <f t="shared" si="11"/>
        <v>0.65176986301369877</v>
      </c>
      <c r="H16" s="7">
        <f t="shared" si="11"/>
        <v>0.75191145205479482</v>
      </c>
      <c r="I16" s="7">
        <f t="shared" si="11"/>
        <v>0.86006436821917875</v>
      </c>
      <c r="J16" s="7">
        <f t="shared" si="11"/>
        <v>0.97686951767671248</v>
      </c>
      <c r="K16" s="7">
        <f t="shared" si="11"/>
        <v>0.70301907909085026</v>
      </c>
      <c r="L16" s="7">
        <f t="shared" si="11"/>
        <v>0.83926060541811809</v>
      </c>
    </row>
    <row r="17" spans="3:13" x14ac:dyDescent="0.25">
      <c r="D17" s="8"/>
      <c r="E17" s="9"/>
      <c r="F17" s="9"/>
      <c r="G17" s="9"/>
      <c r="H17" s="9"/>
      <c r="I17" s="9"/>
      <c r="J17" s="9"/>
      <c r="K17" s="9"/>
      <c r="L17" s="9"/>
    </row>
    <row r="18" spans="3:13" x14ac:dyDescent="0.25">
      <c r="D18" s="2"/>
      <c r="E18" s="3"/>
      <c r="F18" s="3"/>
      <c r="G18" s="3"/>
      <c r="H18" s="3"/>
      <c r="I18" s="3"/>
      <c r="J18" s="3"/>
      <c r="K18" s="3"/>
      <c r="L18" s="3"/>
    </row>
    <row r="19" spans="3:13" x14ac:dyDescent="0.25">
      <c r="D19" s="2" t="s">
        <v>13</v>
      </c>
      <c r="E19" s="3">
        <v>2</v>
      </c>
      <c r="F19" s="3">
        <f>2+7.6</f>
        <v>9.6</v>
      </c>
      <c r="G19" s="3">
        <f>+F19-G7</f>
        <v>8.76</v>
      </c>
      <c r="H19" s="3">
        <f t="shared" ref="H19:L19" si="12">+G19-H7</f>
        <v>7.92</v>
      </c>
      <c r="I19" s="3">
        <f t="shared" si="12"/>
        <v>7.08</v>
      </c>
      <c r="J19" s="3">
        <f t="shared" si="12"/>
        <v>6.24</v>
      </c>
      <c r="K19" s="3">
        <f t="shared" si="12"/>
        <v>5.4</v>
      </c>
      <c r="L19" s="3">
        <f t="shared" si="12"/>
        <v>4.5600000000000005</v>
      </c>
    </row>
    <row r="20" spans="3:13" ht="15.75" thickBot="1" x14ac:dyDescent="0.3">
      <c r="D20" s="4" t="s">
        <v>14</v>
      </c>
      <c r="E20" s="5">
        <f>1+1</f>
        <v>2</v>
      </c>
      <c r="F20" s="5">
        <f>2*1.6+2*2.2</f>
        <v>7.6000000000000005</v>
      </c>
      <c r="G20" s="5">
        <f>+G19-F19+G7</f>
        <v>0</v>
      </c>
      <c r="H20" s="5">
        <f t="shared" ref="H20:L20" si="13">+H19-G19+H7</f>
        <v>0</v>
      </c>
      <c r="I20" s="5">
        <f t="shared" si="13"/>
        <v>0</v>
      </c>
      <c r="J20" s="5">
        <f t="shared" si="13"/>
        <v>0</v>
      </c>
      <c r="K20" s="5">
        <f t="shared" si="13"/>
        <v>0</v>
      </c>
      <c r="L20" s="5">
        <f t="shared" si="13"/>
        <v>0</v>
      </c>
    </row>
    <row r="21" spans="3:13" ht="15.75" thickBot="1" x14ac:dyDescent="0.3">
      <c r="D21" s="6" t="s">
        <v>15</v>
      </c>
      <c r="E21" s="7">
        <f>+E16-E20</f>
        <v>-2</v>
      </c>
      <c r="F21" s="7">
        <f t="shared" ref="F21:L21" si="14">+F16-F20</f>
        <v>-7.3528767123287677</v>
      </c>
      <c r="G21" s="7">
        <f t="shared" si="14"/>
        <v>0.65176986301369877</v>
      </c>
      <c r="H21" s="7">
        <f t="shared" si="14"/>
        <v>0.75191145205479482</v>
      </c>
      <c r="I21" s="7">
        <f t="shared" si="14"/>
        <v>0.86006436821917875</v>
      </c>
      <c r="J21" s="7">
        <f t="shared" si="14"/>
        <v>0.97686951767671248</v>
      </c>
      <c r="K21" s="7">
        <f t="shared" si="14"/>
        <v>0.70301907909085026</v>
      </c>
      <c r="L21" s="7">
        <f t="shared" si="14"/>
        <v>0.83926060541811809</v>
      </c>
    </row>
    <row r="23" spans="3:13" x14ac:dyDescent="0.25">
      <c r="D23" s="10" t="s">
        <v>16</v>
      </c>
      <c r="E23" s="10"/>
      <c r="F23" s="10"/>
      <c r="G23" s="10"/>
      <c r="H23" s="10"/>
      <c r="I23" s="10"/>
      <c r="J23" s="10"/>
      <c r="K23" s="10"/>
      <c r="L23" s="10"/>
      <c r="M23" s="10"/>
    </row>
    <row r="24" spans="3:13" x14ac:dyDescent="0.25">
      <c r="D24" s="10" t="s">
        <v>17</v>
      </c>
      <c r="E24" s="10"/>
      <c r="F24" s="10"/>
      <c r="G24" s="10"/>
      <c r="H24" s="10"/>
      <c r="I24" s="10"/>
      <c r="J24" s="10"/>
      <c r="K24" s="10"/>
      <c r="L24" s="10"/>
      <c r="M24" s="10"/>
    </row>
    <row r="26" spans="3:13" x14ac:dyDescent="0.25">
      <c r="D26" t="s">
        <v>18</v>
      </c>
      <c r="E26">
        <f>+L21/(0.09-0.03)</f>
        <v>13.987676756968636</v>
      </c>
    </row>
    <row r="27" spans="3:13" x14ac:dyDescent="0.25">
      <c r="D27" t="s">
        <v>19</v>
      </c>
      <c r="E27">
        <f>+E26/1.09^6</f>
        <v>8.3403946291282267</v>
      </c>
    </row>
    <row r="28" spans="3:13" ht="15.75" thickBot="1" x14ac:dyDescent="0.3">
      <c r="D28" t="s">
        <v>20</v>
      </c>
      <c r="E28" s="11">
        <f>+NPV(0.09,F21:K21)</f>
        <v>-3.9531864475434753</v>
      </c>
    </row>
    <row r="29" spans="3:13" ht="15.75" thickBot="1" x14ac:dyDescent="0.3">
      <c r="D29" s="12" t="s">
        <v>21</v>
      </c>
      <c r="E29" s="13">
        <f>+E28+E27+E21</f>
        <v>2.3872081815847519</v>
      </c>
      <c r="F29" s="10" t="s">
        <v>22</v>
      </c>
      <c r="G29" s="10"/>
      <c r="H29" s="10"/>
      <c r="I29" s="10"/>
      <c r="J29" s="10"/>
    </row>
    <row r="32" spans="3:13" x14ac:dyDescent="0.25">
      <c r="C32" t="s">
        <v>23</v>
      </c>
    </row>
    <row r="33" spans="3:6" x14ac:dyDescent="0.25">
      <c r="C33" t="s">
        <v>24</v>
      </c>
      <c r="D33" t="s">
        <v>25</v>
      </c>
      <c r="E33" s="14">
        <v>2.7418530279330948</v>
      </c>
    </row>
    <row r="34" spans="3:6" x14ac:dyDescent="0.25">
      <c r="D34" s="15" t="s">
        <v>26</v>
      </c>
      <c r="E34" s="16">
        <v>1.0118637601764</v>
      </c>
    </row>
    <row r="35" spans="3:6" x14ac:dyDescent="0.25">
      <c r="D35" t="s">
        <v>27</v>
      </c>
      <c r="E35" s="17">
        <f>+E34-E33</f>
        <v>-1.7299892677566948</v>
      </c>
    </row>
    <row r="37" spans="3:6" x14ac:dyDescent="0.25">
      <c r="C37" t="s">
        <v>28</v>
      </c>
      <c r="D37" t="str">
        <f>+D33</f>
        <v>VAN esperado =</v>
      </c>
      <c r="E37" s="17">
        <f>+E33</f>
        <v>2.7418530279330948</v>
      </c>
    </row>
    <row r="38" spans="3:6" x14ac:dyDescent="0.25">
      <c r="D38" t="s">
        <v>29</v>
      </c>
    </row>
    <row r="39" spans="3:6" x14ac:dyDescent="0.25">
      <c r="D39" s="15" t="s">
        <v>30</v>
      </c>
      <c r="E39" s="16">
        <v>-10.67593193057265</v>
      </c>
    </row>
    <row r="40" spans="3:6" x14ac:dyDescent="0.25">
      <c r="D40" t="str">
        <f>+D35</f>
        <v>Variación del VAN =</v>
      </c>
      <c r="E40" s="17">
        <f>+E39-E37</f>
        <v>-13.417784958505745</v>
      </c>
    </row>
    <row r="43" spans="3:6" x14ac:dyDescent="0.25">
      <c r="C43" t="s">
        <v>31</v>
      </c>
    </row>
    <row r="44" spans="3:6" x14ac:dyDescent="0.25">
      <c r="C44" t="s">
        <v>24</v>
      </c>
      <c r="D44" t="s">
        <v>32</v>
      </c>
      <c r="E44" s="18">
        <v>0.84151040246113817</v>
      </c>
      <c r="F44" t="s">
        <v>33</v>
      </c>
    </row>
    <row r="46" spans="3:6" x14ac:dyDescent="0.25">
      <c r="C46" t="s">
        <v>28</v>
      </c>
      <c r="D46" t="s">
        <v>34</v>
      </c>
      <c r="E46" s="18">
        <v>0.74086893680905219</v>
      </c>
      <c r="F46" t="s">
        <v>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6"/>
  <sheetViews>
    <sheetView tabSelected="1" workbookViewId="0">
      <selection activeCell="F5" sqref="F5"/>
    </sheetView>
  </sheetViews>
  <sheetFormatPr baseColWidth="10" defaultRowHeight="15" x14ac:dyDescent="0.25"/>
  <cols>
    <col min="3" max="3" width="43.42578125" customWidth="1"/>
    <col min="4" max="4" width="16.7109375" bestFit="1" customWidth="1"/>
    <col min="5" max="5" width="37" customWidth="1"/>
    <col min="6" max="6" width="19.28515625" bestFit="1" customWidth="1"/>
    <col min="7" max="7" width="17.42578125" customWidth="1"/>
    <col min="8" max="8" width="15.42578125" customWidth="1"/>
    <col min="9" max="9" width="16.7109375" customWidth="1"/>
    <col min="10" max="10" width="16.28515625" customWidth="1"/>
    <col min="11" max="11" width="15.7109375" customWidth="1"/>
  </cols>
  <sheetData>
    <row r="2" spans="3:11" x14ac:dyDescent="0.25">
      <c r="E2" t="s">
        <v>36</v>
      </c>
      <c r="F2">
        <v>120</v>
      </c>
      <c r="G2">
        <v>120</v>
      </c>
      <c r="H2">
        <v>120</v>
      </c>
      <c r="I2">
        <v>120</v>
      </c>
      <c r="J2">
        <v>120</v>
      </c>
      <c r="K2">
        <v>120</v>
      </c>
    </row>
    <row r="3" spans="3:11" x14ac:dyDescent="0.25">
      <c r="D3">
        <v>1</v>
      </c>
      <c r="E3" t="s">
        <v>37</v>
      </c>
      <c r="F3">
        <f>0.5*$D$3</f>
        <v>0.5</v>
      </c>
      <c r="G3">
        <f>0.75*D3</f>
        <v>0.75</v>
      </c>
      <c r="H3">
        <f>0.85*D3</f>
        <v>0.85</v>
      </c>
      <c r="I3">
        <f>0.85*D3</f>
        <v>0.85</v>
      </c>
      <c r="J3">
        <f>0.85*D3</f>
        <v>0.85</v>
      </c>
      <c r="K3">
        <f>0.85*D3</f>
        <v>0.85</v>
      </c>
    </row>
    <row r="4" spans="3:11" x14ac:dyDescent="0.25">
      <c r="E4" t="s">
        <v>40</v>
      </c>
      <c r="F4" s="14">
        <v>250</v>
      </c>
      <c r="G4" s="14">
        <f>1.03*F4</f>
        <v>257.5</v>
      </c>
      <c r="H4" s="14">
        <f t="shared" ref="H4:J4" si="0">1.03*G4</f>
        <v>265.22500000000002</v>
      </c>
      <c r="I4" s="14">
        <f t="shared" si="0"/>
        <v>273.18175000000002</v>
      </c>
      <c r="J4" s="14">
        <f t="shared" si="0"/>
        <v>281.37720250000001</v>
      </c>
      <c r="K4" s="14">
        <f>1.03*J4</f>
        <v>289.81851857500004</v>
      </c>
    </row>
    <row r="5" spans="3:11" x14ac:dyDescent="0.25">
      <c r="E5" t="s">
        <v>38</v>
      </c>
      <c r="F5" s="17">
        <f>0.15*F2*F3*F4</f>
        <v>2250</v>
      </c>
      <c r="G5" s="17">
        <f t="shared" ref="G5:K5" si="1">0.15*G2*G3*G4</f>
        <v>3476.25</v>
      </c>
      <c r="H5" s="17">
        <f t="shared" si="1"/>
        <v>4057.9425000000001</v>
      </c>
      <c r="I5" s="17">
        <f t="shared" si="1"/>
        <v>4179.6807749999998</v>
      </c>
      <c r="J5" s="17">
        <f t="shared" si="1"/>
        <v>4305.0711982499997</v>
      </c>
      <c r="K5" s="17">
        <f t="shared" si="1"/>
        <v>4434.2233341975007</v>
      </c>
    </row>
    <row r="6" spans="3:11" x14ac:dyDescent="0.25">
      <c r="E6" s="15" t="s">
        <v>39</v>
      </c>
      <c r="F6" s="19">
        <f>0.25*F2*F3*F4*$D$3</f>
        <v>3750</v>
      </c>
      <c r="G6" s="19">
        <f t="shared" ref="G6:K6" si="2">0.25*G2*G3*G4*$D$3</f>
        <v>5793.75</v>
      </c>
      <c r="H6" s="19">
        <f t="shared" si="2"/>
        <v>6763.2375000000002</v>
      </c>
      <c r="I6" s="19">
        <f t="shared" si="2"/>
        <v>6966.1346250000006</v>
      </c>
      <c r="J6" s="19">
        <f t="shared" si="2"/>
        <v>7175.1186637500005</v>
      </c>
      <c r="K6" s="19">
        <f t="shared" si="2"/>
        <v>7390.3722236625008</v>
      </c>
    </row>
    <row r="7" spans="3:11" x14ac:dyDescent="0.25">
      <c r="E7" t="s">
        <v>41</v>
      </c>
      <c r="F7" s="14">
        <f>+(F2*F3*F4+F2*F3*F4*0.15-F2*F3*F4*0.25)*365</f>
        <v>4927500</v>
      </c>
      <c r="G7" s="14">
        <f t="shared" ref="G7:K7" si="3">+(G2*G3*G4+G2*G3*G4*0.15-G2*G3*G4*0.25)*365</f>
        <v>7612987.5</v>
      </c>
      <c r="H7" s="14">
        <f t="shared" si="3"/>
        <v>8886894.0750000011</v>
      </c>
      <c r="I7" s="14">
        <f t="shared" si="3"/>
        <v>9153500.8972500023</v>
      </c>
      <c r="J7" s="14">
        <f t="shared" si="3"/>
        <v>9428105.9241675027</v>
      </c>
      <c r="K7" s="14">
        <f t="shared" si="3"/>
        <v>9710949.1018925272</v>
      </c>
    </row>
    <row r="8" spans="3:11" x14ac:dyDescent="0.25">
      <c r="E8" t="s">
        <v>42</v>
      </c>
      <c r="F8" s="14">
        <v>35</v>
      </c>
      <c r="G8" s="14">
        <f>+F8*1.02</f>
        <v>35.700000000000003</v>
      </c>
      <c r="H8" s="14">
        <f t="shared" ref="H8:K8" si="4">+G8*1.02</f>
        <v>36.414000000000001</v>
      </c>
      <c r="I8" s="14">
        <f t="shared" si="4"/>
        <v>37.14228</v>
      </c>
      <c r="J8" s="14">
        <f t="shared" si="4"/>
        <v>37.885125600000002</v>
      </c>
      <c r="K8" s="14">
        <f t="shared" si="4"/>
        <v>38.642828112000004</v>
      </c>
    </row>
    <row r="9" spans="3:11" x14ac:dyDescent="0.25">
      <c r="C9" s="1" t="s">
        <v>0</v>
      </c>
      <c r="D9" s="1">
        <v>0</v>
      </c>
      <c r="E9" s="1">
        <v>1</v>
      </c>
      <c r="F9" s="1">
        <v>2</v>
      </c>
      <c r="G9" s="1">
        <v>3</v>
      </c>
      <c r="H9" s="1">
        <v>4</v>
      </c>
      <c r="I9" s="1">
        <v>5</v>
      </c>
      <c r="J9" s="1">
        <v>6</v>
      </c>
      <c r="K9" s="1">
        <v>7</v>
      </c>
    </row>
    <row r="10" spans="3:11" x14ac:dyDescent="0.25">
      <c r="C10" s="2" t="s">
        <v>1</v>
      </c>
      <c r="D10" s="3"/>
      <c r="E10" s="3"/>
      <c r="F10" s="3">
        <f>+F7</f>
        <v>4927500</v>
      </c>
      <c r="G10" s="3">
        <f t="shared" ref="G10:K10" si="5">+G7</f>
        <v>7612987.5</v>
      </c>
      <c r="H10" s="3">
        <f t="shared" si="5"/>
        <v>8886894.0750000011</v>
      </c>
      <c r="I10" s="3">
        <f t="shared" si="5"/>
        <v>9153500.8972500023</v>
      </c>
      <c r="J10" s="3">
        <f t="shared" si="5"/>
        <v>9428105.9241675027</v>
      </c>
      <c r="K10" s="3">
        <f t="shared" si="5"/>
        <v>9710949.1018925272</v>
      </c>
    </row>
    <row r="11" spans="3:11" x14ac:dyDescent="0.25">
      <c r="C11" s="2" t="s">
        <v>2</v>
      </c>
      <c r="D11" s="3"/>
      <c r="E11" s="3"/>
      <c r="F11" s="3">
        <f>+F2*F3*$D$3*365*F8</f>
        <v>766500</v>
      </c>
      <c r="G11" s="3">
        <f t="shared" ref="G11:K11" si="6">+G2*G3*$D$3*365*G8</f>
        <v>1172745</v>
      </c>
      <c r="H11" s="3">
        <f t="shared" si="6"/>
        <v>1355693.22</v>
      </c>
      <c r="I11" s="3">
        <f t="shared" si="6"/>
        <v>1382807.0844000001</v>
      </c>
      <c r="J11" s="3">
        <f t="shared" si="6"/>
        <v>1410463.226088</v>
      </c>
      <c r="K11" s="3">
        <f t="shared" si="6"/>
        <v>1438672.4906097602</v>
      </c>
    </row>
    <row r="12" spans="3:11" x14ac:dyDescent="0.25">
      <c r="C12" s="2" t="s">
        <v>3</v>
      </c>
      <c r="D12" s="3"/>
      <c r="E12" s="3"/>
      <c r="F12" s="3">
        <v>2500000</v>
      </c>
      <c r="G12" s="3">
        <f>1.02*F12</f>
        <v>2550000</v>
      </c>
      <c r="H12" s="3">
        <f t="shared" ref="H12:K12" si="7">1.02*G12</f>
        <v>2601000</v>
      </c>
      <c r="I12" s="3">
        <f t="shared" si="7"/>
        <v>2653020</v>
      </c>
      <c r="J12" s="3">
        <f t="shared" si="7"/>
        <v>2706080.4</v>
      </c>
      <c r="K12" s="3">
        <f t="shared" si="7"/>
        <v>2760202.0079999999</v>
      </c>
    </row>
    <row r="13" spans="3:11" x14ac:dyDescent="0.25">
      <c r="C13" s="2" t="s">
        <v>4</v>
      </c>
      <c r="D13" s="3"/>
      <c r="E13" s="3"/>
      <c r="F13" s="3">
        <f>30000000/10</f>
        <v>3000000</v>
      </c>
      <c r="G13" s="3">
        <f t="shared" ref="G13:K13" si="8">30000000/10</f>
        <v>3000000</v>
      </c>
      <c r="H13" s="3">
        <f t="shared" si="8"/>
        <v>3000000</v>
      </c>
      <c r="I13" s="3">
        <f t="shared" si="8"/>
        <v>3000000</v>
      </c>
      <c r="J13" s="3">
        <f t="shared" si="8"/>
        <v>3000000</v>
      </c>
      <c r="K13" s="3">
        <f t="shared" si="8"/>
        <v>3000000</v>
      </c>
    </row>
    <row r="14" spans="3:11" x14ac:dyDescent="0.25">
      <c r="C14" s="2" t="s">
        <v>5</v>
      </c>
      <c r="D14" s="3"/>
      <c r="E14" s="3"/>
      <c r="F14" s="3"/>
      <c r="G14" s="3"/>
      <c r="H14" s="3"/>
      <c r="I14" s="3"/>
      <c r="J14" s="3"/>
      <c r="K14" s="3"/>
    </row>
    <row r="15" spans="3:11" x14ac:dyDescent="0.25">
      <c r="C15" s="2" t="s">
        <v>6</v>
      </c>
      <c r="D15" s="3">
        <f>+D10-D11-D12-D13+D14</f>
        <v>0</v>
      </c>
      <c r="E15" s="3">
        <f t="shared" ref="E15:K15" si="9">+E10-E11-E12-E13+E14</f>
        <v>0</v>
      </c>
      <c r="F15" s="3">
        <f t="shared" si="9"/>
        <v>-1339000</v>
      </c>
      <c r="G15" s="3">
        <f t="shared" si="9"/>
        <v>890242.5</v>
      </c>
      <c r="H15" s="3">
        <f t="shared" si="9"/>
        <v>1930200.8550000014</v>
      </c>
      <c r="I15" s="3">
        <f t="shared" si="9"/>
        <v>2117673.8128500022</v>
      </c>
      <c r="J15" s="3">
        <f t="shared" si="9"/>
        <v>2311562.2980795018</v>
      </c>
      <c r="K15" s="3">
        <f t="shared" si="9"/>
        <v>2512074.6032827664</v>
      </c>
    </row>
    <row r="16" spans="3:11" x14ac:dyDescent="0.25">
      <c r="C16" s="2" t="s">
        <v>7</v>
      </c>
      <c r="D16" s="3">
        <f>0.21*D15</f>
        <v>0</v>
      </c>
      <c r="E16" s="3">
        <f t="shared" ref="E16:K16" si="10">0.21*E15</f>
        <v>0</v>
      </c>
      <c r="F16" s="3">
        <f t="shared" si="10"/>
        <v>-281190</v>
      </c>
      <c r="G16" s="3">
        <f t="shared" si="10"/>
        <v>186950.92499999999</v>
      </c>
      <c r="H16" s="3">
        <f t="shared" si="10"/>
        <v>405342.17955000029</v>
      </c>
      <c r="I16" s="3">
        <f t="shared" si="10"/>
        <v>444711.50069850043</v>
      </c>
      <c r="J16" s="3">
        <f t="shared" si="10"/>
        <v>485428.08259669534</v>
      </c>
      <c r="K16" s="3">
        <f t="shared" si="10"/>
        <v>527535.66668938089</v>
      </c>
    </row>
    <row r="17" spans="3:11" x14ac:dyDescent="0.25">
      <c r="C17" s="2"/>
      <c r="D17" s="3"/>
      <c r="E17" s="3"/>
      <c r="F17" s="3"/>
      <c r="G17" s="3"/>
      <c r="H17" s="3"/>
      <c r="I17" s="3"/>
      <c r="J17" s="3"/>
      <c r="K17" s="3"/>
    </row>
    <row r="18" spans="3:11" x14ac:dyDescent="0.25">
      <c r="C18" s="2" t="s">
        <v>8</v>
      </c>
      <c r="D18" s="3"/>
      <c r="E18" s="3"/>
      <c r="F18" s="3"/>
      <c r="G18" s="3"/>
      <c r="H18" s="3"/>
      <c r="I18" s="3"/>
      <c r="J18" s="3"/>
      <c r="K18" s="3"/>
    </row>
    <row r="19" spans="3:11" x14ac:dyDescent="0.25">
      <c r="C19" s="2" t="s">
        <v>9</v>
      </c>
      <c r="D19" s="3"/>
      <c r="E19" s="3"/>
      <c r="F19" s="3"/>
      <c r="G19" s="3"/>
      <c r="H19" s="3"/>
      <c r="I19" s="3"/>
      <c r="J19" s="3"/>
      <c r="K19" s="3"/>
    </row>
    <row r="20" spans="3:11" x14ac:dyDescent="0.25">
      <c r="C20" s="2" t="s">
        <v>10</v>
      </c>
      <c r="D20" s="3">
        <v>5000000</v>
      </c>
      <c r="E20" s="3">
        <v>2000000</v>
      </c>
      <c r="F20" s="3">
        <v>3000000</v>
      </c>
      <c r="G20" s="3">
        <v>3000000</v>
      </c>
      <c r="H20" s="3">
        <v>3000000</v>
      </c>
      <c r="I20" s="3">
        <v>3000000</v>
      </c>
      <c r="J20" s="3">
        <v>3000000</v>
      </c>
      <c r="K20" s="3">
        <v>3000000</v>
      </c>
    </row>
    <row r="21" spans="3:11" ht="15.75" thickBot="1" x14ac:dyDescent="0.3">
      <c r="C21" s="4" t="s">
        <v>11</v>
      </c>
      <c r="D21" s="5">
        <f>+D20</f>
        <v>5000000</v>
      </c>
      <c r="E21" s="5">
        <f>+E20-D20</f>
        <v>-3000000</v>
      </c>
      <c r="F21" s="5">
        <f t="shared" ref="F21:K21" si="11">+F20-E20</f>
        <v>1000000</v>
      </c>
      <c r="G21" s="5">
        <f t="shared" si="11"/>
        <v>0</v>
      </c>
      <c r="H21" s="5">
        <f t="shared" si="11"/>
        <v>0</v>
      </c>
      <c r="I21" s="5">
        <f t="shared" si="11"/>
        <v>0</v>
      </c>
      <c r="J21" s="5">
        <f t="shared" si="11"/>
        <v>0</v>
      </c>
      <c r="K21" s="5">
        <f t="shared" si="11"/>
        <v>0</v>
      </c>
    </row>
    <row r="22" spans="3:11" ht="15.75" thickBot="1" x14ac:dyDescent="0.3">
      <c r="C22" s="6" t="s">
        <v>12</v>
      </c>
      <c r="D22" s="7">
        <f>+D15-D16+D13-D21</f>
        <v>-5000000</v>
      </c>
      <c r="E22" s="7">
        <f t="shared" ref="E22:K22" si="12">+E15-E16+E13-E21</f>
        <v>3000000</v>
      </c>
      <c r="F22" s="7">
        <f t="shared" si="12"/>
        <v>942190</v>
      </c>
      <c r="G22" s="7">
        <f t="shared" si="12"/>
        <v>3703291.5750000002</v>
      </c>
      <c r="H22" s="7">
        <f t="shared" si="12"/>
        <v>4524858.6754500009</v>
      </c>
      <c r="I22" s="7">
        <f t="shared" si="12"/>
        <v>4672962.3121515019</v>
      </c>
      <c r="J22" s="7">
        <f t="shared" si="12"/>
        <v>4826134.2154828068</v>
      </c>
      <c r="K22" s="7">
        <f t="shared" si="12"/>
        <v>4984538.9365933854</v>
      </c>
    </row>
    <row r="23" spans="3:11" x14ac:dyDescent="0.25">
      <c r="C23" s="8"/>
      <c r="D23" s="9"/>
      <c r="E23" s="9"/>
      <c r="F23" s="9"/>
      <c r="G23" s="9"/>
      <c r="H23" s="9"/>
      <c r="I23" s="9"/>
      <c r="J23" s="9"/>
      <c r="K23" s="9"/>
    </row>
    <row r="24" spans="3:11" x14ac:dyDescent="0.25">
      <c r="C24" s="2"/>
      <c r="D24" s="3"/>
      <c r="E24" s="3"/>
      <c r="F24" s="3"/>
      <c r="G24" s="3"/>
      <c r="H24" s="3"/>
      <c r="I24" s="3"/>
      <c r="J24" s="3"/>
      <c r="K24" s="3"/>
    </row>
    <row r="25" spans="3:11" x14ac:dyDescent="0.25">
      <c r="C25" s="2" t="s">
        <v>13</v>
      </c>
      <c r="D25" s="3">
        <f>7000000</f>
        <v>7000000</v>
      </c>
      <c r="E25" s="3">
        <f>+D25+E26-E13</f>
        <v>37000000</v>
      </c>
      <c r="F25" s="3">
        <f t="shared" ref="F25:K25" si="13">+E25-F13</f>
        <v>34000000</v>
      </c>
      <c r="G25" s="3">
        <f t="shared" si="13"/>
        <v>31000000</v>
      </c>
      <c r="H25" s="3">
        <f t="shared" si="13"/>
        <v>28000000</v>
      </c>
      <c r="I25" s="3">
        <f t="shared" si="13"/>
        <v>25000000</v>
      </c>
      <c r="J25" s="3">
        <f t="shared" si="13"/>
        <v>22000000</v>
      </c>
      <c r="K25" s="3">
        <f t="shared" si="13"/>
        <v>19000000</v>
      </c>
    </row>
    <row r="26" spans="3:11" ht="15.75" thickBot="1" x14ac:dyDescent="0.3">
      <c r="C26" s="4" t="s">
        <v>14</v>
      </c>
      <c r="D26" s="5">
        <f>+D25</f>
        <v>7000000</v>
      </c>
      <c r="E26" s="5">
        <v>30000000</v>
      </c>
      <c r="F26" s="5">
        <f>+F25-E25+F13</f>
        <v>0</v>
      </c>
      <c r="G26" s="5">
        <f t="shared" ref="G26:K26" si="14">+G25-F25+G13</f>
        <v>0</v>
      </c>
      <c r="H26" s="5">
        <f t="shared" si="14"/>
        <v>0</v>
      </c>
      <c r="I26" s="5">
        <f t="shared" si="14"/>
        <v>0</v>
      </c>
      <c r="J26" s="5">
        <f t="shared" si="14"/>
        <v>0</v>
      </c>
      <c r="K26" s="5">
        <f t="shared" si="14"/>
        <v>0</v>
      </c>
    </row>
    <row r="27" spans="3:11" ht="15.75" thickBot="1" x14ac:dyDescent="0.3">
      <c r="C27" s="6" t="s">
        <v>15</v>
      </c>
      <c r="D27" s="7">
        <f>+D22-D26</f>
        <v>-12000000</v>
      </c>
      <c r="E27" s="7">
        <f t="shared" ref="E27:K27" si="15">+E22-E26</f>
        <v>-27000000</v>
      </c>
      <c r="F27" s="7">
        <f t="shared" si="15"/>
        <v>942190</v>
      </c>
      <c r="G27" s="7">
        <f t="shared" si="15"/>
        <v>3703291.5750000002</v>
      </c>
      <c r="H27" s="7">
        <f t="shared" si="15"/>
        <v>4524858.6754500009</v>
      </c>
      <c r="I27" s="7">
        <f t="shared" si="15"/>
        <v>4672962.3121515019</v>
      </c>
      <c r="J27" s="7">
        <f t="shared" si="15"/>
        <v>4826134.2154828068</v>
      </c>
      <c r="K27" s="7">
        <f t="shared" si="15"/>
        <v>4984538.9365933854</v>
      </c>
    </row>
    <row r="30" spans="3:11" x14ac:dyDescent="0.25">
      <c r="C30" t="s">
        <v>18</v>
      </c>
      <c r="D30" s="14">
        <f>+K27/(0.1-0.02)</f>
        <v>62306736.707417317</v>
      </c>
    </row>
    <row r="31" spans="3:11" x14ac:dyDescent="0.25">
      <c r="C31" t="s">
        <v>19</v>
      </c>
      <c r="D31" s="14">
        <f>+D30/1.1^6</f>
        <v>35170528.53806179</v>
      </c>
    </row>
    <row r="32" spans="3:11" ht="15.75" thickBot="1" x14ac:dyDescent="0.3">
      <c r="C32" t="s">
        <v>20</v>
      </c>
      <c r="D32" s="11">
        <f>+NPV(0.1,E27:J27)</f>
        <v>-12268139.103610344</v>
      </c>
    </row>
    <row r="33" spans="2:5" ht="15.75" thickBot="1" x14ac:dyDescent="0.3">
      <c r="B33" t="s">
        <v>43</v>
      </c>
      <c r="C33" s="20" t="s">
        <v>21</v>
      </c>
      <c r="D33" s="21">
        <f>+D32+D31+D27</f>
        <v>10902389.434451446</v>
      </c>
    </row>
    <row r="36" spans="2:5" x14ac:dyDescent="0.25">
      <c r="B36" t="s">
        <v>44</v>
      </c>
      <c r="C36" t="s">
        <v>45</v>
      </c>
      <c r="D36" s="18">
        <v>0.80204249159361518</v>
      </c>
      <c r="E36" t="s">
        <v>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1</vt:lpstr>
      <vt:lpstr>2</vt:lpstr>
    </vt:vector>
  </TitlesOfParts>
  <Company>Univ.de San Andrés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Fernandez Molero, Diego</dc:creator>
  <cp:lastModifiedBy>Fernandez Molero, Diego</cp:lastModifiedBy>
  <dcterms:created xsi:type="dcterms:W3CDTF">2022-11-07T18:01:48Z</dcterms:created>
  <dcterms:modified xsi:type="dcterms:W3CDTF">2022-11-23T15:20:06Z</dcterms:modified>
</cp:coreProperties>
</file>