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d55e916249d8decc/Documents/Udesa/04 Cuatrimestre/Finanzas 1/REP FINAL/"/>
    </mc:Choice>
  </mc:AlternateContent>
  <xr:revisionPtr revIDLastSave="6" documentId="11_7F2613695845C2B5333217FBEB4FBEAFB296C73E" xr6:coauthVersionLast="47" xr6:coauthVersionMax="47" xr10:uidLastSave="{44F0C5AB-AD59-4794-B8B1-F5CE02491EC4}"/>
  <bookViews>
    <workbookView xWindow="756" yWindow="768" windowWidth="22284" windowHeight="10488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2" i="1" l="1"/>
  <c r="G112" i="1" s="1"/>
  <c r="E103" i="1"/>
  <c r="F102" i="1"/>
  <c r="F103" i="1" s="1"/>
  <c r="E102" i="1"/>
  <c r="E107" i="1"/>
  <c r="E108" i="1" s="1"/>
  <c r="L99" i="1"/>
  <c r="K99" i="1"/>
  <c r="H99" i="1"/>
  <c r="I99" i="1"/>
  <c r="J99" i="1"/>
  <c r="G99" i="1"/>
  <c r="G97" i="1"/>
  <c r="H100" i="1"/>
  <c r="I100" i="1"/>
  <c r="J100" i="1"/>
  <c r="K100" i="1"/>
  <c r="L100" i="1"/>
  <c r="G100" i="1"/>
  <c r="F113" i="1"/>
  <c r="E113" i="1"/>
  <c r="G102" i="1" l="1"/>
  <c r="H112" i="1"/>
  <c r="G113" i="1"/>
  <c r="H97" i="1"/>
  <c r="F105" i="1"/>
  <c r="F107" i="1" s="1"/>
  <c r="G98" i="1"/>
  <c r="F106" i="1" s="1"/>
  <c r="E109" i="1"/>
  <c r="E114" i="1" s="1"/>
  <c r="F108" i="1"/>
  <c r="F109" i="1" s="1"/>
  <c r="F114" i="1" s="1"/>
  <c r="L40" i="1"/>
  <c r="I112" i="1" l="1"/>
  <c r="H113" i="1"/>
  <c r="G105" i="1"/>
  <c r="H102" i="1"/>
  <c r="I97" i="1"/>
  <c r="H98" i="1"/>
  <c r="G106" i="1" s="1"/>
  <c r="G103" i="1"/>
  <c r="L41" i="1"/>
  <c r="J49" i="1"/>
  <c r="E49" i="1"/>
  <c r="E50" i="1" s="1"/>
  <c r="G42" i="1"/>
  <c r="H42" i="1"/>
  <c r="I42" i="1"/>
  <c r="J42" i="1"/>
  <c r="F42" i="1"/>
  <c r="E54" i="1"/>
  <c r="E55" i="1" s="1"/>
  <c r="E43" i="1"/>
  <c r="E44" i="1" s="1"/>
  <c r="E45" i="1" s="1"/>
  <c r="J43" i="1"/>
  <c r="J39" i="1"/>
  <c r="I39" i="1"/>
  <c r="H39" i="1"/>
  <c r="F39" i="1"/>
  <c r="G39" i="1"/>
  <c r="G16" i="1"/>
  <c r="H16" i="1"/>
  <c r="F16" i="1"/>
  <c r="F11" i="1"/>
  <c r="G11" i="1"/>
  <c r="H11" i="1"/>
  <c r="E11" i="1"/>
  <c r="E17" i="1" s="1"/>
  <c r="E22" i="1" s="1"/>
  <c r="G8" i="1"/>
  <c r="H8" i="1"/>
  <c r="F8" i="1"/>
  <c r="F20" i="1" s="1"/>
  <c r="J112" i="1" l="1"/>
  <c r="I113" i="1"/>
  <c r="H103" i="1"/>
  <c r="H109" i="1" s="1"/>
  <c r="H114" i="1" s="1"/>
  <c r="G107" i="1"/>
  <c r="G108" i="1" s="1"/>
  <c r="G109" i="1" s="1"/>
  <c r="G114" i="1" s="1"/>
  <c r="J97" i="1"/>
  <c r="I98" i="1"/>
  <c r="H106" i="1" s="1"/>
  <c r="H105" i="1"/>
  <c r="H107" i="1" s="1"/>
  <c r="H108" i="1" s="1"/>
  <c r="I102" i="1"/>
  <c r="G40" i="1"/>
  <c r="G48" i="1" s="1"/>
  <c r="H47" i="1"/>
  <c r="I40" i="1"/>
  <c r="J40" i="1"/>
  <c r="L42" i="1"/>
  <c r="F47" i="1"/>
  <c r="L56" i="1"/>
  <c r="F17" i="1"/>
  <c r="H17" i="1"/>
  <c r="G17" i="1"/>
  <c r="H40" i="1"/>
  <c r="H48" i="1" s="1"/>
  <c r="E26" i="1"/>
  <c r="E27" i="1" s="1"/>
  <c r="F40" i="1"/>
  <c r="F48" i="1" s="1"/>
  <c r="H44" i="1"/>
  <c r="H45" i="1" s="1"/>
  <c r="I47" i="1"/>
  <c r="J44" i="1"/>
  <c r="J45" i="1" s="1"/>
  <c r="I48" i="1"/>
  <c r="I44" i="1"/>
  <c r="F21" i="1"/>
  <c r="G20" i="1"/>
  <c r="E51" i="1"/>
  <c r="E56" i="1" s="1"/>
  <c r="G47" i="1"/>
  <c r="F54" i="1"/>
  <c r="G54" i="1" s="1"/>
  <c r="K112" i="1" l="1"/>
  <c r="J113" i="1"/>
  <c r="I103" i="1"/>
  <c r="I109" i="1" s="1"/>
  <c r="I114" i="1" s="1"/>
  <c r="G49" i="1"/>
  <c r="G44" i="1"/>
  <c r="K97" i="1"/>
  <c r="J98" i="1"/>
  <c r="I106" i="1" s="1"/>
  <c r="I105" i="1"/>
  <c r="I107" i="1" s="1"/>
  <c r="I108" i="1" s="1"/>
  <c r="F49" i="1"/>
  <c r="F50" i="1" s="1"/>
  <c r="F22" i="1"/>
  <c r="F26" i="1" s="1"/>
  <c r="F27" i="1" s="1"/>
  <c r="G27" i="1" s="1"/>
  <c r="H49" i="1"/>
  <c r="H50" i="1" s="1"/>
  <c r="H51" i="1" s="1"/>
  <c r="L43" i="1"/>
  <c r="G84" i="1"/>
  <c r="L57" i="1"/>
  <c r="I49" i="1"/>
  <c r="J50" i="1" s="1"/>
  <c r="J51" i="1" s="1"/>
  <c r="F44" i="1"/>
  <c r="F45" i="1" s="1"/>
  <c r="F51" i="1" s="1"/>
  <c r="E23" i="1"/>
  <c r="I45" i="1"/>
  <c r="G21" i="1"/>
  <c r="G22" i="1" s="1"/>
  <c r="G26" i="1" s="1"/>
  <c r="H20" i="1"/>
  <c r="H21" i="1" s="1"/>
  <c r="H22" i="1" s="1"/>
  <c r="H26" i="1" s="1"/>
  <c r="G45" i="1"/>
  <c r="F55" i="1"/>
  <c r="H54" i="1"/>
  <c r="G55" i="1"/>
  <c r="L97" i="1" l="1"/>
  <c r="K102" i="1"/>
  <c r="J105" i="1"/>
  <c r="K98" i="1"/>
  <c r="J106" i="1" s="1"/>
  <c r="L112" i="1"/>
  <c r="L113" i="1" s="1"/>
  <c r="K113" i="1"/>
  <c r="J102" i="1"/>
  <c r="G50" i="1"/>
  <c r="G51" i="1" s="1"/>
  <c r="G56" i="1" s="1"/>
  <c r="I50" i="1"/>
  <c r="I51" i="1" s="1"/>
  <c r="L44" i="1"/>
  <c r="L58" i="1"/>
  <c r="E24" i="1"/>
  <c r="H27" i="1"/>
  <c r="F56" i="1"/>
  <c r="I54" i="1"/>
  <c r="H55" i="1"/>
  <c r="H56" i="1" s="1"/>
  <c r="J103" i="1" l="1"/>
  <c r="J109" i="1" s="1"/>
  <c r="J114" i="1" s="1"/>
  <c r="J107" i="1"/>
  <c r="J108" i="1" s="1"/>
  <c r="K103" i="1"/>
  <c r="M97" i="1"/>
  <c r="L98" i="1"/>
  <c r="K106" i="1" s="1"/>
  <c r="K105" i="1"/>
  <c r="L45" i="1"/>
  <c r="L59" i="1"/>
  <c r="I55" i="1"/>
  <c r="I56" i="1" s="1"/>
  <c r="M55" i="1" s="1"/>
  <c r="J55" i="1"/>
  <c r="J56" i="1" s="1"/>
  <c r="M44" i="1" s="1"/>
  <c r="L102" i="1" l="1"/>
  <c r="E57" i="1"/>
  <c r="L54" i="1" s="1"/>
  <c r="M54" i="1" s="1"/>
  <c r="M98" i="1"/>
  <c r="L106" i="1" s="1"/>
  <c r="L105" i="1"/>
  <c r="K107" i="1"/>
  <c r="K108" i="1" s="1"/>
  <c r="K109" i="1" s="1"/>
  <c r="K114" i="1" s="1"/>
  <c r="E121" i="1" s="1"/>
  <c r="M41" i="1"/>
  <c r="M57" i="1"/>
  <c r="M56" i="1"/>
  <c r="M40" i="1"/>
  <c r="L46" i="1"/>
  <c r="M45" i="1"/>
  <c r="M39" i="1"/>
  <c r="M42" i="1"/>
  <c r="G85" i="1"/>
  <c r="G86" i="1" s="1"/>
  <c r="M58" i="1"/>
  <c r="M43" i="1"/>
  <c r="L60" i="1"/>
  <c r="M59" i="1"/>
  <c r="L107" i="1" l="1"/>
  <c r="L108" i="1" s="1"/>
  <c r="L103" i="1"/>
  <c r="L109" i="1" s="1"/>
  <c r="L114" i="1" s="1"/>
  <c r="E119" i="1" s="1"/>
  <c r="E120" i="1" s="1"/>
  <c r="E122" i="1" s="1"/>
  <c r="L47" i="1"/>
  <c r="M46" i="1"/>
  <c r="L61" i="1"/>
  <c r="M61" i="1" s="1"/>
  <c r="M60" i="1"/>
  <c r="L48" i="1" l="1"/>
  <c r="M47" i="1"/>
  <c r="L49" i="1" l="1"/>
  <c r="M48" i="1"/>
  <c r="L50" i="1" l="1"/>
  <c r="M49" i="1"/>
  <c r="L51" i="1" l="1"/>
  <c r="M50" i="1"/>
  <c r="L52" i="1" l="1"/>
  <c r="M51" i="1"/>
  <c r="G78" i="1" s="1"/>
  <c r="L53" i="1" l="1"/>
  <c r="M53" i="1" s="1"/>
  <c r="M52" i="1"/>
</calcChain>
</file>

<file path=xl/sharedStrings.xml><?xml version="1.0" encoding="utf-8"?>
<sst xmlns="http://schemas.openxmlformats.org/spreadsheetml/2006/main" count="75" uniqueCount="40">
  <si>
    <t>Ventas</t>
  </si>
  <si>
    <t>Costos Variables Erogables</t>
  </si>
  <si>
    <t>Costos Fijos Erogables</t>
  </si>
  <si>
    <t>Costos no Erogables (Amortizaciones)</t>
  </si>
  <si>
    <t>EBIT</t>
  </si>
  <si>
    <t>Impuesto a las Ganancias</t>
  </si>
  <si>
    <t xml:space="preserve">Resultado por venta de Activos </t>
  </si>
  <si>
    <t>Activo Corriente</t>
  </si>
  <si>
    <t>Pasivo Corriente</t>
  </si>
  <si>
    <t xml:space="preserve">Capital de Trabajo </t>
  </si>
  <si>
    <t>Inversión en Capital de Trabajo</t>
  </si>
  <si>
    <t>Activo no Corriente neto de amortizaciones</t>
  </si>
  <si>
    <t>FLUJOS DE FONDOS OPERATIVOS</t>
  </si>
  <si>
    <t>FLUJOS DE FONDOS LIBRES</t>
  </si>
  <si>
    <t>Año</t>
  </si>
  <si>
    <t>Inversión en Activo no Corriente (a valor libros)</t>
  </si>
  <si>
    <t>1)</t>
  </si>
  <si>
    <t>2)</t>
  </si>
  <si>
    <t>3)</t>
  </si>
  <si>
    <t>TIR =</t>
  </si>
  <si>
    <t>VAN =</t>
  </si>
  <si>
    <t>Flujos Actualizados</t>
  </si>
  <si>
    <t>Flujos Actualizados Acumulados</t>
  </si>
  <si>
    <t>PRD =</t>
  </si>
  <si>
    <t>Recomiendo acpetar el proyecto dado que el VAN es positivo</t>
  </si>
  <si>
    <t>VA 0 (F-) =</t>
  </si>
  <si>
    <t>k</t>
  </si>
  <si>
    <t>VAN</t>
  </si>
  <si>
    <t>Se puede aplicar el criterior TIR para recomendar la aceptación o rechazo del proyecto, dado que el proyecto tiene solamente un cambio de signo</t>
  </si>
  <si>
    <t>VAN (k = 12%) =</t>
  </si>
  <si>
    <t>Dado que la TIR es mayor que k, el VAN es positivo</t>
  </si>
  <si>
    <t>Recomiendo aceptar el proyecto.</t>
  </si>
  <si>
    <t>TIR M =</t>
  </si>
  <si>
    <t>VF 7 (F+) =</t>
  </si>
  <si>
    <t>Los honorarios del estudio de arquitectos son costos hundidos. Su pago no depende de si se acepta o no el proyecto. No forman parte de los flujos generados por el proyecto, por lo que no deben</t>
  </si>
  <si>
    <t>ser incluidos en el cálculo del VAN.</t>
  </si>
  <si>
    <t>VA de la perpetuidad en t = 6:</t>
  </si>
  <si>
    <t>VA de la perpetuidad en t = 0:</t>
  </si>
  <si>
    <t>VA de los primeros seis flujos futuros:</t>
  </si>
  <si>
    <t>Dado que el VAN esperado es positivo, se recomienda aceptar el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</si>
</sst>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.00;[Red]\-&quot;$&quot;\ #,##0.00"/>
    <numFmt numFmtId="165" formatCode="_-&quot;$&quot;\ * #,##0.00_-;\-&quot;$&quot;\ * #,##0.00_-;_-&quot;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165" fontId="0" fillId="0" borderId="1" xfId="1" applyFont="1" applyBorder="1"/>
    <xf numFmtId="0" fontId="0" fillId="0" borderId="3" xfId="0" applyBorder="1"/>
    <xf numFmtId="165" fontId="0" fillId="0" borderId="3" xfId="1" applyFont="1" applyBorder="1"/>
    <xf numFmtId="0" fontId="0" fillId="0" borderId="4" xfId="0" applyBorder="1"/>
    <xf numFmtId="165" fontId="0" fillId="0" borderId="4" xfId="1" applyFont="1" applyBorder="1"/>
    <xf numFmtId="165" fontId="0" fillId="0" borderId="0" xfId="1" applyFont="1" applyBorder="1"/>
    <xf numFmtId="165" fontId="0" fillId="0" borderId="2" xfId="1" applyFont="1" applyBorder="1"/>
    <xf numFmtId="0" fontId="0" fillId="0" borderId="5" xfId="0" applyBorder="1"/>
    <xf numFmtId="165" fontId="0" fillId="0" borderId="6" xfId="0" applyNumberFormat="1" applyBorder="1"/>
    <xf numFmtId="10" fontId="0" fillId="0" borderId="6" xfId="0" applyNumberFormat="1" applyBorder="1"/>
    <xf numFmtId="165" fontId="0" fillId="0" borderId="7" xfId="1" applyFont="1" applyBorder="1"/>
    <xf numFmtId="165" fontId="0" fillId="0" borderId="7" xfId="0" applyNumberFormat="1" applyBorder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10" fontId="0" fillId="0" borderId="6" xfId="2" applyNumberFormat="1" applyFont="1" applyBorder="1"/>
    <xf numFmtId="9" fontId="0" fillId="0" borderId="0" xfId="2" applyFont="1"/>
    <xf numFmtId="10" fontId="0" fillId="0" borderId="1" xfId="2" applyNumberFormat="1" applyFont="1" applyBorder="1"/>
    <xf numFmtId="165" fontId="0" fillId="0" borderId="1" xfId="0" applyNumberFormat="1" applyBorder="1"/>
    <xf numFmtId="10" fontId="0" fillId="0" borderId="1" xfId="2" applyNumberFormat="1" applyFont="1" applyFill="1" applyBorder="1"/>
    <xf numFmtId="0" fontId="2" fillId="0" borderId="1" xfId="0" applyFont="1" applyBorder="1" applyAlignment="1">
      <alignment horizontal="center"/>
    </xf>
    <xf numFmtId="0" fontId="3" fillId="4" borderId="0" xfId="0" applyFont="1" applyFill="1"/>
    <xf numFmtId="165" fontId="3" fillId="4" borderId="0" xfId="1" applyFont="1" applyFill="1" applyBorder="1"/>
    <xf numFmtId="0" fontId="3" fillId="4" borderId="0" xfId="0" applyFont="1" applyFill="1" applyAlignment="1">
      <alignment horizontal="center"/>
    </xf>
    <xf numFmtId="0" fontId="4" fillId="0" borderId="0" xfId="0" applyFont="1"/>
    <xf numFmtId="164" fontId="0" fillId="0" borderId="0" xfId="0" applyNumberFormat="1"/>
    <xf numFmtId="0" fontId="2" fillId="2" borderId="5" xfId="0" applyFont="1" applyFill="1" applyBorder="1"/>
    <xf numFmtId="165" fontId="2" fillId="2" borderId="6" xfId="0" applyNumberFormat="1" applyFont="1" applyFill="1" applyBorder="1"/>
  </cellXfs>
  <cellStyles count="3">
    <cellStyle name="Currency" xfId="1" builtinId="4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Hoja1!$M$38</c:f>
              <c:strCache>
                <c:ptCount val="1"/>
                <c:pt idx="0">
                  <c:v>VAN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Hoja1!$L$39:$L$61</c:f>
              <c:numCache>
                <c:formatCode>0.00%</c:formatCode>
                <c:ptCount val="2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0.1496456587581052</c:v>
                </c:pt>
                <c:pt idx="16">
                  <c:v>0.15</c:v>
                </c:pt>
                <c:pt idx="17">
                  <c:v>0.16</c:v>
                </c:pt>
                <c:pt idx="18">
                  <c:v>0.17</c:v>
                </c:pt>
                <c:pt idx="19">
                  <c:v>0.18000000000000002</c:v>
                </c:pt>
                <c:pt idx="20">
                  <c:v>0.19000000000000003</c:v>
                </c:pt>
                <c:pt idx="21">
                  <c:v>0.20000000000000004</c:v>
                </c:pt>
                <c:pt idx="22">
                  <c:v>0.21000000000000005</c:v>
                </c:pt>
              </c:numCache>
            </c:numRef>
          </c:xVal>
          <c:yVal>
            <c:numRef>
              <c:f>Hoja1!$M$39:$M$61</c:f>
              <c:numCache>
                <c:formatCode>_-"$"\ * #,##0.00_-;\-"$"\ * #,##0.00_-;_-"$"\ * "-"??_-;_-@_-</c:formatCode>
                <c:ptCount val="23"/>
                <c:pt idx="0">
                  <c:v>2567500</c:v>
                </c:pt>
                <c:pt idx="1">
                  <c:v>2329215.5621343413</c:v>
                </c:pt>
                <c:pt idx="2">
                  <c:v>2103189.3235867163</c:v>
                </c:pt>
                <c:pt idx="3">
                  <c:v>1888655.6925015589</c:v>
                </c:pt>
                <c:pt idx="4">
                  <c:v>1684904.4672334921</c:v>
                </c:pt>
                <c:pt idx="5">
                  <c:v>1491276.313427411</c:v>
                </c:pt>
                <c:pt idx="6">
                  <c:v>1307158.6507809013</c:v>
                </c:pt>
                <c:pt idx="7">
                  <c:v>1131981.9088415261</c:v>
                </c:pt>
                <c:pt idx="8">
                  <c:v>965216.11556598078</c:v>
                </c:pt>
                <c:pt idx="9">
                  <c:v>806367.78623605985</c:v>
                </c:pt>
                <c:pt idx="10">
                  <c:v>654977.08375029266</c:v>
                </c:pt>
                <c:pt idx="11">
                  <c:v>510615.22434462048</c:v>
                </c:pt>
                <c:pt idx="12">
                  <c:v>372882.10548790498</c:v>
                </c:pt>
                <c:pt idx="13">
                  <c:v>241404.13508969778</c:v>
                </c:pt>
                <c:pt idx="14">
                  <c:v>115832.24328437354</c:v>
                </c:pt>
                <c:pt idx="15">
                  <c:v>5.5879354476928711E-9</c:v>
                </c:pt>
                <c:pt idx="16">
                  <c:v>-4159.9400509558618</c:v>
                </c:pt>
                <c:pt idx="17">
                  <c:v>-118877.75720020197</c:v>
                </c:pt>
                <c:pt idx="18">
                  <c:v>-228607.05758403055</c:v>
                </c:pt>
                <c:pt idx="19">
                  <c:v>-333615.6081138216</c:v>
                </c:pt>
                <c:pt idx="20">
                  <c:v>-434154.39002857776</c:v>
                </c:pt>
                <c:pt idx="21">
                  <c:v>-530458.7922444893</c:v>
                </c:pt>
                <c:pt idx="22">
                  <c:v>-622749.71028389316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82-44D6-ADE3-CF89EF9FD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390384"/>
        <c:axId val="1107385392"/>
      </c:scatterChart>
      <c:valAx>
        <c:axId val="110739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385392"/>
        <c:crosses val="autoZero"/>
        <c:crossBetween val="midCat"/>
      </c:valAx>
      <c:valAx>
        <c:axId val="110738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\ * #,##0.00_-;\-&quot;$&quot;\ * #,##0.00_-;_-&quot;$&quot;\ 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39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57</xdr:row>
      <xdr:rowOff>0</xdr:rowOff>
    </xdr:from>
    <xdr:to>
      <xdr:col>8</xdr:col>
      <xdr:colOff>1076325</xdr:colOff>
      <xdr:row>71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O122"/>
  <sheetViews>
    <sheetView tabSelected="1" topLeftCell="A55" zoomScale="55" zoomScaleNormal="55" workbookViewId="0">
      <selection activeCell="M45" sqref="M45"/>
    </sheetView>
  </sheetViews>
  <sheetFormatPr defaultColWidth="11.5546875" defaultRowHeight="14.4" x14ac:dyDescent="0.3"/>
  <cols>
    <col min="3" max="3" width="3.109375" bestFit="1" customWidth="1"/>
    <col min="4" max="4" width="59.88671875" customWidth="1"/>
    <col min="5" max="5" width="19.109375" bestFit="1" customWidth="1"/>
    <col min="6" max="6" width="25.109375" customWidth="1"/>
    <col min="7" max="8" width="18.33203125" bestFit="1" customWidth="1"/>
    <col min="9" max="10" width="17.88671875" bestFit="1" customWidth="1"/>
    <col min="11" max="12" width="9.21875" bestFit="1" customWidth="1"/>
    <col min="13" max="13" width="17.88671875" bestFit="1" customWidth="1"/>
    <col min="14" max="14" width="15.5546875" customWidth="1"/>
    <col min="15" max="15" width="16.5546875" customWidth="1"/>
  </cols>
  <sheetData>
    <row r="3" spans="4:8" x14ac:dyDescent="0.3">
      <c r="D3" t="s">
        <v>16</v>
      </c>
    </row>
    <row r="4" spans="4:8" x14ac:dyDescent="0.3">
      <c r="D4" s="2" t="s">
        <v>14</v>
      </c>
      <c r="E4" s="2">
        <v>0</v>
      </c>
      <c r="F4" s="2">
        <v>1</v>
      </c>
      <c r="G4" s="2">
        <v>2</v>
      </c>
      <c r="H4" s="2">
        <v>3</v>
      </c>
    </row>
    <row r="5" spans="4:8" x14ac:dyDescent="0.3">
      <c r="D5" s="1" t="s">
        <v>0</v>
      </c>
      <c r="E5" s="3"/>
      <c r="F5" s="3"/>
      <c r="G5" s="3"/>
      <c r="H5" s="3"/>
    </row>
    <row r="6" spans="4:8" x14ac:dyDescent="0.3">
      <c r="D6" s="1" t="s">
        <v>1</v>
      </c>
      <c r="E6" s="3"/>
      <c r="F6" s="3"/>
      <c r="G6" s="3"/>
      <c r="H6" s="3"/>
    </row>
    <row r="7" spans="4:8" x14ac:dyDescent="0.3">
      <c r="D7" s="1" t="s">
        <v>2</v>
      </c>
      <c r="E7" s="3"/>
      <c r="F7" s="3"/>
      <c r="G7" s="3"/>
      <c r="H7" s="3"/>
    </row>
    <row r="8" spans="4:8" x14ac:dyDescent="0.3">
      <c r="D8" s="1" t="s">
        <v>3</v>
      </c>
      <c r="E8" s="3"/>
      <c r="F8" s="3">
        <f>27700000/3</f>
        <v>9233333.333333334</v>
      </c>
      <c r="G8" s="3">
        <f t="shared" ref="G8:H8" si="0">27700000/3</f>
        <v>9233333.333333334</v>
      </c>
      <c r="H8" s="3">
        <f t="shared" si="0"/>
        <v>9233333.333333334</v>
      </c>
    </row>
    <row r="9" spans="4:8" x14ac:dyDescent="0.3">
      <c r="D9" s="1" t="s">
        <v>6</v>
      </c>
      <c r="E9" s="3"/>
      <c r="F9" s="3"/>
      <c r="G9" s="3"/>
      <c r="H9" s="3"/>
    </row>
    <row r="10" spans="4:8" x14ac:dyDescent="0.3">
      <c r="D10" s="1" t="s">
        <v>4</v>
      </c>
      <c r="E10" s="3"/>
      <c r="F10" s="3">
        <v>3000000</v>
      </c>
      <c r="G10" s="3">
        <v>4000000</v>
      </c>
      <c r="H10" s="3">
        <v>5000000</v>
      </c>
    </row>
    <row r="11" spans="4:8" x14ac:dyDescent="0.3">
      <c r="D11" s="1" t="s">
        <v>5</v>
      </c>
      <c r="E11" s="3">
        <f>0.35*E10</f>
        <v>0</v>
      </c>
      <c r="F11" s="3">
        <f t="shared" ref="F11:H11" si="1">0.35*F10</f>
        <v>1050000</v>
      </c>
      <c r="G11" s="3">
        <f t="shared" si="1"/>
        <v>1400000</v>
      </c>
      <c r="H11" s="3">
        <f t="shared" si="1"/>
        <v>1750000</v>
      </c>
    </row>
    <row r="12" spans="4:8" x14ac:dyDescent="0.3">
      <c r="D12" s="1"/>
      <c r="E12" s="3"/>
      <c r="F12" s="3"/>
      <c r="G12" s="3"/>
      <c r="H12" s="3"/>
    </row>
    <row r="13" spans="4:8" x14ac:dyDescent="0.3">
      <c r="D13" s="1" t="s">
        <v>7</v>
      </c>
      <c r="E13" s="3"/>
      <c r="F13" s="3"/>
      <c r="G13" s="3"/>
      <c r="H13" s="3"/>
    </row>
    <row r="14" spans="4:8" x14ac:dyDescent="0.3">
      <c r="D14" s="1" t="s">
        <v>8</v>
      </c>
      <c r="E14" s="3"/>
      <c r="F14" s="3"/>
      <c r="G14" s="3"/>
      <c r="H14" s="3"/>
    </row>
    <row r="15" spans="4:8" x14ac:dyDescent="0.3">
      <c r="D15" s="1" t="s">
        <v>9</v>
      </c>
      <c r="E15" s="3"/>
      <c r="F15" s="3">
        <v>2500000</v>
      </c>
      <c r="G15" s="3">
        <v>2700000</v>
      </c>
      <c r="H15" s="3">
        <v>0</v>
      </c>
    </row>
    <row r="16" spans="4:8" ht="15" thickBot="1" x14ac:dyDescent="0.35">
      <c r="D16" s="4" t="s">
        <v>10</v>
      </c>
      <c r="E16" s="5"/>
      <c r="F16" s="5">
        <f>+F15-E15</f>
        <v>2500000</v>
      </c>
      <c r="G16" s="5">
        <f t="shared" ref="G16:H16" si="2">+G15-F15</f>
        <v>200000</v>
      </c>
      <c r="H16" s="5">
        <f t="shared" si="2"/>
        <v>-2700000</v>
      </c>
    </row>
    <row r="17" spans="3:15" ht="15" thickBot="1" x14ac:dyDescent="0.35">
      <c r="D17" s="10" t="s">
        <v>12</v>
      </c>
      <c r="E17" s="9">
        <f>+E10-E11+E8-E16</f>
        <v>0</v>
      </c>
      <c r="F17" s="9">
        <f t="shared" ref="F17:H17" si="3">+F10-F11+F8-F16</f>
        <v>8683333.333333334</v>
      </c>
      <c r="G17" s="9">
        <f t="shared" si="3"/>
        <v>11633333.333333334</v>
      </c>
      <c r="H17" s="9">
        <f t="shared" si="3"/>
        <v>15183333.333333334</v>
      </c>
    </row>
    <row r="18" spans="3:15" x14ac:dyDescent="0.3">
      <c r="D18" s="6"/>
      <c r="E18" s="7"/>
      <c r="F18" s="7"/>
      <c r="G18" s="7"/>
      <c r="H18" s="7"/>
    </row>
    <row r="19" spans="3:15" x14ac:dyDescent="0.3">
      <c r="D19" s="1"/>
      <c r="E19" s="3"/>
      <c r="F19" s="3"/>
      <c r="G19" s="3"/>
      <c r="H19" s="3"/>
    </row>
    <row r="20" spans="3:15" x14ac:dyDescent="0.3">
      <c r="D20" s="1" t="s">
        <v>11</v>
      </c>
      <c r="E20" s="3">
        <v>27700000</v>
      </c>
      <c r="F20" s="3">
        <f>+E20-F8</f>
        <v>18466666.666666664</v>
      </c>
      <c r="G20" s="3">
        <f t="shared" ref="G20:H20" si="4">+F20-G8</f>
        <v>9233333.3333333302</v>
      </c>
      <c r="H20" s="3">
        <f t="shared" si="4"/>
        <v>0</v>
      </c>
    </row>
    <row r="21" spans="3:15" ht="15" thickBot="1" x14ac:dyDescent="0.35">
      <c r="D21" s="4" t="s">
        <v>15</v>
      </c>
      <c r="E21" s="5">
        <v>27700000</v>
      </c>
      <c r="F21" s="5">
        <f>+F20-E20+F8</f>
        <v>0</v>
      </c>
      <c r="G21" s="5">
        <f t="shared" ref="G21:H21" si="5">+G20-F20+G8</f>
        <v>0</v>
      </c>
      <c r="H21" s="5">
        <f t="shared" si="5"/>
        <v>0</v>
      </c>
    </row>
    <row r="22" spans="3:15" ht="15" thickBot="1" x14ac:dyDescent="0.35">
      <c r="D22" s="10" t="s">
        <v>13</v>
      </c>
      <c r="E22" s="9">
        <f>+E17-E21</f>
        <v>-27700000</v>
      </c>
      <c r="F22" s="9">
        <f t="shared" ref="F22:H22" si="6">+F17-F21</f>
        <v>8683333.333333334</v>
      </c>
      <c r="G22" s="9">
        <f t="shared" si="6"/>
        <v>11633333.333333334</v>
      </c>
      <c r="H22" s="9">
        <f t="shared" si="6"/>
        <v>15183333.333333334</v>
      </c>
    </row>
    <row r="23" spans="3:15" ht="15" thickBot="1" x14ac:dyDescent="0.35">
      <c r="D23" s="10" t="s">
        <v>19</v>
      </c>
      <c r="E23" s="12">
        <f>+IRR(E22:H22)</f>
        <v>0.12256951062294208</v>
      </c>
    </row>
    <row r="24" spans="3:15" ht="15" thickBot="1" x14ac:dyDescent="0.35">
      <c r="D24" s="10" t="s">
        <v>20</v>
      </c>
      <c r="E24" s="11">
        <f>+NPV(0.12,F22:H22)+E22</f>
        <v>134195.0619533509</v>
      </c>
    </row>
    <row r="25" spans="3:15" ht="15" thickBot="1" x14ac:dyDescent="0.35">
      <c r="D25" s="15" t="s">
        <v>14</v>
      </c>
      <c r="E25" s="16">
        <v>0</v>
      </c>
      <c r="F25" s="16">
        <v>1</v>
      </c>
      <c r="G25" s="16">
        <v>2</v>
      </c>
      <c r="H25" s="16">
        <v>3</v>
      </c>
    </row>
    <row r="26" spans="3:15" ht="15" thickBot="1" x14ac:dyDescent="0.35">
      <c r="D26" s="10" t="s">
        <v>21</v>
      </c>
      <c r="E26" s="13">
        <f>+E22/(1+0.12)^E25</f>
        <v>-27700000</v>
      </c>
      <c r="F26" s="13">
        <f t="shared" ref="F26:H26" si="7">+F22/(1+0.12)^F25</f>
        <v>7752976.1904761903</v>
      </c>
      <c r="G26" s="13">
        <f t="shared" si="7"/>
        <v>9274022.108843537</v>
      </c>
      <c r="H26" s="13">
        <f t="shared" si="7"/>
        <v>10807196.762633622</v>
      </c>
    </row>
    <row r="27" spans="3:15" ht="15" thickBot="1" x14ac:dyDescent="0.35">
      <c r="D27" s="10" t="s">
        <v>22</v>
      </c>
      <c r="E27" s="14">
        <f>+E26</f>
        <v>-27700000</v>
      </c>
      <c r="F27" s="14">
        <f>+F26+E27</f>
        <v>-19947023.80952381</v>
      </c>
      <c r="G27" s="14">
        <f t="shared" ref="G27:H27" si="8">+G26+F27</f>
        <v>-10673001.700680273</v>
      </c>
      <c r="H27" s="11">
        <f t="shared" si="8"/>
        <v>134195.06195334904</v>
      </c>
    </row>
    <row r="28" spans="3:15" ht="15" thickBot="1" x14ac:dyDescent="0.35">
      <c r="D28" s="17" t="s">
        <v>23</v>
      </c>
      <c r="E28" s="18">
        <v>3</v>
      </c>
    </row>
    <row r="29" spans="3:15" x14ac:dyDescent="0.3">
      <c r="D29" s="19"/>
      <c r="E29" s="19"/>
    </row>
    <row r="30" spans="3:15" x14ac:dyDescent="0.3">
      <c r="C30" s="26"/>
      <c r="D30" s="28" t="s">
        <v>24</v>
      </c>
      <c r="E30" s="28"/>
    </row>
    <row r="31" spans="3:15" x14ac:dyDescent="0.3"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</row>
    <row r="32" spans="3:15" x14ac:dyDescent="0.3">
      <c r="D32" s="26"/>
      <c r="E32" s="27"/>
      <c r="F32" s="8"/>
      <c r="G32" s="8"/>
      <c r="H32" s="8"/>
      <c r="I32" s="8"/>
      <c r="J32" s="8"/>
      <c r="K32" s="8"/>
      <c r="L32" s="8"/>
      <c r="M32" s="8"/>
      <c r="N32" s="8"/>
      <c r="O32" s="8"/>
    </row>
    <row r="33" spans="4:15" x14ac:dyDescent="0.3"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</row>
    <row r="37" spans="4:15" x14ac:dyDescent="0.3">
      <c r="D37" t="s">
        <v>17</v>
      </c>
    </row>
    <row r="38" spans="4:15" x14ac:dyDescent="0.3">
      <c r="D38" s="2" t="s">
        <v>14</v>
      </c>
      <c r="E38" s="2">
        <v>0</v>
      </c>
      <c r="F38" s="2">
        <v>1</v>
      </c>
      <c r="G38" s="2">
        <v>2</v>
      </c>
      <c r="H38" s="2">
        <v>3</v>
      </c>
      <c r="I38" s="2">
        <v>4</v>
      </c>
      <c r="J38" s="2">
        <v>5</v>
      </c>
      <c r="L38" s="25" t="s">
        <v>26</v>
      </c>
      <c r="M38" s="25" t="s">
        <v>27</v>
      </c>
    </row>
    <row r="39" spans="4:15" x14ac:dyDescent="0.3">
      <c r="D39" s="1" t="s">
        <v>0</v>
      </c>
      <c r="E39" s="3"/>
      <c r="F39" s="3">
        <f>5400000-4000000</f>
        <v>1400000</v>
      </c>
      <c r="G39" s="3">
        <f>6300000-4500000</f>
        <v>1800000</v>
      </c>
      <c r="H39" s="3">
        <f>7400000-5500000</f>
        <v>1900000</v>
      </c>
      <c r="I39" s="3">
        <f>7700000-6000000</f>
        <v>1700000</v>
      </c>
      <c r="J39" s="3">
        <f>7700000-6000000</f>
        <v>1700000</v>
      </c>
      <c r="L39" s="22">
        <v>0</v>
      </c>
      <c r="M39" s="23">
        <f>+NPV(L39,F$56:J$56)+E$56</f>
        <v>2567500</v>
      </c>
    </row>
    <row r="40" spans="4:15" x14ac:dyDescent="0.3">
      <c r="D40" s="1" t="s">
        <v>1</v>
      </c>
      <c r="E40" s="3"/>
      <c r="F40" s="3">
        <f>0.5*F39</f>
        <v>700000</v>
      </c>
      <c r="G40" s="3">
        <f t="shared" ref="G40:J40" si="9">0.5*G39</f>
        <v>900000</v>
      </c>
      <c r="H40" s="3">
        <f t="shared" si="9"/>
        <v>950000</v>
      </c>
      <c r="I40" s="3">
        <f t="shared" si="9"/>
        <v>850000</v>
      </c>
      <c r="J40" s="3">
        <f t="shared" si="9"/>
        <v>850000</v>
      </c>
      <c r="L40" s="24">
        <f>0.01+L39</f>
        <v>0.01</v>
      </c>
      <c r="M40" s="23">
        <f t="shared" ref="M40:M60" si="10">+NPV(L40,F$56:J$56)+E$56</f>
        <v>2329215.5621343413</v>
      </c>
    </row>
    <row r="41" spans="4:15" x14ac:dyDescent="0.3">
      <c r="D41" s="1" t="s">
        <v>2</v>
      </c>
      <c r="E41" s="3"/>
      <c r="F41" s="3">
        <v>-280000</v>
      </c>
      <c r="G41" s="3">
        <v>-280000</v>
      </c>
      <c r="H41" s="3">
        <v>-280000</v>
      </c>
      <c r="I41" s="3">
        <v>-280000</v>
      </c>
      <c r="J41" s="3">
        <v>-280000</v>
      </c>
      <c r="L41" s="22">
        <f>+L40+0.01</f>
        <v>0.02</v>
      </c>
      <c r="M41" s="23">
        <f t="shared" si="10"/>
        <v>2103189.3235867163</v>
      </c>
    </row>
    <row r="42" spans="4:15" x14ac:dyDescent="0.3">
      <c r="D42" s="1" t="s">
        <v>3</v>
      </c>
      <c r="E42" s="3"/>
      <c r="F42" s="3">
        <f>5000000/10-1000000/5</f>
        <v>300000</v>
      </c>
      <c r="G42" s="3">
        <f t="shared" ref="G42:J42" si="11">5000000/10-1000000/5</f>
        <v>300000</v>
      </c>
      <c r="H42" s="3">
        <f t="shared" si="11"/>
        <v>300000</v>
      </c>
      <c r="I42" s="3">
        <f t="shared" si="11"/>
        <v>300000</v>
      </c>
      <c r="J42" s="3">
        <f t="shared" si="11"/>
        <v>300000</v>
      </c>
      <c r="L42" s="22">
        <f t="shared" ref="L42:L61" si="12">+L41+0.01</f>
        <v>0.03</v>
      </c>
      <c r="M42" s="23">
        <f t="shared" si="10"/>
        <v>1888655.6925015589</v>
      </c>
    </row>
    <row r="43" spans="4:15" x14ac:dyDescent="0.3">
      <c r="D43" s="1" t="s">
        <v>6</v>
      </c>
      <c r="E43" s="3">
        <f>1300000-1000000</f>
        <v>300000</v>
      </c>
      <c r="F43" s="3"/>
      <c r="G43" s="3"/>
      <c r="H43" s="3"/>
      <c r="I43" s="3"/>
      <c r="J43" s="3">
        <f>2000000-2500000</f>
        <v>-500000</v>
      </c>
      <c r="L43" s="22">
        <f t="shared" si="12"/>
        <v>0.04</v>
      </c>
      <c r="M43" s="23">
        <f t="shared" si="10"/>
        <v>1684904.4672334921</v>
      </c>
    </row>
    <row r="44" spans="4:15" x14ac:dyDescent="0.3">
      <c r="D44" s="1" t="s">
        <v>4</v>
      </c>
      <c r="E44" s="3">
        <f>+E39-E40-E41-E42+E43</f>
        <v>300000</v>
      </c>
      <c r="F44" s="3">
        <f t="shared" ref="F44:J44" si="13">+F39-F40-F41-F42+F43</f>
        <v>680000</v>
      </c>
      <c r="G44" s="3">
        <f t="shared" si="13"/>
        <v>880000</v>
      </c>
      <c r="H44" s="3">
        <f t="shared" si="13"/>
        <v>930000</v>
      </c>
      <c r="I44" s="3">
        <f t="shared" si="13"/>
        <v>830000</v>
      </c>
      <c r="J44" s="3">
        <f t="shared" si="13"/>
        <v>330000</v>
      </c>
      <c r="L44" s="22">
        <f t="shared" si="12"/>
        <v>0.05</v>
      </c>
      <c r="M44" s="23">
        <f t="shared" si="10"/>
        <v>1491276.313427411</v>
      </c>
    </row>
    <row r="45" spans="4:15" x14ac:dyDescent="0.3">
      <c r="D45" s="1" t="s">
        <v>5</v>
      </c>
      <c r="E45" s="3">
        <f>0.35*E44</f>
        <v>105000</v>
      </c>
      <c r="F45" s="3">
        <f t="shared" ref="F45:J45" si="14">0.35*F44</f>
        <v>237999.99999999997</v>
      </c>
      <c r="G45" s="3">
        <f t="shared" si="14"/>
        <v>308000</v>
      </c>
      <c r="H45" s="3">
        <f t="shared" si="14"/>
        <v>325500</v>
      </c>
      <c r="I45" s="3">
        <f t="shared" si="14"/>
        <v>290500</v>
      </c>
      <c r="J45" s="3">
        <f t="shared" si="14"/>
        <v>115499.99999999999</v>
      </c>
      <c r="L45" s="22">
        <f t="shared" si="12"/>
        <v>6.0000000000000005E-2</v>
      </c>
      <c r="M45" s="23">
        <f t="shared" si="10"/>
        <v>1307158.6507809013</v>
      </c>
    </row>
    <row r="46" spans="4:15" x14ac:dyDescent="0.3">
      <c r="D46" s="1"/>
      <c r="E46" s="3"/>
      <c r="F46" s="3"/>
      <c r="G46" s="3"/>
      <c r="H46" s="3"/>
      <c r="I46" s="3"/>
      <c r="J46" s="3"/>
      <c r="L46" s="22">
        <f t="shared" si="12"/>
        <v>7.0000000000000007E-2</v>
      </c>
      <c r="M46" s="23">
        <f t="shared" si="10"/>
        <v>1131981.9088415261</v>
      </c>
    </row>
    <row r="47" spans="4:15" x14ac:dyDescent="0.3">
      <c r="D47" s="1" t="s">
        <v>7</v>
      </c>
      <c r="E47" s="3"/>
      <c r="F47" s="3">
        <f>+F39*60/365</f>
        <v>230136.98630136985</v>
      </c>
      <c r="G47" s="3">
        <f t="shared" ref="G47:I47" si="15">+G39*60/365</f>
        <v>295890.41095890413</v>
      </c>
      <c r="H47" s="3">
        <f t="shared" si="15"/>
        <v>312328.76712328766</v>
      </c>
      <c r="I47" s="3">
        <f t="shared" si="15"/>
        <v>279452.05479452055</v>
      </c>
      <c r="J47" s="3"/>
      <c r="L47" s="22">
        <f t="shared" si="12"/>
        <v>0.08</v>
      </c>
      <c r="M47" s="23">
        <f t="shared" si="10"/>
        <v>965216.11556598078</v>
      </c>
    </row>
    <row r="48" spans="4:15" x14ac:dyDescent="0.3">
      <c r="D48" s="1" t="s">
        <v>8</v>
      </c>
      <c r="E48" s="3"/>
      <c r="F48" s="3">
        <f>+F40*0.0821917808219178</f>
        <v>57534.246575342462</v>
      </c>
      <c r="G48" s="3">
        <f t="shared" ref="G48:I48" si="16">+G40*0.0821917808219178</f>
        <v>73972.602739726019</v>
      </c>
      <c r="H48" s="3">
        <f t="shared" si="16"/>
        <v>78082.191780821915</v>
      </c>
      <c r="I48" s="3">
        <f t="shared" si="16"/>
        <v>69863.013698630137</v>
      </c>
      <c r="J48" s="3"/>
      <c r="L48" s="22">
        <f t="shared" si="12"/>
        <v>0.09</v>
      </c>
      <c r="M48" s="23">
        <f t="shared" si="10"/>
        <v>806367.78623605985</v>
      </c>
    </row>
    <row r="49" spans="4:13" x14ac:dyDescent="0.3">
      <c r="D49" s="1" t="s">
        <v>9</v>
      </c>
      <c r="E49" s="3">
        <f>+E47-E48</f>
        <v>0</v>
      </c>
      <c r="F49" s="3">
        <f t="shared" ref="F49:J49" si="17">+F47-F48</f>
        <v>172602.73972602739</v>
      </c>
      <c r="G49" s="3">
        <f t="shared" si="17"/>
        <v>221917.80821917811</v>
      </c>
      <c r="H49" s="3">
        <f t="shared" si="17"/>
        <v>234246.57534246575</v>
      </c>
      <c r="I49" s="3">
        <f t="shared" si="17"/>
        <v>209589.0410958904</v>
      </c>
      <c r="J49" s="3">
        <f t="shared" si="17"/>
        <v>0</v>
      </c>
      <c r="L49" s="22">
        <f t="shared" si="12"/>
        <v>9.9999999999999992E-2</v>
      </c>
      <c r="M49" s="23">
        <f t="shared" si="10"/>
        <v>654977.08375029266</v>
      </c>
    </row>
    <row r="50" spans="4:13" ht="15" thickBot="1" x14ac:dyDescent="0.35">
      <c r="D50" s="4" t="s">
        <v>10</v>
      </c>
      <c r="E50" s="5">
        <f>+E49</f>
        <v>0</v>
      </c>
      <c r="F50" s="5">
        <f>+F49-E49</f>
        <v>172602.73972602739</v>
      </c>
      <c r="G50" s="5">
        <f t="shared" ref="G50:J50" si="18">+G49-F49</f>
        <v>49315.068493150728</v>
      </c>
      <c r="H50" s="5">
        <f t="shared" si="18"/>
        <v>12328.767123287631</v>
      </c>
      <c r="I50" s="5">
        <f t="shared" si="18"/>
        <v>-24657.534246575349</v>
      </c>
      <c r="J50" s="5">
        <f t="shared" si="18"/>
        <v>-209589.0410958904</v>
      </c>
      <c r="L50" s="22">
        <f t="shared" si="12"/>
        <v>0.10999999999999999</v>
      </c>
      <c r="M50" s="23">
        <f t="shared" si="10"/>
        <v>510615.22434462048</v>
      </c>
    </row>
    <row r="51" spans="4:13" ht="15" thickBot="1" x14ac:dyDescent="0.35">
      <c r="D51" s="10" t="s">
        <v>12</v>
      </c>
      <c r="E51" s="9">
        <f>+E44-E45+E42-E50</f>
        <v>195000</v>
      </c>
      <c r="F51" s="9">
        <f t="shared" ref="F51:J51" si="19">+F44-F45+F42-F50</f>
        <v>569397.26027397264</v>
      </c>
      <c r="G51" s="9">
        <f t="shared" si="19"/>
        <v>822684.93150684924</v>
      </c>
      <c r="H51" s="9">
        <f t="shared" si="19"/>
        <v>892171.23287671234</v>
      </c>
      <c r="I51" s="9">
        <f t="shared" si="19"/>
        <v>864157.53424657532</v>
      </c>
      <c r="J51" s="9">
        <f t="shared" si="19"/>
        <v>724089.04109589034</v>
      </c>
      <c r="L51" s="22">
        <f t="shared" si="12"/>
        <v>0.11999999999999998</v>
      </c>
      <c r="M51" s="23">
        <f t="shared" si="10"/>
        <v>372882.10548790498</v>
      </c>
    </row>
    <row r="52" spans="4:13" x14ac:dyDescent="0.3">
      <c r="D52" s="6"/>
      <c r="E52" s="7"/>
      <c r="F52" s="7"/>
      <c r="G52" s="7"/>
      <c r="H52" s="7"/>
      <c r="I52" s="7"/>
      <c r="J52" s="7"/>
      <c r="L52" s="22">
        <f t="shared" si="12"/>
        <v>0.12999999999999998</v>
      </c>
      <c r="M52" s="23">
        <f t="shared" si="10"/>
        <v>241404.13508969778</v>
      </c>
    </row>
    <row r="53" spans="4:13" x14ac:dyDescent="0.3">
      <c r="D53" s="1"/>
      <c r="E53" s="3"/>
      <c r="F53" s="3"/>
      <c r="G53" s="3"/>
      <c r="H53" s="3"/>
      <c r="I53" s="3"/>
      <c r="J53" s="3"/>
      <c r="L53" s="22">
        <f t="shared" si="12"/>
        <v>0.13999999999999999</v>
      </c>
      <c r="M53" s="23">
        <f t="shared" si="10"/>
        <v>115832.24328437354</v>
      </c>
    </row>
    <row r="54" spans="4:13" x14ac:dyDescent="0.3">
      <c r="D54" s="1" t="s">
        <v>11</v>
      </c>
      <c r="E54" s="3">
        <f>5000000-1000000</f>
        <v>4000000</v>
      </c>
      <c r="F54" s="3">
        <f>+E54-F42</f>
        <v>3700000</v>
      </c>
      <c r="G54" s="3">
        <f t="shared" ref="G54:I54" si="20">+F54-G42</f>
        <v>3400000</v>
      </c>
      <c r="H54" s="3">
        <f t="shared" si="20"/>
        <v>3100000</v>
      </c>
      <c r="I54" s="3">
        <f t="shared" si="20"/>
        <v>2800000</v>
      </c>
      <c r="J54" s="3">
        <v>0</v>
      </c>
      <c r="L54" s="22">
        <f>+E57</f>
        <v>0.1496456587581052</v>
      </c>
      <c r="M54" s="23">
        <f t="shared" si="10"/>
        <v>5.5879354476928711E-9</v>
      </c>
    </row>
    <row r="55" spans="4:13" ht="15" thickBot="1" x14ac:dyDescent="0.35">
      <c r="D55" s="4" t="s">
        <v>15</v>
      </c>
      <c r="E55" s="5">
        <f>+E54</f>
        <v>4000000</v>
      </c>
      <c r="F55" s="5">
        <f>+F54-E54+F42</f>
        <v>0</v>
      </c>
      <c r="G55" s="5">
        <f t="shared" ref="G55:J55" si="21">+G54-F54+G42</f>
        <v>0</v>
      </c>
      <c r="H55" s="5">
        <f t="shared" si="21"/>
        <v>0</v>
      </c>
      <c r="I55" s="5">
        <f t="shared" si="21"/>
        <v>0</v>
      </c>
      <c r="J55" s="5">
        <f t="shared" si="21"/>
        <v>-2500000</v>
      </c>
      <c r="L55" s="22">
        <v>0.15</v>
      </c>
      <c r="M55" s="23">
        <f t="shared" si="10"/>
        <v>-4159.9400509558618</v>
      </c>
    </row>
    <row r="56" spans="4:13" ht="15" thickBot="1" x14ac:dyDescent="0.35">
      <c r="D56" s="10" t="s">
        <v>13</v>
      </c>
      <c r="E56" s="9">
        <f>+E51-E55</f>
        <v>-3805000</v>
      </c>
      <c r="F56" s="9">
        <f t="shared" ref="F56:J56" si="22">+F51-F55</f>
        <v>569397.26027397264</v>
      </c>
      <c r="G56" s="9">
        <f t="shared" si="22"/>
        <v>822684.93150684924</v>
      </c>
      <c r="H56" s="9">
        <f t="shared" si="22"/>
        <v>892171.23287671234</v>
      </c>
      <c r="I56" s="9">
        <f t="shared" si="22"/>
        <v>864157.53424657532</v>
      </c>
      <c r="J56" s="9">
        <f t="shared" si="22"/>
        <v>3224089.0410958901</v>
      </c>
      <c r="L56" s="22">
        <f t="shared" si="12"/>
        <v>0.16</v>
      </c>
      <c r="M56" s="23">
        <f t="shared" si="10"/>
        <v>-118877.75720020197</v>
      </c>
    </row>
    <row r="57" spans="4:13" ht="15" thickBot="1" x14ac:dyDescent="0.35">
      <c r="D57" s="10" t="s">
        <v>19</v>
      </c>
      <c r="E57" s="12">
        <f>+IRR(E56:J56)</f>
        <v>0.1496456587581052</v>
      </c>
      <c r="L57" s="22">
        <f t="shared" si="12"/>
        <v>0.17</v>
      </c>
      <c r="M57" s="23">
        <f t="shared" si="10"/>
        <v>-228607.05758403055</v>
      </c>
    </row>
    <row r="58" spans="4:13" x14ac:dyDescent="0.3">
      <c r="L58" s="22">
        <f t="shared" si="12"/>
        <v>0.18000000000000002</v>
      </c>
      <c r="M58" s="23">
        <f t="shared" si="10"/>
        <v>-333615.6081138216</v>
      </c>
    </row>
    <row r="59" spans="4:13" x14ac:dyDescent="0.3">
      <c r="L59" s="22">
        <f t="shared" si="12"/>
        <v>0.19000000000000003</v>
      </c>
      <c r="M59" s="23">
        <f t="shared" si="10"/>
        <v>-434154.39002857776</v>
      </c>
    </row>
    <row r="60" spans="4:13" x14ac:dyDescent="0.3">
      <c r="L60" s="22">
        <f t="shared" si="12"/>
        <v>0.20000000000000004</v>
      </c>
      <c r="M60" s="23">
        <f t="shared" si="10"/>
        <v>-530458.7922444893</v>
      </c>
    </row>
    <row r="61" spans="4:13" x14ac:dyDescent="0.3">
      <c r="L61" s="22">
        <f t="shared" si="12"/>
        <v>0.21000000000000005</v>
      </c>
      <c r="M61" s="23">
        <f>+NPV(L61,F$56:J$56)+E$56</f>
        <v>-622749.71028389316</v>
      </c>
    </row>
    <row r="62" spans="4:13" x14ac:dyDescent="0.3">
      <c r="L62" s="21"/>
    </row>
    <row r="63" spans="4:13" x14ac:dyDescent="0.3">
      <c r="L63" s="21"/>
    </row>
    <row r="64" spans="4:13" x14ac:dyDescent="0.3">
      <c r="L64" s="21"/>
    </row>
    <row r="65" spans="6:13" x14ac:dyDescent="0.3">
      <c r="L65" s="21"/>
    </row>
    <row r="66" spans="6:13" x14ac:dyDescent="0.3">
      <c r="L66" s="21"/>
    </row>
    <row r="67" spans="6:13" x14ac:dyDescent="0.3">
      <c r="L67" s="21"/>
    </row>
    <row r="68" spans="6:13" x14ac:dyDescent="0.3">
      <c r="L68" s="21"/>
    </row>
    <row r="69" spans="6:13" x14ac:dyDescent="0.3">
      <c r="L69" s="21"/>
    </row>
    <row r="70" spans="6:13" x14ac:dyDescent="0.3">
      <c r="L70" s="21"/>
    </row>
    <row r="71" spans="6:13" x14ac:dyDescent="0.3">
      <c r="L71" s="21"/>
    </row>
    <row r="72" spans="6:13" x14ac:dyDescent="0.3">
      <c r="L72" s="21"/>
    </row>
    <row r="73" spans="6:13" x14ac:dyDescent="0.3">
      <c r="L73" s="21"/>
    </row>
    <row r="75" spans="6:13" x14ac:dyDescent="0.3">
      <c r="F75" s="26" t="s">
        <v>28</v>
      </c>
      <c r="G75" s="26"/>
      <c r="H75" s="26"/>
      <c r="I75" s="26"/>
      <c r="J75" s="26"/>
      <c r="K75" s="26"/>
      <c r="L75" s="26"/>
      <c r="M75" s="26"/>
    </row>
    <row r="77" spans="6:13" ht="15" thickBot="1" x14ac:dyDescent="0.35"/>
    <row r="78" spans="6:13" ht="15" thickBot="1" x14ac:dyDescent="0.35">
      <c r="F78" s="10" t="s">
        <v>29</v>
      </c>
      <c r="G78" s="11">
        <f>+M51</f>
        <v>372882.10548790498</v>
      </c>
    </row>
    <row r="80" spans="6:13" x14ac:dyDescent="0.3">
      <c r="F80" s="26" t="s">
        <v>30</v>
      </c>
      <c r="G80" s="26"/>
      <c r="H80" s="26"/>
    </row>
    <row r="81" spans="3:12" x14ac:dyDescent="0.3">
      <c r="F81" s="26" t="s">
        <v>31</v>
      </c>
      <c r="G81" s="26"/>
      <c r="H81" s="26"/>
    </row>
    <row r="83" spans="3:12" ht="15" thickBot="1" x14ac:dyDescent="0.35"/>
    <row r="84" spans="3:12" ht="15" thickBot="1" x14ac:dyDescent="0.35">
      <c r="F84" s="10" t="s">
        <v>25</v>
      </c>
      <c r="G84" s="11">
        <f>-E56</f>
        <v>3805000</v>
      </c>
    </row>
    <row r="85" spans="3:12" ht="15" thickBot="1" x14ac:dyDescent="0.35">
      <c r="F85" s="10" t="s">
        <v>33</v>
      </c>
      <c r="G85" s="11">
        <f>+F56*1.03^6+G56*1.03^5+H56*1.03^4+I56*1.03^3+J56*1.03^2</f>
        <v>7002478.3349352069</v>
      </c>
    </row>
    <row r="86" spans="3:12" ht="15" thickBot="1" x14ac:dyDescent="0.35">
      <c r="F86" s="10" t="s">
        <v>32</v>
      </c>
      <c r="G86" s="20">
        <f>+((G85/G84)^(1/7))-1</f>
        <v>9.1044450579127689E-2</v>
      </c>
    </row>
    <row r="94" spans="3:12" x14ac:dyDescent="0.3">
      <c r="C94" t="s">
        <v>18</v>
      </c>
    </row>
    <row r="96" spans="3:12" x14ac:dyDescent="0.3">
      <c r="D96" s="2" t="s">
        <v>14</v>
      </c>
      <c r="E96" s="2">
        <v>0</v>
      </c>
      <c r="F96" s="2">
        <v>1</v>
      </c>
      <c r="G96" s="2">
        <v>2</v>
      </c>
      <c r="H96" s="2">
        <v>3</v>
      </c>
      <c r="I96" s="2">
        <v>4</v>
      </c>
      <c r="J96" s="2">
        <v>5</v>
      </c>
      <c r="K96" s="2">
        <v>6</v>
      </c>
      <c r="L96" s="2">
        <v>7</v>
      </c>
    </row>
    <row r="97" spans="4:13" x14ac:dyDescent="0.3">
      <c r="D97" s="1" t="s">
        <v>0</v>
      </c>
      <c r="E97" s="3"/>
      <c r="F97" s="3"/>
      <c r="G97" s="3">
        <f>2*2</f>
        <v>4</v>
      </c>
      <c r="H97" s="3">
        <f>+G97*1.08</f>
        <v>4.32</v>
      </c>
      <c r="I97" s="3">
        <f t="shared" ref="I97:M97" si="23">+H97*1.08</f>
        <v>4.6656000000000004</v>
      </c>
      <c r="J97" s="3">
        <f t="shared" si="23"/>
        <v>5.0388480000000007</v>
      </c>
      <c r="K97" s="3">
        <f t="shared" si="23"/>
        <v>5.4419558400000012</v>
      </c>
      <c r="L97" s="3">
        <f t="shared" si="23"/>
        <v>5.8773123072000013</v>
      </c>
      <c r="M97" s="3">
        <f t="shared" si="23"/>
        <v>6.3474972917760022</v>
      </c>
    </row>
    <row r="98" spans="4:13" x14ac:dyDescent="0.3">
      <c r="D98" s="1" t="s">
        <v>1</v>
      </c>
      <c r="E98" s="3"/>
      <c r="F98" s="3"/>
      <c r="G98" s="3">
        <f>0.7*G97</f>
        <v>2.8</v>
      </c>
      <c r="H98" s="3">
        <f t="shared" ref="H98:M98" si="24">0.7*H97</f>
        <v>3.024</v>
      </c>
      <c r="I98" s="3">
        <f t="shared" si="24"/>
        <v>3.2659199999999999</v>
      </c>
      <c r="J98" s="3">
        <f t="shared" si="24"/>
        <v>3.5271936000000004</v>
      </c>
      <c r="K98" s="3">
        <f t="shared" si="24"/>
        <v>3.8093690880000004</v>
      </c>
      <c r="L98" s="3">
        <f t="shared" si="24"/>
        <v>4.1141186150400006</v>
      </c>
      <c r="M98" s="3">
        <f t="shared" si="24"/>
        <v>4.4432481042432013</v>
      </c>
    </row>
    <row r="99" spans="4:13" x14ac:dyDescent="0.3">
      <c r="D99" s="1" t="s">
        <v>2</v>
      </c>
      <c r="E99" s="3"/>
      <c r="F99" s="3"/>
      <c r="G99" s="3">
        <f>0.3*2</f>
        <v>0.6</v>
      </c>
      <c r="H99" s="3">
        <f t="shared" ref="H99:J99" si="25">0.3*2</f>
        <v>0.6</v>
      </c>
      <c r="I99" s="3">
        <f t="shared" si="25"/>
        <v>0.6</v>
      </c>
      <c r="J99" s="3">
        <f t="shared" si="25"/>
        <v>0.6</v>
      </c>
      <c r="K99" s="3">
        <f>0.5*2</f>
        <v>1</v>
      </c>
      <c r="L99" s="3">
        <f>0.5*2</f>
        <v>1</v>
      </c>
    </row>
    <row r="100" spans="4:13" x14ac:dyDescent="0.3">
      <c r="D100" s="1" t="s">
        <v>3</v>
      </c>
      <c r="E100" s="3"/>
      <c r="F100" s="3"/>
      <c r="G100" s="3">
        <f>2*1.6/30+2*2.2/6</f>
        <v>0.84000000000000008</v>
      </c>
      <c r="H100" s="3">
        <f t="shared" ref="H100:L100" si="26">2*1.6/30+2*2.2/6</f>
        <v>0.84000000000000008</v>
      </c>
      <c r="I100" s="3">
        <f t="shared" si="26"/>
        <v>0.84000000000000008</v>
      </c>
      <c r="J100" s="3">
        <f t="shared" si="26"/>
        <v>0.84000000000000008</v>
      </c>
      <c r="K100" s="3">
        <f t="shared" si="26"/>
        <v>0.84000000000000008</v>
      </c>
      <c r="L100" s="3">
        <f t="shared" si="26"/>
        <v>0.84000000000000008</v>
      </c>
    </row>
    <row r="101" spans="4:13" x14ac:dyDescent="0.3">
      <c r="D101" s="1" t="s">
        <v>6</v>
      </c>
      <c r="E101" s="3"/>
      <c r="F101" s="3"/>
      <c r="G101" s="3"/>
      <c r="H101" s="3"/>
      <c r="I101" s="3"/>
      <c r="J101" s="3"/>
      <c r="K101" s="3"/>
      <c r="L101" s="3"/>
    </row>
    <row r="102" spans="4:13" x14ac:dyDescent="0.3">
      <c r="D102" s="1" t="s">
        <v>4</v>
      </c>
      <c r="E102" s="3">
        <f>+E97-E98-E99-E100+E101</f>
        <v>0</v>
      </c>
      <c r="F102" s="3">
        <f t="shared" ref="F102:L102" si="27">+F97-F98-F99-F100+F101</f>
        <v>0</v>
      </c>
      <c r="G102" s="3">
        <f t="shared" si="27"/>
        <v>-0.23999999999999988</v>
      </c>
      <c r="H102" s="3">
        <f t="shared" si="27"/>
        <v>-0.14399999999999979</v>
      </c>
      <c r="I102" s="3">
        <f t="shared" si="27"/>
        <v>-4.0319999999999578E-2</v>
      </c>
      <c r="J102" s="3">
        <f t="shared" si="27"/>
        <v>7.1654400000000229E-2</v>
      </c>
      <c r="K102" s="3">
        <f t="shared" si="27"/>
        <v>-0.20741324799999927</v>
      </c>
      <c r="L102" s="3">
        <f t="shared" si="27"/>
        <v>-7.6806307839999421E-2</v>
      </c>
    </row>
    <row r="103" spans="4:13" x14ac:dyDescent="0.3">
      <c r="D103" s="1" t="s">
        <v>5</v>
      </c>
      <c r="E103" s="3">
        <f>0.3*E102</f>
        <v>0</v>
      </c>
      <c r="F103" s="3">
        <f t="shared" ref="F103:L103" si="28">0.3*F102</f>
        <v>0</v>
      </c>
      <c r="G103" s="3">
        <f t="shared" si="28"/>
        <v>-7.1999999999999967E-2</v>
      </c>
      <c r="H103" s="3">
        <f t="shared" si="28"/>
        <v>-4.319999999999994E-2</v>
      </c>
      <c r="I103" s="3">
        <f t="shared" si="28"/>
        <v>-1.2095999999999872E-2</v>
      </c>
      <c r="J103" s="3">
        <f t="shared" si="28"/>
        <v>2.1496320000000069E-2</v>
      </c>
      <c r="K103" s="3">
        <f t="shared" si="28"/>
        <v>-6.2223974399999778E-2</v>
      </c>
      <c r="L103" s="3">
        <f t="shared" si="28"/>
        <v>-2.3041892351999826E-2</v>
      </c>
    </row>
    <row r="104" spans="4:13" x14ac:dyDescent="0.3">
      <c r="D104" s="1"/>
      <c r="E104" s="3"/>
      <c r="F104" s="3"/>
      <c r="G104" s="3"/>
      <c r="H104" s="3"/>
      <c r="I104" s="3"/>
      <c r="J104" s="3"/>
      <c r="K104" s="3"/>
      <c r="L104" s="3"/>
    </row>
    <row r="105" spans="4:13" x14ac:dyDescent="0.3">
      <c r="D105" s="1" t="s">
        <v>7</v>
      </c>
      <c r="E105" s="3"/>
      <c r="F105" s="3">
        <f>0.03*G97+0.2*2</f>
        <v>0.52</v>
      </c>
      <c r="G105" s="3">
        <f t="shared" ref="G105:L105" si="29">0.03*H97+0.2*2</f>
        <v>0.52960000000000007</v>
      </c>
      <c r="H105" s="3">
        <f t="shared" si="29"/>
        <v>0.539968</v>
      </c>
      <c r="I105" s="3">
        <f t="shared" si="29"/>
        <v>0.55116544000000001</v>
      </c>
      <c r="J105" s="3">
        <f t="shared" si="29"/>
        <v>0.56325867520000006</v>
      </c>
      <c r="K105" s="3">
        <f t="shared" si="29"/>
        <v>0.57631936921600002</v>
      </c>
      <c r="L105" s="3">
        <f t="shared" si="29"/>
        <v>0.59042491875328007</v>
      </c>
    </row>
    <row r="106" spans="4:13" x14ac:dyDescent="0.3">
      <c r="D106" s="1" t="s">
        <v>8</v>
      </c>
      <c r="E106" s="3"/>
      <c r="F106" s="3">
        <f>+(0.273972602739726)*G98</f>
        <v>0.76712328767123283</v>
      </c>
      <c r="G106" s="3">
        <f t="shared" ref="G106:L106" si="30">+(0.273972602739726)*H98</f>
        <v>0.82849315068493146</v>
      </c>
      <c r="H106" s="3">
        <f t="shared" si="30"/>
        <v>0.89477260273972592</v>
      </c>
      <c r="I106" s="3">
        <f t="shared" si="30"/>
        <v>0.96635441095890418</v>
      </c>
      <c r="J106" s="3">
        <f t="shared" si="30"/>
        <v>1.0436627638356164</v>
      </c>
      <c r="K106" s="3">
        <f t="shared" si="30"/>
        <v>1.1271557849424658</v>
      </c>
      <c r="L106" s="3">
        <f t="shared" si="30"/>
        <v>1.2173282477378633</v>
      </c>
    </row>
    <row r="107" spans="4:13" x14ac:dyDescent="0.3">
      <c r="D107" s="1" t="s">
        <v>9</v>
      </c>
      <c r="E107" s="3">
        <f>+E105-E106</f>
        <v>0</v>
      </c>
      <c r="F107" s="3">
        <f>+F105-F106</f>
        <v>-0.24712328767123282</v>
      </c>
      <c r="G107" s="3">
        <f t="shared" ref="G107:L107" si="31">+G105-G106</f>
        <v>-0.29889315068493139</v>
      </c>
      <c r="H107" s="3">
        <f t="shared" si="31"/>
        <v>-0.35480460273972592</v>
      </c>
      <c r="I107" s="3">
        <f t="shared" si="31"/>
        <v>-0.41518897095890417</v>
      </c>
      <c r="J107" s="3">
        <f t="shared" si="31"/>
        <v>-0.48040408863561634</v>
      </c>
      <c r="K107" s="3">
        <f t="shared" si="31"/>
        <v>-0.5508364157264658</v>
      </c>
      <c r="L107" s="3">
        <f t="shared" si="31"/>
        <v>-0.62690332898458323</v>
      </c>
    </row>
    <row r="108" spans="4:13" ht="15" thickBot="1" x14ac:dyDescent="0.35">
      <c r="D108" s="4" t="s">
        <v>10</v>
      </c>
      <c r="E108" s="5">
        <f>+E107</f>
        <v>0</v>
      </c>
      <c r="F108" s="5">
        <f>+F107-E107</f>
        <v>-0.24712328767123282</v>
      </c>
      <c r="G108" s="5">
        <f t="shared" ref="G108:L108" si="32">+G107-F107</f>
        <v>-5.1769863013698569E-2</v>
      </c>
      <c r="H108" s="5">
        <f t="shared" si="32"/>
        <v>-5.591145205479453E-2</v>
      </c>
      <c r="I108" s="5">
        <f t="shared" si="32"/>
        <v>-6.0384368219178253E-2</v>
      </c>
      <c r="J108" s="5">
        <f t="shared" si="32"/>
        <v>-6.5215117676712175E-2</v>
      </c>
      <c r="K108" s="5">
        <f t="shared" si="32"/>
        <v>-7.0432327090849456E-2</v>
      </c>
      <c r="L108" s="5">
        <f t="shared" si="32"/>
        <v>-7.606691325811743E-2</v>
      </c>
    </row>
    <row r="109" spans="4:13" ht="15" thickBot="1" x14ac:dyDescent="0.35">
      <c r="D109" s="10" t="s">
        <v>12</v>
      </c>
      <c r="E109" s="9">
        <f>+E102-E103+E100-E108</f>
        <v>0</v>
      </c>
      <c r="F109" s="9">
        <f t="shared" ref="F109:L109" si="33">+F102-F103+F100-F108</f>
        <v>0.24712328767123282</v>
      </c>
      <c r="G109" s="9">
        <f t="shared" si="33"/>
        <v>0.72376986301369872</v>
      </c>
      <c r="H109" s="9">
        <f t="shared" si="33"/>
        <v>0.79511145205479472</v>
      </c>
      <c r="I109" s="9">
        <f t="shared" si="33"/>
        <v>0.87216036821917864</v>
      </c>
      <c r="J109" s="9">
        <f t="shared" si="33"/>
        <v>0.95537319767671236</v>
      </c>
      <c r="K109" s="9">
        <f t="shared" si="33"/>
        <v>0.76524305349084998</v>
      </c>
      <c r="L109" s="9">
        <f t="shared" si="33"/>
        <v>0.86230249777011792</v>
      </c>
    </row>
    <row r="110" spans="4:13" x14ac:dyDescent="0.3">
      <c r="D110" s="6"/>
      <c r="E110" s="7"/>
      <c r="F110" s="7"/>
      <c r="G110" s="7"/>
      <c r="H110" s="7"/>
      <c r="I110" s="7"/>
      <c r="J110" s="7"/>
      <c r="K110" s="7"/>
      <c r="L110" s="7"/>
    </row>
    <row r="111" spans="4:13" x14ac:dyDescent="0.3">
      <c r="D111" s="1"/>
      <c r="E111" s="3"/>
      <c r="F111" s="3"/>
      <c r="G111" s="3"/>
      <c r="H111" s="3"/>
      <c r="I111" s="3"/>
      <c r="J111" s="3"/>
      <c r="K111" s="3"/>
      <c r="L111" s="3"/>
    </row>
    <row r="112" spans="4:13" x14ac:dyDescent="0.3">
      <c r="D112" s="1" t="s">
        <v>11</v>
      </c>
      <c r="E112" s="3">
        <v>2</v>
      </c>
      <c r="F112" s="3">
        <f>2+7.6</f>
        <v>9.6</v>
      </c>
      <c r="G112" s="3">
        <f>+F112-G100</f>
        <v>8.76</v>
      </c>
      <c r="H112" s="3">
        <f t="shared" ref="H112:L112" si="34">+G112-H100</f>
        <v>7.92</v>
      </c>
      <c r="I112" s="3">
        <f t="shared" si="34"/>
        <v>7.08</v>
      </c>
      <c r="J112" s="3">
        <f t="shared" si="34"/>
        <v>6.24</v>
      </c>
      <c r="K112" s="3">
        <f t="shared" si="34"/>
        <v>5.4</v>
      </c>
      <c r="L112" s="3">
        <f t="shared" si="34"/>
        <v>4.5600000000000005</v>
      </c>
    </row>
    <row r="113" spans="4:13" ht="15" thickBot="1" x14ac:dyDescent="0.35">
      <c r="D113" s="4" t="s">
        <v>15</v>
      </c>
      <c r="E113" s="5">
        <f>1+1</f>
        <v>2</v>
      </c>
      <c r="F113" s="5">
        <f>2*1.6+2*2.2</f>
        <v>7.6000000000000005</v>
      </c>
      <c r="G113" s="5">
        <f>+G112-F112+G100</f>
        <v>0</v>
      </c>
      <c r="H113" s="5">
        <f t="shared" ref="H113:L113" si="35">+H112-G112+H100</f>
        <v>0</v>
      </c>
      <c r="I113" s="5">
        <f t="shared" si="35"/>
        <v>0</v>
      </c>
      <c r="J113" s="5">
        <f t="shared" si="35"/>
        <v>0</v>
      </c>
      <c r="K113" s="5">
        <f t="shared" si="35"/>
        <v>0</v>
      </c>
      <c r="L113" s="5">
        <f t="shared" si="35"/>
        <v>0</v>
      </c>
    </row>
    <row r="114" spans="4:13" ht="15" thickBot="1" x14ac:dyDescent="0.35">
      <c r="D114" s="10" t="s">
        <v>13</v>
      </c>
      <c r="E114" s="9">
        <f>+E109-E113</f>
        <v>-2</v>
      </c>
      <c r="F114" s="9">
        <f t="shared" ref="F114:L114" si="36">+F109-F113</f>
        <v>-7.3528767123287677</v>
      </c>
      <c r="G114" s="9">
        <f t="shared" si="36"/>
        <v>0.72376986301369872</v>
      </c>
      <c r="H114" s="9">
        <f t="shared" si="36"/>
        <v>0.79511145205479472</v>
      </c>
      <c r="I114" s="9">
        <f t="shared" si="36"/>
        <v>0.87216036821917864</v>
      </c>
      <c r="J114" s="9">
        <f t="shared" si="36"/>
        <v>0.95537319767671236</v>
      </c>
      <c r="K114" s="9">
        <f t="shared" si="36"/>
        <v>0.76524305349084998</v>
      </c>
      <c r="L114" s="9">
        <f t="shared" si="36"/>
        <v>0.86230249777011792</v>
      </c>
    </row>
    <row r="116" spans="4:13" x14ac:dyDescent="0.3">
      <c r="D116" s="29" t="s">
        <v>34</v>
      </c>
      <c r="E116" s="29"/>
      <c r="F116" s="29"/>
      <c r="G116" s="29"/>
      <c r="H116" s="29"/>
      <c r="I116" s="29"/>
      <c r="J116" s="29"/>
      <c r="K116" s="29"/>
      <c r="L116" s="29"/>
      <c r="M116" s="29"/>
    </row>
    <row r="117" spans="4:13" x14ac:dyDescent="0.3">
      <c r="D117" s="29" t="s">
        <v>35</v>
      </c>
      <c r="E117" s="29"/>
      <c r="F117" s="29"/>
      <c r="G117" s="29"/>
      <c r="H117" s="29"/>
      <c r="I117" s="29"/>
      <c r="J117" s="29"/>
      <c r="K117" s="29"/>
      <c r="L117" s="29"/>
      <c r="M117" s="29"/>
    </row>
    <row r="119" spans="4:13" x14ac:dyDescent="0.3">
      <c r="D119" t="s">
        <v>36</v>
      </c>
      <c r="E119">
        <f>+L114/(0.09-0.03)</f>
        <v>14.371708296168633</v>
      </c>
    </row>
    <row r="120" spans="4:13" x14ac:dyDescent="0.3">
      <c r="D120" t="s">
        <v>37</v>
      </c>
      <c r="E120">
        <f>+E119/1.09^6</f>
        <v>8.5693800884443192</v>
      </c>
    </row>
    <row r="121" spans="4:13" ht="15" thickBot="1" x14ac:dyDescent="0.35">
      <c r="D121" t="s">
        <v>38</v>
      </c>
      <c r="E121" s="30">
        <f>+NPV(0.09,F114:K114)</f>
        <v>-3.8275270605112244</v>
      </c>
    </row>
    <row r="122" spans="4:13" ht="15" thickBot="1" x14ac:dyDescent="0.35">
      <c r="D122" s="31" t="s">
        <v>20</v>
      </c>
      <c r="E122" s="32">
        <f>+E121+E120+E114</f>
        <v>2.7418530279330948</v>
      </c>
      <c r="F122" s="29" t="s">
        <v>39</v>
      </c>
      <c r="G122" s="29"/>
      <c r="H122" s="29"/>
      <c r="I122" s="29"/>
      <c r="J122" s="29"/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FERNANDEZ MOLERO</dc:creator>
  <cp:lastModifiedBy>Federico Lopez</cp:lastModifiedBy>
  <dcterms:created xsi:type="dcterms:W3CDTF">2020-05-21T22:08:21Z</dcterms:created>
  <dcterms:modified xsi:type="dcterms:W3CDTF">2022-11-25T14:35:08Z</dcterms:modified>
</cp:coreProperties>
</file>