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5 Cuatrimestre/Mercado de Capitales/PORTFOLIO/"/>
    </mc:Choice>
  </mc:AlternateContent>
  <xr:revisionPtr revIDLastSave="91" documentId="8_{D53B5D89-4145-4FF0-9D98-11AE385092F1}" xr6:coauthVersionLast="47" xr6:coauthVersionMax="47" xr10:uidLastSave="{3079B26D-7D19-9143-912D-58C7DD388A7E}"/>
  <bookViews>
    <workbookView xWindow="0" yWindow="880" windowWidth="26620" windowHeight="18580" tabRatio="835" firstSheet="2" activeTab="7" xr2:uid="{00000000-000D-0000-FFFF-FFFF00000000}"/>
  </bookViews>
  <sheets>
    <sheet name="Reglas" sheetId="1" r:id="rId1"/>
    <sheet name="Ejemplo Series 1" sheetId="2" r:id="rId2"/>
    <sheet name="Ejemplo Series 2" sheetId="3" r:id="rId3"/>
    <sheet name="Ejemplo Portfolio 1" sheetId="5" r:id="rId4"/>
    <sheet name="Ejemplo Porfolio 2 SINTETICO" sheetId="6" r:id="rId5"/>
    <sheet name="Ejemplo Portfolio 3 activos" sheetId="7" r:id="rId6"/>
    <sheet name="Comb. 2 Activos Riegosos" sheetId="10" r:id="rId7"/>
    <sheet name="Comb. 2 Activos Riesgosos flex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7" i="2" s="1"/>
  <c r="H12" i="2"/>
  <c r="L7" i="3"/>
  <c r="K7" i="3"/>
  <c r="K6" i="2"/>
  <c r="I4" i="2"/>
  <c r="K6" i="12" l="1"/>
  <c r="C18" i="12" l="1"/>
  <c r="D17" i="12"/>
  <c r="I10" i="12"/>
  <c r="N9" i="12"/>
  <c r="I9" i="12"/>
  <c r="F17" i="12" l="1"/>
  <c r="C19" i="12"/>
  <c r="O9" i="12"/>
  <c r="Q9" i="12" s="1"/>
  <c r="D18" i="12"/>
  <c r="F18" i="12" s="1"/>
  <c r="E17" i="12"/>
  <c r="E18" i="12"/>
  <c r="C20" i="12" l="1"/>
  <c r="D19" i="12"/>
  <c r="F19" i="12" s="1"/>
  <c r="P9" i="12"/>
  <c r="E19" i="12" l="1"/>
  <c r="F20" i="12"/>
  <c r="C21" i="12"/>
  <c r="E20" i="12"/>
  <c r="D20" i="12"/>
  <c r="C22" i="12" l="1"/>
  <c r="D21" i="12"/>
  <c r="F21" i="12" s="1"/>
  <c r="D22" i="12" l="1"/>
  <c r="F22" i="12" s="1"/>
  <c r="C23" i="12"/>
  <c r="E21" i="12"/>
  <c r="C24" i="12" l="1"/>
  <c r="D23" i="12"/>
  <c r="F23" i="12" s="1"/>
  <c r="E22" i="12"/>
  <c r="E23" i="12" l="1"/>
  <c r="F24" i="12"/>
  <c r="E24" i="12"/>
  <c r="C25" i="12"/>
  <c r="D24" i="12"/>
  <c r="D25" i="12" l="1"/>
  <c r="F25" i="12" s="1"/>
  <c r="C26" i="12"/>
  <c r="C27" i="12" l="1"/>
  <c r="D26" i="12"/>
  <c r="F26" i="12" s="1"/>
  <c r="E25" i="12"/>
  <c r="E26" i="12" l="1"/>
  <c r="F27" i="12"/>
  <c r="E27" i="12"/>
  <c r="C28" i="12"/>
  <c r="D27" i="12"/>
  <c r="D28" i="12" l="1"/>
  <c r="F28" i="12" s="1"/>
  <c r="C29" i="12"/>
  <c r="C30" i="12" l="1"/>
  <c r="D29" i="12"/>
  <c r="F29" i="12" s="1"/>
  <c r="E28" i="12"/>
  <c r="E29" i="12" l="1"/>
  <c r="E30" i="12"/>
  <c r="C31" i="12"/>
  <c r="D30" i="12"/>
  <c r="F30" i="12" s="1"/>
  <c r="D31" i="12" l="1"/>
  <c r="F31" i="12" s="1"/>
  <c r="C32" i="12"/>
  <c r="C33" i="12" l="1"/>
  <c r="D32" i="12"/>
  <c r="F32" i="12" s="1"/>
  <c r="E31" i="12"/>
  <c r="E32" i="12" l="1"/>
  <c r="F33" i="12"/>
  <c r="E33" i="12"/>
  <c r="C34" i="12"/>
  <c r="D33" i="12"/>
  <c r="D34" i="12" l="1"/>
  <c r="F34" i="12" s="1"/>
  <c r="C35" i="12"/>
  <c r="C36" i="12" l="1"/>
  <c r="D35" i="12"/>
  <c r="F35" i="12" s="1"/>
  <c r="E34" i="12"/>
  <c r="E35" i="12" l="1"/>
  <c r="D36" i="12"/>
  <c r="F36" i="12" s="1"/>
  <c r="C37" i="12"/>
  <c r="E36" i="12" l="1"/>
  <c r="F37" i="12"/>
  <c r="E37" i="12"/>
  <c r="C38" i="12"/>
  <c r="D37" i="12"/>
  <c r="C39" i="12" l="1"/>
  <c r="D38" i="12"/>
  <c r="F38" i="12" s="1"/>
  <c r="E38" i="12" l="1"/>
  <c r="D39" i="12"/>
  <c r="F39" i="12" s="1"/>
  <c r="C40" i="12"/>
  <c r="E39" i="12" l="1"/>
  <c r="F40" i="12"/>
  <c r="E40" i="12"/>
  <c r="C41" i="12"/>
  <c r="D40" i="12"/>
  <c r="C42" i="12" l="1"/>
  <c r="D41" i="12"/>
  <c r="F41" i="12" s="1"/>
  <c r="E41" i="12" l="1"/>
  <c r="D42" i="12"/>
  <c r="F42" i="12" s="1"/>
  <c r="C43" i="12"/>
  <c r="E42" i="12" l="1"/>
  <c r="E43" i="12"/>
  <c r="C44" i="12"/>
  <c r="D43" i="12"/>
  <c r="F43" i="12" s="1"/>
  <c r="C45" i="12" l="1"/>
  <c r="D44" i="12"/>
  <c r="F44" i="12" s="1"/>
  <c r="E44" i="12" l="1"/>
  <c r="D45" i="12"/>
  <c r="F45" i="12" s="1"/>
  <c r="C46" i="12"/>
  <c r="E45" i="12" l="1"/>
  <c r="E46" i="12"/>
  <c r="C47" i="12"/>
  <c r="D46" i="12"/>
  <c r="F46" i="12" s="1"/>
  <c r="D47" i="12" l="1"/>
  <c r="F47" i="12" s="1"/>
  <c r="E47" i="12" l="1"/>
  <c r="I9" i="10" l="1"/>
  <c r="B4" i="7"/>
  <c r="B8" i="6"/>
  <c r="D17" i="10" l="1"/>
  <c r="F17" i="10" l="1"/>
  <c r="E17" i="10"/>
  <c r="C18" i="10"/>
  <c r="I10" i="10"/>
  <c r="D14" i="7"/>
  <c r="E13" i="7"/>
  <c r="E14" i="7"/>
  <c r="E12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19" i="7"/>
  <c r="D18" i="10" l="1"/>
  <c r="F18" i="10" s="1"/>
  <c r="C19" i="10"/>
  <c r="I6" i="7"/>
  <c r="K6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E5" i="6"/>
  <c r="E4" i="6"/>
  <c r="E11" i="5"/>
  <c r="E1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D19" i="10" l="1"/>
  <c r="F19" i="10" s="1"/>
  <c r="C20" i="10"/>
  <c r="E18" i="10"/>
  <c r="K7" i="5"/>
  <c r="K20" i="7"/>
  <c r="K22" i="7"/>
  <c r="K24" i="7"/>
  <c r="K26" i="7"/>
  <c r="K28" i="7"/>
  <c r="K30" i="7"/>
  <c r="K32" i="7"/>
  <c r="K34" i="7"/>
  <c r="K36" i="7"/>
  <c r="K38" i="7"/>
  <c r="K40" i="7"/>
  <c r="K42" i="7"/>
  <c r="J12" i="6"/>
  <c r="J14" i="6"/>
  <c r="J16" i="6"/>
  <c r="J18" i="6"/>
  <c r="J20" i="6"/>
  <c r="J22" i="6"/>
  <c r="J24" i="6"/>
  <c r="J26" i="6"/>
  <c r="J28" i="6"/>
  <c r="J30" i="6"/>
  <c r="J32" i="6"/>
  <c r="J34" i="6"/>
  <c r="K19" i="7"/>
  <c r="K21" i="7"/>
  <c r="K23" i="7"/>
  <c r="K25" i="7"/>
  <c r="K27" i="7"/>
  <c r="K29" i="7"/>
  <c r="K31" i="7"/>
  <c r="K33" i="7"/>
  <c r="K35" i="7"/>
  <c r="K37" i="7"/>
  <c r="K39" i="7"/>
  <c r="K41" i="7"/>
  <c r="K4" i="5"/>
  <c r="K6" i="5"/>
  <c r="I4" i="5"/>
  <c r="J35" i="5" s="1"/>
  <c r="J15" i="2"/>
  <c r="I5" i="3"/>
  <c r="K15" i="3" s="1"/>
  <c r="I5" i="5"/>
  <c r="K5" i="5"/>
  <c r="J13" i="6"/>
  <c r="J15" i="6"/>
  <c r="J17" i="6"/>
  <c r="J19" i="6"/>
  <c r="J21" i="6"/>
  <c r="J23" i="6"/>
  <c r="J25" i="6"/>
  <c r="J27" i="6"/>
  <c r="J29" i="6"/>
  <c r="J31" i="6"/>
  <c r="J33" i="6"/>
  <c r="J35" i="6"/>
  <c r="M9" i="7"/>
  <c r="M6" i="7"/>
  <c r="M5" i="7"/>
  <c r="M8" i="7"/>
  <c r="M7" i="7"/>
  <c r="K5" i="7"/>
  <c r="I5" i="7"/>
  <c r="K4" i="7"/>
  <c r="M4" i="7"/>
  <c r="I4" i="7"/>
  <c r="I5" i="2"/>
  <c r="K32" i="2" s="1"/>
  <c r="K5" i="3"/>
  <c r="I4" i="3"/>
  <c r="J14" i="3" s="1"/>
  <c r="K6" i="3"/>
  <c r="K4" i="3"/>
  <c r="H109" i="1"/>
  <c r="I109" i="1" s="1"/>
  <c r="H111" i="1"/>
  <c r="I111" i="1" s="1"/>
  <c r="H108" i="1"/>
  <c r="I108" i="1" s="1"/>
  <c r="F110" i="1"/>
  <c r="E110" i="1"/>
  <c r="D110" i="1"/>
  <c r="F91" i="1"/>
  <c r="E91" i="1"/>
  <c r="D91" i="1"/>
  <c r="H90" i="1"/>
  <c r="I90" i="1" s="1"/>
  <c r="H92" i="1"/>
  <c r="I92" i="1" s="1"/>
  <c r="H89" i="1"/>
  <c r="I89" i="1" s="1"/>
  <c r="E65" i="1"/>
  <c r="F65" i="1"/>
  <c r="D65" i="1"/>
  <c r="H64" i="1"/>
  <c r="I64" i="1" s="1"/>
  <c r="H63" i="1"/>
  <c r="I63" i="1" s="1"/>
  <c r="H148" i="1"/>
  <c r="I148" i="1" s="1"/>
  <c r="H150" i="1"/>
  <c r="I150" i="1" s="1"/>
  <c r="H147" i="1"/>
  <c r="I147" i="1" s="1"/>
  <c r="E151" i="1"/>
  <c r="F151" i="1"/>
  <c r="D151" i="1"/>
  <c r="H151" i="1" s="1"/>
  <c r="I151" i="1" s="1"/>
  <c r="E149" i="1"/>
  <c r="F149" i="1"/>
  <c r="D149" i="1"/>
  <c r="K18" i="3" l="1"/>
  <c r="K19" i="3"/>
  <c r="D163" i="1"/>
  <c r="C21" i="10"/>
  <c r="D20" i="10"/>
  <c r="E20" i="10" s="1"/>
  <c r="F20" i="10"/>
  <c r="E19" i="10"/>
  <c r="J19" i="2"/>
  <c r="J14" i="2"/>
  <c r="J34" i="2"/>
  <c r="J28" i="2"/>
  <c r="J35" i="2"/>
  <c r="J30" i="2"/>
  <c r="J20" i="2"/>
  <c r="J18" i="2"/>
  <c r="J32" i="2"/>
  <c r="J23" i="2"/>
  <c r="J12" i="2"/>
  <c r="J22" i="2"/>
  <c r="J16" i="2"/>
  <c r="J31" i="2"/>
  <c r="J17" i="2"/>
  <c r="J13" i="2"/>
  <c r="J33" i="2"/>
  <c r="J21" i="2"/>
  <c r="K24" i="3"/>
  <c r="J26" i="2"/>
  <c r="K14" i="3"/>
  <c r="J24" i="2"/>
  <c r="J25" i="2"/>
  <c r="J29" i="2"/>
  <c r="J27" i="2"/>
  <c r="J33" i="3"/>
  <c r="J24" i="5"/>
  <c r="L13" i="3"/>
  <c r="L12" i="7"/>
  <c r="J27" i="3"/>
  <c r="L20" i="3"/>
  <c r="L13" i="7"/>
  <c r="J29" i="5"/>
  <c r="L22" i="5"/>
  <c r="I12" i="7"/>
  <c r="L21" i="7" s="1"/>
  <c r="I13" i="7"/>
  <c r="J18" i="5"/>
  <c r="J23" i="5"/>
  <c r="J38" i="5"/>
  <c r="J32" i="5"/>
  <c r="J36" i="5"/>
  <c r="J22" i="5"/>
  <c r="J31" i="5"/>
  <c r="J19" i="5"/>
  <c r="J20" i="5"/>
  <c r="J27" i="5"/>
  <c r="J25" i="5"/>
  <c r="J28" i="5"/>
  <c r="J37" i="5"/>
  <c r="J21" i="5"/>
  <c r="J26" i="5"/>
  <c r="J39" i="5"/>
  <c r="J16" i="5"/>
  <c r="J33" i="5"/>
  <c r="J17" i="5"/>
  <c r="J34" i="5"/>
  <c r="J30" i="5"/>
  <c r="K13" i="2"/>
  <c r="K35" i="3"/>
  <c r="L29" i="3"/>
  <c r="L18" i="3"/>
  <c r="J20" i="3"/>
  <c r="J31" i="3"/>
  <c r="K21" i="2"/>
  <c r="K28" i="2"/>
  <c r="K20" i="3"/>
  <c r="K34" i="3"/>
  <c r="K14" i="2"/>
  <c r="I4" i="6"/>
  <c r="K32" i="6" s="1"/>
  <c r="K17" i="3"/>
  <c r="K29" i="3"/>
  <c r="K21" i="3"/>
  <c r="L12" i="3"/>
  <c r="L15" i="3"/>
  <c r="L34" i="3"/>
  <c r="J12" i="3"/>
  <c r="J23" i="3"/>
  <c r="K29" i="2"/>
  <c r="K32" i="3"/>
  <c r="K16" i="3"/>
  <c r="K22" i="3"/>
  <c r="K30" i="2"/>
  <c r="K31" i="3"/>
  <c r="K33" i="3"/>
  <c r="K13" i="3"/>
  <c r="K23" i="3"/>
  <c r="K12" i="3"/>
  <c r="L35" i="3"/>
  <c r="J25" i="3"/>
  <c r="J15" i="3"/>
  <c r="K28" i="3"/>
  <c r="K26" i="3"/>
  <c r="K30" i="3"/>
  <c r="K23" i="2"/>
  <c r="L28" i="3"/>
  <c r="K25" i="3"/>
  <c r="K27" i="3"/>
  <c r="J21" i="3"/>
  <c r="L22" i="3"/>
  <c r="J24" i="3"/>
  <c r="L19" i="3"/>
  <c r="J29" i="3"/>
  <c r="L21" i="3"/>
  <c r="J13" i="3"/>
  <c r="K25" i="2"/>
  <c r="K18" i="2"/>
  <c r="K34" i="2"/>
  <c r="K27" i="2"/>
  <c r="K16" i="2"/>
  <c r="J34" i="3"/>
  <c r="J26" i="3"/>
  <c r="J18" i="3"/>
  <c r="L26" i="3"/>
  <c r="J28" i="3"/>
  <c r="L31" i="3"/>
  <c r="J35" i="3"/>
  <c r="L27" i="3"/>
  <c r="J19" i="3"/>
  <c r="K12" i="2"/>
  <c r="K22" i="2"/>
  <c r="K15" i="2"/>
  <c r="K31" i="2"/>
  <c r="K24" i="2"/>
  <c r="L32" i="3"/>
  <c r="L24" i="3"/>
  <c r="L16" i="3"/>
  <c r="L23" i="3"/>
  <c r="L14" i="3"/>
  <c r="L30" i="3"/>
  <c r="J16" i="3"/>
  <c r="J32" i="3"/>
  <c r="J17" i="3"/>
  <c r="L33" i="3"/>
  <c r="L25" i="3"/>
  <c r="L17" i="3"/>
  <c r="K17" i="2"/>
  <c r="K33" i="2"/>
  <c r="K20" i="2"/>
  <c r="K26" i="2"/>
  <c r="K19" i="2"/>
  <c r="K35" i="2"/>
  <c r="J30" i="3"/>
  <c r="J22" i="3"/>
  <c r="I10" i="5"/>
  <c r="L33" i="5"/>
  <c r="L37" i="5"/>
  <c r="L17" i="5"/>
  <c r="L16" i="5"/>
  <c r="K27" i="5"/>
  <c r="L35" i="5"/>
  <c r="L27" i="5"/>
  <c r="L19" i="5"/>
  <c r="K32" i="5"/>
  <c r="K16" i="5"/>
  <c r="L28" i="5"/>
  <c r="L32" i="5"/>
  <c r="K39" i="5"/>
  <c r="K23" i="5"/>
  <c r="K28" i="5"/>
  <c r="L38" i="5"/>
  <c r="L26" i="5"/>
  <c r="L25" i="5"/>
  <c r="L29" i="5"/>
  <c r="L24" i="5"/>
  <c r="K35" i="5"/>
  <c r="K19" i="5"/>
  <c r="L39" i="5"/>
  <c r="L31" i="5"/>
  <c r="L23" i="5"/>
  <c r="L30" i="5"/>
  <c r="K24" i="5"/>
  <c r="L36" i="5"/>
  <c r="K38" i="5"/>
  <c r="K34" i="5"/>
  <c r="K30" i="5"/>
  <c r="K22" i="5"/>
  <c r="K18" i="5"/>
  <c r="K33" i="5"/>
  <c r="K25" i="5"/>
  <c r="K21" i="5"/>
  <c r="K17" i="5"/>
  <c r="K26" i="5"/>
  <c r="K37" i="5"/>
  <c r="K29" i="5"/>
  <c r="L21" i="5"/>
  <c r="L20" i="5"/>
  <c r="K31" i="5"/>
  <c r="L34" i="5"/>
  <c r="K36" i="5"/>
  <c r="K20" i="5"/>
  <c r="L18" i="5"/>
  <c r="L16" i="2"/>
  <c r="L28" i="2"/>
  <c r="L12" i="2"/>
  <c r="L20" i="2"/>
  <c r="L35" i="2"/>
  <c r="L24" i="2"/>
  <c r="L32" i="2"/>
  <c r="L33" i="2"/>
  <c r="L26" i="2"/>
  <c r="L14" i="2"/>
  <c r="L21" i="2"/>
  <c r="L31" i="2"/>
  <c r="L23" i="2"/>
  <c r="L19" i="2"/>
  <c r="L13" i="2"/>
  <c r="L29" i="2"/>
  <c r="L34" i="2"/>
  <c r="L18" i="2"/>
  <c r="L17" i="2"/>
  <c r="L22" i="2"/>
  <c r="L15" i="2"/>
  <c r="L25" i="2"/>
  <c r="L30" i="2"/>
  <c r="L27" i="2"/>
  <c r="H91" i="1"/>
  <c r="I91" i="1" s="1"/>
  <c r="H149" i="1"/>
  <c r="I149" i="1" s="1"/>
  <c r="H110" i="1"/>
  <c r="I110" i="1" s="1"/>
  <c r="H65" i="1"/>
  <c r="I65" i="1" s="1"/>
  <c r="E112" i="1"/>
  <c r="F112" i="1"/>
  <c r="D112" i="1"/>
  <c r="C22" i="10" l="1"/>
  <c r="D21" i="10"/>
  <c r="F21" i="10" s="1"/>
  <c r="L27" i="7"/>
  <c r="L31" i="7"/>
  <c r="L25" i="7"/>
  <c r="L34" i="7"/>
  <c r="L30" i="7"/>
  <c r="L39" i="7"/>
  <c r="L26" i="7"/>
  <c r="L37" i="7"/>
  <c r="L38" i="7"/>
  <c r="L22" i="7"/>
  <c r="L41" i="7"/>
  <c r="L42" i="7"/>
  <c r="L36" i="7"/>
  <c r="L19" i="7"/>
  <c r="L28" i="7"/>
  <c r="L32" i="7"/>
  <c r="L23" i="7"/>
  <c r="L35" i="7"/>
  <c r="L20" i="7"/>
  <c r="L33" i="7"/>
  <c r="L29" i="7"/>
  <c r="L40" i="7"/>
  <c r="L24" i="7"/>
  <c r="K16" i="6"/>
  <c r="K18" i="6"/>
  <c r="K28" i="6"/>
  <c r="K26" i="6"/>
  <c r="K21" i="6"/>
  <c r="K12" i="6"/>
  <c r="K20" i="6"/>
  <c r="K30" i="6"/>
  <c r="K17" i="6"/>
  <c r="K25" i="6"/>
  <c r="K33" i="6"/>
  <c r="K14" i="6"/>
  <c r="K29" i="6"/>
  <c r="K22" i="6"/>
  <c r="K34" i="6"/>
  <c r="K19" i="6"/>
  <c r="K27" i="6"/>
  <c r="K35" i="6"/>
  <c r="K13" i="6"/>
  <c r="K15" i="6"/>
  <c r="K23" i="6"/>
  <c r="K24" i="6"/>
  <c r="K31" i="6"/>
  <c r="K5" i="2"/>
  <c r="I11" i="5"/>
  <c r="H112" i="1"/>
  <c r="I112" i="1" s="1"/>
  <c r="D121" i="1"/>
  <c r="E121" i="1" s="1"/>
  <c r="D23" i="1"/>
  <c r="L4" i="6" l="1"/>
  <c r="E21" i="10"/>
  <c r="C23" i="10"/>
  <c r="F22" i="10"/>
  <c r="E22" i="10"/>
  <c r="D22" i="10"/>
  <c r="K33" i="1"/>
  <c r="D56" i="1"/>
  <c r="D119" i="1"/>
  <c r="D33" i="1"/>
  <c r="D41" i="1" s="1"/>
  <c r="C24" i="10" l="1"/>
  <c r="D23" i="10"/>
  <c r="F23" i="10" s="1"/>
  <c r="D120" i="1"/>
  <c r="D75" i="1"/>
  <c r="E119" i="1"/>
  <c r="D73" i="1"/>
  <c r="E120" i="1" s="1"/>
  <c r="E23" i="10" l="1"/>
  <c r="C25" i="10"/>
  <c r="F24" i="10"/>
  <c r="E24" i="10"/>
  <c r="D24" i="10"/>
  <c r="D25" i="10" l="1"/>
  <c r="F25" i="10" s="1"/>
  <c r="C26" i="10"/>
  <c r="D26" i="10" l="1"/>
  <c r="F26" i="10" s="1"/>
  <c r="C27" i="10"/>
  <c r="E25" i="10"/>
  <c r="D27" i="10" l="1"/>
  <c r="F27" i="10" s="1"/>
  <c r="C28" i="10"/>
  <c r="E26" i="10"/>
  <c r="D28" i="10" l="1"/>
  <c r="E28" i="10" s="1"/>
  <c r="F28" i="10"/>
  <c r="C29" i="10"/>
  <c r="E27" i="10"/>
  <c r="D29" i="10" l="1"/>
  <c r="F29" i="10" s="1"/>
  <c r="C30" i="10"/>
  <c r="D30" i="10" l="1"/>
  <c r="F30" i="10" s="1"/>
  <c r="C31" i="10"/>
  <c r="E29" i="10"/>
  <c r="D31" i="10" l="1"/>
  <c r="F31" i="10" s="1"/>
  <c r="C32" i="10"/>
  <c r="E30" i="10"/>
  <c r="D32" i="10" l="1"/>
  <c r="F32" i="10" s="1"/>
  <c r="C33" i="10"/>
  <c r="E31" i="10"/>
  <c r="E32" i="10" l="1"/>
  <c r="F33" i="10"/>
  <c r="E33" i="10"/>
  <c r="D33" i="10"/>
  <c r="C34" i="10"/>
  <c r="D34" i="10" l="1"/>
  <c r="F34" i="10" s="1"/>
  <c r="C35" i="10"/>
  <c r="C36" i="10" l="1"/>
  <c r="D35" i="10"/>
  <c r="F35" i="10"/>
  <c r="E35" i="10"/>
  <c r="E34" i="10"/>
  <c r="C37" i="10" l="1"/>
  <c r="D36" i="10"/>
  <c r="E36" i="10"/>
  <c r="F36" i="10"/>
  <c r="C38" i="10" l="1"/>
  <c r="D37" i="10"/>
  <c r="F37" i="10" s="1"/>
  <c r="E37" i="10" l="1"/>
  <c r="D38" i="10"/>
  <c r="E38" i="10" s="1"/>
  <c r="C39" i="10"/>
  <c r="F38" i="10"/>
  <c r="D39" i="10" l="1"/>
  <c r="E39" i="10" s="1"/>
  <c r="C40" i="10"/>
  <c r="F39" i="10"/>
  <c r="C41" i="10" l="1"/>
  <c r="D40" i="10"/>
  <c r="E40" i="10" s="1"/>
  <c r="F40" i="10"/>
  <c r="D41" i="10" l="1"/>
  <c r="F41" i="10" s="1"/>
  <c r="C42" i="10"/>
  <c r="C43" i="10" l="1"/>
  <c r="D42" i="10"/>
  <c r="E42" i="10"/>
  <c r="F42" i="10"/>
  <c r="E41" i="10"/>
  <c r="C44" i="10" l="1"/>
  <c r="D43" i="10"/>
  <c r="E43" i="10" s="1"/>
  <c r="F43" i="10"/>
  <c r="C45" i="10" l="1"/>
  <c r="D44" i="10"/>
  <c r="E44" i="10" s="1"/>
  <c r="F44" i="10"/>
  <c r="C46" i="10" l="1"/>
  <c r="D45" i="10"/>
  <c r="F45" i="10" s="1"/>
  <c r="E45" i="10" l="1"/>
  <c r="C47" i="10"/>
  <c r="D46" i="10"/>
  <c r="E46" i="10" s="1"/>
  <c r="F46" i="10" l="1"/>
  <c r="D47" i="10"/>
  <c r="E47" i="10"/>
  <c r="F47" i="10"/>
</calcChain>
</file>

<file path=xl/sharedStrings.xml><?xml version="1.0" encoding="utf-8"?>
<sst xmlns="http://schemas.openxmlformats.org/spreadsheetml/2006/main" count="170" uniqueCount="76">
  <si>
    <t>Mercado Bursátil alcista</t>
  </si>
  <si>
    <t>Mercado Bursátil Bajista</t>
  </si>
  <si>
    <t>Año normal para Azucar</t>
  </si>
  <si>
    <t>Año anormal para Azucar</t>
  </si>
  <si>
    <t>Crisis de Azucar</t>
  </si>
  <si>
    <t>Probabilidad</t>
  </si>
  <si>
    <t>Rentabilidad</t>
  </si>
  <si>
    <t>Regla 1</t>
  </si>
  <si>
    <t>Regla 2</t>
  </si>
  <si>
    <t>Si no estuviera al cuadrado,</t>
  </si>
  <si>
    <t>En desvío estandar,</t>
  </si>
  <si>
    <t>Regla 3</t>
  </si>
  <si>
    <t>El valor de la acción Best Candy es sensible al precio del azúcar. En los años en que el azúcar</t>
  </si>
  <si>
    <t>los cultivos son bajos, el precio del azúcar aumenta significativamente y Best Candy sufre pérdidas considerables.</t>
  </si>
  <si>
    <t>Podemos describir las fortunas de Best Candy utilizando el siguiente análisis de escenarios:</t>
  </si>
  <si>
    <t>Ejemplo:</t>
  </si>
  <si>
    <t>Regla 4</t>
  </si>
  <si>
    <t>de su dinero en Best Candy</t>
  </si>
  <si>
    <t xml:space="preserve">Humanex es una compañía que tiene Invertido el:  </t>
  </si>
  <si>
    <t>en letras del Tesoro, que tiene un rendimiento de:</t>
  </si>
  <si>
    <t>Un análisis de escenario de las acciones de SugarKane se ve así:</t>
  </si>
  <si>
    <t>una gran empresa de azúcar hawaiana, cosecha beneficios inusuales y su precio de las acciones se dispara.</t>
  </si>
  <si>
    <t xml:space="preserve">SugarKane ofrece un excelente potencial de cobertura para los tenedores de las mejores acciones debido a su retorno es más alta </t>
  </si>
  <si>
    <t>precisamente cuando el retorno de Best es el más bajo, durante una crisis de azúcar.</t>
  </si>
  <si>
    <t>Regla 5</t>
  </si>
  <si>
    <t>Resumen de la rentabilidad y el riesgo de las tres alternativas :</t>
  </si>
  <si>
    <t>Retorno Esperdo</t>
  </si>
  <si>
    <t>Desvío Estandar</t>
  </si>
  <si>
    <t>Todo en Best Candy</t>
  </si>
  <si>
    <t>50% Best Candy y 50% T Bills</t>
  </si>
  <si>
    <t>50% Best Candy y 50% Sugar Kane</t>
  </si>
  <si>
    <t>=(C91*(C92-D101)^2+D91*(D92-D101)^2+E91*(E92-D101)^2)^(1/2)</t>
  </si>
  <si>
    <t>Para cuantificar el potencial de cobertura o diversificación de un activo, utilizamos los covarianza y correlación.</t>
  </si>
  <si>
    <t xml:space="preserve">La cartera de cobertura con SugarKane domina claramente la simple estrategia de reducción de riesgos de invertir en T-bills seguros. </t>
  </si>
  <si>
    <t>Tiene mayor expectativa retorno y desviación estándar inferior a la mitad de la cartera de T-bill.</t>
  </si>
  <si>
    <t>La covarianza mide cuánto los rendimientos de dos los activos se mueven en tándem.</t>
  </si>
  <si>
    <t>Para medir la covarianza, miramos las "sorpresas" de retorno, o las desviaciones de las expectativas valor, en cada escenario.</t>
  </si>
  <si>
    <t>&gt; 0 si las dos acciones se mueven juntas en el escenario</t>
  </si>
  <si>
    <t>Entonces una buena medida sería ver que pasa en promedio en todos los escenarios</t>
  </si>
  <si>
    <t>Cerca de 0 no habría relación</t>
  </si>
  <si>
    <t>Retorno Esperado</t>
  </si>
  <si>
    <t>Best</t>
  </si>
  <si>
    <t>T Bills</t>
  </si>
  <si>
    <t>Sugar</t>
  </si>
  <si>
    <t>0,5 Best+0,5 Sugar</t>
  </si>
  <si>
    <t>0,5 Best+0,5 Tbills</t>
  </si>
  <si>
    <t>Si tuviera una serie de rendimiento en distintos t,</t>
  </si>
  <si>
    <t>Una estadística más fácil de interpretar que la covarianza es el coeficiente de correlación</t>
  </si>
  <si>
    <t>Un coeficiente de correlación de -1 indica una relación lineal negativa perfecta</t>
  </si>
  <si>
    <t>Un coeficiente de correlación de +1 indica una relación lineal positiva perfecta.</t>
  </si>
  <si>
    <t>Un coeficiente de correlación de 0 indica ausencia de relación lineal.</t>
  </si>
  <si>
    <t xml:space="preserve">destaca el efecto de la covarianza sobre el riesgo de la cartera. </t>
  </si>
  <si>
    <t xml:space="preserve">Una covarianza positiva  aumenta la varianza de la cartera </t>
  </si>
  <si>
    <t>y una covarianza negativa actúa para reducir el riesgo.</t>
  </si>
  <si>
    <t xml:space="preserve">Después de Investigar la industria del azucar y del caramelo, se descubre que durante los años de escasez de azúcar, SugarKane,  </t>
  </si>
  <si>
    <t>Supongamos que invertimos de este modo:</t>
  </si>
  <si>
    <t>de su dinero en Sugar Kane</t>
  </si>
  <si>
    <t>&lt; 0 si las dos acciones se mueven en forma opuesta en el escenario</t>
  </si>
  <si>
    <t>Timestamp</t>
  </si>
  <si>
    <t>Trade Close</t>
  </si>
  <si>
    <t>Portfolio:</t>
  </si>
  <si>
    <t>Activos Individuales</t>
  </si>
  <si>
    <t>Matrix de varianzas y Covarianzas</t>
  </si>
  <si>
    <t>Retorno esperado, varianzas covarianzas de Activos Individuales - Fórmulas propias</t>
  </si>
  <si>
    <t>Retorno esperado, varianzas covarianzas de Activos Individuales - Fórmulas excel</t>
  </si>
  <si>
    <t>Retorno esperado, varianzas covarianzas de portfolios - Fórmulas excel</t>
  </si>
  <si>
    <t xml:space="preserve">Retorno esperado, varianzas covarianzas de portfolios en portfolio sintético - Fórmulas excel </t>
  </si>
  <si>
    <t>Verificación en Portfolio Sintético:</t>
  </si>
  <si>
    <t>Retorno esperado, varianzas covarianzas de portfolios en portfolio de tres activos</t>
  </si>
  <si>
    <t>Combinación de dos activos riesgosos</t>
  </si>
  <si>
    <t>Activos:</t>
  </si>
  <si>
    <t>LEDE.BA</t>
  </si>
  <si>
    <t>YPFD.BA</t>
  </si>
  <si>
    <t>BBAR.BA</t>
  </si>
  <si>
    <t xml:space="preserve">Cambio en </t>
  </si>
  <si>
    <t>Portfolio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</si>
</sst>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* #,##0.00_-;\-* #,##0.00_-;_-* &quot;-&quot;??_-;_-@_-"/>
    <numFmt numFmtId="165" formatCode="_-* #,##0.0000_-;\-* #,##0.0000_-;_-* &quot;-&quot;??_-;_-@_-"/>
    <numFmt numFmtId="166" formatCode="_-* #,##0.000_-;\-* #,##0.000_-;_-* &quot;-&quot;????_-;_-@_-"/>
    <numFmt numFmtId="167" formatCode="0.000%"/>
    <numFmt numFmtId="168" formatCode="_-* #,##0.00000_-;\-* #,##0.00000_-;_-* &quot;-&quot;??_-;_-@_-"/>
    <numFmt numFmtId="169" formatCode="0.0%"/>
    <numFmt numFmtId="170" formatCode="_-* #,##0.00000_-;\-* #,##0.00000_-;_-* &quot;-&quot;???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Inherit"/>
    </font>
    <font>
      <sz val="11"/>
      <color rgb="FF212121"/>
      <name val="Inherit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9" fontId="0" fillId="2" borderId="0" xfId="0" applyNumberFormat="1" applyFill="1"/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9" fontId="0" fillId="2" borderId="0" xfId="2" applyFont="1" applyFill="1"/>
    <xf numFmtId="9" fontId="0" fillId="2" borderId="0" xfId="2" applyFont="1" applyFill="1" applyAlignment="1">
      <alignment horizontal="left"/>
    </xf>
    <xf numFmtId="165" fontId="0" fillId="2" borderId="0" xfId="1" applyNumberFormat="1" applyFont="1" applyFill="1"/>
    <xf numFmtId="0" fontId="1" fillId="2" borderId="0" xfId="0" applyFont="1" applyFill="1" applyAlignment="1">
      <alignment horizontal="left"/>
    </xf>
    <xf numFmtId="10" fontId="0" fillId="2" borderId="0" xfId="2" applyNumberFormat="1" applyFont="1" applyFill="1"/>
    <xf numFmtId="49" fontId="0" fillId="2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vertical="center" textRotation="90" wrapText="1"/>
    </xf>
    <xf numFmtId="0" fontId="0" fillId="2" borderId="0" xfId="0" applyFill="1" applyAlignment="1">
      <alignment vertical="center" textRotation="90"/>
    </xf>
    <xf numFmtId="0" fontId="2" fillId="3" borderId="2" xfId="0" applyFont="1" applyFill="1" applyBorder="1" applyAlignment="1">
      <alignment horizontal="center" vertical="center" wrapText="1"/>
    </xf>
    <xf numFmtId="0" fontId="7" fillId="2" borderId="0" xfId="0" applyFont="1" applyFill="1"/>
    <xf numFmtId="167" fontId="0" fillId="2" borderId="0" xfId="2" applyNumberFormat="1" applyFont="1" applyFill="1"/>
    <xf numFmtId="165" fontId="0" fillId="2" borderId="0" xfId="0" applyNumberFormat="1" applyFill="1"/>
    <xf numFmtId="14" fontId="0" fillId="2" borderId="0" xfId="0" applyNumberFormat="1" applyFill="1"/>
    <xf numFmtId="164" fontId="0" fillId="2" borderId="0" xfId="1" applyFont="1" applyFill="1"/>
    <xf numFmtId="14" fontId="0" fillId="2" borderId="0" xfId="1" applyNumberFormat="1" applyFont="1" applyFill="1"/>
    <xf numFmtId="2" fontId="0" fillId="2" borderId="0" xfId="1" applyNumberFormat="1" applyFont="1" applyFill="1"/>
    <xf numFmtId="0" fontId="0" fillId="4" borderId="0" xfId="0" applyFill="1"/>
    <xf numFmtId="10" fontId="0" fillId="4" borderId="0" xfId="2" applyNumberFormat="1" applyFont="1" applyFill="1"/>
    <xf numFmtId="167" fontId="0" fillId="4" borderId="0" xfId="2" applyNumberFormat="1" applyFont="1" applyFill="1"/>
    <xf numFmtId="165" fontId="0" fillId="4" borderId="0" xfId="0" applyNumberFormat="1" applyFill="1"/>
    <xf numFmtId="168" fontId="0" fillId="4" borderId="0" xfId="1" applyNumberFormat="1" applyFont="1" applyFill="1"/>
    <xf numFmtId="10" fontId="0" fillId="2" borderId="0" xfId="0" applyNumberFormat="1" applyFill="1"/>
    <xf numFmtId="169" fontId="0" fillId="2" borderId="0" xfId="0" applyNumberFormat="1" applyFill="1"/>
    <xf numFmtId="167" fontId="0" fillId="4" borderId="0" xfId="1" applyNumberFormat="1" applyFont="1" applyFill="1"/>
    <xf numFmtId="0" fontId="0" fillId="3" borderId="0" xfId="0" applyFill="1"/>
    <xf numFmtId="10" fontId="0" fillId="3" borderId="0" xfId="0" applyNumberFormat="1" applyFill="1"/>
    <xf numFmtId="167" fontId="0" fillId="3" borderId="0" xfId="2" applyNumberFormat="1" applyFont="1" applyFill="1"/>
    <xf numFmtId="2" fontId="0" fillId="2" borderId="0" xfId="0" applyNumberFormat="1" applyFill="1"/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2" borderId="1" xfId="0" applyNumberFormat="1" applyFill="1" applyBorder="1"/>
    <xf numFmtId="2" fontId="0" fillId="2" borderId="1" xfId="1" applyNumberFormat="1" applyFont="1" applyFill="1" applyBorder="1"/>
    <xf numFmtId="164" fontId="0" fillId="2" borderId="1" xfId="1" applyFont="1" applyFill="1" applyBorder="1"/>
    <xf numFmtId="0" fontId="0" fillId="2" borderId="1" xfId="0" applyFill="1" applyBorder="1"/>
    <xf numFmtId="164" fontId="0" fillId="3" borderId="0" xfId="1" applyFont="1" applyFill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6" xfId="0" applyFont="1" applyFill="1" applyBorder="1"/>
    <xf numFmtId="0" fontId="9" fillId="2" borderId="0" xfId="0" applyFont="1" applyFill="1"/>
    <xf numFmtId="0" fontId="9" fillId="2" borderId="4" xfId="0" applyFont="1" applyFill="1" applyBorder="1"/>
    <xf numFmtId="170" fontId="0" fillId="2" borderId="0" xfId="0" applyNumberFormat="1" applyFill="1"/>
    <xf numFmtId="0" fontId="2" fillId="3" borderId="2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6CEC5B7C-6EAD-4749-A3F8-17117BA2BC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'Comb. 2 Activos Riegosos'!$F$17:$F$47</c:f>
              <c:numCache>
                <c:formatCode>0.000%</c:formatCode>
                <c:ptCount val="31"/>
                <c:pt idx="0">
                  <c:v>1.6923512548406376</c:v>
                </c:pt>
                <c:pt idx="1">
                  <c:v>1.6050980133131314</c:v>
                </c:pt>
                <c:pt idx="2">
                  <c:v>1.5184050634437765</c:v>
                </c:pt>
                <c:pt idx="3">
                  <c:v>1.43237414204896</c:v>
                </c:pt>
                <c:pt idx="4">
                  <c:v>1.3471320910356734</c:v>
                </c:pt>
                <c:pt idx="5">
                  <c:v>1.262838667587691</c:v>
                </c:pt>
                <c:pt idx="6">
                  <c:v>1.179697237336776</c:v>
                </c:pt>
                <c:pt idx="7">
                  <c:v>1.0979695282539699</c:v>
                </c:pt>
                <c:pt idx="8">
                  <c:v>1.0179960903349903</c:v>
                </c:pt>
                <c:pt idx="9">
                  <c:v>0.94022467350589312</c:v>
                </c:pt>
                <c:pt idx="10">
                  <c:v>0.86524925609332859</c:v>
                </c:pt>
                <c:pt idx="11">
                  <c:v>0.79386242853514022</c:v>
                </c:pt>
                <c:pt idx="12">
                  <c:v>0.72712191376564905</c:v>
                </c:pt>
                <c:pt idx="13">
                  <c:v>0.66642512053912439</c:v>
                </c:pt>
                <c:pt idx="14">
                  <c:v>0.61356829030011806</c:v>
                </c:pt>
                <c:pt idx="15">
                  <c:v>0.57073382080168578</c:v>
                </c:pt>
                <c:pt idx="16">
                  <c:v>0.5403106359501253</c:v>
                </c:pt>
                <c:pt idx="17">
                  <c:v>0.5244630722973963</c:v>
                </c:pt>
                <c:pt idx="18">
                  <c:v>0.5245139529652918</c:v>
                </c:pt>
                <c:pt idx="19">
                  <c:v>0.54045878776811995</c:v>
                </c:pt>
                <c:pt idx="20">
                  <c:v>0.57096756253324266</c:v>
                </c:pt>
                <c:pt idx="21">
                  <c:v>0.61387267036688986</c:v>
                </c:pt>
                <c:pt idx="22">
                  <c:v>0.66678541911956757</c:v>
                </c:pt>
                <c:pt idx="23">
                  <c:v>0.72752551614798755</c:v>
                </c:pt>
                <c:pt idx="24">
                  <c:v>0.79429931380506114</c:v>
                </c:pt>
                <c:pt idx="25">
                  <c:v>0.8657117678216254</c:v>
                </c:pt>
                <c:pt idx="26">
                  <c:v>0.94070705947566569</c:v>
                </c:pt>
                <c:pt idx="27">
                  <c:v>1.0184940453035161</c:v>
                </c:pt>
                <c:pt idx="28">
                  <c:v>1.098479818048081</c:v>
                </c:pt>
                <c:pt idx="29">
                  <c:v>1.1802174133472301</c:v>
                </c:pt>
                <c:pt idx="30">
                  <c:v>1.2633668575065458</c:v>
                </c:pt>
              </c:numCache>
            </c:numRef>
          </c:xVal>
          <c:yVal>
            <c:numRef>
              <c:f>'Comb. 2 Activos Riegosos'!$E$17:$E$47</c:f>
              <c:numCache>
                <c:formatCode>0.00%</c:formatCode>
                <c:ptCount val="31"/>
                <c:pt idx="0">
                  <c:v>0.3129174268980735</c:v>
                </c:pt>
                <c:pt idx="1">
                  <c:v>0.31242583115823785</c:v>
                </c:pt>
                <c:pt idx="2">
                  <c:v>0.31193423541840237</c:v>
                </c:pt>
                <c:pt idx="3">
                  <c:v>0.31144263967856678</c:v>
                </c:pt>
                <c:pt idx="4">
                  <c:v>0.31095104393873108</c:v>
                </c:pt>
                <c:pt idx="5">
                  <c:v>0.31045944819889554</c:v>
                </c:pt>
                <c:pt idx="6">
                  <c:v>0.30996785245905994</c:v>
                </c:pt>
                <c:pt idx="7">
                  <c:v>0.30947625671922435</c:v>
                </c:pt>
                <c:pt idx="8">
                  <c:v>0.30898466097938881</c:v>
                </c:pt>
                <c:pt idx="9">
                  <c:v>0.30849306523955317</c:v>
                </c:pt>
                <c:pt idx="10">
                  <c:v>0.30800146949971757</c:v>
                </c:pt>
                <c:pt idx="11">
                  <c:v>0.30750987375988198</c:v>
                </c:pt>
                <c:pt idx="12">
                  <c:v>0.30701827802004639</c:v>
                </c:pt>
                <c:pt idx="13">
                  <c:v>0.30652668228021079</c:v>
                </c:pt>
                <c:pt idx="14">
                  <c:v>0.3060350865403752</c:v>
                </c:pt>
                <c:pt idx="15">
                  <c:v>0.30554349080053961</c:v>
                </c:pt>
                <c:pt idx="16">
                  <c:v>0.30505189506070401</c:v>
                </c:pt>
                <c:pt idx="17">
                  <c:v>0.30456029932086842</c:v>
                </c:pt>
                <c:pt idx="18">
                  <c:v>0.30406870358103283</c:v>
                </c:pt>
                <c:pt idx="19">
                  <c:v>0.30357710784119724</c:v>
                </c:pt>
                <c:pt idx="20">
                  <c:v>0.30308551210136159</c:v>
                </c:pt>
                <c:pt idx="21">
                  <c:v>0.30259391636152605</c:v>
                </c:pt>
                <c:pt idx="22">
                  <c:v>0.30210232062169046</c:v>
                </c:pt>
                <c:pt idx="23">
                  <c:v>0.30161072488185486</c:v>
                </c:pt>
                <c:pt idx="24">
                  <c:v>0.30111912914201927</c:v>
                </c:pt>
                <c:pt idx="25">
                  <c:v>0.30062753340218373</c:v>
                </c:pt>
                <c:pt idx="26">
                  <c:v>0.30013593766234803</c:v>
                </c:pt>
                <c:pt idx="27">
                  <c:v>0.29964434192251244</c:v>
                </c:pt>
                <c:pt idx="28">
                  <c:v>0.2991527461826769</c:v>
                </c:pt>
                <c:pt idx="29">
                  <c:v>0.29866115044284131</c:v>
                </c:pt>
                <c:pt idx="30">
                  <c:v>0.29816955470300571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2-4C63-BFD8-FB0CED64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731880"/>
        <c:axId val="1081731488"/>
      </c:scatterChart>
      <c:valAx>
        <c:axId val="108173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81731488"/>
        <c:crosses val="autoZero"/>
        <c:crossBetween val="midCat"/>
      </c:valAx>
      <c:valAx>
        <c:axId val="10817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8173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Combinación de dos</a:t>
            </a:r>
            <a:r>
              <a:rPr lang="es-AR" baseline="0"/>
              <a:t> activos Riegosos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'Comb. 2 Activos Riesgosos flex'!$F$17:$F$47</c:f>
              <c:numCache>
                <c:formatCode>0.000%</c:formatCode>
                <c:ptCount val="31"/>
                <c:pt idx="0">
                  <c:v>2.003065156297922</c:v>
                </c:pt>
                <c:pt idx="1">
                  <c:v>1.8862834838954745</c:v>
                </c:pt>
                <c:pt idx="2">
                  <c:v>1.7698221258459501</c:v>
                </c:pt>
                <c:pt idx="3">
                  <c:v>1.6537487556838573</c:v>
                </c:pt>
                <c:pt idx="4">
                  <c:v>1.5381512120051566</c:v>
                </c:pt>
                <c:pt idx="5">
                  <c:v>1.4231454491143751</c:v>
                </c:pt>
                <c:pt idx="6">
                  <c:v>1.3088874672606428</c:v>
                </c:pt>
                <c:pt idx="7">
                  <c:v>1.1955916731242326</c:v>
                </c:pt>
                <c:pt idx="8">
                  <c:v>1.0835599245131866</c:v>
                </c:pt>
                <c:pt idx="9">
                  <c:v>0.97322884536631005</c:v>
                </c:pt>
                <c:pt idx="10">
                  <c:v>0.86524925609332859</c:v>
                </c:pt>
                <c:pt idx="11">
                  <c:v>0.7606232833420723</c:v>
                </c:pt>
                <c:pt idx="12">
                  <c:v>0.66094545722706122</c:v>
                </c:pt>
                <c:pt idx="13">
                  <c:v>0.56882302166060583</c:v>
                </c:pt>
                <c:pt idx="14">
                  <c:v>0.48854884790378278</c:v>
                </c:pt>
                <c:pt idx="15">
                  <c:v>0.42686056023029767</c:v>
                </c:pt>
                <c:pt idx="16">
                  <c:v>0.39261878870875788</c:v>
                </c:pt>
                <c:pt idx="17">
                  <c:v>0.39306323014133421</c:v>
                </c:pt>
                <c:pt idx="18">
                  <c:v>0.42808586382423935</c:v>
                </c:pt>
                <c:pt idx="19">
                  <c:v>0.49033246374082701</c:v>
                </c:pt>
                <c:pt idx="20">
                  <c:v>0.57096756253324266</c:v>
                </c:pt>
                <c:pt idx="21">
                  <c:v>0.66331862947391562</c:v>
                </c:pt>
                <c:pt idx="22">
                  <c:v>0.76314406583826211</c:v>
                </c:pt>
                <c:pt idx="23">
                  <c:v>0.86786850416186467</c:v>
                </c:pt>
                <c:pt idx="24">
                  <c:v>0.97591609787068767</c:v>
                </c:pt>
                <c:pt idx="25">
                  <c:v>1.0862956935959682</c:v>
                </c:pt>
                <c:pt idx="26">
                  <c:v>1.1983630718785272</c:v>
                </c:pt>
                <c:pt idx="27">
                  <c:v>1.3116857033733855</c:v>
                </c:pt>
                <c:pt idx="28">
                  <c:v>1.4259643512728937</c:v>
                </c:pt>
                <c:pt idx="29">
                  <c:v>1.5409863373966413</c:v>
                </c:pt>
                <c:pt idx="30">
                  <c:v>1.6565968330466236</c:v>
                </c:pt>
              </c:numCache>
            </c:numRef>
          </c:xVal>
          <c:yVal>
            <c:numRef>
              <c:f>'Comb. 2 Activos Riesgosos flex'!$E$17:$E$47</c:f>
              <c:numCache>
                <c:formatCode>0.00%</c:formatCode>
                <c:ptCount val="31"/>
                <c:pt idx="0">
                  <c:v>0.3129174268980735</c:v>
                </c:pt>
                <c:pt idx="1">
                  <c:v>0.31242583115823785</c:v>
                </c:pt>
                <c:pt idx="2">
                  <c:v>0.31193423541840237</c:v>
                </c:pt>
                <c:pt idx="3">
                  <c:v>0.31144263967856678</c:v>
                </c:pt>
                <c:pt idx="4">
                  <c:v>0.31095104393873108</c:v>
                </c:pt>
                <c:pt idx="5">
                  <c:v>0.31045944819889554</c:v>
                </c:pt>
                <c:pt idx="6">
                  <c:v>0.30996785245905994</c:v>
                </c:pt>
                <c:pt idx="7">
                  <c:v>0.30947625671922435</c:v>
                </c:pt>
                <c:pt idx="8">
                  <c:v>0.30898466097938881</c:v>
                </c:pt>
                <c:pt idx="9">
                  <c:v>0.30849306523955317</c:v>
                </c:pt>
                <c:pt idx="10">
                  <c:v>0.30800146949971757</c:v>
                </c:pt>
                <c:pt idx="11">
                  <c:v>0.30750987375988198</c:v>
                </c:pt>
                <c:pt idx="12">
                  <c:v>0.30701827802004639</c:v>
                </c:pt>
                <c:pt idx="13">
                  <c:v>0.30652668228021079</c:v>
                </c:pt>
                <c:pt idx="14">
                  <c:v>0.3060350865403752</c:v>
                </c:pt>
                <c:pt idx="15">
                  <c:v>0.30554349080053961</c:v>
                </c:pt>
                <c:pt idx="16">
                  <c:v>0.30505189506070401</c:v>
                </c:pt>
                <c:pt idx="17">
                  <c:v>0.30456029932086842</c:v>
                </c:pt>
                <c:pt idx="18">
                  <c:v>0.30406870358103283</c:v>
                </c:pt>
                <c:pt idx="19">
                  <c:v>0.30357710784119724</c:v>
                </c:pt>
                <c:pt idx="20">
                  <c:v>0.30308551210136159</c:v>
                </c:pt>
                <c:pt idx="21">
                  <c:v>0.30259391636152605</c:v>
                </c:pt>
                <c:pt idx="22">
                  <c:v>0.30210232062169046</c:v>
                </c:pt>
                <c:pt idx="23">
                  <c:v>0.30161072488185486</c:v>
                </c:pt>
                <c:pt idx="24">
                  <c:v>0.30111912914201927</c:v>
                </c:pt>
                <c:pt idx="25">
                  <c:v>0.30062753340218373</c:v>
                </c:pt>
                <c:pt idx="26">
                  <c:v>0.30013593766234803</c:v>
                </c:pt>
                <c:pt idx="27">
                  <c:v>0.29964434192251244</c:v>
                </c:pt>
                <c:pt idx="28">
                  <c:v>0.2991527461826769</c:v>
                </c:pt>
                <c:pt idx="29">
                  <c:v>0.29866115044284131</c:v>
                </c:pt>
                <c:pt idx="30">
                  <c:v>0.29816955470300571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2-415D-8DBD-BF2371E9D870}"/>
            </c:ext>
          </c:extLst>
        </c:ser>
        <c:ser>
          <c:idx val="1"/>
          <c:order val="1"/>
          <c:spPr>
            <a:ln w="38100" cap="rnd" cmpd="sng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76200" cap="rnd" cmpd="sng">
                <a:solidFill>
                  <a:srgbClr val="FF0000">
                    <a:alpha val="98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62-415D-8DBD-BF2371E9D870}"/>
              </c:ext>
            </c:extLst>
          </c:dPt>
          <c:xVal>
            <c:numRef>
              <c:f>'Comb. 2 Activos Riesgosos flex'!$Q$9</c:f>
              <c:numCache>
                <c:formatCode>0.000%</c:formatCode>
                <c:ptCount val="1"/>
                <c:pt idx="0">
                  <c:v>1.3088874672606425</c:v>
                </c:pt>
              </c:numCache>
            </c:numRef>
          </c:xVal>
          <c:yVal>
            <c:numRef>
              <c:f>'Comb. 2 Activos Riesgosos flex'!$P$9</c:f>
              <c:numCache>
                <c:formatCode>0.00%</c:formatCode>
                <c:ptCount val="1"/>
                <c:pt idx="0">
                  <c:v>0.30996785245905994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2-415D-8DBD-BF2371E9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21672"/>
        <c:axId val="1089118144"/>
      </c:scatterChart>
      <c:valAx>
        <c:axId val="108912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500" b="1" i="0" baseline="0"/>
                  <a:t> </a:t>
                </a:r>
                <a:r>
                  <a:rPr lang="el-GR" sz="1500" b="1" i="0" baseline="0"/>
                  <a:t>σ</a:t>
                </a:r>
                <a:r>
                  <a:rPr lang="es-AR" sz="800" b="1" i="0" baseline="0"/>
                  <a:t>c</a:t>
                </a:r>
              </a:p>
            </c:rich>
          </c:tx>
          <c:layout>
            <c:manualLayout>
              <c:xMode val="edge"/>
              <c:yMode val="edge"/>
              <c:x val="0.93023965754280713"/>
              <c:y val="0.91651123509957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89118144"/>
        <c:crosses val="autoZero"/>
        <c:crossBetween val="midCat"/>
      </c:valAx>
      <c:valAx>
        <c:axId val="10891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500" b="1"/>
                  <a:t>E(R</a:t>
                </a:r>
                <a:r>
                  <a:rPr lang="es-AR" sz="1050" b="1"/>
                  <a:t>c</a:t>
                </a:r>
                <a:r>
                  <a:rPr lang="es-AR" sz="1500" b="1"/>
                  <a:t>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6.02574423393832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8912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M$6" max="41" min="1" page="10" val="14"/>
</file>

<file path=xl/ctrlProps/ctrlProp2.xml><?xml version="1.0" encoding="utf-8"?>
<formControlPr xmlns="http://schemas.microsoft.com/office/spreadsheetml/2009/9/main" objectType="Spin" dx="22" fmlaLink="$M$9" max="31" min="1" page="10" val="7"/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1314450</xdr:colOff>
      <xdr:row>9</xdr:row>
      <xdr:rowOff>9525</xdr:rowOff>
    </xdr:from>
    <xdr:to>
      <xdr:col>4</xdr:col>
      <xdr:colOff>333375</xdr:colOff>
      <xdr:row>10</xdr:row>
      <xdr:rowOff>47625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19425" y="790575"/>
          <a:ext cx="4191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733426</xdr:colOff>
      <xdr:row>9</xdr:row>
      <xdr:rowOff>0</xdr:rowOff>
    </xdr:from>
    <xdr:to>
      <xdr:col>3</xdr:col>
      <xdr:colOff>1295400</xdr:colOff>
      <xdr:row>10</xdr:row>
      <xdr:rowOff>66675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114676" y="1981200"/>
          <a:ext cx="561974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695326</xdr:colOff>
      <xdr:row>9</xdr:row>
      <xdr:rowOff>38100</xdr:rowOff>
    </xdr:from>
    <xdr:to>
      <xdr:col>5</xdr:col>
      <xdr:colOff>704850</xdr:colOff>
      <xdr:row>10</xdr:row>
      <xdr:rowOff>142875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5000626" y="819150"/>
          <a:ext cx="9524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847725</xdr:colOff>
      <xdr:row>15</xdr:row>
      <xdr:rowOff>123825</xdr:rowOff>
    </xdr:from>
    <xdr:to>
      <xdr:col>3</xdr:col>
      <xdr:colOff>523875</xdr:colOff>
      <xdr:row>18</xdr:row>
      <xdr:rowOff>75160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5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609725" y="2305050"/>
              <a:ext cx="2019300" cy="5228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s-AR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  <m:sup/>
                      <m:e>
                        <m:func>
                          <m:func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AR" sz="14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d>
                          </m:e>
                        </m:func>
                        <m:sSub>
                          <m:sSub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10" name="CuadroTexto 5"/>
            <xdr:cNvSpPr txBox="1"/>
          </xdr:nvSpPr>
          <xdr:spPr>
            <a:xfrm>
              <a:off x="1609725" y="2305050"/>
              <a:ext cx="2019300" cy="5228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𝐸(𝑟_𝑖 )=∑_𝑠▒〖Pr⁡(𝑠) 𝑟_𝑖  (𝑠)〗</a:t>
              </a:r>
              <a:endParaRPr lang="es-AR" sz="1400"/>
            </a:p>
          </xdr:txBody>
        </xdr:sp>
      </mc:Fallback>
    </mc:AlternateContent>
    <xdr:clientData/>
  </xdr:twoCellAnchor>
  <xdr:twoCellAnchor>
    <xdr:from>
      <xdr:col>2</xdr:col>
      <xdr:colOff>85724</xdr:colOff>
      <xdr:row>29</xdr:row>
      <xdr:rowOff>180975</xdr:rowOff>
    </xdr:from>
    <xdr:to>
      <xdr:col>8</xdr:col>
      <xdr:colOff>323850</xdr:colOff>
      <xdr:row>30</xdr:row>
      <xdr:rowOff>184759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5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971674" y="6267450"/>
              <a:ext cx="5676901" cy="19428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𝐵𝑒𝑠𝑡</m:t>
                      </m:r>
                    </m:sub>
                    <m:sup>
                      <m:r>
                        <a:rPr lang="es-AR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AR" sz="1200" b="0" i="1">
                      <a:latin typeface="Cambria Math" panose="02040503050406030204" pitchFamily="18" charset="0"/>
                    </a:rPr>
                    <m:t>=0,5</m:t>
                  </m:r>
                  <m:sSup>
                    <m:sSup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0,25−0,105</m:t>
                          </m:r>
                        </m:e>
                      </m:d>
                    </m:e>
                    <m:sup>
                      <m:r>
                        <a:rPr lang="es-AR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s-AR" sz="1200"/>
                <a:t>+</a:t>
              </a: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0,3</m:t>
                  </m:r>
                  <m:sSup>
                    <m:sSupPr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0,10−0,105</m:t>
                          </m:r>
                        </m:e>
                      </m:d>
                    </m:e>
                    <m:sup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200"/>
                <a:t>+</a:t>
              </a: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0,2</m:t>
                  </m:r>
                  <m:sSup>
                    <m:sSupPr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−0,25−0,105</m:t>
                          </m:r>
                        </m:e>
                      </m:d>
                    </m:e>
                    <m:sup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=0,035725</m:t>
                  </m:r>
                </m:oMath>
              </a14:m>
              <a:endParaRPr lang="es-AR" sz="1200"/>
            </a:p>
          </xdr:txBody>
        </xdr:sp>
      </mc:Choice>
      <mc:Fallback xmlns="">
        <xdr:sp macro="" textlink="">
          <xdr:nvSpPr>
            <xdr:cNvPr id="11" name="CuadroTexto 5"/>
            <xdr:cNvSpPr txBox="1"/>
          </xdr:nvSpPr>
          <xdr:spPr>
            <a:xfrm>
              <a:off x="1971674" y="6267450"/>
              <a:ext cx="5676901" cy="19428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𝐵𝑒𝑠𝑡^2=0,5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(0,25−0,105)^</a:t>
              </a:r>
              <a:r>
                <a:rPr lang="es-AR" sz="1200" b="0" i="0">
                  <a:latin typeface="Cambria Math" panose="02040503050406030204" pitchFamily="18" charset="0"/>
                </a:rPr>
                <a:t>2</a:t>
              </a:r>
              <a:r>
                <a:rPr lang="es-AR" sz="1200"/>
                <a:t>+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0,3(0,10−0,105)^2</a:t>
              </a:r>
              <a:r>
                <a:rPr lang="es-AR" sz="1200"/>
                <a:t>+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0,2(−0,25−0,105)^2=0,035725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0</xdr:colOff>
      <xdr:row>26</xdr:row>
      <xdr:rowOff>152400</xdr:rowOff>
    </xdr:from>
    <xdr:to>
      <xdr:col>4</xdr:col>
      <xdr:colOff>180975</xdr:colOff>
      <xdr:row>29</xdr:row>
      <xdr:rowOff>103735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7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885950" y="5667375"/>
              <a:ext cx="2524125" cy="5228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l-G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s-AR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  <m:sup/>
                      <m:e>
                        <m:r>
                          <m:rPr>
                            <m:sty m:val="p"/>
                          </m:rPr>
                          <a:rPr lang="es-AR" sz="14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)</m:t>
                        </m:r>
                        <m:sSup>
                          <m:sSup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d>
                                  <m:dPr>
                                    <m:ctrlP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</m:d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</m:d>
                          </m:e>
                          <m:sup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12" name="CuadroTexto 7"/>
            <xdr:cNvSpPr txBox="1"/>
          </xdr:nvSpPr>
          <xdr:spPr>
            <a:xfrm>
              <a:off x="1885950" y="5667375"/>
              <a:ext cx="2524125" cy="5228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𝑖^2=∑_𝑠▒〖Pr⁡(𝑠)[𝑟_𝑖 (𝑠)−𝐸(𝑟_𝑖)]^2  〗</a:t>
              </a:r>
              <a:endParaRPr lang="es-AR" sz="1400"/>
            </a:p>
          </xdr:txBody>
        </xdr:sp>
      </mc:Fallback>
    </mc:AlternateContent>
    <xdr:clientData/>
  </xdr:twoCellAnchor>
  <xdr:twoCellAnchor>
    <xdr:from>
      <xdr:col>2</xdr:col>
      <xdr:colOff>123825</xdr:colOff>
      <xdr:row>19</xdr:row>
      <xdr:rowOff>9525</xdr:rowOff>
    </xdr:from>
    <xdr:to>
      <xdr:col>5</xdr:col>
      <xdr:colOff>390525</xdr:colOff>
      <xdr:row>20</xdr:row>
      <xdr:rowOff>66676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828800" y="3962400"/>
              <a:ext cx="4610100" cy="2571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d>
                    <m:dPr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𝐵𝑒𝑠𝑡</m:t>
                          </m:r>
                        </m:sub>
                      </m:sSub>
                    </m:e>
                  </m:d>
                  <m:r>
                    <a:rPr lang="es-AR" sz="1200" b="0" i="1">
                      <a:latin typeface="Cambria Math" panose="02040503050406030204" pitchFamily="18" charset="0"/>
                    </a:rPr>
                    <m:t>=0,5</m:t>
                  </m:r>
                  <m:d>
                    <m:d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0,25</m:t>
                      </m:r>
                    </m:e>
                  </m:d>
                </m:oMath>
              </a14:m>
              <a:r>
                <a:rPr lang="es-AR" sz="1200"/>
                <a:t>+</a:t>
              </a: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0,3</m:t>
                  </m:r>
                  <m:d>
                    <m:dPr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</m:t>
                      </m:r>
                    </m:e>
                  </m:d>
                </m:oMath>
              </a14:m>
              <a:r>
                <a:rPr lang="es-AR" sz="120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0,2</m:t>
                  </m:r>
                  <m:d>
                    <m:dPr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−0,25</m:t>
                      </m:r>
                    </m:e>
                  </m:d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=0,1  ó  10,5%</m:t>
                  </m:r>
                </m:oMath>
              </a14:m>
              <a:r>
                <a:rPr lang="es-AR" sz="1200">
                  <a:effectLst/>
                </a:rPr>
                <a:t> </a:t>
              </a: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AR" sz="1200">
                <a:effectLst/>
              </a:endParaRPr>
            </a:p>
            <a:p>
              <a:endParaRPr lang="es-AR" sz="1200"/>
            </a:p>
          </xdr:txBody>
        </xdr:sp>
      </mc:Choice>
      <mc:Fallback xmlns="">
        <xdr:sp macro="" textlink="">
          <xdr:nvSpPr>
            <xdr:cNvPr id="14" name="CuadroTexto 5"/>
            <xdr:cNvSpPr txBox="1"/>
          </xdr:nvSpPr>
          <xdr:spPr>
            <a:xfrm>
              <a:off x="1828800" y="3962400"/>
              <a:ext cx="4610100" cy="2571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𝐸(𝑟_𝐵𝑒𝑠𝑡 )</a:t>
              </a:r>
              <a:r>
                <a:rPr lang="es-AR" sz="1200" b="0" i="0">
                  <a:latin typeface="Cambria Math" panose="02040503050406030204" pitchFamily="18" charset="0"/>
                </a:rPr>
                <a:t>=0,5(0,25)</a:t>
              </a:r>
              <a:r>
                <a:rPr lang="es-AR" sz="1200"/>
                <a:t>+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0,3(0,1)</a:t>
              </a:r>
              <a:r>
                <a:rPr lang="es-AR" sz="120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0,2(−0,25)=0,1  ó  10,5%</a:t>
              </a:r>
              <a:r>
                <a:rPr lang="es-AR" sz="1200">
                  <a:effectLst/>
                </a:rPr>
                <a:t> </a:t>
              </a: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AR" sz="1200">
                <a:effectLst/>
              </a:endParaRPr>
            </a:p>
            <a:p>
              <a:endParaRPr lang="es-AR" sz="1200"/>
            </a:p>
          </xdr:txBody>
        </xdr:sp>
      </mc:Fallback>
    </mc:AlternateContent>
    <xdr:clientData/>
  </xdr:twoCellAnchor>
  <xdr:twoCellAnchor>
    <xdr:from>
      <xdr:col>1</xdr:col>
      <xdr:colOff>923925</xdr:colOff>
      <xdr:row>22</xdr:row>
      <xdr:rowOff>9525</xdr:rowOff>
    </xdr:from>
    <xdr:to>
      <xdr:col>2</xdr:col>
      <xdr:colOff>895350</xdr:colOff>
      <xdr:row>23</xdr:row>
      <xdr:rowOff>6897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685925" y="4362450"/>
              <a:ext cx="9144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5" name="CuadroTexto 5"/>
            <xdr:cNvSpPr txBox="1"/>
          </xdr:nvSpPr>
          <xdr:spPr>
            <a:xfrm>
              <a:off x="1685925" y="4362450"/>
              <a:ext cx="9144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𝐸(𝑟_𝐵𝑒𝑠𝑡 )=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0</xdr:colOff>
      <xdr:row>32</xdr:row>
      <xdr:rowOff>0</xdr:rowOff>
    </xdr:from>
    <xdr:to>
      <xdr:col>2</xdr:col>
      <xdr:colOff>657225</xdr:colOff>
      <xdr:row>33</xdr:row>
      <xdr:rowOff>8465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704975" y="4476750"/>
              <a:ext cx="657225" cy="1989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l-G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𝐵𝑒𝑠𝑡</m:t>
                        </m:r>
                      </m:sub>
                      <m:sup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6" name="CuadroTexto 5"/>
            <xdr:cNvSpPr txBox="1"/>
          </xdr:nvSpPr>
          <xdr:spPr>
            <a:xfrm>
              <a:off x="1704975" y="4476750"/>
              <a:ext cx="657225" cy="1989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𝐵𝑒𝑠𝑡^2</a:t>
              </a:r>
              <a:r>
                <a:rPr lang="es-AR" sz="1200" b="0" i="0">
                  <a:latin typeface="Cambria Math" panose="02040503050406030204" pitchFamily="18" charset="0"/>
                </a:rPr>
                <a:t>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8</xdr:col>
      <xdr:colOff>628650</xdr:colOff>
      <xdr:row>32</xdr:row>
      <xdr:rowOff>0</xdr:rowOff>
    </xdr:from>
    <xdr:to>
      <xdr:col>9</xdr:col>
      <xdr:colOff>523875</xdr:colOff>
      <xdr:row>33</xdr:row>
      <xdr:rowOff>8465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5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8201025" y="4476750"/>
              <a:ext cx="657225" cy="1989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l-G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𝐵𝑒𝑠𝑡</m:t>
                        </m:r>
                      </m:sub>
                      <m:sup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7" name="CuadroTexto 5"/>
            <xdr:cNvSpPr txBox="1"/>
          </xdr:nvSpPr>
          <xdr:spPr>
            <a:xfrm>
              <a:off x="8201025" y="4476750"/>
              <a:ext cx="657225" cy="1989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𝐵𝑒𝑠𝑡^2</a:t>
              </a:r>
              <a:r>
                <a:rPr lang="es-AR" sz="1200" b="0" i="0">
                  <a:latin typeface="Cambria Math" panose="02040503050406030204" pitchFamily="18" charset="0"/>
                </a:rPr>
                <a:t>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38100</xdr:colOff>
      <xdr:row>37</xdr:row>
      <xdr:rowOff>57150</xdr:rowOff>
    </xdr:from>
    <xdr:to>
      <xdr:col>4</xdr:col>
      <xdr:colOff>695325</xdr:colOff>
      <xdr:row>39</xdr:row>
      <xdr:rowOff>51959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743075" y="5867400"/>
              <a:ext cx="3257550" cy="3758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𝐵𝑒𝑠𝑡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AR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sSubSup>
                          <m:sSubSupPr>
                            <m:ctrlPr>
                              <a:rPr lang="el-G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l-G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𝐵𝑒𝑠𝑡</m:t>
                            </m:r>
                          </m:sub>
                          <m:sup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lang="es-AR" sz="1200" b="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AR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0,035725</m:t>
                        </m:r>
                      </m:e>
                    </m:rad>
                    <m:r>
                      <a:rPr lang="es-AR" sz="1200" b="0" i="1">
                        <a:latin typeface="Cambria Math" panose="02040503050406030204" pitchFamily="18" charset="0"/>
                      </a:rPr>
                      <m:t>=0,189 ó 18,9%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21" name="CuadroTexto 5"/>
            <xdr:cNvSpPr txBox="1"/>
          </xdr:nvSpPr>
          <xdr:spPr>
            <a:xfrm>
              <a:off x="1743075" y="5867400"/>
              <a:ext cx="3257550" cy="3758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𝐵𝑒𝑠𝑡=√(2&amp;</a:t>
              </a:r>
              <a:r>
                <a:rPr lang="el-GR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𝐵𝑒𝑠𝑡^2 )</a:t>
              </a:r>
              <a:r>
                <a:rPr lang="es-AR" sz="1200" b="0" i="0">
                  <a:latin typeface="Cambria Math" panose="02040503050406030204" pitchFamily="18" charset="0"/>
                </a:rPr>
                <a:t>=√(2&amp;0,035725)=0,189 ó 18,9%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1</xdr:col>
      <xdr:colOff>781050</xdr:colOff>
      <xdr:row>43</xdr:row>
      <xdr:rowOff>19050</xdr:rowOff>
    </xdr:from>
    <xdr:to>
      <xdr:col>3</xdr:col>
      <xdr:colOff>266700</xdr:colOff>
      <xdr:row>46</xdr:row>
      <xdr:rowOff>53357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8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543050" y="6400800"/>
              <a:ext cx="1828800" cy="6058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s-AR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AR" sz="14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s-A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b>
                            <m:r>
                              <a:rPr lang="es-AR" sz="14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A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4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22" name="CuadroTexto 8"/>
            <xdr:cNvSpPr txBox="1"/>
          </xdr:nvSpPr>
          <xdr:spPr>
            <a:xfrm>
              <a:off x="1543050" y="6400800"/>
              <a:ext cx="1828800" cy="6058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𝐸(𝑟_𝑐 )=</a:t>
              </a:r>
              <a:r>
                <a:rPr lang="es-AR" sz="1400" i="0">
                  <a:latin typeface="Cambria Math" panose="02040503050406030204" pitchFamily="18" charset="0"/>
                </a:rPr>
                <a:t>∑_(𝑛=1)^𝑁▒〖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i="0">
                  <a:latin typeface="Cambria Math" panose="02040503050406030204" pitchFamily="18" charset="0"/>
                </a:rPr>
                <a:t>𝑖  𝐸(𝑟_𝑖)〗</a:t>
              </a:r>
              <a:endParaRPr lang="es-AR" sz="1400"/>
            </a:p>
          </xdr:txBody>
        </xdr:sp>
      </mc:Fallback>
    </mc:AlternateContent>
    <xdr:clientData/>
  </xdr:twoCellAnchor>
  <xdr:twoCellAnchor>
    <xdr:from>
      <xdr:col>1</xdr:col>
      <xdr:colOff>866772</xdr:colOff>
      <xdr:row>52</xdr:row>
      <xdr:rowOff>123824</xdr:rowOff>
    </xdr:from>
    <xdr:to>
      <xdr:col>8</xdr:col>
      <xdr:colOff>523875</xdr:colOff>
      <xdr:row>53</xdr:row>
      <xdr:rowOff>121196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8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628772" y="10591799"/>
              <a:ext cx="6219828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𝐻𝑢𝑚𝑎𝑛𝑒𝑥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=0,5</m:t>
                    </m:r>
                    <m:r>
                      <a:rPr lang="es-AR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d>
                      <m:dPr>
                        <m:ctrlPr>
                          <a:rPr lang="es-A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𝐵𝑒𝑠𝑡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+0,5</m:t>
                    </m:r>
                    <m:r>
                      <a:rPr lang="es-AR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d>
                      <m:dPr>
                        <m:ctrlPr>
                          <a:rPr lang="es-A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𝑏𝑖𝑙𝑙𝑠</m:t>
                            </m:r>
                          </m:sub>
                        </m:sSub>
                      </m:e>
                    </m:d>
                    <m:r>
                      <a:rPr lang="es-AR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=0,5</m:t>
                    </m:r>
                    <m:d>
                      <m:dPr>
                        <m:ctrlPr>
                          <a:rPr lang="es-A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0,105</m:t>
                        </m:r>
                      </m:e>
                    </m:d>
                    <m:r>
                      <a:rPr lang="es-AR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+0,5</m:t>
                    </m:r>
                    <m:d>
                      <m:dPr>
                        <m:ctrlPr>
                          <a:rPr lang="es-A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0,05</m:t>
                        </m:r>
                      </m:e>
                    </m:d>
                    <m:r>
                      <a:rPr lang="es-AR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=0,0775  ó  7,75%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23" name="CuadroTexto 8"/>
            <xdr:cNvSpPr txBox="1"/>
          </xdr:nvSpPr>
          <xdr:spPr>
            <a:xfrm>
              <a:off x="1628772" y="10591799"/>
              <a:ext cx="6219828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AR" sz="1200" b="0" i="0">
                  <a:latin typeface="Cambria Math" panose="02040503050406030204" pitchFamily="18" charset="0"/>
                </a:rPr>
                <a:t>𝐸(𝑟_𝐻𝑢𝑚𝑎𝑛𝑒𝑥 )=0,5</a:t>
              </a:r>
              <a:r>
                <a:rPr lang="es-AR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𝐸(𝑟_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𝐵𝑒𝑠𝑡 )</a:t>
              </a:r>
              <a:r>
                <a:rPr lang="es-AR" sz="1200" b="0" i="0">
                  <a:latin typeface="Cambria Math" panose="02040503050406030204" pitchFamily="18" charset="0"/>
                </a:rPr>
                <a:t>+0,5</a:t>
              </a:r>
              <a:r>
                <a:rPr lang="es-AR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𝐸(𝑟_(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 𝑏𝑖𝑙𝑙𝑠) )=0,5</a:t>
              </a:r>
              <a:r>
                <a:rPr lang="es-AR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0,105)+0,5</a:t>
              </a:r>
              <a:r>
                <a:rPr lang="es-AR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0,05)=0,0775  ó  7,75%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1</xdr:col>
      <xdr:colOff>895350</xdr:colOff>
      <xdr:row>54</xdr:row>
      <xdr:rowOff>171449</xdr:rowOff>
    </xdr:from>
    <xdr:to>
      <xdr:col>2</xdr:col>
      <xdr:colOff>990600</xdr:colOff>
      <xdr:row>55</xdr:row>
      <xdr:rowOff>168821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8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2333625" y="10820399"/>
              <a:ext cx="10382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𝐻𝑢𝑚𝑎𝑛𝑒𝑥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8" name="CuadroTexto 8"/>
            <xdr:cNvSpPr txBox="1"/>
          </xdr:nvSpPr>
          <xdr:spPr>
            <a:xfrm>
              <a:off x="2333625" y="10820399"/>
              <a:ext cx="10382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AR" sz="1200" b="0" i="0">
                  <a:latin typeface="Cambria Math" panose="02040503050406030204" pitchFamily="18" charset="0"/>
                </a:rPr>
                <a:t>𝐸(𝑟_𝐻𝑢𝑚𝑎𝑛𝑒𝑥 )=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1</xdr:col>
      <xdr:colOff>885825</xdr:colOff>
      <xdr:row>67</xdr:row>
      <xdr:rowOff>0</xdr:rowOff>
    </xdr:from>
    <xdr:to>
      <xdr:col>2</xdr:col>
      <xdr:colOff>1324703</xdr:colOff>
      <xdr:row>68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6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647825" y="11029950"/>
              <a:ext cx="1381853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19" name="CuadroTexto 6"/>
            <xdr:cNvSpPr txBox="1"/>
          </xdr:nvSpPr>
          <xdr:spPr>
            <a:xfrm>
              <a:off x="1647825" y="11029950"/>
              <a:ext cx="1381853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𝐶=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b="0" i="0">
                  <a:latin typeface="Cambria Math" panose="02040503050406030204" pitchFamily="18" charset="0"/>
                </a:rPr>
                <a:t>𝑖 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𝑖</a:t>
              </a:r>
              <a:endParaRPr lang="es-AR" sz="1400"/>
            </a:p>
          </xdr:txBody>
        </xdr:sp>
      </mc:Fallback>
    </mc:AlternateContent>
    <xdr:clientData/>
  </xdr:twoCellAnchor>
  <xdr:twoCellAnchor>
    <xdr:from>
      <xdr:col>2</xdr:col>
      <xdr:colOff>0</xdr:colOff>
      <xdr:row>69</xdr:row>
      <xdr:rowOff>66675</xdr:rowOff>
    </xdr:from>
    <xdr:to>
      <xdr:col>4</xdr:col>
      <xdr:colOff>342900</xdr:colOff>
      <xdr:row>70</xdr:row>
      <xdr:rowOff>64047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6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885950" y="14192250"/>
              <a:ext cx="268605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𝐻𝑢𝑚𝑎𝑛𝑒𝑥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=0,5</m:t>
                    </m:r>
                    <m:sSub>
                      <m:sSub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𝐵𝑒𝑠𝑡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=0,0945 ó 9,45%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20" name="CuadroTexto 6"/>
            <xdr:cNvSpPr txBox="1"/>
          </xdr:nvSpPr>
          <xdr:spPr>
            <a:xfrm>
              <a:off x="1885950" y="14192250"/>
              <a:ext cx="268605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𝐻𝑢𝑚𝑎𝑛𝑒𝑥=0,5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𝐵𝑒𝑠𝑡=0,0945 ó 9,45%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1</xdr:colOff>
      <xdr:row>72</xdr:row>
      <xdr:rowOff>0</xdr:rowOff>
    </xdr:from>
    <xdr:to>
      <xdr:col>2</xdr:col>
      <xdr:colOff>1181101</xdr:colOff>
      <xdr:row>72</xdr:row>
      <xdr:rowOff>187872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6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1704976" y="11982450"/>
              <a:ext cx="11811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𝐻𝑢𝑚𝑎𝑛𝑒𝑥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24" name="CuadroTexto 6"/>
            <xdr:cNvSpPr txBox="1"/>
          </xdr:nvSpPr>
          <xdr:spPr>
            <a:xfrm>
              <a:off x="1704976" y="11982450"/>
              <a:ext cx="11811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𝐻𝑢𝑚𝑎𝑛𝑒𝑥=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0</xdr:colOff>
      <xdr:row>40</xdr:row>
      <xdr:rowOff>0</xdr:rowOff>
    </xdr:from>
    <xdr:to>
      <xdr:col>2</xdr:col>
      <xdr:colOff>723900</xdr:colOff>
      <xdr:row>40</xdr:row>
      <xdr:rowOff>187872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704975" y="7981950"/>
              <a:ext cx="7239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𝐵𝑒𝑠𝑡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25" name="CuadroTexto 5"/>
            <xdr:cNvSpPr txBox="1"/>
          </xdr:nvSpPr>
          <xdr:spPr>
            <a:xfrm>
              <a:off x="1704975" y="7981950"/>
              <a:ext cx="7239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𝐵𝑒𝑠𝑡=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3</xdr:col>
      <xdr:colOff>1314450</xdr:colOff>
      <xdr:row>85</xdr:row>
      <xdr:rowOff>9525</xdr:rowOff>
    </xdr:from>
    <xdr:to>
      <xdr:col>4</xdr:col>
      <xdr:colOff>333375</xdr:colOff>
      <xdr:row>86</xdr:row>
      <xdr:rowOff>47625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3019425" y="1790700"/>
          <a:ext cx="4191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847726</xdr:colOff>
      <xdr:row>85</xdr:row>
      <xdr:rowOff>9525</xdr:rowOff>
    </xdr:from>
    <xdr:to>
      <xdr:col>3</xdr:col>
      <xdr:colOff>1314450</xdr:colOff>
      <xdr:row>86</xdr:row>
      <xdr:rowOff>47625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H="1">
          <a:off x="3676651" y="17402175"/>
          <a:ext cx="466724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695326</xdr:colOff>
      <xdr:row>85</xdr:row>
      <xdr:rowOff>38100</xdr:rowOff>
    </xdr:from>
    <xdr:to>
      <xdr:col>5</xdr:col>
      <xdr:colOff>704850</xdr:colOff>
      <xdr:row>86</xdr:row>
      <xdr:rowOff>142875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5000626" y="1819275"/>
          <a:ext cx="9524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211</xdr:row>
      <xdr:rowOff>0</xdr:rowOff>
    </xdr:from>
    <xdr:to>
      <xdr:col>3</xdr:col>
      <xdr:colOff>1143000</xdr:colOff>
      <xdr:row>212</xdr:row>
      <xdr:rowOff>60915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1447800" y="42662475"/>
              <a:ext cx="2524125" cy="25141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AR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sSubSup>
                      <m:sSub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AR" sz="14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sSubSup>
                      <m:sSub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AR" sz="14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sSub>
                      <m:sSub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31" name="CuadroTexto 7"/>
            <xdr:cNvSpPr txBox="1"/>
          </xdr:nvSpPr>
          <xdr:spPr>
            <a:xfrm>
              <a:off x="1447800" y="42662475"/>
              <a:ext cx="2524125" cy="25141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𝑐^2=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b="0" i="0">
                  <a:latin typeface="Cambria Math" panose="02040503050406030204" pitchFamily="18" charset="0"/>
                </a:rPr>
                <a:t>𝑖^2 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𝑖^2+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b="0" i="0">
                  <a:latin typeface="Cambria Math" panose="02040503050406030204" pitchFamily="18" charset="0"/>
                </a:rPr>
                <a:t>𝑗^2 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𝑗^2+2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b="0" i="0">
                  <a:latin typeface="Cambria Math" panose="02040503050406030204" pitchFamily="18" charset="0"/>
                </a:rPr>
                <a:t>𝑖 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b="0" i="0">
                  <a:latin typeface="Cambria Math" panose="02040503050406030204" pitchFamily="18" charset="0"/>
                </a:rPr>
                <a:t>𝑗 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𝑖𝑗</a:t>
              </a:r>
              <a:endParaRPr lang="es-AR" sz="1400"/>
            </a:p>
          </xdr:txBody>
        </xdr:sp>
      </mc:Fallback>
    </mc:AlternateContent>
    <xdr:clientData/>
  </xdr:twoCellAnchor>
  <xdr:twoCellAnchor>
    <xdr:from>
      <xdr:col>3</xdr:col>
      <xdr:colOff>1314450</xdr:colOff>
      <xdr:row>104</xdr:row>
      <xdr:rowOff>9525</xdr:rowOff>
    </xdr:from>
    <xdr:to>
      <xdr:col>4</xdr:col>
      <xdr:colOff>333375</xdr:colOff>
      <xdr:row>105</xdr:row>
      <xdr:rowOff>47625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3019425" y="14106525"/>
          <a:ext cx="4191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847726</xdr:colOff>
      <xdr:row>104</xdr:row>
      <xdr:rowOff>0</xdr:rowOff>
    </xdr:from>
    <xdr:to>
      <xdr:col>3</xdr:col>
      <xdr:colOff>1323975</xdr:colOff>
      <xdr:row>105</xdr:row>
      <xdr:rowOff>47625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H="1">
          <a:off x="3676651" y="21431250"/>
          <a:ext cx="476249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695326</xdr:colOff>
      <xdr:row>104</xdr:row>
      <xdr:rowOff>38100</xdr:rowOff>
    </xdr:from>
    <xdr:to>
      <xdr:col>5</xdr:col>
      <xdr:colOff>704850</xdr:colOff>
      <xdr:row>105</xdr:row>
      <xdr:rowOff>142875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5000626" y="14135100"/>
          <a:ext cx="9524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120</xdr:row>
      <xdr:rowOff>85725</xdr:rowOff>
    </xdr:from>
    <xdr:to>
      <xdr:col>5</xdr:col>
      <xdr:colOff>714376</xdr:colOff>
      <xdr:row>120</xdr:row>
      <xdr:rowOff>104775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H="1">
          <a:off x="6324600" y="20012025"/>
          <a:ext cx="619126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1314450</xdr:colOff>
      <xdr:row>59</xdr:row>
      <xdr:rowOff>9525</xdr:rowOff>
    </xdr:from>
    <xdr:to>
      <xdr:col>4</xdr:col>
      <xdr:colOff>333375</xdr:colOff>
      <xdr:row>60</xdr:row>
      <xdr:rowOff>47625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3019425" y="18945225"/>
          <a:ext cx="4191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847726</xdr:colOff>
      <xdr:row>59</xdr:row>
      <xdr:rowOff>19050</xdr:rowOff>
    </xdr:from>
    <xdr:to>
      <xdr:col>3</xdr:col>
      <xdr:colOff>1314450</xdr:colOff>
      <xdr:row>60</xdr:row>
      <xdr:rowOff>47625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flipH="1">
          <a:off x="3228976" y="11839575"/>
          <a:ext cx="466724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695326</xdr:colOff>
      <xdr:row>59</xdr:row>
      <xdr:rowOff>38100</xdr:rowOff>
    </xdr:from>
    <xdr:to>
      <xdr:col>5</xdr:col>
      <xdr:colOff>704850</xdr:colOff>
      <xdr:row>60</xdr:row>
      <xdr:rowOff>142875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5000626" y="18973800"/>
          <a:ext cx="9524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74</xdr:row>
      <xdr:rowOff>0</xdr:rowOff>
    </xdr:from>
    <xdr:to>
      <xdr:col>2</xdr:col>
      <xdr:colOff>1181100</xdr:colOff>
      <xdr:row>74</xdr:row>
      <xdr:rowOff>187872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1704975" y="14716125"/>
              <a:ext cx="11811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𝐻𝑢𝑚𝑎𝑛𝑒𝑥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40" name="CuadroTexto 6"/>
            <xdr:cNvSpPr txBox="1"/>
          </xdr:nvSpPr>
          <xdr:spPr>
            <a:xfrm>
              <a:off x="1704975" y="14716125"/>
              <a:ext cx="11811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𝐻𝑢𝑚𝑎𝑛𝑒𝑥=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3</xdr:col>
      <xdr:colOff>228601</xdr:colOff>
      <xdr:row>167</xdr:row>
      <xdr:rowOff>66675</xdr:rowOff>
    </xdr:from>
    <xdr:to>
      <xdr:col>3</xdr:col>
      <xdr:colOff>238125</xdr:colOff>
      <xdr:row>175</xdr:row>
      <xdr:rowOff>114300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>
          <a:off x="1933576" y="24993600"/>
          <a:ext cx="9524" cy="1571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175</xdr:row>
      <xdr:rowOff>114300</xdr:rowOff>
    </xdr:from>
    <xdr:to>
      <xdr:col>4</xdr:col>
      <xdr:colOff>952500</xdr:colOff>
      <xdr:row>175</xdr:row>
      <xdr:rowOff>123825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flipV="1">
          <a:off x="1933575" y="26565225"/>
          <a:ext cx="21240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171</xdr:row>
      <xdr:rowOff>47625</xdr:rowOff>
    </xdr:from>
    <xdr:to>
      <xdr:col>4</xdr:col>
      <xdr:colOff>933450</xdr:colOff>
      <xdr:row>171</xdr:row>
      <xdr:rowOff>47625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1952625" y="25736550"/>
          <a:ext cx="2085975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1276350</xdr:colOff>
      <xdr:row>167</xdr:row>
      <xdr:rowOff>28575</xdr:rowOff>
    </xdr:from>
    <xdr:to>
      <xdr:col>3</xdr:col>
      <xdr:colOff>1285875</xdr:colOff>
      <xdr:row>175</xdr:row>
      <xdr:rowOff>104777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V="1">
          <a:off x="2981325" y="24955500"/>
          <a:ext cx="9525" cy="1600202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170</xdr:row>
      <xdr:rowOff>133350</xdr:rowOff>
    </xdr:from>
    <xdr:to>
      <xdr:col>3</xdr:col>
      <xdr:colOff>200025</xdr:colOff>
      <xdr:row>171</xdr:row>
      <xdr:rowOff>130722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1285875" y="25631775"/>
              <a:ext cx="6191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51" name="CuadroTexto 5"/>
            <xdr:cNvSpPr txBox="1"/>
          </xdr:nvSpPr>
          <xdr:spPr>
            <a:xfrm>
              <a:off x="1285875" y="25631775"/>
              <a:ext cx="6191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𝐸(𝑟_𝐵𝑒𝑠𝑡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3</xdr:col>
      <xdr:colOff>952500</xdr:colOff>
      <xdr:row>175</xdr:row>
      <xdr:rowOff>180975</xdr:rowOff>
    </xdr:from>
    <xdr:to>
      <xdr:col>4</xdr:col>
      <xdr:colOff>171450</xdr:colOff>
      <xdr:row>177</xdr:row>
      <xdr:rowOff>12918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2657475" y="26631900"/>
              <a:ext cx="619125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𝑆𝑢𝑔𝑎𝑟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53" name="CuadroTexto 5"/>
            <xdr:cNvSpPr txBox="1"/>
          </xdr:nvSpPr>
          <xdr:spPr>
            <a:xfrm>
              <a:off x="2657475" y="26631900"/>
              <a:ext cx="619125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𝐸(𝑟_𝑆𝑢𝑔𝑎𝑟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4</xdr:col>
      <xdr:colOff>285750</xdr:colOff>
      <xdr:row>169</xdr:row>
      <xdr:rowOff>95250</xdr:rowOff>
    </xdr:from>
    <xdr:to>
      <xdr:col>4</xdr:col>
      <xdr:colOff>357750</xdr:colOff>
      <xdr:row>169</xdr:row>
      <xdr:rowOff>167250</xdr:rowOff>
    </xdr:to>
    <xdr:sp macro="" textlink="">
      <xdr:nvSpPr>
        <xdr:cNvPr id="55" name="Co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/>
        </xdr:cNvSpPr>
      </xdr:nvSpPr>
      <xdr:spPr>
        <a:xfrm>
          <a:off x="3390900" y="254031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0</xdr:colOff>
      <xdr:row>169</xdr:row>
      <xdr:rowOff>0</xdr:rowOff>
    </xdr:from>
    <xdr:to>
      <xdr:col>4</xdr:col>
      <xdr:colOff>72000</xdr:colOff>
      <xdr:row>169</xdr:row>
      <xdr:rowOff>72000</xdr:rowOff>
    </xdr:to>
    <xdr:sp macro="" textlink="">
      <xdr:nvSpPr>
        <xdr:cNvPr id="56" name="Co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/>
        </xdr:cNvSpPr>
      </xdr:nvSpPr>
      <xdr:spPr>
        <a:xfrm>
          <a:off x="3105150" y="253079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323850</xdr:colOff>
      <xdr:row>168</xdr:row>
      <xdr:rowOff>114300</xdr:rowOff>
    </xdr:from>
    <xdr:to>
      <xdr:col>4</xdr:col>
      <xdr:colOff>395850</xdr:colOff>
      <xdr:row>168</xdr:row>
      <xdr:rowOff>186300</xdr:rowOff>
    </xdr:to>
    <xdr:sp macro="" textlink="">
      <xdr:nvSpPr>
        <xdr:cNvPr id="57" name="Co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/>
        </xdr:cNvSpPr>
      </xdr:nvSpPr>
      <xdr:spPr>
        <a:xfrm>
          <a:off x="3429000" y="252317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1038225</xdr:colOff>
      <xdr:row>172</xdr:row>
      <xdr:rowOff>47625</xdr:rowOff>
    </xdr:from>
    <xdr:to>
      <xdr:col>3</xdr:col>
      <xdr:colOff>1110225</xdr:colOff>
      <xdr:row>172</xdr:row>
      <xdr:rowOff>119625</xdr:rowOff>
    </xdr:to>
    <xdr:sp macro="" textlink="">
      <xdr:nvSpPr>
        <xdr:cNvPr id="59" name="Co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/>
        </xdr:cNvSpPr>
      </xdr:nvSpPr>
      <xdr:spPr>
        <a:xfrm>
          <a:off x="2743200" y="259270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152400</xdr:colOff>
      <xdr:row>169</xdr:row>
      <xdr:rowOff>152400</xdr:rowOff>
    </xdr:from>
    <xdr:to>
      <xdr:col>4</xdr:col>
      <xdr:colOff>224400</xdr:colOff>
      <xdr:row>170</xdr:row>
      <xdr:rowOff>33900</xdr:rowOff>
    </xdr:to>
    <xdr:sp macro="" textlink="">
      <xdr:nvSpPr>
        <xdr:cNvPr id="60" name="Co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/>
        </xdr:cNvSpPr>
      </xdr:nvSpPr>
      <xdr:spPr>
        <a:xfrm>
          <a:off x="3257550" y="254603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904875</xdr:colOff>
      <xdr:row>173</xdr:row>
      <xdr:rowOff>95250</xdr:rowOff>
    </xdr:from>
    <xdr:to>
      <xdr:col>3</xdr:col>
      <xdr:colOff>976875</xdr:colOff>
      <xdr:row>173</xdr:row>
      <xdr:rowOff>167250</xdr:rowOff>
    </xdr:to>
    <xdr:sp macro="" textlink="">
      <xdr:nvSpPr>
        <xdr:cNvPr id="61" name="Conector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/>
        </xdr:cNvSpPr>
      </xdr:nvSpPr>
      <xdr:spPr>
        <a:xfrm>
          <a:off x="2609850" y="261651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1352550</xdr:colOff>
      <xdr:row>170</xdr:row>
      <xdr:rowOff>95250</xdr:rowOff>
    </xdr:from>
    <xdr:to>
      <xdr:col>4</xdr:col>
      <xdr:colOff>24375</xdr:colOff>
      <xdr:row>170</xdr:row>
      <xdr:rowOff>167250</xdr:rowOff>
    </xdr:to>
    <xdr:sp macro="" textlink="">
      <xdr:nvSpPr>
        <xdr:cNvPr id="63" name="Co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/>
        </xdr:cNvSpPr>
      </xdr:nvSpPr>
      <xdr:spPr>
        <a:xfrm>
          <a:off x="3057525" y="255936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152400</xdr:colOff>
      <xdr:row>168</xdr:row>
      <xdr:rowOff>152400</xdr:rowOff>
    </xdr:from>
    <xdr:to>
      <xdr:col>4</xdr:col>
      <xdr:colOff>224400</xdr:colOff>
      <xdr:row>169</xdr:row>
      <xdr:rowOff>33900</xdr:rowOff>
    </xdr:to>
    <xdr:sp macro="" textlink="">
      <xdr:nvSpPr>
        <xdr:cNvPr id="64" name="Co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/>
        </xdr:cNvSpPr>
      </xdr:nvSpPr>
      <xdr:spPr>
        <a:xfrm>
          <a:off x="3257550" y="252698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923925</xdr:colOff>
      <xdr:row>171</xdr:row>
      <xdr:rowOff>133350</xdr:rowOff>
    </xdr:from>
    <xdr:to>
      <xdr:col>3</xdr:col>
      <xdr:colOff>995925</xdr:colOff>
      <xdr:row>172</xdr:row>
      <xdr:rowOff>14850</xdr:rowOff>
    </xdr:to>
    <xdr:sp macro="" textlink="">
      <xdr:nvSpPr>
        <xdr:cNvPr id="65" name="Conector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/>
        </xdr:cNvSpPr>
      </xdr:nvSpPr>
      <xdr:spPr>
        <a:xfrm>
          <a:off x="2628900" y="258222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381000</xdr:colOff>
      <xdr:row>168</xdr:row>
      <xdr:rowOff>180975</xdr:rowOff>
    </xdr:from>
    <xdr:to>
      <xdr:col>4</xdr:col>
      <xdr:colOff>453000</xdr:colOff>
      <xdr:row>169</xdr:row>
      <xdr:rowOff>62475</xdr:rowOff>
    </xdr:to>
    <xdr:sp macro="" textlink="">
      <xdr:nvSpPr>
        <xdr:cNvPr id="66" name="Co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/>
        </xdr:cNvSpPr>
      </xdr:nvSpPr>
      <xdr:spPr>
        <a:xfrm>
          <a:off x="3486150" y="2529840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800100</xdr:colOff>
      <xdr:row>172</xdr:row>
      <xdr:rowOff>123825</xdr:rowOff>
    </xdr:from>
    <xdr:to>
      <xdr:col>3</xdr:col>
      <xdr:colOff>872100</xdr:colOff>
      <xdr:row>173</xdr:row>
      <xdr:rowOff>5325</xdr:rowOff>
    </xdr:to>
    <xdr:sp macro="" textlink="">
      <xdr:nvSpPr>
        <xdr:cNvPr id="67" name="Co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/>
        </xdr:cNvSpPr>
      </xdr:nvSpPr>
      <xdr:spPr>
        <a:xfrm>
          <a:off x="2505075" y="260032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219076</xdr:colOff>
      <xdr:row>167</xdr:row>
      <xdr:rowOff>85725</xdr:rowOff>
    </xdr:from>
    <xdr:to>
      <xdr:col>6</xdr:col>
      <xdr:colOff>228600</xdr:colOff>
      <xdr:row>175</xdr:row>
      <xdr:rowOff>133350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/>
      </xdr:nvCxnSpPr>
      <xdr:spPr>
        <a:xfrm flipH="1">
          <a:off x="6448426" y="25012650"/>
          <a:ext cx="9524" cy="1571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175</xdr:row>
      <xdr:rowOff>114300</xdr:rowOff>
    </xdr:from>
    <xdr:to>
      <xdr:col>7</xdr:col>
      <xdr:colOff>952500</xdr:colOff>
      <xdr:row>175</xdr:row>
      <xdr:rowOff>123825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V="1">
          <a:off x="1933575" y="26565225"/>
          <a:ext cx="21240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171</xdr:row>
      <xdr:rowOff>47626</xdr:rowOff>
    </xdr:from>
    <xdr:to>
      <xdr:col>8</xdr:col>
      <xdr:colOff>0</xdr:colOff>
      <xdr:row>171</xdr:row>
      <xdr:rowOff>57150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V="1">
          <a:off x="6515100" y="25736551"/>
          <a:ext cx="1866900" cy="952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1276350</xdr:colOff>
      <xdr:row>167</xdr:row>
      <xdr:rowOff>28575</xdr:rowOff>
    </xdr:from>
    <xdr:to>
      <xdr:col>6</xdr:col>
      <xdr:colOff>1285875</xdr:colOff>
      <xdr:row>175</xdr:row>
      <xdr:rowOff>104777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 flipV="1">
          <a:off x="2981325" y="24955500"/>
          <a:ext cx="9525" cy="1600202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819150</xdr:colOff>
      <xdr:row>170</xdr:row>
      <xdr:rowOff>142875</xdr:rowOff>
    </xdr:from>
    <xdr:to>
      <xdr:col>6</xdr:col>
      <xdr:colOff>495300</xdr:colOff>
      <xdr:row>171</xdr:row>
      <xdr:rowOff>140247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5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5124450" y="25641300"/>
              <a:ext cx="16002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72" name="CuadroTexto 5"/>
            <xdr:cNvSpPr txBox="1"/>
          </xdr:nvSpPr>
          <xdr:spPr>
            <a:xfrm>
              <a:off x="5124450" y="25641300"/>
              <a:ext cx="16002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𝐸(𝑟_𝐵𝑒𝑠𝑡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6</xdr:col>
      <xdr:colOff>952500</xdr:colOff>
      <xdr:row>175</xdr:row>
      <xdr:rowOff>180975</xdr:rowOff>
    </xdr:from>
    <xdr:to>
      <xdr:col>7</xdr:col>
      <xdr:colOff>171450</xdr:colOff>
      <xdr:row>177</xdr:row>
      <xdr:rowOff>12918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uadroTexto 5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 txBox="1"/>
          </xdr:nvSpPr>
          <xdr:spPr>
            <a:xfrm>
              <a:off x="2657475" y="26631900"/>
              <a:ext cx="619125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𝑆𝑢𝑔𝑎𝑟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73" name="CuadroTexto 5"/>
            <xdr:cNvSpPr txBox="1"/>
          </xdr:nvSpPr>
          <xdr:spPr>
            <a:xfrm>
              <a:off x="2657475" y="26631900"/>
              <a:ext cx="619125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𝐸(𝑟_𝑆𝑢𝑔𝑎𝑟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7</xdr:col>
      <xdr:colOff>200025</xdr:colOff>
      <xdr:row>172</xdr:row>
      <xdr:rowOff>123825</xdr:rowOff>
    </xdr:from>
    <xdr:to>
      <xdr:col>7</xdr:col>
      <xdr:colOff>272025</xdr:colOff>
      <xdr:row>173</xdr:row>
      <xdr:rowOff>5325</xdr:rowOff>
    </xdr:to>
    <xdr:sp macro="" textlink="">
      <xdr:nvSpPr>
        <xdr:cNvPr id="74" name="Conector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/>
        </xdr:cNvSpPr>
      </xdr:nvSpPr>
      <xdr:spPr>
        <a:xfrm>
          <a:off x="7820025" y="260032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95250</xdr:colOff>
      <xdr:row>172</xdr:row>
      <xdr:rowOff>95250</xdr:rowOff>
    </xdr:from>
    <xdr:to>
      <xdr:col>7</xdr:col>
      <xdr:colOff>167250</xdr:colOff>
      <xdr:row>172</xdr:row>
      <xdr:rowOff>167250</xdr:rowOff>
    </xdr:to>
    <xdr:sp macro="" textlink="">
      <xdr:nvSpPr>
        <xdr:cNvPr id="75" name="Conector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/>
        </xdr:cNvSpPr>
      </xdr:nvSpPr>
      <xdr:spPr>
        <a:xfrm>
          <a:off x="7715250" y="259746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9525</xdr:colOff>
      <xdr:row>173</xdr:row>
      <xdr:rowOff>19050</xdr:rowOff>
    </xdr:from>
    <xdr:to>
      <xdr:col>7</xdr:col>
      <xdr:colOff>81525</xdr:colOff>
      <xdr:row>173</xdr:row>
      <xdr:rowOff>91050</xdr:rowOff>
    </xdr:to>
    <xdr:sp macro="" textlink="">
      <xdr:nvSpPr>
        <xdr:cNvPr id="76" name="Conector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/>
        </xdr:cNvSpPr>
      </xdr:nvSpPr>
      <xdr:spPr>
        <a:xfrm>
          <a:off x="7629525" y="260889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1133475</xdr:colOff>
      <xdr:row>169</xdr:row>
      <xdr:rowOff>85725</xdr:rowOff>
    </xdr:from>
    <xdr:to>
      <xdr:col>6</xdr:col>
      <xdr:colOff>1205475</xdr:colOff>
      <xdr:row>169</xdr:row>
      <xdr:rowOff>157725</xdr:rowOff>
    </xdr:to>
    <xdr:sp macro="" textlink="">
      <xdr:nvSpPr>
        <xdr:cNvPr id="77" name="Conector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/>
        </xdr:cNvSpPr>
      </xdr:nvSpPr>
      <xdr:spPr>
        <a:xfrm>
          <a:off x="7362825" y="253936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866775</xdr:colOff>
      <xdr:row>169</xdr:row>
      <xdr:rowOff>9525</xdr:rowOff>
    </xdr:from>
    <xdr:to>
      <xdr:col>6</xdr:col>
      <xdr:colOff>938775</xdr:colOff>
      <xdr:row>169</xdr:row>
      <xdr:rowOff>81525</xdr:rowOff>
    </xdr:to>
    <xdr:sp macro="" textlink="">
      <xdr:nvSpPr>
        <xdr:cNvPr id="78" name="Co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/>
        </xdr:cNvSpPr>
      </xdr:nvSpPr>
      <xdr:spPr>
        <a:xfrm>
          <a:off x="7096125" y="253174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1143000</xdr:colOff>
      <xdr:row>170</xdr:row>
      <xdr:rowOff>28575</xdr:rowOff>
    </xdr:from>
    <xdr:to>
      <xdr:col>6</xdr:col>
      <xdr:colOff>1215000</xdr:colOff>
      <xdr:row>170</xdr:row>
      <xdr:rowOff>100575</xdr:rowOff>
    </xdr:to>
    <xdr:sp macro="" textlink="">
      <xdr:nvSpPr>
        <xdr:cNvPr id="79" name="Co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/>
        </xdr:cNvSpPr>
      </xdr:nvSpPr>
      <xdr:spPr>
        <a:xfrm>
          <a:off x="7372350" y="2552700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0</xdr:colOff>
      <xdr:row>171</xdr:row>
      <xdr:rowOff>180975</xdr:rowOff>
    </xdr:from>
    <xdr:to>
      <xdr:col>7</xdr:col>
      <xdr:colOff>62475</xdr:colOff>
      <xdr:row>172</xdr:row>
      <xdr:rowOff>62475</xdr:rowOff>
    </xdr:to>
    <xdr:sp macro="" textlink="">
      <xdr:nvSpPr>
        <xdr:cNvPr id="80" name="Co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/>
        </xdr:cNvSpPr>
      </xdr:nvSpPr>
      <xdr:spPr>
        <a:xfrm>
          <a:off x="7620000" y="25869900"/>
          <a:ext cx="62475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314325</xdr:colOff>
      <xdr:row>172</xdr:row>
      <xdr:rowOff>76200</xdr:rowOff>
    </xdr:from>
    <xdr:to>
      <xdr:col>7</xdr:col>
      <xdr:colOff>386325</xdr:colOff>
      <xdr:row>172</xdr:row>
      <xdr:rowOff>148200</xdr:rowOff>
    </xdr:to>
    <xdr:sp macro="" textlink="">
      <xdr:nvSpPr>
        <xdr:cNvPr id="81" name="Conector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/>
        </xdr:cNvSpPr>
      </xdr:nvSpPr>
      <xdr:spPr>
        <a:xfrm>
          <a:off x="7934325" y="259556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990600</xdr:colOff>
      <xdr:row>169</xdr:row>
      <xdr:rowOff>180975</xdr:rowOff>
    </xdr:from>
    <xdr:to>
      <xdr:col>6</xdr:col>
      <xdr:colOff>1062600</xdr:colOff>
      <xdr:row>170</xdr:row>
      <xdr:rowOff>62475</xdr:rowOff>
    </xdr:to>
    <xdr:sp macro="" textlink="">
      <xdr:nvSpPr>
        <xdr:cNvPr id="82" name="Co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/>
        </xdr:cNvSpPr>
      </xdr:nvSpPr>
      <xdr:spPr>
        <a:xfrm>
          <a:off x="7219950" y="2548890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180975</xdr:colOff>
      <xdr:row>172</xdr:row>
      <xdr:rowOff>0</xdr:rowOff>
    </xdr:from>
    <xdr:to>
      <xdr:col>7</xdr:col>
      <xdr:colOff>252975</xdr:colOff>
      <xdr:row>172</xdr:row>
      <xdr:rowOff>72000</xdr:rowOff>
    </xdr:to>
    <xdr:sp macro="" textlink="">
      <xdr:nvSpPr>
        <xdr:cNvPr id="83" name="Co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/>
        </xdr:cNvSpPr>
      </xdr:nvSpPr>
      <xdr:spPr>
        <a:xfrm>
          <a:off x="7800975" y="258794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847725</xdr:colOff>
      <xdr:row>169</xdr:row>
      <xdr:rowOff>142875</xdr:rowOff>
    </xdr:from>
    <xdr:to>
      <xdr:col>6</xdr:col>
      <xdr:colOff>919725</xdr:colOff>
      <xdr:row>170</xdr:row>
      <xdr:rowOff>24375</xdr:rowOff>
    </xdr:to>
    <xdr:sp macro="" textlink="">
      <xdr:nvSpPr>
        <xdr:cNvPr id="84" name="Co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/>
        </xdr:cNvSpPr>
      </xdr:nvSpPr>
      <xdr:spPr>
        <a:xfrm>
          <a:off x="7077075" y="2545080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228601</xdr:colOff>
      <xdr:row>179</xdr:row>
      <xdr:rowOff>66675</xdr:rowOff>
    </xdr:from>
    <xdr:to>
      <xdr:col>3</xdr:col>
      <xdr:colOff>238125</xdr:colOff>
      <xdr:row>187</xdr:row>
      <xdr:rowOff>114300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flipH="1">
          <a:off x="1933576" y="24993600"/>
          <a:ext cx="9524" cy="1571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187</xdr:row>
      <xdr:rowOff>114300</xdr:rowOff>
    </xdr:from>
    <xdr:to>
      <xdr:col>4</xdr:col>
      <xdr:colOff>952500</xdr:colOff>
      <xdr:row>187</xdr:row>
      <xdr:rowOff>123825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 flipV="1">
          <a:off x="1933575" y="26565225"/>
          <a:ext cx="21240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183</xdr:row>
      <xdr:rowOff>47625</xdr:rowOff>
    </xdr:from>
    <xdr:to>
      <xdr:col>4</xdr:col>
      <xdr:colOff>933450</xdr:colOff>
      <xdr:row>183</xdr:row>
      <xdr:rowOff>47625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>
          <a:off x="1952625" y="25736550"/>
          <a:ext cx="2085975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1276350</xdr:colOff>
      <xdr:row>179</xdr:row>
      <xdr:rowOff>28575</xdr:rowOff>
    </xdr:from>
    <xdr:to>
      <xdr:col>3</xdr:col>
      <xdr:colOff>1285875</xdr:colOff>
      <xdr:row>187</xdr:row>
      <xdr:rowOff>104777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 flipV="1">
          <a:off x="2981325" y="24955500"/>
          <a:ext cx="9525" cy="1600202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182</xdr:row>
      <xdr:rowOff>133350</xdr:rowOff>
    </xdr:from>
    <xdr:to>
      <xdr:col>3</xdr:col>
      <xdr:colOff>200025</xdr:colOff>
      <xdr:row>183</xdr:row>
      <xdr:rowOff>130722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>
              <a:off x="1285875" y="25631775"/>
              <a:ext cx="6191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91" name="CuadroTexto 5"/>
            <xdr:cNvSpPr txBox="1"/>
          </xdr:nvSpPr>
          <xdr:spPr>
            <a:xfrm>
              <a:off x="1285875" y="25631775"/>
              <a:ext cx="6191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𝐸(𝑟_𝐵𝑒𝑠𝑡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3</xdr:col>
      <xdr:colOff>857250</xdr:colOff>
      <xdr:row>188</xdr:row>
      <xdr:rowOff>19050</xdr:rowOff>
    </xdr:from>
    <xdr:to>
      <xdr:col>4</xdr:col>
      <xdr:colOff>238125</xdr:colOff>
      <xdr:row>189</xdr:row>
      <xdr:rowOff>41493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2562225" y="28956000"/>
              <a:ext cx="781050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𝑆𝑢𝑔𝑎𝑟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92" name="CuadroTexto 5"/>
            <xdr:cNvSpPr txBox="1"/>
          </xdr:nvSpPr>
          <xdr:spPr>
            <a:xfrm>
              <a:off x="2562225" y="28956000"/>
              <a:ext cx="781050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𝐸(𝑟_𝑆𝑢𝑔𝑎𝑟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4</xdr:col>
      <xdr:colOff>161925</xdr:colOff>
      <xdr:row>184</xdr:row>
      <xdr:rowOff>9525</xdr:rowOff>
    </xdr:from>
    <xdr:to>
      <xdr:col>4</xdr:col>
      <xdr:colOff>233925</xdr:colOff>
      <xdr:row>184</xdr:row>
      <xdr:rowOff>81525</xdr:rowOff>
    </xdr:to>
    <xdr:sp macro="" textlink="">
      <xdr:nvSpPr>
        <xdr:cNvPr id="93" name="Co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/>
        </xdr:cNvSpPr>
      </xdr:nvSpPr>
      <xdr:spPr>
        <a:xfrm>
          <a:off x="3267075" y="279939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72000</xdr:colOff>
      <xdr:row>181</xdr:row>
      <xdr:rowOff>72000</xdr:rowOff>
    </xdr:to>
    <xdr:sp macro="" textlink="">
      <xdr:nvSpPr>
        <xdr:cNvPr id="94" name="Conector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/>
        </xdr:cNvSpPr>
      </xdr:nvSpPr>
      <xdr:spPr>
        <a:xfrm>
          <a:off x="3105150" y="253079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66675</xdr:colOff>
      <xdr:row>181</xdr:row>
      <xdr:rowOff>180975</xdr:rowOff>
    </xdr:from>
    <xdr:to>
      <xdr:col>4</xdr:col>
      <xdr:colOff>138675</xdr:colOff>
      <xdr:row>182</xdr:row>
      <xdr:rowOff>62475</xdr:rowOff>
    </xdr:to>
    <xdr:sp macro="" textlink="">
      <xdr:nvSpPr>
        <xdr:cNvPr id="95" name="Conector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/>
        </xdr:cNvSpPr>
      </xdr:nvSpPr>
      <xdr:spPr>
        <a:xfrm>
          <a:off x="3171825" y="275939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1171575</xdr:colOff>
      <xdr:row>183</xdr:row>
      <xdr:rowOff>123825</xdr:rowOff>
    </xdr:from>
    <xdr:to>
      <xdr:col>3</xdr:col>
      <xdr:colOff>1243575</xdr:colOff>
      <xdr:row>184</xdr:row>
      <xdr:rowOff>5325</xdr:rowOff>
    </xdr:to>
    <xdr:sp macro="" textlink="">
      <xdr:nvSpPr>
        <xdr:cNvPr id="96" name="Conector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/>
        </xdr:cNvSpPr>
      </xdr:nvSpPr>
      <xdr:spPr>
        <a:xfrm>
          <a:off x="2876550" y="279177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1390650</xdr:colOff>
      <xdr:row>183</xdr:row>
      <xdr:rowOff>152400</xdr:rowOff>
    </xdr:from>
    <xdr:to>
      <xdr:col>4</xdr:col>
      <xdr:colOff>62475</xdr:colOff>
      <xdr:row>184</xdr:row>
      <xdr:rowOff>33900</xdr:rowOff>
    </xdr:to>
    <xdr:sp macro="" textlink="">
      <xdr:nvSpPr>
        <xdr:cNvPr id="97" name="Co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/>
        </xdr:cNvSpPr>
      </xdr:nvSpPr>
      <xdr:spPr>
        <a:xfrm>
          <a:off x="3095625" y="279463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1152525</xdr:colOff>
      <xdr:row>184</xdr:row>
      <xdr:rowOff>76200</xdr:rowOff>
    </xdr:from>
    <xdr:to>
      <xdr:col>3</xdr:col>
      <xdr:colOff>1224525</xdr:colOff>
      <xdr:row>184</xdr:row>
      <xdr:rowOff>148200</xdr:rowOff>
    </xdr:to>
    <xdr:sp macro="" textlink="">
      <xdr:nvSpPr>
        <xdr:cNvPr id="98" name="Conector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/>
        </xdr:cNvSpPr>
      </xdr:nvSpPr>
      <xdr:spPr>
        <a:xfrm>
          <a:off x="2857500" y="280606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1352550</xdr:colOff>
      <xdr:row>182</xdr:row>
      <xdr:rowOff>95250</xdr:rowOff>
    </xdr:from>
    <xdr:to>
      <xdr:col>4</xdr:col>
      <xdr:colOff>24375</xdr:colOff>
      <xdr:row>182</xdr:row>
      <xdr:rowOff>167250</xdr:rowOff>
    </xdr:to>
    <xdr:sp macro="" textlink="">
      <xdr:nvSpPr>
        <xdr:cNvPr id="99" name="Co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/>
        </xdr:cNvSpPr>
      </xdr:nvSpPr>
      <xdr:spPr>
        <a:xfrm>
          <a:off x="3057525" y="255936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1152525</xdr:colOff>
      <xdr:row>181</xdr:row>
      <xdr:rowOff>76200</xdr:rowOff>
    </xdr:from>
    <xdr:to>
      <xdr:col>3</xdr:col>
      <xdr:colOff>1224525</xdr:colOff>
      <xdr:row>181</xdr:row>
      <xdr:rowOff>148200</xdr:rowOff>
    </xdr:to>
    <xdr:sp macro="" textlink="">
      <xdr:nvSpPr>
        <xdr:cNvPr id="100" name="Conector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/>
        </xdr:cNvSpPr>
      </xdr:nvSpPr>
      <xdr:spPr>
        <a:xfrm>
          <a:off x="2857500" y="274891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1057275</xdr:colOff>
      <xdr:row>182</xdr:row>
      <xdr:rowOff>38100</xdr:rowOff>
    </xdr:from>
    <xdr:to>
      <xdr:col>3</xdr:col>
      <xdr:colOff>1129275</xdr:colOff>
      <xdr:row>182</xdr:row>
      <xdr:rowOff>110100</xdr:rowOff>
    </xdr:to>
    <xdr:sp macro="" textlink="">
      <xdr:nvSpPr>
        <xdr:cNvPr id="101" name="Conector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/>
        </xdr:cNvSpPr>
      </xdr:nvSpPr>
      <xdr:spPr>
        <a:xfrm>
          <a:off x="2762250" y="276415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95250</xdr:colOff>
      <xdr:row>182</xdr:row>
      <xdr:rowOff>161925</xdr:rowOff>
    </xdr:from>
    <xdr:to>
      <xdr:col>4</xdr:col>
      <xdr:colOff>167250</xdr:colOff>
      <xdr:row>183</xdr:row>
      <xdr:rowOff>43425</xdr:rowOff>
    </xdr:to>
    <xdr:sp macro="" textlink="">
      <xdr:nvSpPr>
        <xdr:cNvPr id="102" name="Conector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/>
        </xdr:cNvSpPr>
      </xdr:nvSpPr>
      <xdr:spPr>
        <a:xfrm>
          <a:off x="3200400" y="277653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990600</xdr:colOff>
      <xdr:row>183</xdr:row>
      <xdr:rowOff>57150</xdr:rowOff>
    </xdr:from>
    <xdr:to>
      <xdr:col>3</xdr:col>
      <xdr:colOff>1062600</xdr:colOff>
      <xdr:row>183</xdr:row>
      <xdr:rowOff>129150</xdr:rowOff>
    </xdr:to>
    <xdr:sp macro="" textlink="">
      <xdr:nvSpPr>
        <xdr:cNvPr id="103" name="Conecto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/>
        </xdr:cNvSpPr>
      </xdr:nvSpPr>
      <xdr:spPr>
        <a:xfrm>
          <a:off x="2695575" y="2785110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1</xdr:col>
      <xdr:colOff>881062</xdr:colOff>
      <xdr:row>136</xdr:row>
      <xdr:rowOff>4762</xdr:rowOff>
    </xdr:from>
    <xdr:ext cx="21868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CuadroTexto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1643062" y="27951112"/>
              <a:ext cx="21868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𝐵𝑒𝑠𝑡</m:t>
                                </m:r>
                              </m:sub>
                            </m:sSub>
                          </m:e>
                        </m:d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𝐾𝑎𝑛𝑒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𝐾𝑎𝑛𝑒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4" name="CuadroTexto 103"/>
            <xdr:cNvSpPr txBox="1"/>
          </xdr:nvSpPr>
          <xdr:spPr>
            <a:xfrm>
              <a:off x="1643062" y="27951112"/>
              <a:ext cx="21868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[</a:t>
              </a:r>
              <a:r>
                <a:rPr lang="es-AR" sz="1100" b="0" i="0">
                  <a:latin typeface="Cambria Math" panose="02040503050406030204" pitchFamily="18" charset="0"/>
                </a:rPr>
                <a:t>𝑟_𝐵𝑒𝑠𝑡−𝐸(𝑟_𝐵𝑒𝑠𝑡 )]</a:t>
              </a:r>
              <a:r>
                <a:rPr lang="es-AR" sz="1100" i="0">
                  <a:latin typeface="Cambria Math" panose="02040503050406030204" pitchFamily="18" charset="0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𝑟_𝐾𝑎𝑛𝑒−𝐸(𝑟_𝐾𝑎𝑛𝑒 )]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3</xdr:col>
      <xdr:colOff>1095374</xdr:colOff>
      <xdr:row>133</xdr:row>
      <xdr:rowOff>180974</xdr:rowOff>
    </xdr:from>
    <xdr:to>
      <xdr:col>4</xdr:col>
      <xdr:colOff>38099</xdr:colOff>
      <xdr:row>139</xdr:row>
      <xdr:rowOff>19049</xdr:rowOff>
    </xdr:to>
    <xdr:sp macro="" textlink="">
      <xdr:nvSpPr>
        <xdr:cNvPr id="105" name="Cerrar llav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 rot="10800000">
          <a:off x="3924299" y="27555824"/>
          <a:ext cx="342900" cy="9810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695325</xdr:colOff>
      <xdr:row>153</xdr:row>
      <xdr:rowOff>104775</xdr:rowOff>
    </xdr:from>
    <xdr:to>
      <xdr:col>4</xdr:col>
      <xdr:colOff>657225</xdr:colOff>
      <xdr:row>156</xdr:row>
      <xdr:rowOff>56110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CuadroTexto 9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>
              <a:off x="1457325" y="26555700"/>
              <a:ext cx="3505200" cy="5228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𝐶𝑜𝑣</m:t>
                    </m:r>
                    <m:d>
                      <m:d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s-AR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  <m:sup/>
                      <m:e>
                        <m:r>
                          <m:rPr>
                            <m:sty m:val="p"/>
                          </m:rPr>
                          <a:rPr lang="es-AR" sz="14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)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106" name="CuadroTexto 9"/>
            <xdr:cNvSpPr txBox="1"/>
          </xdr:nvSpPr>
          <xdr:spPr>
            <a:xfrm>
              <a:off x="1457325" y="26555700"/>
              <a:ext cx="3505200" cy="5228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𝐶𝑜𝑣(𝑟_𝑖, 𝑟_𝑗 )=∑_𝑠▒〖Pr⁡(𝑠)[𝑟_𝑖−𝐸(𝑟_𝑖)][𝑟_𝑗−𝐸(𝑟_𝑗)] 〗</a:t>
              </a:r>
              <a:endParaRPr lang="es-AR" sz="1400"/>
            </a:p>
          </xdr:txBody>
        </xdr:sp>
      </mc:Fallback>
    </mc:AlternateContent>
    <xdr:clientData/>
  </xdr:twoCellAnchor>
  <xdr:twoCellAnchor>
    <xdr:from>
      <xdr:col>1</xdr:col>
      <xdr:colOff>552449</xdr:colOff>
      <xdr:row>156</xdr:row>
      <xdr:rowOff>161924</xdr:rowOff>
    </xdr:from>
    <xdr:to>
      <xdr:col>5</xdr:col>
      <xdr:colOff>838200</xdr:colOff>
      <xdr:row>159</xdr:row>
      <xdr:rowOff>38624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CuadroTexto 9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 txBox="1"/>
          </xdr:nvSpPr>
          <xdr:spPr>
            <a:xfrm>
              <a:off x="1314449" y="32337374"/>
              <a:ext cx="4743451" cy="4482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𝐶𝑜𝑣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𝑆𝑢𝑔𝑎𝑟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s-AR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  <m:sup/>
                      <m:e>
                        <m:r>
                          <m:rPr>
                            <m:sty m:val="p"/>
                          </m:rPr>
                          <a:rPr lang="es-AR" sz="12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)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𝐵𝑒𝑠𝑡</m:t>
                                </m:r>
                              </m:sub>
                            </m:s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𝐵𝑒𝑠𝑡</m:t>
                                </m:r>
                              </m:sub>
                            </m:s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𝑆𝑢𝑔𝑎𝑟</m:t>
                                </m:r>
                              </m:sub>
                            </m:s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𝑆𝑢𝑔𝑎𝑟</m:t>
                                </m:r>
                              </m:sub>
                            </m:s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07" name="CuadroTexto 9"/>
            <xdr:cNvSpPr txBox="1"/>
          </xdr:nvSpPr>
          <xdr:spPr>
            <a:xfrm>
              <a:off x="1314449" y="32337374"/>
              <a:ext cx="4743451" cy="4482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𝐶𝑜𝑣(𝑟_𝐵𝑒𝑠𝑡, 𝑟_𝑆𝑢𝑔𝑎𝑟 )=∑_𝑠▒〖Pr⁡(𝑠)[𝑟_𝐵𝑒𝑠𝑡−𝐸(𝑟_𝐵𝑒𝑠𝑡)][𝑟_𝑆𝑢𝑔𝑎𝑟−𝐸(𝑟_𝑆𝑢𝑔𝑎𝑟)] 〗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1</xdr:col>
      <xdr:colOff>733423</xdr:colOff>
      <xdr:row>159</xdr:row>
      <xdr:rowOff>161925</xdr:rowOff>
    </xdr:from>
    <xdr:to>
      <xdr:col>11</xdr:col>
      <xdr:colOff>647699</xdr:colOff>
      <xdr:row>160</xdr:row>
      <xdr:rowOff>184368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CuadroTexto 9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 txBox="1"/>
          </xdr:nvSpPr>
          <xdr:spPr>
            <a:xfrm>
              <a:off x="1495423" y="32908875"/>
              <a:ext cx="8763001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s-AR" sz="1200" b="0" i="1">
                      <a:latin typeface="Cambria Math" panose="02040503050406030204" pitchFamily="18" charset="0"/>
                    </a:rPr>
                    <m:t>𝐶𝑜𝑣</m:t>
                  </m:r>
                  <m:d>
                    <m:d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𝐵𝑒𝑠𝑡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, </m:t>
                      </m:r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𝑆𝑢𝑔𝑎𝑟</m:t>
                          </m:r>
                        </m:sub>
                      </m:sSub>
                    </m:e>
                  </m:d>
                  <m:r>
                    <a:rPr lang="es-AR" sz="1200" b="0" i="1">
                      <a:latin typeface="Cambria Math" panose="02040503050406030204" pitchFamily="18" charset="0"/>
                    </a:rPr>
                    <m:t>=0,5</m:t>
                  </m:r>
                  <m:d>
                    <m:dPr>
                      <m:begChr m:val="["/>
                      <m:endChr m:val="]"/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0,25−0,105</m:t>
                      </m:r>
                    </m:e>
                  </m:d>
                  <m:d>
                    <m:dPr>
                      <m:begChr m:val="["/>
                      <m:endChr m:val="]"/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0,01−0,06</m:t>
                      </m:r>
                    </m:e>
                  </m:d>
                </m:oMath>
              </a14:m>
              <a:r>
                <a:rPr lang="es-AR" sz="1200"/>
                <a:t>+</a:t>
              </a: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0,3</m:t>
                  </m:r>
                  <m:d>
                    <m:dPr>
                      <m:begChr m:val="["/>
                      <m:endChr m:val="]"/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0,1−0,105</m:t>
                      </m:r>
                    </m:e>
                  </m:d>
                  <m:d>
                    <m:dPr>
                      <m:begChr m:val="["/>
                      <m:endChr m:val="]"/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−0,05−0,06</m:t>
                      </m:r>
                    </m:e>
                  </m:d>
                </m:oMath>
              </a14:m>
              <a:r>
                <a:rPr lang="es-AR" sz="1200"/>
                <a:t>+</a:t>
              </a: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0,2</m:t>
                  </m:r>
                  <m:d>
                    <m:dPr>
                      <m:begChr m:val="["/>
                      <m:endChr m:val="]"/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−0,25−0,105</m:t>
                      </m:r>
                    </m:e>
                  </m:d>
                  <m:d>
                    <m:dPr>
                      <m:begChr m:val="["/>
                      <m:endChr m:val="]"/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0,35−0,06</m:t>
                      </m:r>
                    </m:e>
                  </m:d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=−0,02405</m:t>
                  </m:r>
                </m:oMath>
              </a14:m>
              <a:endParaRPr lang="es-AR" sz="12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8" name="CuadroTexto 9"/>
            <xdr:cNvSpPr txBox="1"/>
          </xdr:nvSpPr>
          <xdr:spPr>
            <a:xfrm>
              <a:off x="1495423" y="32908875"/>
              <a:ext cx="8763001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𝐶𝑜𝑣(𝑟_𝐵𝑒𝑠𝑡, 𝑟_𝑆𝑢𝑔𝑎𝑟 )=0,5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0,25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0,105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][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0,01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0,06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r>
                <a:rPr lang="es-AR" sz="1200"/>
                <a:t>+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−0,105][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−0,05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−0,06]</a:t>
              </a:r>
              <a:r>
                <a:rPr lang="es-AR" sz="1200"/>
                <a:t>+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−0,25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−0,105][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0,35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−0,06]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=−0,02405</a:t>
              </a:r>
              <a:endParaRPr lang="es-AR" sz="1200" b="0" kern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1314450</xdr:colOff>
      <xdr:row>143</xdr:row>
      <xdr:rowOff>9525</xdr:rowOff>
    </xdr:from>
    <xdr:to>
      <xdr:col>4</xdr:col>
      <xdr:colOff>333375</xdr:colOff>
      <xdr:row>144</xdr:row>
      <xdr:rowOff>47625</xdr:rowOff>
    </xdr:to>
    <xdr:cxnSp macro="">
      <xdr:nvCxnSpPr>
        <xdr:cNvPr id="111" name="Conector recto de flecha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/>
      </xdr:nvCxnSpPr>
      <xdr:spPr>
        <a:xfrm>
          <a:off x="3019425" y="19945350"/>
          <a:ext cx="4191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143</xdr:row>
      <xdr:rowOff>0</xdr:rowOff>
    </xdr:from>
    <xdr:to>
      <xdr:col>3</xdr:col>
      <xdr:colOff>1304926</xdr:colOff>
      <xdr:row>144</xdr:row>
      <xdr:rowOff>66675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/>
      </xdr:nvCxnSpPr>
      <xdr:spPr>
        <a:xfrm flipH="1">
          <a:off x="3629025" y="29498925"/>
          <a:ext cx="504826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695326</xdr:colOff>
      <xdr:row>143</xdr:row>
      <xdr:rowOff>38100</xdr:rowOff>
    </xdr:from>
    <xdr:to>
      <xdr:col>5</xdr:col>
      <xdr:colOff>704850</xdr:colOff>
      <xdr:row>144</xdr:row>
      <xdr:rowOff>142875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/>
      </xdr:nvCxnSpPr>
      <xdr:spPr>
        <a:xfrm>
          <a:off x="5000626" y="19973925"/>
          <a:ext cx="9524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161</xdr:row>
      <xdr:rowOff>180975</xdr:rowOff>
    </xdr:from>
    <xdr:to>
      <xdr:col>2</xdr:col>
      <xdr:colOff>1114425</xdr:colOff>
      <xdr:row>163</xdr:row>
      <xdr:rowOff>12918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CuadroTexto 9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 txBox="1"/>
          </xdr:nvSpPr>
          <xdr:spPr>
            <a:xfrm>
              <a:off x="2133600" y="32108775"/>
              <a:ext cx="1362075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𝐶𝑜𝑣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𝑆𝑢𝑔𝑎𝑟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14" name="CuadroTexto 9"/>
            <xdr:cNvSpPr txBox="1"/>
          </xdr:nvSpPr>
          <xdr:spPr>
            <a:xfrm>
              <a:off x="2133600" y="32108775"/>
              <a:ext cx="1362075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𝐶𝑜𝑣(𝑟_𝐵𝑒𝑠𝑡, 𝑟_𝑆𝑢𝑔𝑎𝑟 )=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3</xdr:col>
      <xdr:colOff>152400</xdr:colOff>
      <xdr:row>177</xdr:row>
      <xdr:rowOff>76200</xdr:rowOff>
    </xdr:from>
    <xdr:to>
      <xdr:col>4</xdr:col>
      <xdr:colOff>923925</xdr:colOff>
      <xdr:row>178</xdr:row>
      <xdr:rowOff>89118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CuadroTexto 9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 txBox="1"/>
          </xdr:nvSpPr>
          <xdr:spPr>
            <a:xfrm>
              <a:off x="2533650" y="35052000"/>
              <a:ext cx="2171700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𝐶𝑜𝑣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𝑆𝑢𝑔𝑎𝑟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&gt;0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15" name="CuadroTexto 9"/>
            <xdr:cNvSpPr txBox="1"/>
          </xdr:nvSpPr>
          <xdr:spPr>
            <a:xfrm>
              <a:off x="2533650" y="35052000"/>
              <a:ext cx="2171700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𝐶𝑜𝑣(𝑟_𝐵𝑒𝑠𝑡, 𝑟_𝑆𝑢𝑔𝑎𝑟 )&gt;0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6</xdr:col>
      <xdr:colOff>28575</xdr:colOff>
      <xdr:row>177</xdr:row>
      <xdr:rowOff>57150</xdr:rowOff>
    </xdr:from>
    <xdr:to>
      <xdr:col>8</xdr:col>
      <xdr:colOff>47625</xdr:colOff>
      <xdr:row>178</xdr:row>
      <xdr:rowOff>70068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CuadroTexto 9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>
              <a:off x="6781800" y="36233100"/>
              <a:ext cx="2324100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𝐶𝑜𝑣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𝑆𝑢𝑔𝑎𝑟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&lt;0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16" name="CuadroTexto 9"/>
            <xdr:cNvSpPr txBox="1"/>
          </xdr:nvSpPr>
          <xdr:spPr>
            <a:xfrm>
              <a:off x="6781800" y="36233100"/>
              <a:ext cx="2324100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𝐶𝑜𝑣(𝑟_𝐵𝑒𝑠𝑡, 𝑟_𝑆𝑢𝑔𝑎𝑟 )&lt;0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3</xdr:col>
      <xdr:colOff>114300</xdr:colOff>
      <xdr:row>189</xdr:row>
      <xdr:rowOff>38100</xdr:rowOff>
    </xdr:from>
    <xdr:to>
      <xdr:col>4</xdr:col>
      <xdr:colOff>885825</xdr:colOff>
      <xdr:row>190</xdr:row>
      <xdr:rowOff>60543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CuadroTexto 9">
              <a:extLst>
                <a:ext uri="{FF2B5EF4-FFF2-40B4-BE49-F238E27FC236}">
                  <a16:creationId xmlns:a16="http://schemas.microsoft.com/office/drawing/2014/main" id="{00000000-0008-0000-0000-000075000000}"/>
                </a:ext>
              </a:extLst>
            </xdr:cNvPr>
            <xdr:cNvSpPr txBox="1"/>
          </xdr:nvSpPr>
          <xdr:spPr>
            <a:xfrm>
              <a:off x="2495550" y="37309425"/>
              <a:ext cx="2171700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𝐶𝑜𝑣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𝑆𝑢𝑔𝑎𝑟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17" name="CuadroTexto 9"/>
            <xdr:cNvSpPr txBox="1"/>
          </xdr:nvSpPr>
          <xdr:spPr>
            <a:xfrm>
              <a:off x="2495550" y="37309425"/>
              <a:ext cx="2171700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𝐶𝑜𝑣(𝑟_𝐵𝑒𝑠𝑡, 𝑟_𝑆𝑢𝑔𝑎𝑟 )=0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219075</xdr:colOff>
      <xdr:row>193</xdr:row>
      <xdr:rowOff>114300</xdr:rowOff>
    </xdr:from>
    <xdr:to>
      <xdr:col>4</xdr:col>
      <xdr:colOff>952500</xdr:colOff>
      <xdr:row>196</xdr:row>
      <xdr:rowOff>54094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1 CuadroTexto">
              <a:extLst>
                <a:ext uri="{FF2B5EF4-FFF2-40B4-BE49-F238E27FC236}">
                  <a16:creationId xmlns:a16="http://schemas.microsoft.com/office/drawing/2014/main" id="{00000000-0008-0000-0000-000076000000}"/>
                </a:ext>
              </a:extLst>
            </xdr:cNvPr>
            <xdr:cNvSpPr txBox="1"/>
          </xdr:nvSpPr>
          <xdr:spPr>
            <a:xfrm>
              <a:off x="2600325" y="38147625"/>
              <a:ext cx="3333750" cy="51129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CL" sz="1400">
                  <a:ea typeface="Cambria Math" panose="02040503050406030204" pitchFamily="18" charset="0"/>
                </a:rPr>
                <a:t>-1</a:t>
              </a:r>
              <a14:m>
                <m:oMath xmlns:m="http://schemas.openxmlformats.org/officeDocument/2006/math">
                  <m:r>
                    <a:rPr lang="es-CL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≤</m:t>
                  </m:r>
                  <m:r>
                    <a:rPr lang="es-CL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L" sz="14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s-CL" sz="140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𝐶𝑜𝑣</m:t>
                      </m:r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es-CL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s-CL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𝑉𝑎𝑟</m:t>
                      </m:r>
                      <m:d>
                        <m:dPr>
                          <m:ctrlPr>
                            <a:rPr lang="es-CL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CL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s-AR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d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)^(</m:t>
                      </m:r>
                      <m:f>
                        <m:fPr>
                          <m:ctrlP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)(</m:t>
                      </m:r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𝑉𝑎𝑟</m:t>
                      </m:r>
                      <m:d>
                        <m:dPr>
                          <m:ctrlPr>
                            <a:rPr lang="es-CL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CL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s-AR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)^(</m:t>
                      </m:r>
                      <m:f>
                        <m:fPr>
                          <m:ctrlP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den>
                  </m:f>
                  <m:r>
                    <a:rPr lang="es-CL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≤</m:t>
                  </m:r>
                  <m:r>
                    <a:rPr lang="es-A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</m:t>
                  </m:r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118" name="1 CuadroTexto"/>
            <xdr:cNvSpPr txBox="1"/>
          </xdr:nvSpPr>
          <xdr:spPr>
            <a:xfrm>
              <a:off x="2600325" y="38147625"/>
              <a:ext cx="3333750" cy="51129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CL" sz="1400">
                  <a:ea typeface="Cambria Math" panose="02040503050406030204" pitchFamily="18" charset="0"/>
                </a:rPr>
                <a:t>-1</a:t>
              </a:r>
              <a:r>
                <a:rPr lang="es-CL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≤𝜌</a:t>
              </a:r>
              <a:r>
                <a:rPr lang="es-CL" sz="1400"/>
                <a:t>=</a:t>
              </a:r>
              <a:r>
                <a:rPr lang="es-CL" sz="14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𝐶𝑜𝑣(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𝑉𝑎𝑟(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))^(1/2)(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𝑉𝑎𝑟(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))^(1/2)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es-CL" sz="1400"/>
            </a:p>
          </xdr:txBody>
        </xdr:sp>
      </mc:Fallback>
    </mc:AlternateContent>
    <xdr:clientData/>
  </xdr:twoCellAnchor>
  <xdr:twoCellAnchor>
    <xdr:from>
      <xdr:col>1</xdr:col>
      <xdr:colOff>76198</xdr:colOff>
      <xdr:row>203</xdr:row>
      <xdr:rowOff>180975</xdr:rowOff>
    </xdr:from>
    <xdr:to>
      <xdr:col>5</xdr:col>
      <xdr:colOff>876299</xdr:colOff>
      <xdr:row>206</xdr:row>
      <xdr:rowOff>120833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1 CuadroTexto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 txBox="1"/>
          </xdr:nvSpPr>
          <xdr:spPr>
            <a:xfrm>
              <a:off x="1514473" y="40119300"/>
              <a:ext cx="6267451" cy="5113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s-CL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d>
                    <m:dPr>
                      <m:ctrlPr>
                        <a:rPr lang="es-CL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𝐵𝑒𝑠𝑡</m:t>
                      </m:r>
                      <m:r>
                        <a:rPr lang="es-AR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 </m:t>
                      </m:r>
                      <m:r>
                        <a:rPr lang="es-AR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𝑆𝑢𝑔𝑎𝑟</m:t>
                      </m:r>
                    </m:e>
                  </m:d>
                  <m:r>
                    <a:rPr lang="es-A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L" sz="140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𝐶𝑜𝑣</m:t>
                      </m:r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es-CL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𝐵𝑒𝑠𝑡</m:t>
                          </m:r>
                        </m:sub>
                      </m:sSub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s-CL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𝑆𝑢𝑔𝑎𝑟</m:t>
                          </m:r>
                        </m:sub>
                      </m:sSub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𝑉𝑎𝑟</m:t>
                      </m:r>
                      <m:d>
                        <m:dPr>
                          <m:ctrlPr>
                            <a:rPr lang="es-CL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CL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s-AR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𝐵𝑒𝑠𝑡</m:t>
                              </m:r>
                            </m:sub>
                          </m:sSub>
                        </m:e>
                      </m:d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)^(</m:t>
                      </m:r>
                      <m:f>
                        <m:fPr>
                          <m:ctrlP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)(</m:t>
                      </m:r>
                      <m:r>
                        <a:rPr lang="es-CL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𝑉𝑎𝑟</m:t>
                      </m:r>
                      <m:d>
                        <m:dPr>
                          <m:ctrlPr>
                            <a:rPr lang="es-CL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CL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s-AR" sz="14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𝑆𝑢𝑔𝑎𝑟</m:t>
                              </m:r>
                            </m:sub>
                          </m:sSub>
                        </m:e>
                      </m:d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)^(</m:t>
                      </m:r>
                      <m:f>
                        <m:fPr>
                          <m:ctrlP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AR" sz="14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den>
                  </m:f>
                  <m:r>
                    <a:rPr lang="es-AR" sz="1400" b="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CL" sz="140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−0,02405</m:t>
                      </m:r>
                    </m:num>
                    <m:den>
                      <m:r>
                        <a:rPr lang="es-AR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(0,189)(0,1473)</m:t>
                      </m:r>
                    </m:den>
                  </m:f>
                </m:oMath>
              </a14:m>
              <a:r>
                <a:rPr lang="es-CL" sz="1400"/>
                <a:t>=-0,86</a:t>
              </a:r>
            </a:p>
          </xdr:txBody>
        </xdr:sp>
      </mc:Choice>
      <mc:Fallback xmlns="">
        <xdr:sp macro="" textlink="">
          <xdr:nvSpPr>
            <xdr:cNvPr id="119" name="1 CuadroTexto"/>
            <xdr:cNvSpPr txBox="1"/>
          </xdr:nvSpPr>
          <xdr:spPr>
            <a:xfrm>
              <a:off x="1514473" y="40119300"/>
              <a:ext cx="6267451" cy="5113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CL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𝜌(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𝐵𝑒𝑠𝑡, 𝑆𝑢𝑔𝑎𝑟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CL" sz="14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𝐶𝑜𝑣(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𝐵𝑒𝑠𝑡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𝑆𝑢𝑔𝑎𝑟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𝑉𝑎𝑟(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𝐵𝑒𝑠𝑡 ))^(1/2)(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𝑉𝑎𝑟(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𝑆𝑢𝑔𝑎𝑟 ))^(1/2)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L" sz="14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−0,02405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AR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(0,189)(0,1473)</a:t>
              </a:r>
              <a:r>
                <a:rPr lang="es-CL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CL" sz="1400"/>
                <a:t>=-0,86</a:t>
              </a:r>
            </a:p>
          </xdr:txBody>
        </xdr:sp>
      </mc:Fallback>
    </mc:AlternateContent>
    <xdr:clientData/>
  </xdr:twoCellAnchor>
  <xdr:twoCellAnchor>
    <xdr:from>
      <xdr:col>1</xdr:col>
      <xdr:colOff>85723</xdr:colOff>
      <xdr:row>215</xdr:row>
      <xdr:rowOff>66674</xdr:rowOff>
    </xdr:from>
    <xdr:to>
      <xdr:col>5</xdr:col>
      <xdr:colOff>809625</xdr:colOff>
      <xdr:row>216</xdr:row>
      <xdr:rowOff>67508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CuadroTexto 7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 txBox="1"/>
          </xdr:nvSpPr>
          <xdr:spPr>
            <a:xfrm>
              <a:off x="847723" y="43491149"/>
              <a:ext cx="5181602" cy="1913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0,5</m:t>
                            </m:r>
                          </m:e>
                        </m:d>
                      </m:e>
                      <m:sup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2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0,189)</m:t>
                        </m:r>
                      </m:e>
                      <m:sup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2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0,5</m:t>
                            </m:r>
                          </m:e>
                        </m:d>
                      </m:e>
                      <m:sup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0,1473</m:t>
                            </m:r>
                          </m:e>
                        </m:d>
                      </m:e>
                      <m:sup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200" b="0" i="1">
                        <a:latin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0,5</m:t>
                        </m:r>
                      </m:e>
                    </m:d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0,5</m:t>
                        </m:r>
                      </m:e>
                    </m:d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200" b="0" i="0">
                            <a:latin typeface="Cambria Math" panose="02040503050406030204" pitchFamily="18" charset="0"/>
                          </a:rPr>
                          <m:t>−0,02405</m:t>
                        </m:r>
                      </m:e>
                    </m:d>
                    <m:r>
                      <a:rPr lang="es-AR" sz="1200" b="0" i="0">
                        <a:latin typeface="Cambria Math" panose="02040503050406030204" pitchFamily="18" charset="0"/>
                      </a:rPr>
                      <m:t>=0,233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20" name="CuadroTexto 7"/>
            <xdr:cNvSpPr txBox="1"/>
          </xdr:nvSpPr>
          <xdr:spPr>
            <a:xfrm>
              <a:off x="847723" y="43491149"/>
              <a:ext cx="5181602" cy="1913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𝑐^2=(0,5)^2 (〖0,189)〗^2+(0,5)^2 (0,1473)^2+2(0,5)(0,5)(−0,02405)=0,233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1</xdr:col>
      <xdr:colOff>66674</xdr:colOff>
      <xdr:row>217</xdr:row>
      <xdr:rowOff>142874</xdr:rowOff>
    </xdr:from>
    <xdr:to>
      <xdr:col>3</xdr:col>
      <xdr:colOff>447674</xdr:colOff>
      <xdr:row>218</xdr:row>
      <xdr:rowOff>151146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CuadroTexto 6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>
              <a:off x="828674" y="43948349"/>
              <a:ext cx="2447925" cy="1987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0,233</m:t>
                        </m:r>
                      </m:e>
                      <m:sup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s-AR" sz="1200" b="0" i="0">
                        <a:latin typeface="Cambria Math" panose="02040503050406030204" pitchFamily="18" charset="0"/>
                      </a:rPr>
                      <m:t>=0,0483 ó 4,83%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21" name="CuadroTexto 6"/>
            <xdr:cNvSpPr txBox="1"/>
          </xdr:nvSpPr>
          <xdr:spPr>
            <a:xfrm>
              <a:off x="828674" y="43948349"/>
              <a:ext cx="2447925" cy="1987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𝐶=〖0,233〗^(1/2)=0,0483 ó 4,83%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3</xdr:col>
      <xdr:colOff>1143000</xdr:colOff>
      <xdr:row>211</xdr:row>
      <xdr:rowOff>123826</xdr:rowOff>
    </xdr:from>
    <xdr:to>
      <xdr:col>5</xdr:col>
      <xdr:colOff>0</xdr:colOff>
      <xdr:row>211</xdr:row>
      <xdr:rowOff>125708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31" idx="3"/>
        </xdr:cNvCxnSpPr>
      </xdr:nvCxnSpPr>
      <xdr:spPr>
        <a:xfrm flipV="1">
          <a:off x="3971925" y="42786301"/>
          <a:ext cx="1247775" cy="1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105775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105775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8105775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105775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361950</xdr:colOff>
      <xdr:row>9</xdr:row>
      <xdr:rowOff>14287</xdr:rowOff>
    </xdr:from>
    <xdr:ext cx="16459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6457950" y="3952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457950" y="3952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342900</xdr:colOff>
      <xdr:row>9</xdr:row>
      <xdr:rowOff>9525</xdr:rowOff>
    </xdr:from>
    <xdr:ext cx="1672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676900" y="1152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676900" y="1152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3</xdr:row>
      <xdr:rowOff>0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0039350" y="38100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0039350" y="38100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4</xdr:row>
      <xdr:rowOff>0</xdr:rowOff>
    </xdr:from>
    <xdr:ext cx="29456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0039350" y="571500"/>
              <a:ext cx="29456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0039350" y="571500"/>
              <a:ext cx="29456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114300</xdr:colOff>
      <xdr:row>9</xdr:row>
      <xdr:rowOff>23812</xdr:rowOff>
    </xdr:from>
    <xdr:ext cx="85350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6972300" y="1166812"/>
              <a:ext cx="853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6972300" y="1166812"/>
              <a:ext cx="853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−𝐸(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57150</xdr:colOff>
      <xdr:row>8</xdr:row>
      <xdr:rowOff>161925</xdr:rowOff>
    </xdr:from>
    <xdr:ext cx="862608" cy="228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7953375" y="1114425"/>
              <a:ext cx="862608" cy="228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7953375" y="1114425"/>
              <a:ext cx="862608" cy="228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−𝐸(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314325</xdr:colOff>
      <xdr:row>5</xdr:row>
      <xdr:rowOff>0</xdr:rowOff>
    </xdr:from>
    <xdr:ext cx="3431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717232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717232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9525</xdr:colOff>
      <xdr:row>8</xdr:row>
      <xdr:rowOff>185737</xdr:rowOff>
    </xdr:from>
    <xdr:ext cx="1544462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8867775" y="1138237"/>
              <a:ext cx="1544462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8867775" y="1138237"/>
              <a:ext cx="1544462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𝑅_𝑖−𝐸(𝑅_𝑖)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AR" sz="1100" i="0">
                  <a:latin typeface="Cambria Math" panose="02040503050406030204" pitchFamily="18" charset="0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𝑅_𝑗−𝐸(𝑅_𝑗)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314325</xdr:colOff>
      <xdr:row>6</xdr:row>
      <xdr:rowOff>9525</xdr:rowOff>
    </xdr:from>
    <xdr:ext cx="34541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7172325" y="962025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7172325" y="962025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361950</xdr:colOff>
      <xdr:row>9</xdr:row>
      <xdr:rowOff>14287</xdr:rowOff>
    </xdr:from>
    <xdr:ext cx="16459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6934200" y="15382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934200" y="15382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342900</xdr:colOff>
      <xdr:row>9</xdr:row>
      <xdr:rowOff>9525</xdr:rowOff>
    </xdr:from>
    <xdr:ext cx="1672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6153150" y="1533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153150" y="1533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3</xdr:row>
      <xdr:rowOff>0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7686675" y="38100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7686675" y="38100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4</xdr:row>
      <xdr:rowOff>0</xdr:rowOff>
    </xdr:from>
    <xdr:ext cx="29456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7686675" y="571500"/>
              <a:ext cx="29456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7686675" y="571500"/>
              <a:ext cx="29456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114300</xdr:colOff>
      <xdr:row>9</xdr:row>
      <xdr:rowOff>23812</xdr:rowOff>
    </xdr:from>
    <xdr:ext cx="85350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7448550" y="1547812"/>
              <a:ext cx="853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7448550" y="1547812"/>
              <a:ext cx="853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−𝐸(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57150</xdr:colOff>
      <xdr:row>8</xdr:row>
      <xdr:rowOff>161925</xdr:rowOff>
    </xdr:from>
    <xdr:ext cx="862608" cy="228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8429625" y="1495425"/>
              <a:ext cx="862608" cy="228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8429625" y="1495425"/>
              <a:ext cx="862608" cy="228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−𝐸(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314325</xdr:colOff>
      <xdr:row>5</xdr:row>
      <xdr:rowOff>0</xdr:rowOff>
    </xdr:from>
    <xdr:ext cx="3431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764857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764857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9525</xdr:colOff>
      <xdr:row>8</xdr:row>
      <xdr:rowOff>185737</xdr:rowOff>
    </xdr:from>
    <xdr:ext cx="1544462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9344025" y="1519237"/>
              <a:ext cx="1544462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9344025" y="1519237"/>
              <a:ext cx="1544462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𝑅_𝑖−𝐸(𝑅_𝑖)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AR" sz="1100" i="0">
                  <a:latin typeface="Cambria Math" panose="02040503050406030204" pitchFamily="18" charset="0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𝑅_𝑗−𝐸(𝑅_𝑗)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314325</xdr:colOff>
      <xdr:row>6</xdr:row>
      <xdr:rowOff>9525</xdr:rowOff>
    </xdr:from>
    <xdr:ext cx="34541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7648575" y="962025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7648575" y="962025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361950</xdr:colOff>
      <xdr:row>13</xdr:row>
      <xdr:rowOff>14287</xdr:rowOff>
    </xdr:from>
    <xdr:ext cx="16459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6934200" y="15382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934200" y="15382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342900</xdr:colOff>
      <xdr:row>13</xdr:row>
      <xdr:rowOff>9525</xdr:rowOff>
    </xdr:from>
    <xdr:ext cx="1672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6153150" y="1533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153150" y="1533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3</xdr:row>
      <xdr:rowOff>0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7686675" y="38100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7686675" y="38100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4</xdr:row>
      <xdr:rowOff>0</xdr:rowOff>
    </xdr:from>
    <xdr:ext cx="29456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7686675" y="571500"/>
              <a:ext cx="29456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7686675" y="571500"/>
              <a:ext cx="29456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114300</xdr:colOff>
      <xdr:row>13</xdr:row>
      <xdr:rowOff>23812</xdr:rowOff>
    </xdr:from>
    <xdr:ext cx="85350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7448550" y="1547812"/>
              <a:ext cx="853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7448550" y="1547812"/>
              <a:ext cx="853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−𝐸(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57150</xdr:colOff>
      <xdr:row>12</xdr:row>
      <xdr:rowOff>161925</xdr:rowOff>
    </xdr:from>
    <xdr:ext cx="862608" cy="228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8429625" y="1495425"/>
              <a:ext cx="862608" cy="228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8429625" y="1495425"/>
              <a:ext cx="862608" cy="228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−𝐸(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314325</xdr:colOff>
      <xdr:row>5</xdr:row>
      <xdr:rowOff>0</xdr:rowOff>
    </xdr:from>
    <xdr:ext cx="3431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764857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764857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9525</xdr:colOff>
      <xdr:row>12</xdr:row>
      <xdr:rowOff>185737</xdr:rowOff>
    </xdr:from>
    <xdr:ext cx="1544462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9344025" y="1519237"/>
              <a:ext cx="1544462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9344025" y="1519237"/>
              <a:ext cx="1544462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𝑅_𝑖−𝐸(𝑅_𝑖)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AR" sz="1100" i="0">
                  <a:latin typeface="Cambria Math" panose="02040503050406030204" pitchFamily="18" charset="0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𝑅_𝑗−𝐸(𝑅_𝑗)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314325</xdr:colOff>
      <xdr:row>6</xdr:row>
      <xdr:rowOff>9525</xdr:rowOff>
    </xdr:from>
    <xdr:ext cx="34541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7648575" y="962025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7648575" y="962025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180975</xdr:colOff>
      <xdr:row>9</xdr:row>
      <xdr:rowOff>9525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5991225" y="15335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5991225" y="15335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409575</xdr:colOff>
      <xdr:row>9</xdr:row>
      <xdr:rowOff>180975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6219825" y="17049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6219825" y="17049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14287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6019800" y="395287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019800" y="395287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361950</xdr:colOff>
      <xdr:row>9</xdr:row>
      <xdr:rowOff>14287</xdr:rowOff>
    </xdr:from>
    <xdr:ext cx="16459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6934200" y="15382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934200" y="15382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342900</xdr:colOff>
      <xdr:row>9</xdr:row>
      <xdr:rowOff>9525</xdr:rowOff>
    </xdr:from>
    <xdr:ext cx="1672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6153150" y="1533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153150" y="1533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352425</xdr:colOff>
      <xdr:row>3</xdr:row>
      <xdr:rowOff>0</xdr:rowOff>
    </xdr:from>
    <xdr:ext cx="310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8448675" y="381000"/>
              <a:ext cx="31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8448675" y="381000"/>
              <a:ext cx="31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114300</xdr:colOff>
      <xdr:row>9</xdr:row>
      <xdr:rowOff>23812</xdr:rowOff>
    </xdr:from>
    <xdr:ext cx="8847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8210550" y="1547812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8210550" y="1547812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−𝐸(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400050</xdr:colOff>
      <xdr:row>9</xdr:row>
      <xdr:rowOff>19050</xdr:rowOff>
    </xdr:from>
    <xdr:ext cx="1828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7734300" y="1543050"/>
              <a:ext cx="1828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7734300" y="1543050"/>
              <a:ext cx="1828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361950</xdr:colOff>
      <xdr:row>16</xdr:row>
      <xdr:rowOff>14287</xdr:rowOff>
    </xdr:from>
    <xdr:ext cx="16459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6934200" y="23002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934200" y="23002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342900</xdr:colOff>
      <xdr:row>16</xdr:row>
      <xdr:rowOff>9525</xdr:rowOff>
    </xdr:from>
    <xdr:ext cx="1672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6153150" y="2295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153150" y="2295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314325</xdr:colOff>
      <xdr:row>3</xdr:row>
      <xdr:rowOff>0</xdr:rowOff>
    </xdr:from>
    <xdr:ext cx="3431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764857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764857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295275</xdr:colOff>
      <xdr:row>5</xdr:row>
      <xdr:rowOff>171450</xdr:rowOff>
    </xdr:from>
    <xdr:ext cx="345416" cy="192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9810750" y="933450"/>
              <a:ext cx="345416" cy="192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9810750" y="933450"/>
              <a:ext cx="345416" cy="192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800100</xdr:colOff>
      <xdr:row>16</xdr:row>
      <xdr:rowOff>38100</xdr:rowOff>
    </xdr:from>
    <xdr:ext cx="1917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 txBox="1"/>
          </xdr:nvSpPr>
          <xdr:spPr>
            <a:xfrm>
              <a:off x="8134350" y="2895600"/>
              <a:ext cx="1917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8134350" y="2895600"/>
              <a:ext cx="1917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209550</xdr:colOff>
      <xdr:row>5</xdr:row>
      <xdr:rowOff>19050</xdr:rowOff>
    </xdr:from>
    <xdr:ext cx="5470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6019800" y="781050"/>
              <a:ext cx="5470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6019800" y="781050"/>
              <a:ext cx="5470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𝐸(𝑅_ℎ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3</xdr:row>
      <xdr:rowOff>0</xdr:rowOff>
    </xdr:from>
    <xdr:ext cx="3309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0000000-0008-0000-0500-00001A000000}"/>
                </a:ext>
              </a:extLst>
            </xdr:cNvPr>
            <xdr:cNvSpPr txBox="1"/>
          </xdr:nvSpPr>
          <xdr:spPr>
            <a:xfrm>
              <a:off x="7686675" y="381000"/>
              <a:ext cx="3309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𝑖𝑖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7686675" y="381000"/>
              <a:ext cx="3309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_𝑖𝑖=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342900</xdr:colOff>
      <xdr:row>3</xdr:row>
      <xdr:rowOff>180975</xdr:rowOff>
    </xdr:from>
    <xdr:ext cx="34291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00000000-0008-0000-0500-00001B000000}"/>
                </a:ext>
              </a:extLst>
            </xdr:cNvPr>
            <xdr:cNvSpPr txBox="1"/>
          </xdr:nvSpPr>
          <xdr:spPr>
            <a:xfrm>
              <a:off x="7677150" y="561975"/>
              <a:ext cx="34291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/>
            <xdr:cNvSpPr txBox="1"/>
          </xdr:nvSpPr>
          <xdr:spPr>
            <a:xfrm>
              <a:off x="7677150" y="561975"/>
              <a:ext cx="34291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_𝑗𝑗=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314325</xdr:colOff>
      <xdr:row>3</xdr:row>
      <xdr:rowOff>0</xdr:rowOff>
    </xdr:from>
    <xdr:ext cx="3431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00000000-0008-0000-0500-00001C000000}"/>
                </a:ext>
              </a:extLst>
            </xdr:cNvPr>
            <xdr:cNvSpPr txBox="1"/>
          </xdr:nvSpPr>
          <xdr:spPr>
            <a:xfrm>
              <a:off x="764857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/>
            <xdr:cNvSpPr txBox="1"/>
          </xdr:nvSpPr>
          <xdr:spPr>
            <a:xfrm>
              <a:off x="764857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5</xdr:row>
      <xdr:rowOff>0</xdr:rowOff>
    </xdr:from>
    <xdr:ext cx="65" cy="1722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7686675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11</xdr:col>
      <xdr:colOff>314325</xdr:colOff>
      <xdr:row>4</xdr:row>
      <xdr:rowOff>0</xdr:rowOff>
    </xdr:from>
    <xdr:ext cx="357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00000000-0008-0000-0500-000027000000}"/>
                </a:ext>
              </a:extLst>
            </xdr:cNvPr>
            <xdr:cNvSpPr txBox="1"/>
          </xdr:nvSpPr>
          <xdr:spPr>
            <a:xfrm>
              <a:off x="9829800" y="571500"/>
              <a:ext cx="357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9" name="CuadroTexto 38"/>
            <xdr:cNvSpPr txBox="1"/>
          </xdr:nvSpPr>
          <xdr:spPr>
            <a:xfrm>
              <a:off x="9829800" y="571500"/>
              <a:ext cx="357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314325</xdr:colOff>
      <xdr:row>4</xdr:row>
      <xdr:rowOff>180975</xdr:rowOff>
    </xdr:from>
    <xdr:ext cx="357662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00000000-0008-0000-0500-000029000000}"/>
                </a:ext>
              </a:extLst>
            </xdr:cNvPr>
            <xdr:cNvSpPr txBox="1"/>
          </xdr:nvSpPr>
          <xdr:spPr>
            <a:xfrm>
              <a:off x="9829800" y="752475"/>
              <a:ext cx="35766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1" name="CuadroTexto 40"/>
            <xdr:cNvSpPr txBox="1"/>
          </xdr:nvSpPr>
          <xdr:spPr>
            <a:xfrm>
              <a:off x="9829800" y="752475"/>
              <a:ext cx="35766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304800</xdr:colOff>
      <xdr:row>7</xdr:row>
      <xdr:rowOff>0</xdr:rowOff>
    </xdr:from>
    <xdr:ext cx="3601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0000000-0008-0000-0500-00002C000000}"/>
                </a:ext>
              </a:extLst>
            </xdr:cNvPr>
            <xdr:cNvSpPr txBox="1"/>
          </xdr:nvSpPr>
          <xdr:spPr>
            <a:xfrm>
              <a:off x="9820275" y="114300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/>
            <xdr:cNvSpPr txBox="1"/>
          </xdr:nvSpPr>
          <xdr:spPr>
            <a:xfrm>
              <a:off x="9820275" y="114300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304800</xdr:colOff>
      <xdr:row>7</xdr:row>
      <xdr:rowOff>180975</xdr:rowOff>
    </xdr:from>
    <xdr:ext cx="37138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 txBox="1"/>
          </xdr:nvSpPr>
          <xdr:spPr>
            <a:xfrm>
              <a:off x="9820275" y="1323975"/>
              <a:ext cx="37138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/>
            <xdr:cNvSpPr txBox="1"/>
          </xdr:nvSpPr>
          <xdr:spPr>
            <a:xfrm>
              <a:off x="9820275" y="1323975"/>
              <a:ext cx="37138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180975</xdr:colOff>
      <xdr:row>11</xdr:row>
      <xdr:rowOff>9525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0000000-0008-0000-0500-000031000000}"/>
                </a:ext>
              </a:extLst>
            </xdr:cNvPr>
            <xdr:cNvSpPr txBox="1"/>
          </xdr:nvSpPr>
          <xdr:spPr>
            <a:xfrm>
              <a:off x="5991225" y="15335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/>
            <xdr:cNvSpPr txBox="1"/>
          </xdr:nvSpPr>
          <xdr:spPr>
            <a:xfrm>
              <a:off x="5991225" y="15335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409575</xdr:colOff>
      <xdr:row>11</xdr:row>
      <xdr:rowOff>180975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0000000-0008-0000-0500-000032000000}"/>
                </a:ext>
              </a:extLst>
            </xdr:cNvPr>
            <xdr:cNvSpPr txBox="1"/>
          </xdr:nvSpPr>
          <xdr:spPr>
            <a:xfrm>
              <a:off x="6219825" y="17049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0" name="CuadroTexto 49"/>
            <xdr:cNvSpPr txBox="1"/>
          </xdr:nvSpPr>
          <xdr:spPr>
            <a:xfrm>
              <a:off x="6219825" y="17049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762000</xdr:colOff>
      <xdr:row>16</xdr:row>
      <xdr:rowOff>52387</xdr:rowOff>
    </xdr:from>
    <xdr:ext cx="1804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00000000-0008-0000-0500-000033000000}"/>
                </a:ext>
              </a:extLst>
            </xdr:cNvPr>
            <xdr:cNvSpPr txBox="1"/>
          </xdr:nvSpPr>
          <xdr:spPr>
            <a:xfrm>
              <a:off x="9239250" y="2909887"/>
              <a:ext cx="180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/>
            <xdr:cNvSpPr txBox="1"/>
          </xdr:nvSpPr>
          <xdr:spPr>
            <a:xfrm>
              <a:off x="9239250" y="2909887"/>
              <a:ext cx="180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𝑅_𝑐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285750</xdr:colOff>
      <xdr:row>16</xdr:row>
      <xdr:rowOff>47625</xdr:rowOff>
    </xdr:from>
    <xdr:ext cx="8847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0000000-0008-0000-0500-000034000000}"/>
                </a:ext>
              </a:extLst>
            </xdr:cNvPr>
            <xdr:cNvSpPr txBox="1"/>
          </xdr:nvSpPr>
          <xdr:spPr>
            <a:xfrm>
              <a:off x="9801225" y="2905125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/>
            <xdr:cNvSpPr txBox="1"/>
          </xdr:nvSpPr>
          <xdr:spPr>
            <a:xfrm>
              <a:off x="9801225" y="2905125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𝑅_𝑐−𝐸(𝑅_𝑐))^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180975</xdr:colOff>
      <xdr:row>11</xdr:row>
      <xdr:rowOff>9525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 txBox="1"/>
          </xdr:nvSpPr>
          <xdr:spPr>
            <a:xfrm>
              <a:off x="5991225" y="19145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3" name="CuadroTexto 52"/>
            <xdr:cNvSpPr txBox="1"/>
          </xdr:nvSpPr>
          <xdr:spPr>
            <a:xfrm>
              <a:off x="5991225" y="19145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409575</xdr:colOff>
      <xdr:row>11</xdr:row>
      <xdr:rowOff>180975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 txBox="1"/>
          </xdr:nvSpPr>
          <xdr:spPr>
            <a:xfrm>
              <a:off x="6219825" y="20859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/>
            <xdr:cNvSpPr txBox="1"/>
          </xdr:nvSpPr>
          <xdr:spPr>
            <a:xfrm>
              <a:off x="6219825" y="20859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342900</xdr:colOff>
      <xdr:row>4</xdr:row>
      <xdr:rowOff>180975</xdr:rowOff>
    </xdr:from>
    <xdr:ext cx="3858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 txBox="1"/>
          </xdr:nvSpPr>
          <xdr:spPr>
            <a:xfrm>
              <a:off x="7677150" y="752475"/>
              <a:ext cx="385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/>
            <xdr:cNvSpPr txBox="1"/>
          </xdr:nvSpPr>
          <xdr:spPr>
            <a:xfrm>
              <a:off x="7677150" y="752475"/>
              <a:ext cx="385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371475</xdr:colOff>
      <xdr:row>4</xdr:row>
      <xdr:rowOff>180975</xdr:rowOff>
    </xdr:from>
    <xdr:ext cx="1863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 txBox="1"/>
          </xdr:nvSpPr>
          <xdr:spPr>
            <a:xfrm>
              <a:off x="13963650" y="752475"/>
              <a:ext cx="186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6" name="CuadroTexto 55"/>
            <xdr:cNvSpPr txBox="1"/>
          </xdr:nvSpPr>
          <xdr:spPr>
            <a:xfrm>
              <a:off x="13963650" y="752475"/>
              <a:ext cx="186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238125</xdr:colOff>
      <xdr:row>6</xdr:row>
      <xdr:rowOff>85725</xdr:rowOff>
    </xdr:from>
    <xdr:ext cx="19832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00000000-0008-0000-0500-000039000000}"/>
                </a:ext>
              </a:extLst>
            </xdr:cNvPr>
            <xdr:cNvSpPr txBox="1"/>
          </xdr:nvSpPr>
          <xdr:spPr>
            <a:xfrm>
              <a:off x="14592300" y="1038225"/>
              <a:ext cx="1983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7" name="CuadroTexto 56"/>
            <xdr:cNvSpPr txBox="1"/>
          </xdr:nvSpPr>
          <xdr:spPr>
            <a:xfrm>
              <a:off x="14592300" y="1038225"/>
              <a:ext cx="1983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_𝑗𝑗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8</xdr:row>
      <xdr:rowOff>0</xdr:rowOff>
    </xdr:from>
    <xdr:ext cx="241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00000000-0008-0000-0500-00003B000000}"/>
                </a:ext>
              </a:extLst>
            </xdr:cNvPr>
            <xdr:cNvSpPr txBox="1"/>
          </xdr:nvSpPr>
          <xdr:spPr>
            <a:xfrm>
              <a:off x="15116175" y="1333500"/>
              <a:ext cx="241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9" name="CuadroTexto 58"/>
            <xdr:cNvSpPr txBox="1"/>
          </xdr:nvSpPr>
          <xdr:spPr>
            <a:xfrm>
              <a:off x="15116175" y="1333500"/>
              <a:ext cx="241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5</xdr:row>
      <xdr:rowOff>9525</xdr:rowOff>
    </xdr:from>
    <xdr:ext cx="19858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00000000-0008-0000-0500-00003C000000}"/>
                </a:ext>
              </a:extLst>
            </xdr:cNvPr>
            <xdr:cNvSpPr txBox="1"/>
          </xdr:nvSpPr>
          <xdr:spPr>
            <a:xfrm>
              <a:off x="14582775" y="771525"/>
              <a:ext cx="19858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0" name="CuadroTexto 59"/>
            <xdr:cNvSpPr txBox="1"/>
          </xdr:nvSpPr>
          <xdr:spPr>
            <a:xfrm>
              <a:off x="14582775" y="771525"/>
              <a:ext cx="19858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5</xdr:row>
      <xdr:rowOff>28575</xdr:rowOff>
    </xdr:from>
    <xdr:ext cx="2133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00000000-0008-0000-0500-00003D000000}"/>
                </a:ext>
              </a:extLst>
            </xdr:cNvPr>
            <xdr:cNvSpPr txBox="1"/>
          </xdr:nvSpPr>
          <xdr:spPr>
            <a:xfrm>
              <a:off x="15116175" y="790575"/>
              <a:ext cx="213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1" name="CuadroTexto 60"/>
            <xdr:cNvSpPr txBox="1"/>
          </xdr:nvSpPr>
          <xdr:spPr>
            <a:xfrm>
              <a:off x="15116175" y="790575"/>
              <a:ext cx="213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6</xdr:row>
      <xdr:rowOff>66675</xdr:rowOff>
    </xdr:from>
    <xdr:ext cx="2130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00000000-0008-0000-0500-00003E000000}"/>
                </a:ext>
              </a:extLst>
            </xdr:cNvPr>
            <xdr:cNvSpPr txBox="1"/>
          </xdr:nvSpPr>
          <xdr:spPr>
            <a:xfrm>
              <a:off x="15125700" y="1019175"/>
              <a:ext cx="2130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2" name="CuadroTexto 61"/>
            <xdr:cNvSpPr txBox="1"/>
          </xdr:nvSpPr>
          <xdr:spPr>
            <a:xfrm>
              <a:off x="15125700" y="1019175"/>
              <a:ext cx="2130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7</xdr:row>
      <xdr:rowOff>171450</xdr:rowOff>
    </xdr:from>
    <xdr:ext cx="226472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00000000-0008-0000-0500-00003F000000}"/>
                </a:ext>
              </a:extLst>
            </xdr:cNvPr>
            <xdr:cNvSpPr txBox="1"/>
          </xdr:nvSpPr>
          <xdr:spPr>
            <a:xfrm>
              <a:off x="14582775" y="1314450"/>
              <a:ext cx="2264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3" name="CuadroTexto 62"/>
            <xdr:cNvSpPr txBox="1"/>
          </xdr:nvSpPr>
          <xdr:spPr>
            <a:xfrm>
              <a:off x="14582775" y="1314450"/>
              <a:ext cx="2264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361950</xdr:colOff>
      <xdr:row>6</xdr:row>
      <xdr:rowOff>47625</xdr:rowOff>
    </xdr:from>
    <xdr:ext cx="18607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00000000-0008-0000-0500-000040000000}"/>
                </a:ext>
              </a:extLst>
            </xdr:cNvPr>
            <xdr:cNvSpPr txBox="1"/>
          </xdr:nvSpPr>
          <xdr:spPr>
            <a:xfrm>
              <a:off x="13954125" y="1000125"/>
              <a:ext cx="1860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4" name="CuadroTexto 63"/>
            <xdr:cNvSpPr txBox="1"/>
          </xdr:nvSpPr>
          <xdr:spPr>
            <a:xfrm>
              <a:off x="13954125" y="1000125"/>
              <a:ext cx="1860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371475</xdr:colOff>
      <xdr:row>7</xdr:row>
      <xdr:rowOff>123825</xdr:rowOff>
    </xdr:from>
    <xdr:ext cx="2142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00000000-0008-0000-0500-000041000000}"/>
                </a:ext>
              </a:extLst>
            </xdr:cNvPr>
            <xdr:cNvSpPr txBox="1"/>
          </xdr:nvSpPr>
          <xdr:spPr>
            <a:xfrm>
              <a:off x="13963650" y="1266825"/>
              <a:ext cx="214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5" name="CuadroTexto 64"/>
            <xdr:cNvSpPr txBox="1"/>
          </xdr:nvSpPr>
          <xdr:spPr>
            <a:xfrm>
              <a:off x="13963650" y="1266825"/>
              <a:ext cx="214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ℎ𝑖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2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209550</xdr:colOff>
      <xdr:row>3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2</xdr:row>
      <xdr:rowOff>0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7686675" y="38100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7686675" y="38100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3</xdr:row>
      <xdr:rowOff>0</xdr:rowOff>
    </xdr:from>
    <xdr:ext cx="29456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7686675" y="571500"/>
              <a:ext cx="29456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7686675" y="571500"/>
              <a:ext cx="29456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314325</xdr:colOff>
      <xdr:row>4</xdr:row>
      <xdr:rowOff>0</xdr:rowOff>
    </xdr:from>
    <xdr:ext cx="3431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764857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7648575" y="762000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314325</xdr:colOff>
      <xdr:row>5</xdr:row>
      <xdr:rowOff>9525</xdr:rowOff>
    </xdr:from>
    <xdr:ext cx="34541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/>
          </xdr:nvSpPr>
          <xdr:spPr>
            <a:xfrm>
              <a:off x="7648575" y="962025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7648575" y="962025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171450</xdr:colOff>
      <xdr:row>7</xdr:row>
      <xdr:rowOff>171450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 txBox="1"/>
          </xdr:nvSpPr>
          <xdr:spPr>
            <a:xfrm>
              <a:off x="5448300" y="150495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5448300" y="150495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409575</xdr:colOff>
      <xdr:row>8</xdr:row>
      <xdr:rowOff>180975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 txBox="1"/>
          </xdr:nvSpPr>
          <xdr:spPr>
            <a:xfrm>
              <a:off x="6219825" y="17049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6219825" y="17049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238125</xdr:colOff>
      <xdr:row>14</xdr:row>
      <xdr:rowOff>4762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600-00000F000000}"/>
                </a:ext>
              </a:extLst>
            </xdr:cNvPr>
            <xdr:cNvSpPr txBox="1"/>
          </xdr:nvSpPr>
          <xdr:spPr>
            <a:xfrm>
              <a:off x="1704975" y="267176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1704975" y="267176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𝑥_𝑖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14</xdr:row>
      <xdr:rowOff>9525</xdr:rowOff>
    </xdr:from>
    <xdr:ext cx="3972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600-000011000000}"/>
                </a:ext>
              </a:extLst>
            </xdr:cNvPr>
            <xdr:cNvSpPr txBox="1"/>
          </xdr:nvSpPr>
          <xdr:spPr>
            <a:xfrm>
              <a:off x="2400300" y="2676525"/>
              <a:ext cx="3972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2400300" y="2676525"/>
              <a:ext cx="3972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1−𝑥〗_𝑖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123825</xdr:colOff>
      <xdr:row>14</xdr:row>
      <xdr:rowOff>28575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600-000012000000}"/>
                </a:ext>
              </a:extLst>
            </xdr:cNvPr>
            <xdr:cNvSpPr txBox="1"/>
          </xdr:nvSpPr>
          <xdr:spPr>
            <a:xfrm>
              <a:off x="3114675" y="26955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3114675" y="26955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190500</xdr:colOff>
      <xdr:row>14</xdr:row>
      <xdr:rowOff>28575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600-000013000000}"/>
                </a:ext>
              </a:extLst>
            </xdr:cNvPr>
            <xdr:cNvSpPr txBox="1"/>
          </xdr:nvSpPr>
          <xdr:spPr>
            <a:xfrm>
              <a:off x="3943350" y="26955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3943350" y="26955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6</xdr:col>
      <xdr:colOff>409575</xdr:colOff>
      <xdr:row>10</xdr:row>
      <xdr:rowOff>128587</xdr:rowOff>
    </xdr:from>
    <xdr:to>
      <xdr:col>11</xdr:col>
      <xdr:colOff>695325</xdr:colOff>
      <xdr:row>25</xdr:row>
      <xdr:rowOff>14287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2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5486400" y="4714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486400" y="4714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209550</xdr:colOff>
      <xdr:row>3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5486400" y="6572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486400" y="6572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2</xdr:row>
      <xdr:rowOff>0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7153275" y="45720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153275" y="45720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3</xdr:row>
      <xdr:rowOff>0</xdr:rowOff>
    </xdr:from>
    <xdr:ext cx="29456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7153275" y="647700"/>
              <a:ext cx="29456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7153275" y="647700"/>
              <a:ext cx="29456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314325</xdr:colOff>
      <xdr:row>4</xdr:row>
      <xdr:rowOff>0</xdr:rowOff>
    </xdr:from>
    <xdr:ext cx="3431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 txBox="1"/>
          </xdr:nvSpPr>
          <xdr:spPr>
            <a:xfrm>
              <a:off x="7115175" y="847725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7115175" y="847725"/>
              <a:ext cx="3431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314325</xdr:colOff>
      <xdr:row>5</xdr:row>
      <xdr:rowOff>9525</xdr:rowOff>
    </xdr:from>
    <xdr:ext cx="34541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 txBox="1"/>
          </xdr:nvSpPr>
          <xdr:spPr>
            <a:xfrm>
              <a:off x="7115175" y="1047750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7115175" y="1047750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171450</xdr:colOff>
      <xdr:row>7</xdr:row>
      <xdr:rowOff>171450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700-000008000000}"/>
                </a:ext>
              </a:extLst>
            </xdr:cNvPr>
            <xdr:cNvSpPr txBox="1"/>
          </xdr:nvSpPr>
          <xdr:spPr>
            <a:xfrm>
              <a:off x="5448300" y="16097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5448300" y="16097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409575</xdr:colOff>
      <xdr:row>8</xdr:row>
      <xdr:rowOff>180975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700-000009000000}"/>
                </a:ext>
              </a:extLst>
            </xdr:cNvPr>
            <xdr:cNvSpPr txBox="1"/>
          </xdr:nvSpPr>
          <xdr:spPr>
            <a:xfrm>
              <a:off x="5686425" y="180975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5686425" y="180975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238125</xdr:colOff>
      <xdr:row>14</xdr:row>
      <xdr:rowOff>4762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704975" y="278606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704975" y="278606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𝑥_𝑖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14</xdr:row>
      <xdr:rowOff>9525</xdr:rowOff>
    </xdr:from>
    <xdr:ext cx="3972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700-00000B000000}"/>
                </a:ext>
              </a:extLst>
            </xdr:cNvPr>
            <xdr:cNvSpPr txBox="1"/>
          </xdr:nvSpPr>
          <xdr:spPr>
            <a:xfrm>
              <a:off x="2400300" y="2790825"/>
              <a:ext cx="3972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2400300" y="2790825"/>
              <a:ext cx="3972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1−𝑥〗_𝑖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123825</xdr:colOff>
      <xdr:row>14</xdr:row>
      <xdr:rowOff>28575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700-00000C000000}"/>
                </a:ext>
              </a:extLst>
            </xdr:cNvPr>
            <xdr:cNvSpPr txBox="1"/>
          </xdr:nvSpPr>
          <xdr:spPr>
            <a:xfrm>
              <a:off x="3114675" y="28098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3114675" y="28098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190500</xdr:colOff>
      <xdr:row>14</xdr:row>
      <xdr:rowOff>28575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700-00000D000000}"/>
                </a:ext>
              </a:extLst>
            </xdr:cNvPr>
            <xdr:cNvSpPr txBox="1"/>
          </xdr:nvSpPr>
          <xdr:spPr>
            <a:xfrm>
              <a:off x="3943350" y="28098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3943350" y="28098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6</xdr:col>
      <xdr:colOff>447675</xdr:colOff>
      <xdr:row>10</xdr:row>
      <xdr:rowOff>147636</xdr:rowOff>
    </xdr:from>
    <xdr:to>
      <xdr:col>13</xdr:col>
      <xdr:colOff>209550</xdr:colOff>
      <xdr:row>31</xdr:row>
      <xdr:rowOff>133349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1549400</xdr:colOff>
          <xdr:row>4</xdr:row>
          <xdr:rowOff>63500</xdr:rowOff>
        </xdr:from>
        <xdr:to>
          <xdr:col>12</xdr:col>
          <xdr:colOff>482600</xdr:colOff>
          <xdr:row>5</xdr:row>
          <xdr:rowOff>177800</xdr:rowOff>
        </xdr:to>
        <xdr:sp macro="" textlink="">
          <xdr:nvSpPr>
            <xdr:cNvPr id="10241" name="Spinner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1574800</xdr:colOff>
          <xdr:row>7</xdr:row>
          <xdr:rowOff>63500</xdr:rowOff>
        </xdr:from>
        <xdr:to>
          <xdr:col>12</xdr:col>
          <xdr:colOff>482600</xdr:colOff>
          <xdr:row>8</xdr:row>
          <xdr:rowOff>177800</xdr:rowOff>
        </xdr:to>
        <xdr:sp macro="" textlink="">
          <xdr:nvSpPr>
            <xdr:cNvPr id="10242" name="Spinner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16</xdr:col>
      <xdr:colOff>190500</xdr:colOff>
      <xdr:row>7</xdr:row>
      <xdr:rowOff>28575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700-000011000000}"/>
                </a:ext>
              </a:extLst>
            </xdr:cNvPr>
            <xdr:cNvSpPr txBox="1"/>
          </xdr:nvSpPr>
          <xdr:spPr>
            <a:xfrm>
              <a:off x="13630275" y="146685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13630275" y="1466850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13</xdr:col>
      <xdr:colOff>238125</xdr:colOff>
      <xdr:row>7</xdr:row>
      <xdr:rowOff>4762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SpPr txBox="1"/>
          </xdr:nvSpPr>
          <xdr:spPr>
            <a:xfrm>
              <a:off x="11391900" y="14430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11391900" y="14430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𝑥_𝑖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171450</xdr:colOff>
      <xdr:row>7</xdr:row>
      <xdr:rowOff>9525</xdr:rowOff>
    </xdr:from>
    <xdr:ext cx="3972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700-000013000000}"/>
                </a:ext>
              </a:extLst>
            </xdr:cNvPr>
            <xdr:cNvSpPr txBox="1"/>
          </xdr:nvSpPr>
          <xdr:spPr>
            <a:xfrm>
              <a:off x="12087225" y="1447800"/>
              <a:ext cx="3972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12087225" y="1447800"/>
              <a:ext cx="3972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1−𝑥〗_𝑖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123825</xdr:colOff>
      <xdr:row>7</xdr:row>
      <xdr:rowOff>28575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700-000014000000}"/>
                </a:ext>
              </a:extLst>
            </xdr:cNvPr>
            <xdr:cNvSpPr txBox="1"/>
          </xdr:nvSpPr>
          <xdr:spPr>
            <a:xfrm>
              <a:off x="12801600" y="146685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12801600" y="146685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752475</xdr:colOff>
      <xdr:row>3</xdr:row>
      <xdr:rowOff>190500</xdr:rowOff>
    </xdr:from>
    <xdr:ext cx="34541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0000000-0008-0000-0700-000015000000}"/>
                </a:ext>
              </a:extLst>
            </xdr:cNvPr>
            <xdr:cNvSpPr txBox="1"/>
          </xdr:nvSpPr>
          <xdr:spPr>
            <a:xfrm>
              <a:off x="9553575" y="838200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9553575" y="838200"/>
              <a:ext cx="34541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K214"/>
  <sheetViews>
    <sheetView topLeftCell="A153" workbookViewId="0">
      <selection activeCell="C128" sqref="C128"/>
    </sheetView>
  </sheetViews>
  <sheetFormatPr baseColWidth="10" defaultColWidth="11.5" defaultRowHeight="15"/>
  <cols>
    <col min="1" max="1" width="11.5" style="1"/>
    <col min="2" max="2" width="16.83203125" style="1" customWidth="1"/>
    <col min="3" max="3" width="14.1640625" style="1" customWidth="1"/>
    <col min="4" max="4" width="21" style="1" customWidth="1"/>
    <col min="5" max="5" width="14.83203125" style="1" customWidth="1"/>
    <col min="6" max="6" width="23" style="1" customWidth="1"/>
    <col min="7" max="7" width="24.1640625" style="1" customWidth="1"/>
    <col min="8" max="8" width="10.5" style="1" customWidth="1"/>
    <col min="9" max="9" width="11.5" style="1"/>
    <col min="10" max="10" width="11.5" style="1" customWidth="1"/>
    <col min="11" max="16384" width="11.5" style="1"/>
  </cols>
  <sheetData>
    <row r="2" spans="2:6" ht="19">
      <c r="B2" s="11" t="s">
        <v>15</v>
      </c>
    </row>
    <row r="4" spans="2:6">
      <c r="B4" s="10" t="s">
        <v>12</v>
      </c>
    </row>
    <row r="5" spans="2:6">
      <c r="B5" s="10" t="s">
        <v>13</v>
      </c>
    </row>
    <row r="7" spans="2:6">
      <c r="B7" s="10" t="s">
        <v>14</v>
      </c>
    </row>
    <row r="8" spans="2:6" ht="15" customHeight="1">
      <c r="B8" s="20"/>
      <c r="C8" s="9"/>
    </row>
    <row r="9" spans="2:6" ht="18" thickBot="1">
      <c r="B9" s="20"/>
      <c r="D9" s="55" t="s">
        <v>2</v>
      </c>
      <c r="E9" s="55"/>
      <c r="F9" s="21" t="s">
        <v>3</v>
      </c>
    </row>
    <row r="10" spans="2:6" ht="16">
      <c r="B10" s="20"/>
      <c r="D10" s="5"/>
      <c r="E10" s="5"/>
      <c r="F10" s="5"/>
    </row>
    <row r="11" spans="2:6" s="2" customFormat="1" ht="34.5" customHeight="1">
      <c r="B11" s="6"/>
      <c r="C11" s="6"/>
      <c r="D11" s="7" t="s">
        <v>0</v>
      </c>
      <c r="E11" s="7" t="s">
        <v>1</v>
      </c>
      <c r="F11" s="7" t="s">
        <v>4</v>
      </c>
    </row>
    <row r="12" spans="2:6">
      <c r="B12" s="20"/>
      <c r="C12" s="3" t="s">
        <v>5</v>
      </c>
      <c r="D12" s="1">
        <v>0.5</v>
      </c>
      <c r="E12" s="1">
        <v>0.3</v>
      </c>
      <c r="F12" s="1">
        <v>0.2</v>
      </c>
    </row>
    <row r="13" spans="2:6">
      <c r="B13" s="1" t="s">
        <v>41</v>
      </c>
      <c r="C13" s="3" t="s">
        <v>6</v>
      </c>
      <c r="D13" s="4">
        <v>0.25</v>
      </c>
      <c r="E13" s="4">
        <v>0.1</v>
      </c>
      <c r="F13" s="4">
        <v>-0.25</v>
      </c>
    </row>
    <row r="17" spans="2:4">
      <c r="B17" s="3" t="s">
        <v>7</v>
      </c>
    </row>
    <row r="19" spans="2:4" ht="15.75" customHeight="1"/>
    <row r="20" spans="2:4" ht="15.75" customHeight="1"/>
    <row r="21" spans="2:4" ht="15.75" customHeight="1"/>
    <row r="22" spans="2:4" ht="15.75" customHeight="1"/>
    <row r="23" spans="2:4">
      <c r="D23" s="8">
        <f>$D$12*$D$13+$E$12*$E$13+$F$12*$F$13</f>
        <v>0.105</v>
      </c>
    </row>
    <row r="28" spans="2:4">
      <c r="B28" s="3" t="s">
        <v>8</v>
      </c>
    </row>
    <row r="33" spans="2:11">
      <c r="D33" s="8">
        <f>$D$12*($D$13-$D$23)^2+$E$12*($E$13-$D$23)^2+$F$12*($F$13-$D$23)^2</f>
        <v>3.5725000000000007E-2</v>
      </c>
      <c r="G33" s="1" t="s">
        <v>9</v>
      </c>
      <c r="K33" s="8">
        <f>$D$12*($D$13-$D$23)+$E$12*($E$13-$D$23)+$F$12*($F$13-$D$23)</f>
        <v>0</v>
      </c>
    </row>
    <row r="36" spans="2:11">
      <c r="C36" s="1" t="s">
        <v>10</v>
      </c>
    </row>
    <row r="41" spans="2:11">
      <c r="D41" s="14">
        <f>($D$33)^(1/2)</f>
        <v>0.189010581714358</v>
      </c>
    </row>
    <row r="45" spans="2:11">
      <c r="B45" s="3" t="s">
        <v>11</v>
      </c>
    </row>
    <row r="49" spans="2:9">
      <c r="C49" s="1" t="s">
        <v>18</v>
      </c>
    </row>
    <row r="50" spans="2:9">
      <c r="C50" s="12">
        <v>0.5</v>
      </c>
      <c r="D50" s="1" t="s">
        <v>17</v>
      </c>
    </row>
    <row r="51" spans="2:9">
      <c r="C51" s="12">
        <v>0.5</v>
      </c>
      <c r="D51" s="1" t="s">
        <v>19</v>
      </c>
      <c r="H51" s="13">
        <v>0.05</v>
      </c>
    </row>
    <row r="52" spans="2:9">
      <c r="C52" s="12"/>
    </row>
    <row r="56" spans="2:9">
      <c r="D56" s="1">
        <f>$C$50*$D$23+$C$51*$H$51</f>
        <v>7.7499999999999999E-2</v>
      </c>
    </row>
    <row r="58" spans="2:9">
      <c r="B58" s="19"/>
    </row>
    <row r="59" spans="2:9" ht="18" thickBot="1">
      <c r="B59" s="19"/>
      <c r="D59" s="55" t="s">
        <v>2</v>
      </c>
      <c r="E59" s="55"/>
      <c r="F59" s="21" t="s">
        <v>3</v>
      </c>
    </row>
    <row r="60" spans="2:9" ht="16">
      <c r="B60" s="19"/>
      <c r="D60" s="5"/>
      <c r="E60" s="5"/>
      <c r="F60" s="5"/>
    </row>
    <row r="61" spans="2:9" ht="32">
      <c r="B61" s="6"/>
      <c r="C61" s="6"/>
      <c r="D61" s="7" t="s">
        <v>0</v>
      </c>
      <c r="E61" s="7" t="s">
        <v>1</v>
      </c>
      <c r="F61" s="7" t="s">
        <v>4</v>
      </c>
      <c r="H61" s="7" t="s">
        <v>40</v>
      </c>
      <c r="I61" s="7" t="s">
        <v>27</v>
      </c>
    </row>
    <row r="62" spans="2:9">
      <c r="C62" s="3" t="s">
        <v>5</v>
      </c>
      <c r="D62" s="1">
        <v>0.5</v>
      </c>
      <c r="E62" s="1">
        <v>0.3</v>
      </c>
      <c r="F62" s="1">
        <v>0.2</v>
      </c>
    </row>
    <row r="63" spans="2:9">
      <c r="B63" s="22" t="s">
        <v>41</v>
      </c>
      <c r="C63" s="3" t="s">
        <v>6</v>
      </c>
      <c r="D63" s="4">
        <v>0.25</v>
      </c>
      <c r="E63" s="4">
        <v>0.1</v>
      </c>
      <c r="F63" s="4">
        <v>-0.25</v>
      </c>
      <c r="H63" s="16">
        <f>$D$146*D63+$E$146*E63+$F$146*F63</f>
        <v>0.105</v>
      </c>
      <c r="I63" s="16">
        <f>($D$146*(D63-H63)^2+$E$146*(E63-H63)^2+$F$146*(F63-H63)^2)^(1/2)</f>
        <v>0.189010581714358</v>
      </c>
    </row>
    <row r="64" spans="2:9">
      <c r="B64" s="22" t="s">
        <v>42</v>
      </c>
      <c r="C64" s="3" t="s">
        <v>6</v>
      </c>
      <c r="D64" s="4">
        <v>0.05</v>
      </c>
      <c r="E64" s="4">
        <v>0.05</v>
      </c>
      <c r="F64" s="4">
        <v>0.05</v>
      </c>
      <c r="H64" s="16">
        <f>$D$146*D64+$E$146*E64+$F$146*F64</f>
        <v>0.05</v>
      </c>
      <c r="I64" s="16">
        <f>($D$146*(D64-H64)^2+$E$146*(E64-H64)^2+$F$146*(F64-H64)^2)^(1/2)</f>
        <v>0</v>
      </c>
    </row>
    <row r="65" spans="2:9">
      <c r="B65" s="22" t="s">
        <v>45</v>
      </c>
      <c r="C65" s="3" t="s">
        <v>6</v>
      </c>
      <c r="D65" s="12">
        <f>0.5*D63+0.5*D64</f>
        <v>0.15</v>
      </c>
      <c r="E65" s="12">
        <f t="shared" ref="E65:F65" si="0">0.5*E63+0.5*E64</f>
        <v>7.5000000000000011E-2</v>
      </c>
      <c r="F65" s="12">
        <f t="shared" si="0"/>
        <v>-0.1</v>
      </c>
      <c r="H65" s="16">
        <f>$D$146*D65+$E$146*E65+$F$146*F65</f>
        <v>7.7499999999999999E-2</v>
      </c>
      <c r="I65" s="16">
        <f>($D$146*(D65-H65)^2+$E$146*(E65-H65)^2+$F$146*(F65-H65)^2)^(1/2)</f>
        <v>9.4505290857179E-2</v>
      </c>
    </row>
    <row r="66" spans="2:9">
      <c r="C66" s="3"/>
      <c r="D66" s="12"/>
      <c r="E66" s="12"/>
      <c r="F66" s="12"/>
      <c r="H66" s="16"/>
      <c r="I66" s="16"/>
    </row>
    <row r="68" spans="2:9">
      <c r="B68" s="3" t="s">
        <v>16</v>
      </c>
    </row>
    <row r="73" spans="2:9">
      <c r="D73" s="18">
        <f>C50*D41</f>
        <v>9.4505290857179E-2</v>
      </c>
    </row>
    <row r="74" spans="2:9">
      <c r="D74" s="18"/>
    </row>
    <row r="75" spans="2:9">
      <c r="D75" s="18">
        <f>($D$62*(D65-$D$56)^2+E62*(E65-$D$56)^2+F62*(F65-D56)^2)^(1/2)</f>
        <v>9.4505290857179E-2</v>
      </c>
    </row>
    <row r="76" spans="2:9">
      <c r="D76" s="18"/>
    </row>
    <row r="79" spans="2:9">
      <c r="C79" s="1" t="s">
        <v>54</v>
      </c>
    </row>
    <row r="80" spans="2:9">
      <c r="C80" s="1" t="s">
        <v>21</v>
      </c>
    </row>
    <row r="81" spans="2:9">
      <c r="C81" s="1" t="s">
        <v>20</v>
      </c>
    </row>
    <row r="84" spans="2:9" ht="15" customHeight="1">
      <c r="B84" s="20"/>
    </row>
    <row r="85" spans="2:9" ht="18" thickBot="1">
      <c r="B85" s="20"/>
      <c r="D85" s="55" t="s">
        <v>2</v>
      </c>
      <c r="E85" s="55"/>
      <c r="F85" s="21" t="s">
        <v>3</v>
      </c>
    </row>
    <row r="86" spans="2:9" ht="16">
      <c r="B86" s="20"/>
      <c r="D86" s="5"/>
      <c r="E86" s="5"/>
      <c r="F86" s="5"/>
    </row>
    <row r="87" spans="2:9" ht="32">
      <c r="B87" s="20"/>
      <c r="C87" s="6"/>
      <c r="D87" s="7" t="s">
        <v>0</v>
      </c>
      <c r="E87" s="7" t="s">
        <v>1</v>
      </c>
      <c r="F87" s="7" t="s">
        <v>4</v>
      </c>
      <c r="H87" s="7" t="s">
        <v>40</v>
      </c>
      <c r="I87" s="7" t="s">
        <v>27</v>
      </c>
    </row>
    <row r="88" spans="2:9">
      <c r="B88" s="20"/>
      <c r="C88" s="3" t="s">
        <v>5</v>
      </c>
      <c r="D88" s="1">
        <v>0.5</v>
      </c>
      <c r="E88" s="1">
        <v>0.3</v>
      </c>
      <c r="F88" s="1">
        <v>0.2</v>
      </c>
    </row>
    <row r="89" spans="2:9">
      <c r="B89" s="1" t="s">
        <v>41</v>
      </c>
      <c r="C89" s="3" t="s">
        <v>6</v>
      </c>
      <c r="D89" s="4">
        <v>0.25</v>
      </c>
      <c r="E89" s="4">
        <v>0.1</v>
      </c>
      <c r="F89" s="4">
        <v>-0.25</v>
      </c>
      <c r="H89" s="16">
        <f>$D$88*D89+$E$88*E89+$F$88*F89</f>
        <v>0.105</v>
      </c>
      <c r="I89" s="16">
        <f>($D$88*(D89-H89)^2+$E$88*(E89-H89)^2+$F$88*(F89-H89)^2)^(1/2)</f>
        <v>0.189010581714358</v>
      </c>
    </row>
    <row r="90" spans="2:9">
      <c r="B90" s="1" t="s">
        <v>42</v>
      </c>
      <c r="C90" s="3" t="s">
        <v>6</v>
      </c>
      <c r="D90" s="4">
        <v>0.05</v>
      </c>
      <c r="E90" s="4">
        <v>0.05</v>
      </c>
      <c r="F90" s="4">
        <v>0.05</v>
      </c>
      <c r="H90" s="16">
        <f t="shared" ref="H90:H92" si="1">$D$88*D90+$E$88*E90+$F$88*F90</f>
        <v>0.05</v>
      </c>
      <c r="I90" s="16">
        <f t="shared" ref="I90:I92" si="2">($D$88*(D90-H90)^2+$E$88*(E90-H90)^2+$F$88*(F90-H90)^2)^(1/2)</f>
        <v>0</v>
      </c>
    </row>
    <row r="91" spans="2:9">
      <c r="B91" s="1" t="s">
        <v>45</v>
      </c>
      <c r="C91" s="3" t="s">
        <v>6</v>
      </c>
      <c r="D91" s="12">
        <f>0.5*D89+0.5*D90</f>
        <v>0.15</v>
      </c>
      <c r="E91" s="12">
        <f t="shared" ref="E91" si="3">0.5*E89+0.5*E90</f>
        <v>7.5000000000000011E-2</v>
      </c>
      <c r="F91" s="12">
        <f t="shared" ref="F91" si="4">0.5*F89+0.5*F90</f>
        <v>-0.1</v>
      </c>
      <c r="H91" s="16">
        <f t="shared" si="1"/>
        <v>7.7499999999999999E-2</v>
      </c>
      <c r="I91" s="16">
        <f t="shared" si="2"/>
        <v>9.4505290857179E-2</v>
      </c>
    </row>
    <row r="92" spans="2:9">
      <c r="B92" s="1" t="s">
        <v>43</v>
      </c>
      <c r="C92" s="3" t="s">
        <v>6</v>
      </c>
      <c r="D92" s="4">
        <v>0.01</v>
      </c>
      <c r="E92" s="4">
        <v>-0.05</v>
      </c>
      <c r="F92" s="4">
        <v>0.35</v>
      </c>
      <c r="H92" s="16">
        <f t="shared" si="1"/>
        <v>0.06</v>
      </c>
      <c r="I92" s="16">
        <f t="shared" si="2"/>
        <v>0.14730919862656233</v>
      </c>
    </row>
    <row r="95" spans="2:9">
      <c r="C95" s="1" t="s">
        <v>22</v>
      </c>
    </row>
    <row r="96" spans="2:9">
      <c r="C96" s="1" t="s">
        <v>23</v>
      </c>
    </row>
    <row r="98" spans="2:9">
      <c r="C98" s="1" t="s">
        <v>55</v>
      </c>
    </row>
    <row r="99" spans="2:9">
      <c r="C99" s="12">
        <v>0.5</v>
      </c>
      <c r="D99" s="1" t="s">
        <v>17</v>
      </c>
    </row>
    <row r="100" spans="2:9">
      <c r="C100" s="12">
        <v>0.5</v>
      </c>
      <c r="D100" s="1" t="s">
        <v>56</v>
      </c>
    </row>
    <row r="103" spans="2:9" ht="15" customHeight="1">
      <c r="B103" s="19"/>
    </row>
    <row r="104" spans="2:9" ht="18" thickBot="1">
      <c r="B104" s="19"/>
      <c r="D104" s="55" t="s">
        <v>2</v>
      </c>
      <c r="E104" s="55"/>
      <c r="F104" s="21" t="s">
        <v>3</v>
      </c>
    </row>
    <row r="105" spans="2:9" ht="16">
      <c r="B105" s="19"/>
      <c r="D105" s="5"/>
      <c r="E105" s="5"/>
      <c r="F105" s="5"/>
    </row>
    <row r="106" spans="2:9" ht="32">
      <c r="B106" s="19"/>
      <c r="C106" s="6"/>
      <c r="D106" s="7" t="s">
        <v>0</v>
      </c>
      <c r="E106" s="7" t="s">
        <v>1</v>
      </c>
      <c r="F106" s="7" t="s">
        <v>4</v>
      </c>
      <c r="H106" s="7" t="s">
        <v>40</v>
      </c>
      <c r="I106" s="7" t="s">
        <v>27</v>
      </c>
    </row>
    <row r="107" spans="2:9">
      <c r="B107" s="20"/>
      <c r="C107" s="3" t="s">
        <v>5</v>
      </c>
      <c r="D107" s="1">
        <v>0.5</v>
      </c>
      <c r="E107" s="1">
        <v>0.3</v>
      </c>
      <c r="F107" s="1">
        <v>0.2</v>
      </c>
    </row>
    <row r="108" spans="2:9">
      <c r="B108" s="1" t="s">
        <v>41</v>
      </c>
      <c r="C108" s="3" t="s">
        <v>6</v>
      </c>
      <c r="D108" s="4">
        <v>0.25</v>
      </c>
      <c r="E108" s="4">
        <v>0.1</v>
      </c>
      <c r="F108" s="4">
        <v>-0.25</v>
      </c>
      <c r="H108" s="16">
        <f>$D$107*D108+$E$107*E108+$F$107*F108</f>
        <v>0.105</v>
      </c>
      <c r="I108" s="16">
        <f>($D$107*(D108-H108)^2+$E$107*(E108-H108)^2+$F$107*(F108-H108)^2)^(1/2)</f>
        <v>0.189010581714358</v>
      </c>
    </row>
    <row r="109" spans="2:9">
      <c r="B109" s="1" t="s">
        <v>42</v>
      </c>
      <c r="C109" s="3" t="s">
        <v>6</v>
      </c>
      <c r="D109" s="4">
        <v>0.05</v>
      </c>
      <c r="E109" s="4">
        <v>0.05</v>
      </c>
      <c r="F109" s="4">
        <v>0.05</v>
      </c>
      <c r="H109" s="16">
        <f t="shared" ref="H109:H112" si="5">$D$107*D109+$E$107*E109+$F$107*F109</f>
        <v>0.05</v>
      </c>
      <c r="I109" s="16">
        <f t="shared" ref="I109:I112" si="6">($D$107*(D109-H109)^2+$E$107*(E109-H109)^2+$F$107*(F109-H109)^2)^(1/2)</f>
        <v>0</v>
      </c>
    </row>
    <row r="110" spans="2:9">
      <c r="B110" s="1" t="s">
        <v>45</v>
      </c>
      <c r="C110" s="3" t="s">
        <v>6</v>
      </c>
      <c r="D110" s="12">
        <f>0.5*D108+0.5*D109</f>
        <v>0.15</v>
      </c>
      <c r="E110" s="12">
        <f t="shared" ref="E110" si="7">0.5*E108+0.5*E109</f>
        <v>7.5000000000000011E-2</v>
      </c>
      <c r="F110" s="12">
        <f t="shared" ref="F110" si="8">0.5*F108+0.5*F109</f>
        <v>-0.1</v>
      </c>
      <c r="H110" s="16">
        <f t="shared" si="5"/>
        <v>7.7499999999999999E-2</v>
      </c>
      <c r="I110" s="16">
        <f t="shared" si="6"/>
        <v>9.4505290857179E-2</v>
      </c>
    </row>
    <row r="111" spans="2:9">
      <c r="B111" s="1" t="s">
        <v>43</v>
      </c>
      <c r="C111" s="3" t="s">
        <v>6</v>
      </c>
      <c r="D111" s="4">
        <v>0.01</v>
      </c>
      <c r="E111" s="4">
        <v>-0.05</v>
      </c>
      <c r="F111" s="4">
        <v>0.35</v>
      </c>
      <c r="H111" s="16">
        <f t="shared" si="5"/>
        <v>0.06</v>
      </c>
      <c r="I111" s="16">
        <f t="shared" si="6"/>
        <v>0.14730919862656233</v>
      </c>
    </row>
    <row r="112" spans="2:9">
      <c r="B112" s="1" t="s">
        <v>44</v>
      </c>
      <c r="C112" s="3" t="s">
        <v>6</v>
      </c>
      <c r="D112" s="4">
        <f>$C$99*D13+$C$100*D92</f>
        <v>0.13</v>
      </c>
      <c r="E112" s="4">
        <f>$C$99*E13+$C$100*E92</f>
        <v>2.5000000000000001E-2</v>
      </c>
      <c r="F112" s="4">
        <f>$C$99*F13+$C$100*F92</f>
        <v>4.9999999999999989E-2</v>
      </c>
      <c r="H112" s="16">
        <f t="shared" si="5"/>
        <v>8.2500000000000004E-2</v>
      </c>
      <c r="I112" s="16">
        <f t="shared" si="6"/>
        <v>4.8283019789569913E-2</v>
      </c>
    </row>
    <row r="115" spans="2:7">
      <c r="B115" s="1" t="s">
        <v>25</v>
      </c>
    </row>
    <row r="118" spans="2:7" ht="18" thickBot="1">
      <c r="D118" s="21" t="s">
        <v>26</v>
      </c>
      <c r="E118" s="21" t="s">
        <v>27</v>
      </c>
    </row>
    <row r="119" spans="2:7">
      <c r="B119" s="15" t="s">
        <v>28</v>
      </c>
      <c r="C119" s="15"/>
      <c r="D119" s="16">
        <f>$D$23</f>
        <v>0.105</v>
      </c>
      <c r="E119" s="16">
        <f>$D$41</f>
        <v>0.189010581714358</v>
      </c>
    </row>
    <row r="120" spans="2:7">
      <c r="B120" s="15" t="s">
        <v>29</v>
      </c>
      <c r="C120" s="15"/>
      <c r="D120" s="16">
        <f>$D$56</f>
        <v>7.7499999999999999E-2</v>
      </c>
      <c r="E120" s="16">
        <f>$D$73</f>
        <v>9.4505290857179E-2</v>
      </c>
    </row>
    <row r="121" spans="2:7">
      <c r="B121" s="15" t="s">
        <v>30</v>
      </c>
      <c r="C121" s="15"/>
      <c r="D121" s="16">
        <f>D107*D112+E107*E112+F107*F112</f>
        <v>8.2500000000000004E-2</v>
      </c>
      <c r="E121" s="16">
        <f>(D107*(D112-D121)^2+E107*(E112-D121)^2+F107*(F112-D121)^2)^(1/2)</f>
        <v>4.8283019789569913E-2</v>
      </c>
      <c r="G121" s="17" t="s">
        <v>31</v>
      </c>
    </row>
    <row r="124" spans="2:7">
      <c r="B124" s="1" t="s">
        <v>33</v>
      </c>
    </row>
    <row r="125" spans="2:7">
      <c r="B125" s="1" t="s">
        <v>34</v>
      </c>
    </row>
    <row r="127" spans="2:7">
      <c r="B127" s="1" t="s">
        <v>32</v>
      </c>
    </row>
    <row r="130" spans="2:6">
      <c r="B130" s="1" t="s">
        <v>35</v>
      </c>
    </row>
    <row r="132" spans="2:6">
      <c r="B132" s="1" t="s">
        <v>36</v>
      </c>
    </row>
    <row r="135" spans="2:6">
      <c r="E135" s="1" t="s">
        <v>37</v>
      </c>
    </row>
    <row r="137" spans="2:6">
      <c r="E137" s="1" t="s">
        <v>57</v>
      </c>
    </row>
    <row r="139" spans="2:6">
      <c r="E139" s="1" t="s">
        <v>39</v>
      </c>
    </row>
    <row r="141" spans="2:6">
      <c r="B141" s="1" t="s">
        <v>38</v>
      </c>
    </row>
    <row r="143" spans="2:6" ht="18" thickBot="1">
      <c r="D143" s="55" t="s">
        <v>2</v>
      </c>
      <c r="E143" s="55"/>
      <c r="F143" s="21" t="s">
        <v>3</v>
      </c>
    </row>
    <row r="144" spans="2:6" ht="16">
      <c r="D144" s="5"/>
      <c r="E144" s="5"/>
      <c r="F144" s="5"/>
    </row>
    <row r="145" spans="2:9" ht="32">
      <c r="C145" s="6"/>
      <c r="D145" s="7" t="s">
        <v>0</v>
      </c>
      <c r="E145" s="7" t="s">
        <v>1</v>
      </c>
      <c r="F145" s="7" t="s">
        <v>4</v>
      </c>
      <c r="H145" s="7" t="s">
        <v>40</v>
      </c>
      <c r="I145" s="7" t="s">
        <v>27</v>
      </c>
    </row>
    <row r="146" spans="2:9">
      <c r="C146" s="3" t="s">
        <v>5</v>
      </c>
      <c r="D146" s="1">
        <v>0.5</v>
      </c>
      <c r="E146" s="1">
        <v>0.3</v>
      </c>
      <c r="F146" s="1">
        <v>0.2</v>
      </c>
    </row>
    <row r="147" spans="2:9">
      <c r="B147" s="1" t="s">
        <v>41</v>
      </c>
      <c r="C147" s="3" t="s">
        <v>6</v>
      </c>
      <c r="D147" s="4">
        <v>0.25</v>
      </c>
      <c r="E147" s="4">
        <v>0.1</v>
      </c>
      <c r="F147" s="4">
        <v>-0.25</v>
      </c>
      <c r="H147" s="16">
        <f>$D$146*D147+$E$146*E147+$F$146*F147</f>
        <v>0.105</v>
      </c>
      <c r="I147" s="16">
        <f>($D$146*(D147-H147)^2+$E$146*(E147-H147)^2+$F$146*(F147-H147)^2)^(1/2)</f>
        <v>0.189010581714358</v>
      </c>
    </row>
    <row r="148" spans="2:9">
      <c r="B148" s="1" t="s">
        <v>42</v>
      </c>
      <c r="C148" s="3" t="s">
        <v>6</v>
      </c>
      <c r="D148" s="4">
        <v>0.05</v>
      </c>
      <c r="E148" s="4">
        <v>0.05</v>
      </c>
      <c r="F148" s="4">
        <v>0.05</v>
      </c>
      <c r="H148" s="16">
        <f t="shared" ref="H148:H151" si="9">$D$146*D148+$E$146*E148+$F$146*F148</f>
        <v>0.05</v>
      </c>
      <c r="I148" s="16">
        <f t="shared" ref="I148:I151" si="10">($D$146*(D148-H148)^2+$E$146*(E148-H148)^2+$F$146*(F148-H148)^2)^(1/2)</f>
        <v>0</v>
      </c>
    </row>
    <row r="149" spans="2:9">
      <c r="B149" s="1" t="s">
        <v>45</v>
      </c>
      <c r="C149" s="3" t="s">
        <v>6</v>
      </c>
      <c r="D149" s="12">
        <f>0.5*D147+0.5*D148</f>
        <v>0.15</v>
      </c>
      <c r="E149" s="12">
        <f>0.5*E147+0.5*E148</f>
        <v>7.5000000000000011E-2</v>
      </c>
      <c r="F149" s="12">
        <f>0.5*F147+0.5*F148</f>
        <v>-0.1</v>
      </c>
      <c r="H149" s="16">
        <f>$D$146*D149+$E$146*E149+$F$146*F149</f>
        <v>7.7499999999999999E-2</v>
      </c>
      <c r="I149" s="16">
        <f>($D$146*(D149-H149)^2+$E$146*(E149-H149)^2+$F$146*(F149-H149)^2)^(1/2)</f>
        <v>9.4505290857179E-2</v>
      </c>
    </row>
    <row r="150" spans="2:9">
      <c r="B150" s="1" t="s">
        <v>43</v>
      </c>
      <c r="C150" s="3" t="s">
        <v>6</v>
      </c>
      <c r="D150" s="4">
        <v>0.01</v>
      </c>
      <c r="E150" s="4">
        <v>-0.05</v>
      </c>
      <c r="F150" s="4">
        <v>0.35</v>
      </c>
      <c r="H150" s="16">
        <f t="shared" si="9"/>
        <v>0.06</v>
      </c>
      <c r="I150" s="16">
        <f t="shared" si="10"/>
        <v>0.14730919862656233</v>
      </c>
    </row>
    <row r="151" spans="2:9">
      <c r="B151" s="1" t="s">
        <v>44</v>
      </c>
      <c r="C151" s="3" t="s">
        <v>6</v>
      </c>
      <c r="D151" s="12">
        <f>0.5*D147+0.5*D150</f>
        <v>0.13</v>
      </c>
      <c r="E151" s="12">
        <f>0.5*E147+0.5*E150</f>
        <v>2.5000000000000001E-2</v>
      </c>
      <c r="F151" s="12">
        <f>0.5*F147+0.5*F150</f>
        <v>4.9999999999999989E-2</v>
      </c>
      <c r="H151" s="16">
        <f t="shared" si="9"/>
        <v>8.2500000000000004E-2</v>
      </c>
      <c r="I151" s="16">
        <f t="shared" si="10"/>
        <v>4.8283019789569913E-2</v>
      </c>
    </row>
    <row r="152" spans="2:9">
      <c r="C152" s="3"/>
    </row>
    <row r="163" spans="2:4">
      <c r="D163" s="1">
        <f>D146*(D147-H147)*(D150-H150)+E146*(E147-H147)*(E150-H150)+F146*(F147-H147)*(F150-H150)</f>
        <v>-2.4049999999999998E-2</v>
      </c>
    </row>
    <row r="166" spans="2:4">
      <c r="B166" s="1" t="s">
        <v>46</v>
      </c>
    </row>
    <row r="178" spans="2:2" ht="15.75" customHeight="1"/>
    <row r="192" spans="2:2">
      <c r="B192" s="1" t="s">
        <v>47</v>
      </c>
    </row>
    <row r="198" spans="3:3">
      <c r="C198" s="1" t="s">
        <v>48</v>
      </c>
    </row>
    <row r="200" spans="3:3">
      <c r="C200" s="1" t="s">
        <v>49</v>
      </c>
    </row>
    <row r="202" spans="3:3">
      <c r="C202" s="1" t="s">
        <v>50</v>
      </c>
    </row>
    <row r="212" spans="2:6">
      <c r="B212" s="3" t="s">
        <v>24</v>
      </c>
      <c r="F212" s="1" t="s">
        <v>51</v>
      </c>
    </row>
    <row r="213" spans="2:6">
      <c r="F213" s="1" t="s">
        <v>52</v>
      </c>
    </row>
    <row r="214" spans="2:6">
      <c r="F214" s="1" t="s">
        <v>53</v>
      </c>
    </row>
  </sheetData>
  <mergeCells count="5">
    <mergeCell ref="D143:E143"/>
    <mergeCell ref="D9:E9"/>
    <mergeCell ref="D85:E85"/>
    <mergeCell ref="D104:E104"/>
    <mergeCell ref="D59:E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L35"/>
  <sheetViews>
    <sheetView zoomScale="125" workbookViewId="0">
      <selection activeCell="G16" sqref="G16"/>
    </sheetView>
  </sheetViews>
  <sheetFormatPr baseColWidth="10" defaultColWidth="11.5" defaultRowHeight="15"/>
  <cols>
    <col min="1" max="1" width="11.5" style="1"/>
    <col min="2" max="2" width="18.5" style="1" customWidth="1"/>
    <col min="3" max="9" width="11.5" style="1"/>
    <col min="10" max="10" width="15.5" style="1" customWidth="1"/>
    <col min="11" max="11" width="14.5" style="1" customWidth="1"/>
    <col min="12" max="12" width="23.83203125" style="1" customWidth="1"/>
    <col min="13" max="16384" width="11.5" style="1"/>
  </cols>
  <sheetData>
    <row r="2" spans="2:12" ht="21">
      <c r="B2" s="56" t="s">
        <v>63</v>
      </c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2:12" ht="19"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2:12">
      <c r="H4" s="29"/>
      <c r="I4" s="30">
        <f>SUM(H12:H35)/24</f>
        <v>0.29549447399339895</v>
      </c>
      <c r="J4" s="29"/>
      <c r="K4" s="31">
        <f>(SUM(J12:J35)/24)^(1/2)</f>
        <v>0.59884255255066143</v>
      </c>
    </row>
    <row r="5" spans="2:12">
      <c r="H5" s="29"/>
      <c r="I5" s="30">
        <f>SUM(I12:I35)/24</f>
        <v>0.33056852944470944</v>
      </c>
      <c r="J5" s="29"/>
      <c r="K5" s="31">
        <f>(SUM(K12:K35)/24)^(1/2)</f>
        <v>0.86059899145301744</v>
      </c>
    </row>
    <row r="6" spans="2:12">
      <c r="H6" s="29"/>
      <c r="I6" s="29"/>
      <c r="J6" s="29"/>
      <c r="K6" s="32">
        <f>SUM(L12:L35)/24</f>
        <v>0.1238419730712218</v>
      </c>
    </row>
    <row r="7" spans="2:12">
      <c r="H7" s="29"/>
      <c r="I7" s="29"/>
      <c r="J7" s="29"/>
      <c r="K7" s="32">
        <f>K6/(K4*K5)</f>
        <v>0.24030033541149251</v>
      </c>
    </row>
    <row r="8" spans="2:12">
      <c r="K8" s="24"/>
    </row>
    <row r="9" spans="2:12">
      <c r="B9" s="1" t="s">
        <v>70</v>
      </c>
      <c r="K9" s="16"/>
      <c r="L9" s="16"/>
    </row>
    <row r="10" spans="2:12">
      <c r="B10" s="1" t="s">
        <v>72</v>
      </c>
      <c r="C10" s="25"/>
      <c r="D10" s="47" t="s">
        <v>58</v>
      </c>
      <c r="E10" s="26" t="s">
        <v>59</v>
      </c>
      <c r="F10" s="1" t="s">
        <v>59</v>
      </c>
    </row>
    <row r="11" spans="2:12">
      <c r="B11" s="1" t="s">
        <v>71</v>
      </c>
      <c r="C11" s="25"/>
      <c r="D11" s="27">
        <v>35430</v>
      </c>
      <c r="E11" s="26">
        <v>7.8233102935596062</v>
      </c>
      <c r="F11" s="26">
        <v>0.28402318393615994</v>
      </c>
    </row>
    <row r="12" spans="2:12">
      <c r="C12" s="25"/>
      <c r="D12" s="27">
        <v>35795</v>
      </c>
      <c r="E12" s="26">
        <v>10.738007359418052</v>
      </c>
      <c r="F12" s="26">
        <v>0.24566887268200485</v>
      </c>
      <c r="H12" s="12">
        <f>(E12-E11)/E11</f>
        <v>0.37256569872447931</v>
      </c>
      <c r="I12" s="12">
        <f t="shared" ref="I12:I35" si="0">(F12-F11)/F11</f>
        <v>-0.13503936799319879</v>
      </c>
      <c r="J12" s="26">
        <f>(H12-$I$4)^2</f>
        <v>5.9399736815486928E-3</v>
      </c>
      <c r="K12" s="26">
        <f>(I12-$I$5)^2</f>
        <v>0.21679071415654963</v>
      </c>
      <c r="L12" s="28">
        <f>(H12-$I$4)*(I12-$I$5)</f>
        <v>-3.5884970900002838E-2</v>
      </c>
    </row>
    <row r="13" spans="2:12">
      <c r="C13" s="25"/>
      <c r="D13" s="27">
        <v>36160</v>
      </c>
      <c r="E13" s="26">
        <v>9.1846109674648186</v>
      </c>
      <c r="F13" s="26">
        <v>0.15883120431749262</v>
      </c>
      <c r="H13" s="12">
        <f t="shared" ref="H13:H35" si="1">(E13-E12)/E12</f>
        <v>-0.14466337561137788</v>
      </c>
      <c r="I13" s="12">
        <f t="shared" si="0"/>
        <v>-0.35347444475359069</v>
      </c>
      <c r="J13" s="26">
        <f t="shared" ref="J13:J35" si="2">(H13-$I$4)^2</f>
        <v>0.19373893256870134</v>
      </c>
      <c r="K13" s="26">
        <f t="shared" ref="K13:K35" si="3">(I13-$I$5)^2</f>
        <v>0.46791479055005619</v>
      </c>
      <c r="L13" s="28">
        <f t="shared" ref="L13:L35" si="4">(H13-$I$4)*(I13-$I$5)</f>
        <v>0.30108688456037958</v>
      </c>
    </row>
    <row r="14" spans="2:12">
      <c r="C14" s="25"/>
      <c r="D14" s="27">
        <v>36525</v>
      </c>
      <c r="E14" s="26">
        <v>12.287109026333203</v>
      </c>
      <c r="F14" s="26">
        <v>0.18332365132666506</v>
      </c>
      <c r="H14" s="12">
        <f t="shared" si="1"/>
        <v>0.33779308343690806</v>
      </c>
      <c r="I14" s="12">
        <f t="shared" si="0"/>
        <v>0.15420425170493407</v>
      </c>
      <c r="J14" s="26">
        <f t="shared" si="2"/>
        <v>1.7891723608545176E-3</v>
      </c>
      <c r="K14" s="26">
        <f t="shared" si="3"/>
        <v>3.1104358462672625E-2</v>
      </c>
      <c r="L14" s="28">
        <f t="shared" si="4"/>
        <v>-7.4599637039013253E-3</v>
      </c>
    </row>
    <row r="15" spans="2:12">
      <c r="C15" s="25"/>
      <c r="D15" s="27">
        <v>36891</v>
      </c>
      <c r="E15" s="26">
        <v>10.156656946912738</v>
      </c>
      <c r="F15" s="26">
        <v>0.16971197677574856</v>
      </c>
      <c r="H15" s="12">
        <f t="shared" si="1"/>
        <v>-0.17338920610654399</v>
      </c>
      <c r="I15" s="12">
        <f t="shared" si="0"/>
        <v>-7.4249418732456982E-2</v>
      </c>
      <c r="J15" s="26">
        <f t="shared" si="2"/>
        <v>0.21985190546406566</v>
      </c>
      <c r="K15" s="26">
        <f t="shared" si="3"/>
        <v>0.163877571166371</v>
      </c>
      <c r="L15" s="28">
        <f t="shared" si="4"/>
        <v>0.1898125293118178</v>
      </c>
    </row>
    <row r="16" spans="2:12">
      <c r="C16" s="25"/>
      <c r="D16" s="27">
        <v>37256</v>
      </c>
      <c r="E16" s="26">
        <v>9.9610997138264317</v>
      </c>
      <c r="F16" s="26">
        <v>0.22062459181587968</v>
      </c>
      <c r="H16" s="12">
        <f t="shared" si="1"/>
        <v>-1.92540945419791E-2</v>
      </c>
      <c r="I16" s="12">
        <f t="shared" si="0"/>
        <v>0.29999423733897845</v>
      </c>
      <c r="J16" s="26">
        <f t="shared" si="2"/>
        <v>9.9066661395069561E-2</v>
      </c>
      <c r="K16" s="26">
        <f t="shared" si="3"/>
        <v>9.3478733776656392E-4</v>
      </c>
      <c r="L16" s="28">
        <f t="shared" si="4"/>
        <v>9.6232146742613357E-3</v>
      </c>
    </row>
    <row r="17" spans="3:12">
      <c r="C17" s="25"/>
      <c r="D17" s="27">
        <v>37621</v>
      </c>
      <c r="E17" s="26">
        <v>20.526438819642514</v>
      </c>
      <c r="F17" s="26">
        <v>1.1151651713004411</v>
      </c>
      <c r="H17" s="12">
        <f t="shared" si="1"/>
        <v>1.0606599079769217</v>
      </c>
      <c r="I17" s="12">
        <f t="shared" si="0"/>
        <v>4.0545823660088285</v>
      </c>
      <c r="J17" s="26">
        <f t="shared" si="2"/>
        <v>0.58547814136319276</v>
      </c>
      <c r="K17" s="26">
        <f t="shared" si="3"/>
        <v>13.868279054921009</v>
      </c>
      <c r="L17" s="28">
        <f t="shared" si="4"/>
        <v>2.8494866634152278</v>
      </c>
    </row>
    <row r="18" spans="3:12">
      <c r="C18" s="25"/>
      <c r="D18" s="27">
        <v>37986</v>
      </c>
      <c r="E18" s="26">
        <v>57.819598666072501</v>
      </c>
      <c r="F18" s="26">
        <v>1.2729959085985909</v>
      </c>
      <c r="H18" s="12">
        <f t="shared" si="1"/>
        <v>1.8168353592218234</v>
      </c>
      <c r="I18" s="12">
        <f t="shared" si="0"/>
        <v>0.14153126492831256</v>
      </c>
      <c r="J18" s="26">
        <f t="shared" si="2"/>
        <v>2.3144780890676064</v>
      </c>
      <c r="K18" s="26">
        <f t="shared" si="3"/>
        <v>3.5735087375842203E-2</v>
      </c>
      <c r="L18" s="28">
        <f t="shared" si="4"/>
        <v>-0.28759011934053508</v>
      </c>
    </row>
    <row r="19" spans="3:12">
      <c r="C19" s="25"/>
      <c r="D19" s="27">
        <v>38352</v>
      </c>
      <c r="E19" s="26">
        <v>71.622806547896303</v>
      </c>
      <c r="F19" s="26">
        <v>1.2424373477006792</v>
      </c>
      <c r="H19" s="12">
        <f t="shared" si="1"/>
        <v>0.23872887740957766</v>
      </c>
      <c r="I19" s="12">
        <f t="shared" si="0"/>
        <v>-2.4005231039236338E-2</v>
      </c>
      <c r="J19" s="26">
        <f t="shared" si="2"/>
        <v>3.2223329555171442E-3</v>
      </c>
      <c r="K19" s="26">
        <f t="shared" si="3"/>
        <v>0.12572255162372656</v>
      </c>
      <c r="L19" s="28">
        <f t="shared" si="4"/>
        <v>2.0127591046840143E-2</v>
      </c>
    </row>
    <row r="20" spans="3:12">
      <c r="C20" s="25"/>
      <c r="D20" s="27">
        <v>38717</v>
      </c>
      <c r="E20" s="26">
        <v>95.703923133111573</v>
      </c>
      <c r="F20" s="26">
        <v>1.326202821715194</v>
      </c>
      <c r="H20" s="12">
        <f t="shared" si="1"/>
        <v>0.33622134828117228</v>
      </c>
      <c r="I20" s="12">
        <f t="shared" si="0"/>
        <v>6.7420280120792972E-2</v>
      </c>
      <c r="J20" s="26">
        <f t="shared" si="2"/>
        <v>1.6586782892520923E-3</v>
      </c>
      <c r="K20" s="26">
        <f t="shared" si="3"/>
        <v>6.9247001122242094E-2</v>
      </c>
      <c r="L20" s="28">
        <f t="shared" si="4"/>
        <v>-1.0717205669262778E-2</v>
      </c>
    </row>
    <row r="21" spans="3:12">
      <c r="C21" s="25"/>
      <c r="D21" s="27">
        <v>39082</v>
      </c>
      <c r="E21" s="26">
        <v>86.192974250317903</v>
      </c>
      <c r="F21" s="26">
        <v>1.423292525304215</v>
      </c>
      <c r="H21" s="12">
        <f t="shared" si="1"/>
        <v>-9.9378881987577355E-2</v>
      </c>
      <c r="I21" s="12">
        <f t="shared" si="0"/>
        <v>7.320878978635692E-2</v>
      </c>
      <c r="J21" s="26">
        <f t="shared" si="2"/>
        <v>0.15592496726367883</v>
      </c>
      <c r="K21" s="26">
        <f t="shared" si="3"/>
        <v>6.623403559701499E-2</v>
      </c>
      <c r="L21" s="28">
        <f t="shared" si="4"/>
        <v>0.10162450409328401</v>
      </c>
    </row>
    <row r="22" spans="3:12">
      <c r="C22" s="25"/>
      <c r="D22" s="27">
        <v>39447</v>
      </c>
      <c r="E22" s="26">
        <v>80.927334514658583</v>
      </c>
      <c r="F22" s="26">
        <v>2.8746323419184878</v>
      </c>
      <c r="H22" s="12">
        <f t="shared" si="1"/>
        <v>-6.1091287096870305E-2</v>
      </c>
      <c r="I22" s="12">
        <f t="shared" si="0"/>
        <v>1.019705921875802</v>
      </c>
      <c r="J22" s="26">
        <f t="shared" si="2"/>
        <v>0.12715340501232658</v>
      </c>
      <c r="K22" s="26">
        <f t="shared" si="3"/>
        <v>0.47491034564672574</v>
      </c>
      <c r="L22" s="28">
        <f t="shared" si="4"/>
        <v>-0.24573658157580472</v>
      </c>
    </row>
    <row r="23" spans="3:12">
      <c r="C23" s="25"/>
      <c r="D23" s="27">
        <v>39813</v>
      </c>
      <c r="E23" s="26">
        <v>117.88969490061376</v>
      </c>
      <c r="F23" s="26">
        <v>2.3692562434948279</v>
      </c>
      <c r="H23" s="12">
        <f t="shared" si="1"/>
        <v>0.45673517616300696</v>
      </c>
      <c r="I23" s="12">
        <f t="shared" si="0"/>
        <v>-0.1758054729483699</v>
      </c>
      <c r="J23" s="26">
        <f t="shared" si="2"/>
        <v>2.5998564036148232E-2</v>
      </c>
      <c r="K23" s="26">
        <f t="shared" si="3"/>
        <v>0.25641463029958639</v>
      </c>
      <c r="L23" s="28">
        <f t="shared" si="4"/>
        <v>-8.1648099706294885E-2</v>
      </c>
    </row>
    <row r="24" spans="3:12">
      <c r="C24" s="25"/>
      <c r="D24" s="27">
        <v>40178</v>
      </c>
      <c r="E24" s="26">
        <v>132.15210980088605</v>
      </c>
      <c r="F24" s="26">
        <v>3.5483165443411409</v>
      </c>
      <c r="H24" s="12">
        <f t="shared" si="1"/>
        <v>0.12098101460264307</v>
      </c>
      <c r="I24" s="12">
        <f t="shared" si="0"/>
        <v>0.4976499709913656</v>
      </c>
      <c r="J24" s="26">
        <f t="shared" si="2"/>
        <v>3.0454947508529003E-2</v>
      </c>
      <c r="K24" s="26">
        <f t="shared" si="3"/>
        <v>2.7916208109308682E-2</v>
      </c>
      <c r="L24" s="28">
        <f t="shared" si="4"/>
        <v>-2.9157960364301332E-2</v>
      </c>
    </row>
    <row r="25" spans="3:12">
      <c r="C25" s="25"/>
      <c r="D25" s="27">
        <v>40543</v>
      </c>
      <c r="E25" s="26">
        <v>174.90941947176773</v>
      </c>
      <c r="F25" s="26">
        <v>6.8358372966890313</v>
      </c>
      <c r="H25" s="12">
        <f t="shared" si="1"/>
        <v>0.32354617520147227</v>
      </c>
      <c r="I25" s="12">
        <f t="shared" si="0"/>
        <v>0.92650154270786023</v>
      </c>
      <c r="J25" s="26">
        <f t="shared" si="2"/>
        <v>7.8689794066702219E-4</v>
      </c>
      <c r="K25" s="26">
        <f t="shared" si="3"/>
        <v>0.35513615629689871</v>
      </c>
      <c r="L25" s="28">
        <f t="shared" si="4"/>
        <v>1.6716934828084704E-2</v>
      </c>
    </row>
    <row r="26" spans="3:12">
      <c r="C26" s="25"/>
      <c r="D26" s="27">
        <v>40908</v>
      </c>
      <c r="E26" s="26">
        <v>158.59994477387605</v>
      </c>
      <c r="F26" s="26">
        <v>6.3108526259791109</v>
      </c>
      <c r="H26" s="12">
        <f t="shared" si="1"/>
        <v>-9.3245262302892803E-2</v>
      </c>
      <c r="I26" s="12">
        <f t="shared" si="0"/>
        <v>-7.6798883285914235E-2</v>
      </c>
      <c r="J26" s="26">
        <f t="shared" si="2"/>
        <v>0.15111858257571045</v>
      </c>
      <c r="K26" s="26">
        <f t="shared" si="3"/>
        <v>0.16594820895484227</v>
      </c>
      <c r="L26" s="28">
        <f t="shared" si="4"/>
        <v>0.15835990060060529</v>
      </c>
    </row>
    <row r="27" spans="3:12">
      <c r="C27" s="25"/>
      <c r="D27" s="27">
        <v>41274</v>
      </c>
      <c r="E27" s="26">
        <v>94.724680949133756</v>
      </c>
      <c r="F27" s="26">
        <v>4.5294589777928786</v>
      </c>
      <c r="H27" s="12">
        <f t="shared" si="1"/>
        <v>-0.40274455275386434</v>
      </c>
      <c r="I27" s="12">
        <f t="shared" si="0"/>
        <v>-0.28227463922275542</v>
      </c>
      <c r="J27" s="26">
        <f t="shared" si="2"/>
        <v>0.48753773847296555</v>
      </c>
      <c r="K27" s="26">
        <f t="shared" si="3"/>
        <v>0.37557674938237884</v>
      </c>
      <c r="L27" s="28">
        <f t="shared" si="4"/>
        <v>0.42791101763907963</v>
      </c>
    </row>
    <row r="28" spans="3:12">
      <c r="C28" s="25"/>
      <c r="D28" s="27">
        <v>41639</v>
      </c>
      <c r="E28" s="26">
        <v>282.90427033169158</v>
      </c>
      <c r="F28" s="26">
        <v>5.1991045184787001</v>
      </c>
      <c r="H28" s="12">
        <f t="shared" si="1"/>
        <v>1.9865951249137324</v>
      </c>
      <c r="I28" s="12">
        <f t="shared" si="0"/>
        <v>0.14784227961197419</v>
      </c>
      <c r="J28" s="26">
        <f t="shared" si="2"/>
        <v>2.8598214115431757</v>
      </c>
      <c r="K28" s="26">
        <f t="shared" si="3"/>
        <v>3.3388882377935178E-2</v>
      </c>
      <c r="L28" s="28">
        <f t="shared" si="4"/>
        <v>-0.30900848003237003</v>
      </c>
    </row>
    <row r="29" spans="3:12">
      <c r="C29" s="25"/>
      <c r="D29" s="27">
        <v>42004</v>
      </c>
      <c r="E29" s="26">
        <v>304.14917103492689</v>
      </c>
      <c r="F29" s="26">
        <v>6.3510988198706535</v>
      </c>
      <c r="H29" s="12">
        <f t="shared" si="1"/>
        <v>7.509572293951837E-2</v>
      </c>
      <c r="I29" s="12">
        <f t="shared" si="0"/>
        <v>0.22157552272656295</v>
      </c>
      <c r="J29" s="26">
        <f t="shared" si="2"/>
        <v>4.857560946611042E-2</v>
      </c>
      <c r="K29" s="26">
        <f t="shared" si="3"/>
        <v>1.1879475513461926E-2</v>
      </c>
      <c r="L29" s="28">
        <f t="shared" si="4"/>
        <v>2.4021922554286701E-2</v>
      </c>
    </row>
    <row r="30" spans="3:12">
      <c r="C30" s="25"/>
      <c r="D30" s="27">
        <v>42369</v>
      </c>
      <c r="E30" s="26">
        <v>213.18795679922232</v>
      </c>
      <c r="F30" s="26">
        <v>12.54623205</v>
      </c>
      <c r="H30" s="12">
        <f t="shared" si="1"/>
        <v>-0.29906776969403304</v>
      </c>
      <c r="I30" s="12">
        <f t="shared" si="0"/>
        <v>0.97544273925429448</v>
      </c>
      <c r="J30" s="26">
        <f t="shared" si="2"/>
        <v>0.35350426161863335</v>
      </c>
      <c r="K30" s="26">
        <f t="shared" si="3"/>
        <v>0.41586274647753663</v>
      </c>
      <c r="L30" s="28">
        <f t="shared" si="4"/>
        <v>-0.38341785708054665</v>
      </c>
    </row>
    <row r="31" spans="3:12">
      <c r="C31" s="25"/>
      <c r="D31" s="27">
        <v>42735</v>
      </c>
      <c r="E31" s="26">
        <v>252.96730888156057</v>
      </c>
      <c r="F31" s="26">
        <v>16.850000000000001</v>
      </c>
      <c r="H31" s="12">
        <f t="shared" si="1"/>
        <v>0.18659286706238257</v>
      </c>
      <c r="I31" s="12">
        <f t="shared" si="0"/>
        <v>0.34303270757693349</v>
      </c>
      <c r="J31" s="26">
        <f t="shared" si="2"/>
        <v>1.1859559992157596E-2</v>
      </c>
      <c r="K31" s="26">
        <f t="shared" si="3"/>
        <v>1.553557365118124E-4</v>
      </c>
      <c r="L31" s="28">
        <f t="shared" si="4"/>
        <v>-1.3573690276736342E-3</v>
      </c>
    </row>
    <row r="32" spans="3:12">
      <c r="C32" s="25"/>
      <c r="D32" s="27">
        <v>43100</v>
      </c>
      <c r="E32" s="26">
        <v>415.97526684041998</v>
      </c>
      <c r="F32" s="26">
        <v>17.3</v>
      </c>
      <c r="H32" s="12">
        <f t="shared" si="1"/>
        <v>0.64438349239497905</v>
      </c>
      <c r="I32" s="12">
        <f t="shared" si="0"/>
        <v>2.6706231454005889E-2</v>
      </c>
      <c r="J32" s="26">
        <f t="shared" si="2"/>
        <v>0.1217235471612181</v>
      </c>
      <c r="K32" s="26">
        <f t="shared" si="3"/>
        <v>9.2332296140191103E-2</v>
      </c>
      <c r="L32" s="28">
        <f t="shared" si="4"/>
        <v>-0.10601421887522498</v>
      </c>
    </row>
    <row r="33" spans="3:12">
      <c r="C33" s="25"/>
      <c r="D33" s="27">
        <v>43465</v>
      </c>
      <c r="E33" s="26">
        <v>498.34420514999999</v>
      </c>
      <c r="F33" s="26">
        <v>12.2</v>
      </c>
      <c r="H33" s="12">
        <f t="shared" si="1"/>
        <v>0.19801402841861532</v>
      </c>
      <c r="I33" s="12">
        <f t="shared" si="0"/>
        <v>-0.29479768786127175</v>
      </c>
      <c r="J33" s="26">
        <f t="shared" si="2"/>
        <v>9.5024372694583539E-3</v>
      </c>
      <c r="K33" s="26">
        <f t="shared" si="3"/>
        <v>0.39108290574759169</v>
      </c>
      <c r="L33" s="28">
        <f t="shared" si="4"/>
        <v>6.0960977510404017E-2</v>
      </c>
    </row>
    <row r="34" spans="3:12">
      <c r="C34" s="25"/>
      <c r="D34" s="27">
        <v>43830</v>
      </c>
      <c r="E34" s="26">
        <v>857.2</v>
      </c>
      <c r="F34" s="26">
        <v>17.3</v>
      </c>
      <c r="H34" s="12">
        <f t="shared" si="1"/>
        <v>0.72009625303455793</v>
      </c>
      <c r="I34" s="12">
        <f t="shared" si="0"/>
        <v>0.41803278688524603</v>
      </c>
      <c r="J34" s="26">
        <f t="shared" si="2"/>
        <v>0.1802866707649172</v>
      </c>
      <c r="K34" s="26">
        <f t="shared" si="3"/>
        <v>7.6499963296244615E-3</v>
      </c>
      <c r="L34" s="28">
        <f t="shared" si="4"/>
        <v>3.7137479311765767E-2</v>
      </c>
    </row>
    <row r="35" spans="3:12">
      <c r="C35" s="25"/>
      <c r="D35" s="25">
        <v>44196</v>
      </c>
      <c r="E35" s="26">
        <v>437.05</v>
      </c>
      <c r="F35" s="26">
        <v>17</v>
      </c>
      <c r="H35" s="12">
        <f t="shared" si="1"/>
        <v>-0.490142323845077</v>
      </c>
      <c r="I35" s="12">
        <f t="shared" si="0"/>
        <v>-1.7341040462427786E-2</v>
      </c>
      <c r="J35" s="26">
        <f t="shared" si="2"/>
        <v>0.61722517811789435</v>
      </c>
      <c r="K35" s="26">
        <f t="shared" si="3"/>
        <v>0.12104106883296921</v>
      </c>
      <c r="L35" s="28">
        <f t="shared" si="4"/>
        <v>0.27333056043920467</v>
      </c>
    </row>
  </sheetData>
  <mergeCells count="1">
    <mergeCell ref="B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35"/>
  <sheetViews>
    <sheetView workbookViewId="0">
      <selection activeCell="K5" sqref="K5"/>
    </sheetView>
  </sheetViews>
  <sheetFormatPr baseColWidth="10" defaultColWidth="11.5" defaultRowHeight="15"/>
  <cols>
    <col min="1" max="1" width="11.5" style="1"/>
    <col min="2" max="2" width="18.5" style="1" customWidth="1"/>
    <col min="3" max="9" width="11.5" style="1"/>
    <col min="10" max="10" width="15.5" style="1" customWidth="1"/>
    <col min="11" max="11" width="14.5" style="1" customWidth="1"/>
    <col min="12" max="12" width="23.83203125" style="1" customWidth="1"/>
    <col min="13" max="16384" width="11.5" style="1"/>
  </cols>
  <sheetData>
    <row r="2" spans="2:12" ht="21">
      <c r="B2" s="56" t="s">
        <v>64</v>
      </c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2:12" ht="21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2:12">
      <c r="H4" s="29"/>
      <c r="I4" s="30">
        <f>AVERAGE(H12:H35)</f>
        <v>0.29549447399339895</v>
      </c>
      <c r="J4" s="29"/>
      <c r="K4" s="31">
        <f>(_xlfn.VAR.P(H12:H35))^(1/2)</f>
        <v>0.59884255255066132</v>
      </c>
    </row>
    <row r="5" spans="2:12">
      <c r="H5" s="29"/>
      <c r="I5" s="30">
        <f>AVERAGE(I12:I35)</f>
        <v>0.33056852944470944</v>
      </c>
      <c r="J5" s="29"/>
      <c r="K5" s="31">
        <f>(_xlfn.VAR.P(I12:I35))^(1/2)</f>
        <v>0.86059899145301733</v>
      </c>
    </row>
    <row r="6" spans="2:12">
      <c r="H6" s="29"/>
      <c r="I6" s="29"/>
      <c r="J6" s="29"/>
      <c r="K6" s="33">
        <f>_xlfn.COVARIANCE.P(H12:H35,I12:I35)</f>
        <v>0.1238419730712218</v>
      </c>
    </row>
    <row r="7" spans="2:12">
      <c r="H7" s="29"/>
      <c r="I7" s="29"/>
      <c r="J7" s="29"/>
      <c r="K7" s="33">
        <f>CORREL(H12:H35,I12:I35)</f>
        <v>0.24030033541149251</v>
      </c>
      <c r="L7" s="54">
        <f>K6/(K5*K4)</f>
        <v>0.24030033541149262</v>
      </c>
    </row>
    <row r="8" spans="2:12">
      <c r="K8" s="24"/>
    </row>
    <row r="9" spans="2:12">
      <c r="B9" s="1" t="s">
        <v>70</v>
      </c>
      <c r="K9" s="16"/>
      <c r="L9" s="16"/>
    </row>
    <row r="10" spans="2:12">
      <c r="B10" s="1" t="s">
        <v>72</v>
      </c>
      <c r="C10" s="25"/>
      <c r="D10" s="26" t="s">
        <v>58</v>
      </c>
      <c r="E10" s="26" t="s">
        <v>59</v>
      </c>
      <c r="F10" s="1" t="s">
        <v>59</v>
      </c>
    </row>
    <row r="11" spans="2:12">
      <c r="B11" s="1" t="s">
        <v>71</v>
      </c>
      <c r="C11" s="25"/>
      <c r="D11" s="27">
        <v>35430</v>
      </c>
      <c r="E11" s="26">
        <v>7.8233102935596062</v>
      </c>
      <c r="F11" s="26">
        <v>0.28402318393615994</v>
      </c>
    </row>
    <row r="12" spans="2:12">
      <c r="C12" s="25"/>
      <c r="D12" s="27">
        <v>35795</v>
      </c>
      <c r="E12" s="26">
        <v>10.738007359418052</v>
      </c>
      <c r="F12" s="26">
        <v>0.24566887268200485</v>
      </c>
      <c r="H12" s="12">
        <f t="shared" ref="H12:H35" si="0">(E12-E11)/E11</f>
        <v>0.37256569872447931</v>
      </c>
      <c r="I12" s="12">
        <f t="shared" ref="I12:I35" si="1">(F12-F11)/F11</f>
        <v>-0.13503936799319879</v>
      </c>
      <c r="J12" s="26">
        <f>(H12-$I$4)^2</f>
        <v>5.9399736815486928E-3</v>
      </c>
      <c r="K12" s="26">
        <f>(I12-$I$5)^2</f>
        <v>0.21679071415654963</v>
      </c>
      <c r="L12" s="28">
        <f>(H12-$I$4)*(I12-$I$5)</f>
        <v>-3.5884970900002838E-2</v>
      </c>
    </row>
    <row r="13" spans="2:12">
      <c r="C13" s="25"/>
      <c r="D13" s="27">
        <v>36160</v>
      </c>
      <c r="E13" s="26">
        <v>9.1846109674648186</v>
      </c>
      <c r="F13" s="26">
        <v>0.15883120431749262</v>
      </c>
      <c r="H13" s="12">
        <f t="shared" si="0"/>
        <v>-0.14466337561137788</v>
      </c>
      <c r="I13" s="12">
        <f t="shared" si="1"/>
        <v>-0.35347444475359069</v>
      </c>
      <c r="J13" s="26">
        <f t="shared" ref="J13:J35" si="2">(H13-$I$4)^2</f>
        <v>0.19373893256870134</v>
      </c>
      <c r="K13" s="26">
        <f t="shared" ref="K13:K35" si="3">(I13-$I$5)^2</f>
        <v>0.46791479055005619</v>
      </c>
      <c r="L13" s="28">
        <f t="shared" ref="L13:L35" si="4">(H13-$I$4)*(I13-$I$5)</f>
        <v>0.30108688456037958</v>
      </c>
    </row>
    <row r="14" spans="2:12">
      <c r="C14" s="25"/>
      <c r="D14" s="27">
        <v>36525</v>
      </c>
      <c r="E14" s="26">
        <v>12.287109026333203</v>
      </c>
      <c r="F14" s="26">
        <v>0.18332365132666506</v>
      </c>
      <c r="H14" s="12">
        <f t="shared" si="0"/>
        <v>0.33779308343690806</v>
      </c>
      <c r="I14" s="12">
        <f t="shared" si="1"/>
        <v>0.15420425170493407</v>
      </c>
      <c r="J14" s="26">
        <f t="shared" si="2"/>
        <v>1.7891723608545176E-3</v>
      </c>
      <c r="K14" s="26">
        <f t="shared" si="3"/>
        <v>3.1104358462672625E-2</v>
      </c>
      <c r="L14" s="28">
        <f t="shared" si="4"/>
        <v>-7.4599637039013253E-3</v>
      </c>
    </row>
    <row r="15" spans="2:12">
      <c r="C15" s="25"/>
      <c r="D15" s="27">
        <v>36891</v>
      </c>
      <c r="E15" s="26">
        <v>10.156656946912738</v>
      </c>
      <c r="F15" s="26">
        <v>0.16971197677574856</v>
      </c>
      <c r="H15" s="12">
        <f t="shared" si="0"/>
        <v>-0.17338920610654399</v>
      </c>
      <c r="I15" s="12">
        <f t="shared" si="1"/>
        <v>-7.4249418732456982E-2</v>
      </c>
      <c r="J15" s="26">
        <f t="shared" si="2"/>
        <v>0.21985190546406566</v>
      </c>
      <c r="K15" s="26">
        <f t="shared" si="3"/>
        <v>0.163877571166371</v>
      </c>
      <c r="L15" s="28">
        <f t="shared" si="4"/>
        <v>0.1898125293118178</v>
      </c>
    </row>
    <row r="16" spans="2:12">
      <c r="C16" s="25"/>
      <c r="D16" s="27">
        <v>37256</v>
      </c>
      <c r="E16" s="26">
        <v>9.9610997138264317</v>
      </c>
      <c r="F16" s="26">
        <v>0.22062459181587968</v>
      </c>
      <c r="H16" s="12">
        <f t="shared" si="0"/>
        <v>-1.92540945419791E-2</v>
      </c>
      <c r="I16" s="12">
        <f t="shared" si="1"/>
        <v>0.29999423733897845</v>
      </c>
      <c r="J16" s="26">
        <f t="shared" si="2"/>
        <v>9.9066661395069561E-2</v>
      </c>
      <c r="K16" s="26">
        <f t="shared" si="3"/>
        <v>9.3478733776656392E-4</v>
      </c>
      <c r="L16" s="28">
        <f t="shared" si="4"/>
        <v>9.6232146742613357E-3</v>
      </c>
    </row>
    <row r="17" spans="3:12">
      <c r="C17" s="25"/>
      <c r="D17" s="27">
        <v>37621</v>
      </c>
      <c r="E17" s="26">
        <v>20.526438819642514</v>
      </c>
      <c r="F17" s="26">
        <v>1.1151651713004411</v>
      </c>
      <c r="H17" s="12">
        <f t="shared" si="0"/>
        <v>1.0606599079769217</v>
      </c>
      <c r="I17" s="12">
        <f t="shared" si="1"/>
        <v>4.0545823660088285</v>
      </c>
      <c r="J17" s="26">
        <f t="shared" si="2"/>
        <v>0.58547814136319276</v>
      </c>
      <c r="K17" s="26">
        <f t="shared" si="3"/>
        <v>13.868279054921009</v>
      </c>
      <c r="L17" s="28">
        <f t="shared" si="4"/>
        <v>2.8494866634152278</v>
      </c>
    </row>
    <row r="18" spans="3:12">
      <c r="C18" s="25"/>
      <c r="D18" s="27">
        <v>37986</v>
      </c>
      <c r="E18" s="26">
        <v>57.819598666072501</v>
      </c>
      <c r="F18" s="26">
        <v>1.2729959085985909</v>
      </c>
      <c r="H18" s="12">
        <f t="shared" si="0"/>
        <v>1.8168353592218234</v>
      </c>
      <c r="I18" s="12">
        <f t="shared" si="1"/>
        <v>0.14153126492831256</v>
      </c>
      <c r="J18" s="26">
        <f t="shared" si="2"/>
        <v>2.3144780890676064</v>
      </c>
      <c r="K18" s="26">
        <f t="shared" si="3"/>
        <v>3.5735087375842203E-2</v>
      </c>
      <c r="L18" s="28">
        <f t="shared" si="4"/>
        <v>-0.28759011934053508</v>
      </c>
    </row>
    <row r="19" spans="3:12">
      <c r="C19" s="25"/>
      <c r="D19" s="27">
        <v>38352</v>
      </c>
      <c r="E19" s="26">
        <v>71.622806547896303</v>
      </c>
      <c r="F19" s="26">
        <v>1.2424373477006792</v>
      </c>
      <c r="H19" s="12">
        <f t="shared" si="0"/>
        <v>0.23872887740957766</v>
      </c>
      <c r="I19" s="12">
        <f t="shared" si="1"/>
        <v>-2.4005231039236338E-2</v>
      </c>
      <c r="J19" s="26">
        <f t="shared" si="2"/>
        <v>3.2223329555171442E-3</v>
      </c>
      <c r="K19" s="26">
        <f t="shared" si="3"/>
        <v>0.12572255162372656</v>
      </c>
      <c r="L19" s="28">
        <f t="shared" si="4"/>
        <v>2.0127591046840143E-2</v>
      </c>
    </row>
    <row r="20" spans="3:12">
      <c r="C20" s="25"/>
      <c r="D20" s="27">
        <v>38717</v>
      </c>
      <c r="E20" s="26">
        <v>95.703923133111573</v>
      </c>
      <c r="F20" s="26">
        <v>1.326202821715194</v>
      </c>
      <c r="H20" s="12">
        <f t="shared" si="0"/>
        <v>0.33622134828117228</v>
      </c>
      <c r="I20" s="12">
        <f t="shared" si="1"/>
        <v>6.7420280120792972E-2</v>
      </c>
      <c r="J20" s="26">
        <f t="shared" si="2"/>
        <v>1.6586782892520923E-3</v>
      </c>
      <c r="K20" s="26">
        <f t="shared" si="3"/>
        <v>6.9247001122242094E-2</v>
      </c>
      <c r="L20" s="28">
        <f t="shared" si="4"/>
        <v>-1.0717205669262778E-2</v>
      </c>
    </row>
    <row r="21" spans="3:12">
      <c r="C21" s="25"/>
      <c r="D21" s="27">
        <v>39082</v>
      </c>
      <c r="E21" s="26">
        <v>86.192974250317903</v>
      </c>
      <c r="F21" s="26">
        <v>1.423292525304215</v>
      </c>
      <c r="H21" s="12">
        <f t="shared" si="0"/>
        <v>-9.9378881987577355E-2</v>
      </c>
      <c r="I21" s="12">
        <f t="shared" si="1"/>
        <v>7.320878978635692E-2</v>
      </c>
      <c r="J21" s="26">
        <f t="shared" si="2"/>
        <v>0.15592496726367883</v>
      </c>
      <c r="K21" s="26">
        <f t="shared" si="3"/>
        <v>6.623403559701499E-2</v>
      </c>
      <c r="L21" s="28">
        <f t="shared" si="4"/>
        <v>0.10162450409328401</v>
      </c>
    </row>
    <row r="22" spans="3:12">
      <c r="C22" s="25"/>
      <c r="D22" s="27">
        <v>39447</v>
      </c>
      <c r="E22" s="26">
        <v>80.927334514658583</v>
      </c>
      <c r="F22" s="26">
        <v>2.8746323419184878</v>
      </c>
      <c r="H22" s="12">
        <f t="shared" si="0"/>
        <v>-6.1091287096870305E-2</v>
      </c>
      <c r="I22" s="12">
        <f t="shared" si="1"/>
        <v>1.019705921875802</v>
      </c>
      <c r="J22" s="26">
        <f t="shared" si="2"/>
        <v>0.12715340501232658</v>
      </c>
      <c r="K22" s="26">
        <f t="shared" si="3"/>
        <v>0.47491034564672574</v>
      </c>
      <c r="L22" s="28">
        <f t="shared" si="4"/>
        <v>-0.24573658157580472</v>
      </c>
    </row>
    <row r="23" spans="3:12">
      <c r="C23" s="25"/>
      <c r="D23" s="27">
        <v>39813</v>
      </c>
      <c r="E23" s="26">
        <v>117.88969490061376</v>
      </c>
      <c r="F23" s="26">
        <v>2.3692562434948279</v>
      </c>
      <c r="H23" s="12">
        <f t="shared" si="0"/>
        <v>0.45673517616300696</v>
      </c>
      <c r="I23" s="12">
        <f t="shared" si="1"/>
        <v>-0.1758054729483699</v>
      </c>
      <c r="J23" s="26">
        <f t="shared" si="2"/>
        <v>2.5998564036148232E-2</v>
      </c>
      <c r="K23" s="26">
        <f t="shared" si="3"/>
        <v>0.25641463029958639</v>
      </c>
      <c r="L23" s="28">
        <f t="shared" si="4"/>
        <v>-8.1648099706294885E-2</v>
      </c>
    </row>
    <row r="24" spans="3:12">
      <c r="C24" s="25"/>
      <c r="D24" s="27">
        <v>40178</v>
      </c>
      <c r="E24" s="26">
        <v>132.15210980088605</v>
      </c>
      <c r="F24" s="26">
        <v>3.5483165443411409</v>
      </c>
      <c r="H24" s="12">
        <f t="shared" si="0"/>
        <v>0.12098101460264307</v>
      </c>
      <c r="I24" s="12">
        <f t="shared" si="1"/>
        <v>0.4976499709913656</v>
      </c>
      <c r="J24" s="26">
        <f t="shared" si="2"/>
        <v>3.0454947508529003E-2</v>
      </c>
      <c r="K24" s="26">
        <f t="shared" si="3"/>
        <v>2.7916208109308682E-2</v>
      </c>
      <c r="L24" s="28">
        <f t="shared" si="4"/>
        <v>-2.9157960364301332E-2</v>
      </c>
    </row>
    <row r="25" spans="3:12">
      <c r="C25" s="25"/>
      <c r="D25" s="27">
        <v>40543</v>
      </c>
      <c r="E25" s="26">
        <v>174.90941947176773</v>
      </c>
      <c r="F25" s="26">
        <v>6.8358372966890313</v>
      </c>
      <c r="H25" s="12">
        <f t="shared" si="0"/>
        <v>0.32354617520147227</v>
      </c>
      <c r="I25" s="12">
        <f t="shared" si="1"/>
        <v>0.92650154270786023</v>
      </c>
      <c r="J25" s="26">
        <f t="shared" si="2"/>
        <v>7.8689794066702219E-4</v>
      </c>
      <c r="K25" s="26">
        <f t="shared" si="3"/>
        <v>0.35513615629689871</v>
      </c>
      <c r="L25" s="28">
        <f t="shared" si="4"/>
        <v>1.6716934828084704E-2</v>
      </c>
    </row>
    <row r="26" spans="3:12">
      <c r="C26" s="25"/>
      <c r="D26" s="27">
        <v>40908</v>
      </c>
      <c r="E26" s="26">
        <v>158.59994477387605</v>
      </c>
      <c r="F26" s="26">
        <v>6.3108526259791109</v>
      </c>
      <c r="H26" s="12">
        <f t="shared" si="0"/>
        <v>-9.3245262302892803E-2</v>
      </c>
      <c r="I26" s="12">
        <f t="shared" si="1"/>
        <v>-7.6798883285914235E-2</v>
      </c>
      <c r="J26" s="26">
        <f t="shared" si="2"/>
        <v>0.15111858257571045</v>
      </c>
      <c r="K26" s="26">
        <f t="shared" si="3"/>
        <v>0.16594820895484227</v>
      </c>
      <c r="L26" s="28">
        <f t="shared" si="4"/>
        <v>0.15835990060060529</v>
      </c>
    </row>
    <row r="27" spans="3:12">
      <c r="C27" s="25"/>
      <c r="D27" s="27">
        <v>41274</v>
      </c>
      <c r="E27" s="26">
        <v>94.724680949133756</v>
      </c>
      <c r="F27" s="26">
        <v>4.5294589777928786</v>
      </c>
      <c r="H27" s="12">
        <f t="shared" si="0"/>
        <v>-0.40274455275386434</v>
      </c>
      <c r="I27" s="12">
        <f t="shared" si="1"/>
        <v>-0.28227463922275542</v>
      </c>
      <c r="J27" s="26">
        <f t="shared" si="2"/>
        <v>0.48753773847296555</v>
      </c>
      <c r="K27" s="26">
        <f t="shared" si="3"/>
        <v>0.37557674938237884</v>
      </c>
      <c r="L27" s="28">
        <f t="shared" si="4"/>
        <v>0.42791101763907963</v>
      </c>
    </row>
    <row r="28" spans="3:12">
      <c r="C28" s="25"/>
      <c r="D28" s="27">
        <v>41639</v>
      </c>
      <c r="E28" s="26">
        <v>282.90427033169158</v>
      </c>
      <c r="F28" s="26">
        <v>5.1991045184787001</v>
      </c>
      <c r="H28" s="12">
        <f t="shared" si="0"/>
        <v>1.9865951249137324</v>
      </c>
      <c r="I28" s="12">
        <f t="shared" si="1"/>
        <v>0.14784227961197419</v>
      </c>
      <c r="J28" s="26">
        <f t="shared" si="2"/>
        <v>2.8598214115431757</v>
      </c>
      <c r="K28" s="26">
        <f t="shared" si="3"/>
        <v>3.3388882377935178E-2</v>
      </c>
      <c r="L28" s="28">
        <f t="shared" si="4"/>
        <v>-0.30900848003237003</v>
      </c>
    </row>
    <row r="29" spans="3:12">
      <c r="C29" s="25"/>
      <c r="D29" s="27">
        <v>42004</v>
      </c>
      <c r="E29" s="26">
        <v>304.14917103492689</v>
      </c>
      <c r="F29" s="26">
        <v>6.3510988198706535</v>
      </c>
      <c r="H29" s="12">
        <f t="shared" si="0"/>
        <v>7.509572293951837E-2</v>
      </c>
      <c r="I29" s="12">
        <f t="shared" si="1"/>
        <v>0.22157552272656295</v>
      </c>
      <c r="J29" s="26">
        <f t="shared" si="2"/>
        <v>4.857560946611042E-2</v>
      </c>
      <c r="K29" s="26">
        <f t="shared" si="3"/>
        <v>1.1879475513461926E-2</v>
      </c>
      <c r="L29" s="28">
        <f t="shared" si="4"/>
        <v>2.4021922554286701E-2</v>
      </c>
    </row>
    <row r="30" spans="3:12">
      <c r="C30" s="25"/>
      <c r="D30" s="27">
        <v>42369</v>
      </c>
      <c r="E30" s="26">
        <v>213.18795679922232</v>
      </c>
      <c r="F30" s="26">
        <v>12.54623205</v>
      </c>
      <c r="H30" s="12">
        <f t="shared" si="0"/>
        <v>-0.29906776969403304</v>
      </c>
      <c r="I30" s="12">
        <f t="shared" si="1"/>
        <v>0.97544273925429448</v>
      </c>
      <c r="J30" s="26">
        <f t="shared" si="2"/>
        <v>0.35350426161863335</v>
      </c>
      <c r="K30" s="26">
        <f t="shared" si="3"/>
        <v>0.41586274647753663</v>
      </c>
      <c r="L30" s="28">
        <f t="shared" si="4"/>
        <v>-0.38341785708054665</v>
      </c>
    </row>
    <row r="31" spans="3:12">
      <c r="C31" s="25"/>
      <c r="D31" s="27">
        <v>42735</v>
      </c>
      <c r="E31" s="26">
        <v>252.96730888156057</v>
      </c>
      <c r="F31" s="26">
        <v>16.850000000000001</v>
      </c>
      <c r="H31" s="12">
        <f t="shared" si="0"/>
        <v>0.18659286706238257</v>
      </c>
      <c r="I31" s="12">
        <f t="shared" si="1"/>
        <v>0.34303270757693349</v>
      </c>
      <c r="J31" s="26">
        <f t="shared" si="2"/>
        <v>1.1859559992157596E-2</v>
      </c>
      <c r="K31" s="26">
        <f t="shared" si="3"/>
        <v>1.553557365118124E-4</v>
      </c>
      <c r="L31" s="28">
        <f t="shared" si="4"/>
        <v>-1.3573690276736342E-3</v>
      </c>
    </row>
    <row r="32" spans="3:12">
      <c r="C32" s="25"/>
      <c r="D32" s="27">
        <v>43100</v>
      </c>
      <c r="E32" s="26">
        <v>415.97526684041998</v>
      </c>
      <c r="F32" s="26">
        <v>17.3</v>
      </c>
      <c r="H32" s="12">
        <f t="shared" si="0"/>
        <v>0.64438349239497905</v>
      </c>
      <c r="I32" s="12">
        <f t="shared" si="1"/>
        <v>2.6706231454005889E-2</v>
      </c>
      <c r="J32" s="26">
        <f t="shared" si="2"/>
        <v>0.1217235471612181</v>
      </c>
      <c r="K32" s="26">
        <f t="shared" si="3"/>
        <v>9.2332296140191103E-2</v>
      </c>
      <c r="L32" s="28">
        <f t="shared" si="4"/>
        <v>-0.10601421887522498</v>
      </c>
    </row>
    <row r="33" spans="3:12">
      <c r="C33" s="25"/>
      <c r="D33" s="27">
        <v>43465</v>
      </c>
      <c r="E33" s="26">
        <v>498.34420514999999</v>
      </c>
      <c r="F33" s="26">
        <v>12.2</v>
      </c>
      <c r="H33" s="12">
        <f t="shared" si="0"/>
        <v>0.19801402841861532</v>
      </c>
      <c r="I33" s="12">
        <f t="shared" si="1"/>
        <v>-0.29479768786127175</v>
      </c>
      <c r="J33" s="26">
        <f t="shared" si="2"/>
        <v>9.5024372694583539E-3</v>
      </c>
      <c r="K33" s="26">
        <f t="shared" si="3"/>
        <v>0.39108290574759169</v>
      </c>
      <c r="L33" s="28">
        <f t="shared" si="4"/>
        <v>6.0960977510404017E-2</v>
      </c>
    </row>
    <row r="34" spans="3:12">
      <c r="C34" s="25"/>
      <c r="D34" s="27">
        <v>43830</v>
      </c>
      <c r="E34" s="26">
        <v>857.2</v>
      </c>
      <c r="F34" s="26">
        <v>17.3</v>
      </c>
      <c r="H34" s="12">
        <f t="shared" si="0"/>
        <v>0.72009625303455793</v>
      </c>
      <c r="I34" s="12">
        <f t="shared" si="1"/>
        <v>0.41803278688524603</v>
      </c>
      <c r="J34" s="26">
        <f t="shared" si="2"/>
        <v>0.1802866707649172</v>
      </c>
      <c r="K34" s="26">
        <f t="shared" si="3"/>
        <v>7.6499963296244615E-3</v>
      </c>
      <c r="L34" s="28">
        <f t="shared" si="4"/>
        <v>3.7137479311765767E-2</v>
      </c>
    </row>
    <row r="35" spans="3:12">
      <c r="C35" s="25"/>
      <c r="D35" s="25">
        <v>44196</v>
      </c>
      <c r="E35" s="26">
        <v>437.05</v>
      </c>
      <c r="F35" s="26">
        <v>17</v>
      </c>
      <c r="H35" s="12">
        <f t="shared" si="0"/>
        <v>-0.490142323845077</v>
      </c>
      <c r="I35" s="12">
        <f t="shared" si="1"/>
        <v>-1.7341040462427786E-2</v>
      </c>
      <c r="J35" s="26">
        <f t="shared" si="2"/>
        <v>0.61722517811789435</v>
      </c>
      <c r="K35" s="26">
        <f t="shared" si="3"/>
        <v>0.12104106883296921</v>
      </c>
      <c r="L35" s="28">
        <f t="shared" si="4"/>
        <v>0.27333056043920467</v>
      </c>
    </row>
  </sheetData>
  <mergeCells count="1">
    <mergeCell ref="B2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39"/>
  <sheetViews>
    <sheetView topLeftCell="B9" zoomScale="130" zoomScaleNormal="130" workbookViewId="0">
      <selection activeCell="I11" sqref="I11"/>
    </sheetView>
  </sheetViews>
  <sheetFormatPr baseColWidth="10" defaultColWidth="11.5" defaultRowHeight="15"/>
  <cols>
    <col min="1" max="1" width="11.5" style="1"/>
    <col min="2" max="2" width="18.5" style="1" customWidth="1"/>
    <col min="3" max="9" width="11.5" style="1"/>
    <col min="10" max="10" width="15.5" style="1" customWidth="1"/>
    <col min="11" max="11" width="14.5" style="1" customWidth="1"/>
    <col min="12" max="12" width="23.83203125" style="1" customWidth="1"/>
    <col min="13" max="16384" width="11.5" style="1"/>
  </cols>
  <sheetData>
    <row r="2" spans="2:12" ht="21">
      <c r="B2" s="56" t="s">
        <v>65</v>
      </c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2:12" ht="21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2:12">
      <c r="H4" s="29"/>
      <c r="I4" s="30">
        <f>AVERAGE(H16:H39)</f>
        <v>0.29549447399339895</v>
      </c>
      <c r="J4" s="29"/>
      <c r="K4" s="31">
        <f>(_xlfn.VAR.P(H16:H39))^(1/2)</f>
        <v>0.59884255255066132</v>
      </c>
    </row>
    <row r="5" spans="2:12">
      <c r="H5" s="29"/>
      <c r="I5" s="30">
        <f>AVERAGE(I16:I39)</f>
        <v>0.33056852944470944</v>
      </c>
      <c r="J5" s="29"/>
      <c r="K5" s="31">
        <f>(_xlfn.VAR.P(I16:I39))^(1/2)</f>
        <v>0.86059899145301733</v>
      </c>
    </row>
    <row r="6" spans="2:12">
      <c r="H6" s="29"/>
      <c r="I6" s="29"/>
      <c r="J6" s="29"/>
      <c r="K6" s="32">
        <f>_xlfn.COVARIANCE.P(H16:H39,I16:I39)</f>
        <v>0.1238419730712218</v>
      </c>
    </row>
    <row r="7" spans="2:12">
      <c r="B7" s="1" t="s">
        <v>72</v>
      </c>
      <c r="H7" s="29"/>
      <c r="I7" s="29"/>
      <c r="J7" s="29"/>
      <c r="K7" s="32">
        <f>CORREL(H16:H39,I16:I39)</f>
        <v>0.24030033541149251</v>
      </c>
    </row>
    <row r="8" spans="2:12">
      <c r="B8" s="1" t="s">
        <v>71</v>
      </c>
      <c r="K8" s="24"/>
    </row>
    <row r="9" spans="2:12">
      <c r="K9" s="24"/>
    </row>
    <row r="10" spans="2:12">
      <c r="C10" s="3" t="s">
        <v>60</v>
      </c>
      <c r="D10" s="4">
        <v>0.5</v>
      </c>
      <c r="E10" s="1" t="str">
        <f>B7</f>
        <v>YPFD.BA</v>
      </c>
      <c r="H10" s="37"/>
      <c r="I10" s="38">
        <f>D10*I4+D11*I5</f>
        <v>0.31303150171905419</v>
      </c>
      <c r="K10" s="24"/>
    </row>
    <row r="11" spans="2:12">
      <c r="D11" s="4">
        <v>0.5</v>
      </c>
      <c r="E11" s="1" t="str">
        <f>B8</f>
        <v>LEDE.BA</v>
      </c>
      <c r="H11" s="37"/>
      <c r="I11" s="39">
        <f>((D10^2)*(K4^2)+(D11^2)*(K5^2)+2*D10*D11*K6)^(1/2)</f>
        <v>0.58028591508363048</v>
      </c>
      <c r="K11" s="24"/>
    </row>
    <row r="12" spans="2:12">
      <c r="K12" s="24"/>
    </row>
    <row r="13" spans="2:12">
      <c r="K13" s="16"/>
      <c r="L13" s="16"/>
    </row>
    <row r="14" spans="2:12">
      <c r="C14" s="25"/>
      <c r="D14" s="26" t="s">
        <v>58</v>
      </c>
      <c r="E14" s="26" t="s">
        <v>59</v>
      </c>
      <c r="F14" s="1" t="s">
        <v>59</v>
      </c>
    </row>
    <row r="15" spans="2:12">
      <c r="C15" s="25"/>
      <c r="D15" s="27">
        <v>35430</v>
      </c>
      <c r="E15" s="26">
        <v>7.8233102935596062</v>
      </c>
      <c r="F15" s="26">
        <v>0.28402318393615994</v>
      </c>
    </row>
    <row r="16" spans="2:12">
      <c r="C16" s="25"/>
      <c r="D16" s="27">
        <v>35795</v>
      </c>
      <c r="E16" s="26">
        <v>10.738007359418052</v>
      </c>
      <c r="F16" s="26">
        <v>0.24566887268200485</v>
      </c>
      <c r="H16" s="12">
        <f t="shared" ref="H16:H39" si="0">(E16-E15)/E15</f>
        <v>0.37256569872447931</v>
      </c>
      <c r="I16" s="12">
        <f t="shared" ref="I16:I39" si="1">(F16-F15)/F15</f>
        <v>-0.13503936799319879</v>
      </c>
      <c r="J16" s="26">
        <f>(H16-$I$4)^2</f>
        <v>5.9399736815486928E-3</v>
      </c>
      <c r="K16" s="26">
        <f>(I16-$I$5)^2</f>
        <v>0.21679071415654963</v>
      </c>
      <c r="L16" s="28">
        <f>(H16-$I$4)*(I16-$I$5)</f>
        <v>-3.5884970900002838E-2</v>
      </c>
    </row>
    <row r="17" spans="3:12">
      <c r="C17" s="25"/>
      <c r="D17" s="27">
        <v>36160</v>
      </c>
      <c r="E17" s="26">
        <v>9.1846109674648186</v>
      </c>
      <c r="F17" s="26">
        <v>0.15883120431749262</v>
      </c>
      <c r="H17" s="12">
        <f t="shared" si="0"/>
        <v>-0.14466337561137788</v>
      </c>
      <c r="I17" s="12">
        <f t="shared" si="1"/>
        <v>-0.35347444475359069</v>
      </c>
      <c r="J17" s="26">
        <f t="shared" ref="J17:J39" si="2">(H17-$I$4)^2</f>
        <v>0.19373893256870134</v>
      </c>
      <c r="K17" s="26">
        <f t="shared" ref="K17:K39" si="3">(I17-$I$5)^2</f>
        <v>0.46791479055005619</v>
      </c>
      <c r="L17" s="28">
        <f t="shared" ref="L17:L39" si="4">(H17-$I$4)*(I17-$I$5)</f>
        <v>0.30108688456037958</v>
      </c>
    </row>
    <row r="18" spans="3:12">
      <c r="C18" s="25"/>
      <c r="D18" s="27">
        <v>36525</v>
      </c>
      <c r="E18" s="26">
        <v>12.287109026333203</v>
      </c>
      <c r="F18" s="26">
        <v>0.18332365132666506</v>
      </c>
      <c r="H18" s="12">
        <f t="shared" si="0"/>
        <v>0.33779308343690806</v>
      </c>
      <c r="I18" s="12">
        <f t="shared" si="1"/>
        <v>0.15420425170493407</v>
      </c>
      <c r="J18" s="26">
        <f t="shared" si="2"/>
        <v>1.7891723608545176E-3</v>
      </c>
      <c r="K18" s="26">
        <f t="shared" si="3"/>
        <v>3.1104358462672625E-2</v>
      </c>
      <c r="L18" s="28">
        <f t="shared" si="4"/>
        <v>-7.4599637039013253E-3</v>
      </c>
    </row>
    <row r="19" spans="3:12">
      <c r="C19" s="25"/>
      <c r="D19" s="27">
        <v>36891</v>
      </c>
      <c r="E19" s="26">
        <v>10.156656946912738</v>
      </c>
      <c r="F19" s="26">
        <v>0.16971197677574856</v>
      </c>
      <c r="H19" s="12">
        <f t="shared" si="0"/>
        <v>-0.17338920610654399</v>
      </c>
      <c r="I19" s="12">
        <f t="shared" si="1"/>
        <v>-7.4249418732456982E-2</v>
      </c>
      <c r="J19" s="26">
        <f t="shared" si="2"/>
        <v>0.21985190546406566</v>
      </c>
      <c r="K19" s="26">
        <f t="shared" si="3"/>
        <v>0.163877571166371</v>
      </c>
      <c r="L19" s="28">
        <f t="shared" si="4"/>
        <v>0.1898125293118178</v>
      </c>
    </row>
    <row r="20" spans="3:12">
      <c r="C20" s="25"/>
      <c r="D20" s="27">
        <v>37256</v>
      </c>
      <c r="E20" s="26">
        <v>9.9610997138264317</v>
      </c>
      <c r="F20" s="26">
        <v>0.22062459181587968</v>
      </c>
      <c r="H20" s="12">
        <f t="shared" si="0"/>
        <v>-1.92540945419791E-2</v>
      </c>
      <c r="I20" s="12">
        <f t="shared" si="1"/>
        <v>0.29999423733897845</v>
      </c>
      <c r="J20" s="26">
        <f t="shared" si="2"/>
        <v>9.9066661395069561E-2</v>
      </c>
      <c r="K20" s="26">
        <f t="shared" si="3"/>
        <v>9.3478733776656392E-4</v>
      </c>
      <c r="L20" s="28">
        <f t="shared" si="4"/>
        <v>9.6232146742613357E-3</v>
      </c>
    </row>
    <row r="21" spans="3:12">
      <c r="C21" s="25"/>
      <c r="D21" s="27">
        <v>37621</v>
      </c>
      <c r="E21" s="26">
        <v>20.526438819642514</v>
      </c>
      <c r="F21" s="26">
        <v>1.1151651713004411</v>
      </c>
      <c r="H21" s="12">
        <f t="shared" si="0"/>
        <v>1.0606599079769217</v>
      </c>
      <c r="I21" s="12">
        <f t="shared" si="1"/>
        <v>4.0545823660088285</v>
      </c>
      <c r="J21" s="26">
        <f t="shared" si="2"/>
        <v>0.58547814136319276</v>
      </c>
      <c r="K21" s="26">
        <f t="shared" si="3"/>
        <v>13.868279054921009</v>
      </c>
      <c r="L21" s="28">
        <f t="shared" si="4"/>
        <v>2.8494866634152278</v>
      </c>
    </row>
    <row r="22" spans="3:12">
      <c r="C22" s="25"/>
      <c r="D22" s="27">
        <v>37986</v>
      </c>
      <c r="E22" s="26">
        <v>57.819598666072501</v>
      </c>
      <c r="F22" s="26">
        <v>1.2729959085985909</v>
      </c>
      <c r="H22" s="12">
        <f t="shared" si="0"/>
        <v>1.8168353592218234</v>
      </c>
      <c r="I22" s="12">
        <f t="shared" si="1"/>
        <v>0.14153126492831256</v>
      </c>
      <c r="J22" s="26">
        <f t="shared" si="2"/>
        <v>2.3144780890676064</v>
      </c>
      <c r="K22" s="26">
        <f t="shared" si="3"/>
        <v>3.5735087375842203E-2</v>
      </c>
      <c r="L22" s="28">
        <f t="shared" si="4"/>
        <v>-0.28759011934053508</v>
      </c>
    </row>
    <row r="23" spans="3:12">
      <c r="C23" s="25"/>
      <c r="D23" s="27">
        <v>38352</v>
      </c>
      <c r="E23" s="26">
        <v>71.622806547896303</v>
      </c>
      <c r="F23" s="26">
        <v>1.2424373477006792</v>
      </c>
      <c r="H23" s="12">
        <f t="shared" si="0"/>
        <v>0.23872887740957766</v>
      </c>
      <c r="I23" s="12">
        <f t="shared" si="1"/>
        <v>-2.4005231039236338E-2</v>
      </c>
      <c r="J23" s="26">
        <f t="shared" si="2"/>
        <v>3.2223329555171442E-3</v>
      </c>
      <c r="K23" s="26">
        <f t="shared" si="3"/>
        <v>0.12572255162372656</v>
      </c>
      <c r="L23" s="28">
        <f t="shared" si="4"/>
        <v>2.0127591046840143E-2</v>
      </c>
    </row>
    <row r="24" spans="3:12">
      <c r="C24" s="25"/>
      <c r="D24" s="27">
        <v>38717</v>
      </c>
      <c r="E24" s="26">
        <v>95.703923133111573</v>
      </c>
      <c r="F24" s="26">
        <v>1.326202821715194</v>
      </c>
      <c r="H24" s="12">
        <f t="shared" si="0"/>
        <v>0.33622134828117228</v>
      </c>
      <c r="I24" s="12">
        <f t="shared" si="1"/>
        <v>6.7420280120792972E-2</v>
      </c>
      <c r="J24" s="26">
        <f t="shared" si="2"/>
        <v>1.6586782892520923E-3</v>
      </c>
      <c r="K24" s="26">
        <f t="shared" si="3"/>
        <v>6.9247001122242094E-2</v>
      </c>
      <c r="L24" s="28">
        <f t="shared" si="4"/>
        <v>-1.0717205669262778E-2</v>
      </c>
    </row>
    <row r="25" spans="3:12">
      <c r="C25" s="25"/>
      <c r="D25" s="27">
        <v>39082</v>
      </c>
      <c r="E25" s="26">
        <v>86.192974250317903</v>
      </c>
      <c r="F25" s="26">
        <v>1.423292525304215</v>
      </c>
      <c r="H25" s="12">
        <f t="shared" si="0"/>
        <v>-9.9378881987577355E-2</v>
      </c>
      <c r="I25" s="12">
        <f t="shared" si="1"/>
        <v>7.320878978635692E-2</v>
      </c>
      <c r="J25" s="26">
        <f t="shared" si="2"/>
        <v>0.15592496726367883</v>
      </c>
      <c r="K25" s="26">
        <f t="shared" si="3"/>
        <v>6.623403559701499E-2</v>
      </c>
      <c r="L25" s="28">
        <f t="shared" si="4"/>
        <v>0.10162450409328401</v>
      </c>
    </row>
    <row r="26" spans="3:12">
      <c r="C26" s="25"/>
      <c r="D26" s="27">
        <v>39447</v>
      </c>
      <c r="E26" s="26">
        <v>80.927334514658583</v>
      </c>
      <c r="F26" s="26">
        <v>2.8746323419184878</v>
      </c>
      <c r="H26" s="12">
        <f t="shared" si="0"/>
        <v>-6.1091287096870305E-2</v>
      </c>
      <c r="I26" s="12">
        <f t="shared" si="1"/>
        <v>1.019705921875802</v>
      </c>
      <c r="J26" s="26">
        <f t="shared" si="2"/>
        <v>0.12715340501232658</v>
      </c>
      <c r="K26" s="26">
        <f t="shared" si="3"/>
        <v>0.47491034564672574</v>
      </c>
      <c r="L26" s="28">
        <f t="shared" si="4"/>
        <v>-0.24573658157580472</v>
      </c>
    </row>
    <row r="27" spans="3:12">
      <c r="C27" s="25"/>
      <c r="D27" s="27">
        <v>39813</v>
      </c>
      <c r="E27" s="26">
        <v>117.88969490061376</v>
      </c>
      <c r="F27" s="26">
        <v>2.3692562434948279</v>
      </c>
      <c r="H27" s="12">
        <f t="shared" si="0"/>
        <v>0.45673517616300696</v>
      </c>
      <c r="I27" s="12">
        <f t="shared" si="1"/>
        <v>-0.1758054729483699</v>
      </c>
      <c r="J27" s="26">
        <f t="shared" si="2"/>
        <v>2.5998564036148232E-2</v>
      </c>
      <c r="K27" s="26">
        <f t="shared" si="3"/>
        <v>0.25641463029958639</v>
      </c>
      <c r="L27" s="28">
        <f t="shared" si="4"/>
        <v>-8.1648099706294885E-2</v>
      </c>
    </row>
    <row r="28" spans="3:12">
      <c r="C28" s="25"/>
      <c r="D28" s="27">
        <v>40178</v>
      </c>
      <c r="E28" s="26">
        <v>132.15210980088605</v>
      </c>
      <c r="F28" s="26">
        <v>3.5483165443411409</v>
      </c>
      <c r="H28" s="12">
        <f t="shared" si="0"/>
        <v>0.12098101460264307</v>
      </c>
      <c r="I28" s="12">
        <f t="shared" si="1"/>
        <v>0.4976499709913656</v>
      </c>
      <c r="J28" s="26">
        <f t="shared" si="2"/>
        <v>3.0454947508529003E-2</v>
      </c>
      <c r="K28" s="26">
        <f t="shared" si="3"/>
        <v>2.7916208109308682E-2</v>
      </c>
      <c r="L28" s="28">
        <f t="shared" si="4"/>
        <v>-2.9157960364301332E-2</v>
      </c>
    </row>
    <row r="29" spans="3:12">
      <c r="C29" s="25"/>
      <c r="D29" s="27">
        <v>40543</v>
      </c>
      <c r="E29" s="26">
        <v>174.90941947176773</v>
      </c>
      <c r="F29" s="26">
        <v>6.8358372966890313</v>
      </c>
      <c r="H29" s="12">
        <f t="shared" si="0"/>
        <v>0.32354617520147227</v>
      </c>
      <c r="I29" s="12">
        <f t="shared" si="1"/>
        <v>0.92650154270786023</v>
      </c>
      <c r="J29" s="26">
        <f t="shared" si="2"/>
        <v>7.8689794066702219E-4</v>
      </c>
      <c r="K29" s="26">
        <f t="shared" si="3"/>
        <v>0.35513615629689871</v>
      </c>
      <c r="L29" s="28">
        <f t="shared" si="4"/>
        <v>1.6716934828084704E-2</v>
      </c>
    </row>
    <row r="30" spans="3:12">
      <c r="C30" s="25"/>
      <c r="D30" s="27">
        <v>40908</v>
      </c>
      <c r="E30" s="26">
        <v>158.59994477387605</v>
      </c>
      <c r="F30" s="26">
        <v>6.3108526259791109</v>
      </c>
      <c r="H30" s="12">
        <f t="shared" si="0"/>
        <v>-9.3245262302892803E-2</v>
      </c>
      <c r="I30" s="12">
        <f t="shared" si="1"/>
        <v>-7.6798883285914235E-2</v>
      </c>
      <c r="J30" s="26">
        <f t="shared" si="2"/>
        <v>0.15111858257571045</v>
      </c>
      <c r="K30" s="26">
        <f t="shared" si="3"/>
        <v>0.16594820895484227</v>
      </c>
      <c r="L30" s="28">
        <f t="shared" si="4"/>
        <v>0.15835990060060529</v>
      </c>
    </row>
    <row r="31" spans="3:12">
      <c r="C31" s="25"/>
      <c r="D31" s="27">
        <v>41274</v>
      </c>
      <c r="E31" s="26">
        <v>94.724680949133756</v>
      </c>
      <c r="F31" s="26">
        <v>4.5294589777928786</v>
      </c>
      <c r="H31" s="12">
        <f t="shared" si="0"/>
        <v>-0.40274455275386434</v>
      </c>
      <c r="I31" s="12">
        <f t="shared" si="1"/>
        <v>-0.28227463922275542</v>
      </c>
      <c r="J31" s="26">
        <f t="shared" si="2"/>
        <v>0.48753773847296555</v>
      </c>
      <c r="K31" s="26">
        <f t="shared" si="3"/>
        <v>0.37557674938237884</v>
      </c>
      <c r="L31" s="28">
        <f t="shared" si="4"/>
        <v>0.42791101763907963</v>
      </c>
    </row>
    <row r="32" spans="3:12">
      <c r="C32" s="25"/>
      <c r="D32" s="27">
        <v>41639</v>
      </c>
      <c r="E32" s="26">
        <v>282.90427033169158</v>
      </c>
      <c r="F32" s="26">
        <v>5.1991045184787001</v>
      </c>
      <c r="H32" s="12">
        <f t="shared" si="0"/>
        <v>1.9865951249137324</v>
      </c>
      <c r="I32" s="12">
        <f t="shared" si="1"/>
        <v>0.14784227961197419</v>
      </c>
      <c r="J32" s="26">
        <f t="shared" si="2"/>
        <v>2.8598214115431757</v>
      </c>
      <c r="K32" s="26">
        <f t="shared" si="3"/>
        <v>3.3388882377935178E-2</v>
      </c>
      <c r="L32" s="28">
        <f t="shared" si="4"/>
        <v>-0.30900848003237003</v>
      </c>
    </row>
    <row r="33" spans="3:12">
      <c r="C33" s="25"/>
      <c r="D33" s="27">
        <v>42004</v>
      </c>
      <c r="E33" s="26">
        <v>304.14917103492689</v>
      </c>
      <c r="F33" s="26">
        <v>6.3510988198706535</v>
      </c>
      <c r="H33" s="12">
        <f t="shared" si="0"/>
        <v>7.509572293951837E-2</v>
      </c>
      <c r="I33" s="12">
        <f t="shared" si="1"/>
        <v>0.22157552272656295</v>
      </c>
      <c r="J33" s="26">
        <f t="shared" si="2"/>
        <v>4.857560946611042E-2</v>
      </c>
      <c r="K33" s="26">
        <f t="shared" si="3"/>
        <v>1.1879475513461926E-2</v>
      </c>
      <c r="L33" s="28">
        <f t="shared" si="4"/>
        <v>2.4021922554286701E-2</v>
      </c>
    </row>
    <row r="34" spans="3:12">
      <c r="C34" s="25"/>
      <c r="D34" s="27">
        <v>42369</v>
      </c>
      <c r="E34" s="26">
        <v>213.18795679922232</v>
      </c>
      <c r="F34" s="26">
        <v>12.54623205</v>
      </c>
      <c r="H34" s="12">
        <f t="shared" si="0"/>
        <v>-0.29906776969403304</v>
      </c>
      <c r="I34" s="12">
        <f t="shared" si="1"/>
        <v>0.97544273925429448</v>
      </c>
      <c r="J34" s="26">
        <f t="shared" si="2"/>
        <v>0.35350426161863335</v>
      </c>
      <c r="K34" s="26">
        <f t="shared" si="3"/>
        <v>0.41586274647753663</v>
      </c>
      <c r="L34" s="28">
        <f t="shared" si="4"/>
        <v>-0.38341785708054665</v>
      </c>
    </row>
    <row r="35" spans="3:12">
      <c r="C35" s="25"/>
      <c r="D35" s="27">
        <v>42735</v>
      </c>
      <c r="E35" s="26">
        <v>252.96730888156057</v>
      </c>
      <c r="F35" s="26">
        <v>16.850000000000001</v>
      </c>
      <c r="H35" s="12">
        <f t="shared" si="0"/>
        <v>0.18659286706238257</v>
      </c>
      <c r="I35" s="12">
        <f t="shared" si="1"/>
        <v>0.34303270757693349</v>
      </c>
      <c r="J35" s="26">
        <f t="shared" si="2"/>
        <v>1.1859559992157596E-2</v>
      </c>
      <c r="K35" s="26">
        <f t="shared" si="3"/>
        <v>1.553557365118124E-4</v>
      </c>
      <c r="L35" s="28">
        <f t="shared" si="4"/>
        <v>-1.3573690276736342E-3</v>
      </c>
    </row>
    <row r="36" spans="3:12">
      <c r="C36" s="25"/>
      <c r="D36" s="27">
        <v>43100</v>
      </c>
      <c r="E36" s="26">
        <v>415.97526684041998</v>
      </c>
      <c r="F36" s="26">
        <v>17.3</v>
      </c>
      <c r="H36" s="12">
        <f t="shared" si="0"/>
        <v>0.64438349239497905</v>
      </c>
      <c r="I36" s="12">
        <f t="shared" si="1"/>
        <v>2.6706231454005889E-2</v>
      </c>
      <c r="J36" s="26">
        <f t="shared" si="2"/>
        <v>0.1217235471612181</v>
      </c>
      <c r="K36" s="26">
        <f t="shared" si="3"/>
        <v>9.2332296140191103E-2</v>
      </c>
      <c r="L36" s="28">
        <f t="shared" si="4"/>
        <v>-0.10601421887522498</v>
      </c>
    </row>
    <row r="37" spans="3:12">
      <c r="C37" s="25"/>
      <c r="D37" s="27">
        <v>43465</v>
      </c>
      <c r="E37" s="26">
        <v>498.34420514999999</v>
      </c>
      <c r="F37" s="26">
        <v>12.2</v>
      </c>
      <c r="H37" s="12">
        <f t="shared" si="0"/>
        <v>0.19801402841861532</v>
      </c>
      <c r="I37" s="12">
        <f t="shared" si="1"/>
        <v>-0.29479768786127175</v>
      </c>
      <c r="J37" s="26">
        <f t="shared" si="2"/>
        <v>9.5024372694583539E-3</v>
      </c>
      <c r="K37" s="26">
        <f t="shared" si="3"/>
        <v>0.39108290574759169</v>
      </c>
      <c r="L37" s="28">
        <f t="shared" si="4"/>
        <v>6.0960977510404017E-2</v>
      </c>
    </row>
    <row r="38" spans="3:12">
      <c r="C38" s="25"/>
      <c r="D38" s="27">
        <v>43830</v>
      </c>
      <c r="E38" s="26">
        <v>857.2</v>
      </c>
      <c r="F38" s="26">
        <v>17.3</v>
      </c>
      <c r="H38" s="12">
        <f t="shared" si="0"/>
        <v>0.72009625303455793</v>
      </c>
      <c r="I38" s="12">
        <f t="shared" si="1"/>
        <v>0.41803278688524603</v>
      </c>
      <c r="J38" s="26">
        <f t="shared" si="2"/>
        <v>0.1802866707649172</v>
      </c>
      <c r="K38" s="26">
        <f t="shared" si="3"/>
        <v>7.6499963296244615E-3</v>
      </c>
      <c r="L38" s="28">
        <f t="shared" si="4"/>
        <v>3.7137479311765767E-2</v>
      </c>
    </row>
    <row r="39" spans="3:12">
      <c r="C39" s="25"/>
      <c r="D39" s="25">
        <v>44196</v>
      </c>
      <c r="E39" s="26">
        <v>437.05</v>
      </c>
      <c r="F39" s="26">
        <v>17</v>
      </c>
      <c r="H39" s="12">
        <f t="shared" si="0"/>
        <v>-0.490142323845077</v>
      </c>
      <c r="I39" s="12">
        <f t="shared" si="1"/>
        <v>-1.7341040462427786E-2</v>
      </c>
      <c r="J39" s="26">
        <f t="shared" si="2"/>
        <v>0.61722517811789435</v>
      </c>
      <c r="K39" s="26">
        <f t="shared" si="3"/>
        <v>0.12104106883296921</v>
      </c>
      <c r="L39" s="28">
        <f t="shared" si="4"/>
        <v>0.27333056043920467</v>
      </c>
    </row>
  </sheetData>
  <mergeCells count="1">
    <mergeCell ref="B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35"/>
  <sheetViews>
    <sheetView topLeftCell="B1" zoomScale="130" zoomScaleNormal="130" workbookViewId="0">
      <selection activeCell="L4" sqref="L4"/>
    </sheetView>
  </sheetViews>
  <sheetFormatPr baseColWidth="10" defaultColWidth="11.5" defaultRowHeight="15"/>
  <cols>
    <col min="1" max="1" width="11.5" style="1"/>
    <col min="2" max="2" width="18.5" style="1" customWidth="1"/>
    <col min="3" max="10" width="11.5" style="1"/>
    <col min="11" max="11" width="15.5" style="1" customWidth="1"/>
    <col min="12" max="12" width="14.5" style="1" customWidth="1"/>
    <col min="13" max="13" width="23.83203125" style="1" customWidth="1"/>
    <col min="14" max="16384" width="11.5" style="1"/>
  </cols>
  <sheetData>
    <row r="2" spans="2:13" ht="21">
      <c r="B2" s="56" t="s">
        <v>66</v>
      </c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2:13" ht="21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2:13">
      <c r="C4" s="3" t="s">
        <v>60</v>
      </c>
      <c r="D4" s="4">
        <v>0.5</v>
      </c>
      <c r="E4" s="1" t="str">
        <f>B10</f>
        <v>YPFD.BA</v>
      </c>
      <c r="H4" s="29"/>
      <c r="I4" s="30">
        <f>SUM(J12:J35)/24</f>
        <v>0.47283316458228869</v>
      </c>
      <c r="J4" s="30"/>
      <c r="K4" s="29"/>
      <c r="L4" s="31">
        <f>(SUM(K12:K35)/24)^(1/2)</f>
        <v>0.67066296881176113</v>
      </c>
    </row>
    <row r="5" spans="2:13">
      <c r="D5" s="4">
        <v>0.5</v>
      </c>
      <c r="E5" s="1" t="str">
        <f>B11</f>
        <v>LEDE.BA</v>
      </c>
      <c r="H5" s="29"/>
      <c r="I5" s="30"/>
      <c r="J5" s="30"/>
      <c r="K5" s="29"/>
      <c r="L5" s="31"/>
    </row>
    <row r="6" spans="2:13">
      <c r="H6" s="29"/>
      <c r="I6" s="29"/>
      <c r="J6" s="29"/>
      <c r="K6" s="29"/>
      <c r="L6" s="32"/>
    </row>
    <row r="7" spans="2:13">
      <c r="H7" s="29"/>
      <c r="I7" s="29"/>
      <c r="J7" s="29"/>
      <c r="K7" s="29"/>
      <c r="L7" s="32"/>
    </row>
    <row r="8" spans="2:13">
      <c r="B8" s="1" t="e">
        <f ca="1">_xll.RHistory($B$10:$B$11,".Timestamp;.Close","INTERVAL:1Y",,"SORT:ASC TSREPEAT:NO CH:Fd",D10)</f>
        <v>#NAME?</v>
      </c>
      <c r="L8" s="24"/>
    </row>
    <row r="9" spans="2:13">
      <c r="L9" s="16"/>
      <c r="M9" s="16"/>
    </row>
    <row r="10" spans="2:13">
      <c r="B10" s="1" t="s">
        <v>72</v>
      </c>
      <c r="C10" s="25"/>
      <c r="D10" s="26" t="s">
        <v>58</v>
      </c>
      <c r="E10" s="26" t="s">
        <v>59</v>
      </c>
      <c r="F10" s="1" t="s">
        <v>59</v>
      </c>
      <c r="H10" s="46"/>
      <c r="I10" s="46"/>
      <c r="J10" s="46"/>
      <c r="K10" s="46"/>
    </row>
    <row r="11" spans="2:13">
      <c r="B11" s="1" t="s">
        <v>71</v>
      </c>
      <c r="C11" s="25"/>
      <c r="D11" s="27">
        <v>36525</v>
      </c>
      <c r="E11" s="26">
        <v>12.287109026333203</v>
      </c>
      <c r="F11" s="26">
        <v>0.18056156913045798</v>
      </c>
    </row>
    <row r="12" spans="2:13">
      <c r="C12" s="25"/>
      <c r="D12" s="27">
        <v>36891</v>
      </c>
      <c r="E12" s="26">
        <v>10.156656946912738</v>
      </c>
      <c r="F12" s="26">
        <v>0.16715497757710104</v>
      </c>
      <c r="H12" s="12">
        <f t="shared" ref="H12:H35" si="0">(E12-E11)/E11</f>
        <v>-0.17338920610654399</v>
      </c>
      <c r="I12" s="12">
        <f t="shared" ref="I12:I35" si="1">(F12-F11)/F11</f>
        <v>-7.4249418732457453E-2</v>
      </c>
      <c r="J12" s="12">
        <f>$D$4*H12+$D$5*I12</f>
        <v>-0.12381931241950073</v>
      </c>
      <c r="K12" s="26">
        <f>(J12-$I$4)^2</f>
        <v>0.35599417831237079</v>
      </c>
      <c r="L12" s="26"/>
      <c r="M12" s="28"/>
    </row>
    <row r="13" spans="2:13">
      <c r="C13" s="25"/>
      <c r="D13" s="27">
        <v>37256</v>
      </c>
      <c r="E13" s="26">
        <v>9.9610997138264317</v>
      </c>
      <c r="F13" s="26">
        <v>0.21730050759275732</v>
      </c>
      <c r="H13" s="12">
        <f t="shared" si="0"/>
        <v>-1.92540945419791E-2</v>
      </c>
      <c r="I13" s="12">
        <f t="shared" si="1"/>
        <v>0.29999423733897729</v>
      </c>
      <c r="J13" s="12">
        <f t="shared" ref="J13:J35" si="2">$D$4*H13+$D$5*I13</f>
        <v>0.14037007139849911</v>
      </c>
      <c r="K13" s="26">
        <f t="shared" ref="K13:K35" si="3">(J13-$I$4)^2</f>
        <v>0.11053170832933315</v>
      </c>
      <c r="L13" s="26"/>
      <c r="M13" s="28"/>
    </row>
    <row r="14" spans="2:13">
      <c r="C14" s="25"/>
      <c r="D14" s="27">
        <v>37621</v>
      </c>
      <c r="E14" s="26">
        <v>20.526438819642514</v>
      </c>
      <c r="F14" s="26">
        <v>1.098363313803119</v>
      </c>
      <c r="H14" s="12">
        <f t="shared" si="0"/>
        <v>1.0606599079769217</v>
      </c>
      <c r="I14" s="12">
        <f t="shared" si="1"/>
        <v>4.0545823660088303</v>
      </c>
      <c r="J14" s="12">
        <f t="shared" si="2"/>
        <v>2.5576211369928759</v>
      </c>
      <c r="K14" s="26">
        <f t="shared" si="3"/>
        <v>4.3463408899078466</v>
      </c>
      <c r="L14" s="26"/>
      <c r="M14" s="28"/>
    </row>
    <row r="15" spans="2:13">
      <c r="C15" s="25"/>
      <c r="D15" s="27">
        <v>37986</v>
      </c>
      <c r="E15" s="26">
        <v>57.819598666072501</v>
      </c>
      <c r="F15" s="26">
        <v>1.253816062956528</v>
      </c>
      <c r="H15" s="12">
        <f t="shared" si="0"/>
        <v>1.8168353592218234</v>
      </c>
      <c r="I15" s="12">
        <f t="shared" si="1"/>
        <v>0.14153126492831297</v>
      </c>
      <c r="J15" s="12">
        <f t="shared" si="2"/>
        <v>0.97918331207506815</v>
      </c>
      <c r="K15" s="26">
        <f t="shared" si="3"/>
        <v>0.25639047186595948</v>
      </c>
      <c r="L15" s="26"/>
      <c r="M15" s="28"/>
    </row>
    <row r="16" spans="2:13">
      <c r="C16" s="25"/>
      <c r="D16" s="27">
        <v>38352</v>
      </c>
      <c r="E16" s="26">
        <v>71.622806547896303</v>
      </c>
      <c r="F16" s="26">
        <v>1.2237179186845506</v>
      </c>
      <c r="H16" s="12">
        <f t="shared" si="0"/>
        <v>0.23872887740957766</v>
      </c>
      <c r="I16" s="12">
        <f t="shared" si="1"/>
        <v>-2.4005231039236564E-2</v>
      </c>
      <c r="J16" s="12">
        <f t="shared" si="2"/>
        <v>0.10736182318517054</v>
      </c>
      <c r="K16" s="26">
        <f t="shared" si="3"/>
        <v>0.13356930138260886</v>
      </c>
      <c r="L16" s="26"/>
      <c r="M16" s="28"/>
    </row>
    <row r="17" spans="3:13">
      <c r="C17" s="25"/>
      <c r="D17" s="27">
        <v>38717</v>
      </c>
      <c r="E17" s="26">
        <v>95.703923133111573</v>
      </c>
      <c r="F17" s="26">
        <v>1.3062213235510962</v>
      </c>
      <c r="H17" s="12">
        <f t="shared" si="0"/>
        <v>0.33622134828117228</v>
      </c>
      <c r="I17" s="12">
        <f t="shared" si="1"/>
        <v>6.7420280120792528E-2</v>
      </c>
      <c r="J17" s="12">
        <f t="shared" si="2"/>
        <v>0.20182081420098241</v>
      </c>
      <c r="K17" s="26">
        <f t="shared" si="3"/>
        <v>7.3447694059199917E-2</v>
      </c>
      <c r="L17" s="26"/>
      <c r="M17" s="28"/>
    </row>
    <row r="18" spans="3:13">
      <c r="C18" s="25"/>
      <c r="D18" s="27">
        <v>39082</v>
      </c>
      <c r="E18" s="26">
        <v>86.192974250317903</v>
      </c>
      <c r="F18" s="26">
        <v>1.4018482058414059</v>
      </c>
      <c r="H18" s="12">
        <f t="shared" si="0"/>
        <v>-9.9378881987577355E-2</v>
      </c>
      <c r="I18" s="12">
        <f t="shared" si="1"/>
        <v>7.3208789786357364E-2</v>
      </c>
      <c r="J18" s="12">
        <f t="shared" si="2"/>
        <v>-1.3085046100609996E-2</v>
      </c>
      <c r="K18" s="26">
        <f t="shared" si="3"/>
        <v>0.23611650747326993</v>
      </c>
      <c r="L18" s="26"/>
      <c r="M18" s="28"/>
    </row>
    <row r="19" spans="3:13">
      <c r="C19" s="25"/>
      <c r="D19" s="27">
        <v>39447</v>
      </c>
      <c r="E19" s="26">
        <v>80.927334514658583</v>
      </c>
      <c r="F19" s="26">
        <v>2.8313211229088551</v>
      </c>
      <c r="H19" s="12">
        <f t="shared" si="0"/>
        <v>-6.1091287096870305E-2</v>
      </c>
      <c r="I19" s="12">
        <f t="shared" si="1"/>
        <v>1.0197059218758016</v>
      </c>
      <c r="J19" s="12">
        <f t="shared" si="2"/>
        <v>0.47930731738946564</v>
      </c>
      <c r="K19" s="26">
        <f t="shared" si="3"/>
        <v>4.1914654570677147E-5</v>
      </c>
      <c r="L19" s="26"/>
      <c r="M19" s="28"/>
    </row>
    <row r="20" spans="3:13">
      <c r="C20" s="25"/>
      <c r="D20" s="27">
        <v>39813</v>
      </c>
      <c r="E20" s="26">
        <v>117.88969490061376</v>
      </c>
      <c r="F20" s="26">
        <v>2.3335593738271552</v>
      </c>
      <c r="H20" s="12">
        <f t="shared" si="0"/>
        <v>0.45673517616300696</v>
      </c>
      <c r="I20" s="12">
        <f t="shared" si="1"/>
        <v>-0.17580547294836951</v>
      </c>
      <c r="J20" s="12">
        <f t="shared" si="2"/>
        <v>0.14046485160731872</v>
      </c>
      <c r="K20" s="26">
        <f t="shared" si="3"/>
        <v>0.11046869546982757</v>
      </c>
      <c r="L20" s="26"/>
      <c r="M20" s="28"/>
    </row>
    <row r="21" spans="3:13">
      <c r="C21" s="25"/>
      <c r="D21" s="27">
        <v>40178</v>
      </c>
      <c r="E21" s="26">
        <v>132.15210980088605</v>
      </c>
      <c r="F21" s="26">
        <v>3.4948551285188683</v>
      </c>
      <c r="H21" s="12">
        <f t="shared" si="0"/>
        <v>0.12098101460264307</v>
      </c>
      <c r="I21" s="12">
        <f t="shared" si="1"/>
        <v>0.4976499709913656</v>
      </c>
      <c r="J21" s="12">
        <f t="shared" si="2"/>
        <v>0.30931549279700432</v>
      </c>
      <c r="K21" s="26">
        <f t="shared" si="3"/>
        <v>2.6738028986079982E-2</v>
      </c>
      <c r="L21" s="26"/>
      <c r="M21" s="28"/>
    </row>
    <row r="22" spans="3:13">
      <c r="C22" s="25"/>
      <c r="D22" s="27">
        <v>40543</v>
      </c>
      <c r="E22" s="26">
        <v>174.90941947176773</v>
      </c>
      <c r="F22" s="26">
        <v>6.7328437966320758</v>
      </c>
      <c r="H22" s="12">
        <f t="shared" si="0"/>
        <v>0.32354617520147227</v>
      </c>
      <c r="I22" s="12">
        <f t="shared" si="1"/>
        <v>0.92650154270785989</v>
      </c>
      <c r="J22" s="12">
        <f t="shared" si="2"/>
        <v>0.62502385895466606</v>
      </c>
      <c r="K22" s="26">
        <f t="shared" si="3"/>
        <v>2.3162007453546376E-2</v>
      </c>
      <c r="L22" s="26"/>
      <c r="M22" s="28"/>
    </row>
    <row r="23" spans="3:13">
      <c r="C23" s="25"/>
      <c r="D23" s="27">
        <v>40908</v>
      </c>
      <c r="E23" s="26">
        <v>158.59994477387605</v>
      </c>
      <c r="F23" s="26">
        <v>6.2157689117122361</v>
      </c>
      <c r="H23" s="12">
        <f t="shared" si="0"/>
        <v>-9.3245262302892803E-2</v>
      </c>
      <c r="I23" s="12">
        <f t="shared" si="1"/>
        <v>-7.6798883285914415E-2</v>
      </c>
      <c r="J23" s="12">
        <f t="shared" si="2"/>
        <v>-8.5022072794403603E-2</v>
      </c>
      <c r="K23" s="26">
        <f t="shared" si="3"/>
        <v>0.31120246586860573</v>
      </c>
      <c r="L23" s="26"/>
      <c r="M23" s="28"/>
    </row>
    <row r="24" spans="3:13">
      <c r="C24" s="25"/>
      <c r="D24" s="27">
        <v>41274</v>
      </c>
      <c r="E24" s="26">
        <v>94.724680949133756</v>
      </c>
      <c r="F24" s="26">
        <v>4.4612149846666451</v>
      </c>
      <c r="H24" s="12">
        <f t="shared" si="0"/>
        <v>-0.40274455275386434</v>
      </c>
      <c r="I24" s="12">
        <f t="shared" si="1"/>
        <v>-0.28227463922275547</v>
      </c>
      <c r="J24" s="12">
        <f t="shared" si="2"/>
        <v>-0.34250959598830988</v>
      </c>
      <c r="K24" s="26">
        <f t="shared" si="3"/>
        <v>0.66478381721488433</v>
      </c>
      <c r="L24" s="26"/>
      <c r="M24" s="28"/>
    </row>
    <row r="25" spans="3:13">
      <c r="C25" s="25"/>
      <c r="D25" s="27">
        <v>41639</v>
      </c>
      <c r="E25" s="26">
        <v>282.90427033169158</v>
      </c>
      <c r="F25" s="26">
        <v>5.1207711778388614</v>
      </c>
      <c r="H25" s="12">
        <f t="shared" si="0"/>
        <v>1.9865951249137324</v>
      </c>
      <c r="I25" s="12">
        <f t="shared" si="1"/>
        <v>0.14784227961197441</v>
      </c>
      <c r="J25" s="12">
        <f t="shared" si="2"/>
        <v>1.0672187022628534</v>
      </c>
      <c r="K25" s="26">
        <f t="shared" si="3"/>
        <v>0.35329416740381397</v>
      </c>
      <c r="L25" s="26"/>
      <c r="M25" s="28"/>
    </row>
    <row r="26" spans="3:13">
      <c r="C26" s="25"/>
      <c r="D26" s="27">
        <v>42004</v>
      </c>
      <c r="E26" s="26">
        <v>304.14917103492689</v>
      </c>
      <c r="F26" s="26">
        <v>6.2554087283316244</v>
      </c>
      <c r="H26" s="12">
        <f t="shared" si="0"/>
        <v>7.509572293951837E-2</v>
      </c>
      <c r="I26" s="12">
        <f t="shared" si="1"/>
        <v>0.22157552272656292</v>
      </c>
      <c r="J26" s="12">
        <f t="shared" si="2"/>
        <v>0.14833562283304064</v>
      </c>
      <c r="K26" s="26">
        <f t="shared" si="3"/>
        <v>0.10529865460130498</v>
      </c>
      <c r="L26" s="26"/>
      <c r="M26" s="28"/>
    </row>
    <row r="27" spans="3:13">
      <c r="C27" s="25"/>
      <c r="D27" s="27">
        <v>42369</v>
      </c>
      <c r="E27" s="26">
        <v>213.18795679922232</v>
      </c>
      <c r="F27" s="26">
        <v>12.357201753450646</v>
      </c>
      <c r="H27" s="12">
        <f t="shared" si="0"/>
        <v>-0.29906776969403304</v>
      </c>
      <c r="I27" s="12">
        <f t="shared" si="1"/>
        <v>0.97544273925429426</v>
      </c>
      <c r="J27" s="12">
        <f t="shared" si="2"/>
        <v>0.33818748478013061</v>
      </c>
      <c r="K27" s="26">
        <f t="shared" si="3"/>
        <v>1.8129459089385281E-2</v>
      </c>
      <c r="L27" s="26"/>
      <c r="M27" s="28"/>
    </row>
    <row r="28" spans="3:13">
      <c r="C28" s="25"/>
      <c r="D28" s="27">
        <v>42735</v>
      </c>
      <c r="E28" s="26">
        <v>252.96730888156057</v>
      </c>
      <c r="F28" s="26">
        <v>16.596126129011253</v>
      </c>
      <c r="H28" s="12">
        <f t="shared" si="0"/>
        <v>0.18659286706238257</v>
      </c>
      <c r="I28" s="12">
        <f t="shared" si="1"/>
        <v>0.34303270757693366</v>
      </c>
      <c r="J28" s="12">
        <f t="shared" si="2"/>
        <v>0.26481278731965813</v>
      </c>
      <c r="K28" s="26">
        <f t="shared" si="3"/>
        <v>4.3272477356487149E-2</v>
      </c>
      <c r="L28" s="26"/>
      <c r="M28" s="28"/>
    </row>
    <row r="29" spans="3:13">
      <c r="C29" s="25"/>
      <c r="D29" s="27">
        <v>43100</v>
      </c>
      <c r="E29" s="26">
        <v>415.97526684041998</v>
      </c>
      <c r="F29" s="26">
        <v>17.039346114652503</v>
      </c>
      <c r="H29" s="12">
        <f t="shared" si="0"/>
        <v>0.64438349239497905</v>
      </c>
      <c r="I29" s="12">
        <f t="shared" si="1"/>
        <v>2.6706231454005903E-2</v>
      </c>
      <c r="J29" s="12">
        <f t="shared" si="2"/>
        <v>0.33554486192449245</v>
      </c>
      <c r="K29" s="26">
        <f t="shared" si="3"/>
        <v>1.884807804665866E-2</v>
      </c>
      <c r="L29" s="26"/>
      <c r="M29" s="28"/>
    </row>
    <row r="30" spans="3:13">
      <c r="C30" s="25"/>
      <c r="D30" s="27">
        <v>43465</v>
      </c>
      <c r="E30" s="26">
        <v>498.34420514999999</v>
      </c>
      <c r="F30" s="26">
        <v>12.016186277385</v>
      </c>
      <c r="H30" s="12">
        <f t="shared" si="0"/>
        <v>0.19801402841861532</v>
      </c>
      <c r="I30" s="12">
        <f t="shared" si="1"/>
        <v>-0.29479768786127181</v>
      </c>
      <c r="J30" s="12">
        <f t="shared" si="2"/>
        <v>-4.8391829721328244E-2</v>
      </c>
      <c r="K30" s="26">
        <f t="shared" si="3"/>
        <v>0.27167549468680546</v>
      </c>
      <c r="L30" s="26"/>
      <c r="M30" s="28"/>
    </row>
    <row r="31" spans="3:13">
      <c r="C31" s="25"/>
      <c r="D31" s="27">
        <v>43830</v>
      </c>
      <c r="E31" s="26">
        <v>857.2</v>
      </c>
      <c r="F31" s="26">
        <v>17.039346114652503</v>
      </c>
      <c r="H31" s="12">
        <f t="shared" si="0"/>
        <v>0.72009625303455793</v>
      </c>
      <c r="I31" s="12">
        <f t="shared" si="1"/>
        <v>0.41803278688524614</v>
      </c>
      <c r="J31" s="12">
        <f t="shared" si="2"/>
        <v>0.56906451995990204</v>
      </c>
      <c r="K31" s="26">
        <f t="shared" si="3"/>
        <v>9.2604737578125141E-3</v>
      </c>
      <c r="L31" s="26"/>
      <c r="M31" s="28"/>
    </row>
    <row r="32" spans="3:13">
      <c r="C32" s="25"/>
      <c r="D32" s="27">
        <v>44196</v>
      </c>
      <c r="E32" s="26">
        <v>693.85</v>
      </c>
      <c r="F32" s="26">
        <v>29.547999042750003</v>
      </c>
      <c r="H32" s="12">
        <f t="shared" si="0"/>
        <v>-0.19056229584694356</v>
      </c>
      <c r="I32" s="12">
        <f t="shared" si="1"/>
        <v>0.73410404624277448</v>
      </c>
      <c r="J32" s="12">
        <f t="shared" si="2"/>
        <v>0.27177087519791543</v>
      </c>
      <c r="K32" s="26">
        <f t="shared" si="3"/>
        <v>4.0426044212485454E-2</v>
      </c>
      <c r="L32" s="26"/>
      <c r="M32" s="28"/>
    </row>
    <row r="33" spans="3:13">
      <c r="C33" s="25"/>
      <c r="D33" s="27">
        <v>44561</v>
      </c>
      <c r="E33" s="26">
        <v>778.45</v>
      </c>
      <c r="F33" s="26">
        <v>67.550790300000003</v>
      </c>
      <c r="H33" s="12">
        <f t="shared" si="0"/>
        <v>0.12192837068530665</v>
      </c>
      <c r="I33" s="12">
        <f t="shared" si="1"/>
        <v>1.2861375554489363</v>
      </c>
      <c r="J33" s="12">
        <f t="shared" si="2"/>
        <v>0.70403296306712149</v>
      </c>
      <c r="K33" s="26">
        <f t="shared" si="3"/>
        <v>5.3453346819427296E-2</v>
      </c>
      <c r="L33" s="26"/>
      <c r="M33" s="28"/>
    </row>
    <row r="34" spans="3:13">
      <c r="C34" s="25"/>
      <c r="D34" s="27">
        <v>44926</v>
      </c>
      <c r="E34" s="26">
        <v>3147.35</v>
      </c>
      <c r="F34" s="26">
        <v>168.75</v>
      </c>
      <c r="H34" s="12">
        <f t="shared" si="0"/>
        <v>3.0430984648981947</v>
      </c>
      <c r="I34" s="12">
        <f t="shared" si="1"/>
        <v>1.4981202921618519</v>
      </c>
      <c r="J34" s="12">
        <f t="shared" si="2"/>
        <v>2.2706093785300232</v>
      </c>
      <c r="K34" s="26">
        <f t="shared" si="3"/>
        <v>3.2319993154362505</v>
      </c>
      <c r="L34" s="26"/>
      <c r="M34" s="28"/>
    </row>
    <row r="35" spans="3:13">
      <c r="C35" s="25"/>
      <c r="D35" s="25">
        <v>45291</v>
      </c>
      <c r="E35" s="26">
        <v>5029</v>
      </c>
      <c r="F35" s="26">
        <v>220</v>
      </c>
      <c r="H35" s="12">
        <f t="shared" si="0"/>
        <v>0.59785216134208152</v>
      </c>
      <c r="I35" s="12">
        <f t="shared" si="1"/>
        <v>0.3037037037037037</v>
      </c>
      <c r="J35" s="12">
        <f t="shared" si="2"/>
        <v>0.45077793252289261</v>
      </c>
      <c r="K35" s="26">
        <f t="shared" si="3"/>
        <v>4.864332611938126E-4</v>
      </c>
      <c r="L35" s="26"/>
      <c r="M35" s="28"/>
    </row>
  </sheetData>
  <mergeCells count="1">
    <mergeCell ref="B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42"/>
  <sheetViews>
    <sheetView workbookViewId="0">
      <selection activeCell="L19" sqref="L19"/>
    </sheetView>
  </sheetViews>
  <sheetFormatPr baseColWidth="10" defaultColWidth="11.5" defaultRowHeight="15"/>
  <cols>
    <col min="1" max="1" width="11.5" style="1"/>
    <col min="2" max="2" width="18.5" style="1" customWidth="1"/>
    <col min="3" max="9" width="11.5" style="1"/>
    <col min="10" max="10" width="17.1640625" style="1" customWidth="1"/>
    <col min="11" max="11" width="15.5" style="1" customWidth="1"/>
    <col min="12" max="12" width="14.5" style="1" customWidth="1"/>
    <col min="13" max="13" width="23.83203125" style="1" customWidth="1"/>
    <col min="14" max="16384" width="11.5" style="1"/>
  </cols>
  <sheetData>
    <row r="2" spans="2:16" ht="21">
      <c r="C2" s="56" t="s">
        <v>68</v>
      </c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2:16" ht="21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2:16">
      <c r="B4" s="1" t="e">
        <f ca="1">_xll.RHistory($B$5:$B$7,".Timestamp;.Close","INTERVAL:1Y",,"SORT:ASC TSREPEAT:NO CH:Fd",D17)</f>
        <v>#NAME?</v>
      </c>
      <c r="F4" s="1" t="s">
        <v>61</v>
      </c>
      <c r="H4" s="29"/>
      <c r="I4" s="30">
        <f>AVERAGE(H19:H42)</f>
        <v>0.44119295809230347</v>
      </c>
      <c r="J4" s="29"/>
      <c r="K4" s="31">
        <f>(_xlfn.VAR.P(H19:H42))^(1/2)</f>
        <v>0.79544682119472787</v>
      </c>
      <c r="L4" s="29"/>
      <c r="M4" s="31">
        <f>_xlfn.COVARIANCE.P(H19:H42,I19:I42)</f>
        <v>0.19462009392510948</v>
      </c>
      <c r="P4" s="1" t="s">
        <v>62</v>
      </c>
    </row>
    <row r="5" spans="2:16">
      <c r="B5" s="1" t="s">
        <v>72</v>
      </c>
      <c r="H5" s="29"/>
      <c r="I5" s="30">
        <f>AVERAGE(I19:I42)</f>
        <v>0.50447337107227397</v>
      </c>
      <c r="J5" s="29"/>
      <c r="K5" s="31">
        <f>(_xlfn.VAR.P(I19:I42))^(1/2)</f>
        <v>0.88157781150764303</v>
      </c>
      <c r="L5" s="29"/>
      <c r="M5" s="31">
        <f>_xlfn.COVARIANCE.P(H19:H42,J19:J42)</f>
        <v>0.19270385427005218</v>
      </c>
    </row>
    <row r="6" spans="2:16">
      <c r="B6" s="1" t="s">
        <v>71</v>
      </c>
      <c r="H6" s="29"/>
      <c r="I6" s="30">
        <f>AVERAGE(J19:J42)</f>
        <v>0.37816523493911353</v>
      </c>
      <c r="J6" s="29"/>
      <c r="K6" s="31">
        <f>(_xlfn.VAR.P(J19:J42))^(1/2)</f>
        <v>0.60318830599752316</v>
      </c>
      <c r="L6" s="29"/>
      <c r="M6" s="31">
        <f>_xlfn.COVARIANCE.P(I19:I42,J19:J42)</f>
        <v>8.8392747415946826E-2</v>
      </c>
    </row>
    <row r="7" spans="2:16">
      <c r="B7" s="1" t="s">
        <v>73</v>
      </c>
      <c r="H7" s="29"/>
      <c r="I7" s="29"/>
      <c r="J7" s="29"/>
      <c r="K7" s="29"/>
      <c r="L7" s="29"/>
      <c r="M7" s="36">
        <f>CORREL(H19:H42,I19:I42)</f>
        <v>0.27753379631981995</v>
      </c>
    </row>
    <row r="8" spans="2:16">
      <c r="H8" s="29"/>
      <c r="I8" s="29"/>
      <c r="J8" s="29"/>
      <c r="K8" s="29"/>
      <c r="L8" s="29"/>
      <c r="M8" s="36">
        <f>CORREL(H19:H42,J19:J42)</f>
        <v>0.40163017747961721</v>
      </c>
    </row>
    <row r="9" spans="2:16">
      <c r="H9" s="29"/>
      <c r="I9" s="29"/>
      <c r="J9" s="29"/>
      <c r="K9" s="29"/>
      <c r="L9" s="29"/>
      <c r="M9" s="36">
        <f>CORREL(I19:I42,J19:J42)</f>
        <v>0.16622757477933831</v>
      </c>
    </row>
    <row r="10" spans="2:16">
      <c r="L10" s="24"/>
    </row>
    <row r="11" spans="2:16">
      <c r="K11" s="1" t="s">
        <v>67</v>
      </c>
      <c r="L11" s="24"/>
    </row>
    <row r="12" spans="2:16">
      <c r="C12" s="3" t="s">
        <v>60</v>
      </c>
      <c r="D12" s="35">
        <v>0.3</v>
      </c>
      <c r="E12" s="1" t="str">
        <f>B5</f>
        <v>YPFD.BA</v>
      </c>
      <c r="H12" s="37"/>
      <c r="I12" s="38">
        <f>D12*I4+D13*I5+D14*I6</f>
        <v>0.43496599272501857</v>
      </c>
      <c r="J12" s="34"/>
      <c r="K12" s="37"/>
      <c r="L12" s="38">
        <f>AVERAGE(K19:K42)</f>
        <v>0.43496599272501851</v>
      </c>
    </row>
    <row r="13" spans="2:16">
      <c r="D13" s="35">
        <v>0.3</v>
      </c>
      <c r="E13" s="1" t="str">
        <f t="shared" ref="E13:E14" si="0">B6</f>
        <v>LEDE.BA</v>
      </c>
      <c r="H13" s="37"/>
      <c r="I13" s="39">
        <f>((D12^2)*(K4^2)+(D13^2)*(K5^2)+(D14^2)*(K6^2)+2*D12*D13*M4+2*D12*D14*M5+2*D13*D14*M6)^(1/2)</f>
        <v>0.53628438350201058</v>
      </c>
      <c r="J13" s="23"/>
      <c r="K13" s="37"/>
      <c r="L13" s="39">
        <f>(_xlfn.VAR.P(K19:K42))^(1/2)</f>
        <v>0.53628438350201058</v>
      </c>
    </row>
    <row r="14" spans="2:16">
      <c r="D14" s="35">
        <f>1-D13-D12</f>
        <v>0.39999999999999997</v>
      </c>
      <c r="E14" s="1" t="str">
        <f t="shared" si="0"/>
        <v>BBAR.BA</v>
      </c>
      <c r="I14" s="23"/>
      <c r="J14" s="23"/>
      <c r="L14" s="24"/>
    </row>
    <row r="15" spans="2:16">
      <c r="D15" s="4"/>
      <c r="L15" s="24"/>
    </row>
    <row r="16" spans="2:16">
      <c r="L16" s="16"/>
      <c r="M16" s="16"/>
    </row>
    <row r="17" spans="3:13">
      <c r="C17" s="25"/>
      <c r="D17" s="26" t="s">
        <v>58</v>
      </c>
      <c r="E17" s="26" t="s">
        <v>59</v>
      </c>
      <c r="F17" s="1" t="s">
        <v>59</v>
      </c>
      <c r="G17" s="1" t="s">
        <v>59</v>
      </c>
      <c r="H17" s="46"/>
      <c r="I17" s="46"/>
      <c r="J17" s="46"/>
      <c r="K17" s="46"/>
      <c r="L17" s="46"/>
    </row>
    <row r="18" spans="3:13">
      <c r="C18" s="25"/>
      <c r="D18" s="27">
        <v>36525</v>
      </c>
      <c r="E18" s="26">
        <v>12.287109026333203</v>
      </c>
      <c r="F18" s="26">
        <v>0.18056156913045798</v>
      </c>
      <c r="G18" s="26">
        <v>3.7670636045921602</v>
      </c>
    </row>
    <row r="19" spans="3:13">
      <c r="C19" s="25"/>
      <c r="D19" s="27">
        <v>36891</v>
      </c>
      <c r="E19" s="26">
        <v>10.156656946912738</v>
      </c>
      <c r="F19" s="26">
        <v>0.16715497757710104</v>
      </c>
      <c r="G19" s="26">
        <v>3.3699082571020691</v>
      </c>
      <c r="H19" s="12">
        <f t="shared" ref="H19:H42" si="1">(E19-E18)/E18</f>
        <v>-0.17338920610654399</v>
      </c>
      <c r="I19" s="12">
        <f t="shared" ref="I19:J42" si="2">(F19-F18)/F18</f>
        <v>-7.4249418732457453E-2</v>
      </c>
      <c r="J19" s="12">
        <f t="shared" si="2"/>
        <v>-0.10542836255961995</v>
      </c>
      <c r="K19" s="28">
        <f>$D$12*H19+$D$13*I19+$D$14*J19</f>
        <v>-0.1164629324755484</v>
      </c>
      <c r="L19" s="26">
        <f>(K19-$I$12)^2</f>
        <v>0.30407385954785249</v>
      </c>
      <c r="M19" s="28"/>
    </row>
    <row r="20" spans="3:13">
      <c r="C20" s="25"/>
      <c r="D20" s="27">
        <v>37256</v>
      </c>
      <c r="E20" s="26">
        <v>9.9610997138264317</v>
      </c>
      <c r="F20" s="26">
        <v>0.21730050759275732</v>
      </c>
      <c r="G20" s="26">
        <v>1.5081559694414242</v>
      </c>
      <c r="H20" s="12">
        <f t="shared" si="1"/>
        <v>-1.92540945419791E-2</v>
      </c>
      <c r="I20" s="12">
        <f t="shared" si="2"/>
        <v>0.29999423733897729</v>
      </c>
      <c r="J20" s="12">
        <f t="shared" si="2"/>
        <v>-0.55246378999695578</v>
      </c>
      <c r="K20" s="28">
        <f t="shared" ref="K20:K42" si="3">$D$12*H20+$D$13*I20+$D$14*J20</f>
        <v>-0.13676347315968285</v>
      </c>
      <c r="L20" s="26">
        <f t="shared" ref="L20:L42" si="4">(K20-$I$12)^2</f>
        <v>0.32687458216080595</v>
      </c>
      <c r="M20" s="28"/>
    </row>
    <row r="21" spans="3:13">
      <c r="C21" s="25"/>
      <c r="D21" s="27">
        <v>37621</v>
      </c>
      <c r="E21" s="26">
        <v>20.526438819642514</v>
      </c>
      <c r="F21" s="26">
        <v>1.098363313803119</v>
      </c>
      <c r="G21" s="26">
        <v>1.9427093843652239</v>
      </c>
      <c r="H21" s="12">
        <f t="shared" si="1"/>
        <v>1.0606599079769217</v>
      </c>
      <c r="I21" s="12">
        <f t="shared" si="2"/>
        <v>4.0545823660088303</v>
      </c>
      <c r="J21" s="12">
        <f t="shared" si="2"/>
        <v>0.28813559322033866</v>
      </c>
      <c r="K21" s="28">
        <f t="shared" si="3"/>
        <v>1.6498269194838611</v>
      </c>
      <c r="L21" s="26">
        <f t="shared" si="4"/>
        <v>1.4758870713653534</v>
      </c>
      <c r="M21" s="28"/>
    </row>
    <row r="22" spans="3:13">
      <c r="C22" s="25"/>
      <c r="D22" s="27">
        <v>37986</v>
      </c>
      <c r="E22" s="26">
        <v>57.819598666072501</v>
      </c>
      <c r="F22" s="26">
        <v>1.253816062956528</v>
      </c>
      <c r="G22" s="26">
        <v>4.3455341492379995</v>
      </c>
      <c r="H22" s="12">
        <f t="shared" si="1"/>
        <v>1.8168353592218234</v>
      </c>
      <c r="I22" s="12">
        <f t="shared" si="2"/>
        <v>0.14153126492831297</v>
      </c>
      <c r="J22" s="12">
        <f t="shared" si="2"/>
        <v>1.2368421052631573</v>
      </c>
      <c r="K22" s="28">
        <f t="shared" si="3"/>
        <v>1.0822468293503038</v>
      </c>
      <c r="L22" s="26">
        <f t="shared" si="4"/>
        <v>0.41897248146232918</v>
      </c>
      <c r="M22" s="28"/>
    </row>
    <row r="23" spans="3:13">
      <c r="C23" s="25"/>
      <c r="D23" s="27">
        <v>38352</v>
      </c>
      <c r="E23" s="26">
        <v>71.622806547896303</v>
      </c>
      <c r="F23" s="26">
        <v>1.2237179186845506</v>
      </c>
      <c r="G23" s="26">
        <v>3.9378045490885367</v>
      </c>
      <c r="H23" s="12">
        <f t="shared" si="1"/>
        <v>0.23872887740957766</v>
      </c>
      <c r="I23" s="12">
        <f t="shared" si="2"/>
        <v>-2.4005231039236564E-2</v>
      </c>
      <c r="J23" s="12">
        <f t="shared" si="2"/>
        <v>-9.3827268673279035E-2</v>
      </c>
      <c r="K23" s="28">
        <f t="shared" si="3"/>
        <v>2.6886186441790701E-2</v>
      </c>
      <c r="L23" s="26">
        <f t="shared" si="4"/>
        <v>0.16652912829615679</v>
      </c>
      <c r="M23" s="28"/>
    </row>
    <row r="24" spans="3:13">
      <c r="C24" s="25"/>
      <c r="D24" s="27">
        <v>38717</v>
      </c>
      <c r="E24" s="26">
        <v>95.703923133111573</v>
      </c>
      <c r="F24" s="26">
        <v>1.3062213235510962</v>
      </c>
      <c r="G24" s="26">
        <v>4.0778402727403336</v>
      </c>
      <c r="H24" s="12">
        <f t="shared" si="1"/>
        <v>0.33622134828117228</v>
      </c>
      <c r="I24" s="12">
        <f t="shared" si="2"/>
        <v>6.7420280120792528E-2</v>
      </c>
      <c r="J24" s="12">
        <f t="shared" si="2"/>
        <v>3.5561877667140737E-2</v>
      </c>
      <c r="K24" s="28">
        <f t="shared" si="3"/>
        <v>0.13531723958744574</v>
      </c>
      <c r="L24" s="26">
        <f t="shared" si="4"/>
        <v>8.978937525690206E-2</v>
      </c>
      <c r="M24" s="28"/>
    </row>
    <row r="25" spans="3:13">
      <c r="C25" s="25"/>
      <c r="D25" s="27">
        <v>39082</v>
      </c>
      <c r="E25" s="26">
        <v>86.192974250317903</v>
      </c>
      <c r="F25" s="26">
        <v>1.4018482058414059</v>
      </c>
      <c r="G25" s="26">
        <v>5.4169480103929422</v>
      </c>
      <c r="H25" s="12">
        <f t="shared" si="1"/>
        <v>-9.9378881987577355E-2</v>
      </c>
      <c r="I25" s="12">
        <f t="shared" si="2"/>
        <v>7.3208789786357364E-2</v>
      </c>
      <c r="J25" s="12">
        <f t="shared" si="2"/>
        <v>0.32838651052723061</v>
      </c>
      <c r="K25" s="28">
        <f t="shared" si="3"/>
        <v>0.12350357655052624</v>
      </c>
      <c r="L25" s="26">
        <f t="shared" si="4"/>
        <v>9.7008836689252656E-2</v>
      </c>
      <c r="M25" s="28"/>
    </row>
    <row r="26" spans="3:13">
      <c r="C26" s="25"/>
      <c r="D26" s="27">
        <v>39447</v>
      </c>
      <c r="E26" s="26">
        <v>80.927334514658583</v>
      </c>
      <c r="F26" s="26">
        <v>2.8313211229088551</v>
      </c>
      <c r="G26" s="26">
        <v>4.7680427799812879</v>
      </c>
      <c r="H26" s="12">
        <f t="shared" si="1"/>
        <v>-6.1091287096870305E-2</v>
      </c>
      <c r="I26" s="12">
        <f t="shared" si="2"/>
        <v>1.0197059218758016</v>
      </c>
      <c r="J26" s="12">
        <f t="shared" si="2"/>
        <v>-0.11979166666666662</v>
      </c>
      <c r="K26" s="28">
        <f t="shared" si="3"/>
        <v>0.2396677237670127</v>
      </c>
      <c r="L26" s="26">
        <f t="shared" si="4"/>
        <v>3.8141413857993599E-2</v>
      </c>
      <c r="M26" s="28"/>
    </row>
    <row r="27" spans="3:13">
      <c r="C27" s="25"/>
      <c r="D27" s="27">
        <v>39813</v>
      </c>
      <c r="E27" s="26">
        <v>117.88969490061376</v>
      </c>
      <c r="F27" s="26">
        <v>2.3335593738271552</v>
      </c>
      <c r="G27" s="26">
        <v>2.2492532109027885</v>
      </c>
      <c r="H27" s="12">
        <f t="shared" si="1"/>
        <v>0.45673517616300696</v>
      </c>
      <c r="I27" s="12">
        <f t="shared" si="2"/>
        <v>-0.17580547294836951</v>
      </c>
      <c r="J27" s="12">
        <f t="shared" si="2"/>
        <v>-0.52826488463016352</v>
      </c>
      <c r="K27" s="28">
        <f t="shared" si="3"/>
        <v>-0.12702704288767416</v>
      </c>
      <c r="L27" s="26">
        <f t="shared" si="4"/>
        <v>0.31583617207716935</v>
      </c>
      <c r="M27" s="28"/>
    </row>
    <row r="28" spans="3:13">
      <c r="C28" s="25"/>
      <c r="D28" s="27">
        <v>40178</v>
      </c>
      <c r="E28" s="26">
        <v>132.15210980088605</v>
      </c>
      <c r="F28" s="26">
        <v>3.4948551285188683</v>
      </c>
      <c r="G28" s="26">
        <v>5.5080797408638063</v>
      </c>
      <c r="H28" s="12">
        <f t="shared" si="1"/>
        <v>0.12098101460264307</v>
      </c>
      <c r="I28" s="12">
        <f t="shared" si="2"/>
        <v>0.4976499709913656</v>
      </c>
      <c r="J28" s="12">
        <f t="shared" si="2"/>
        <v>1.4488482284540183</v>
      </c>
      <c r="K28" s="28">
        <f t="shared" si="3"/>
        <v>0.76512858705980991</v>
      </c>
      <c r="L28" s="26">
        <f>(K28-$I$12)^2</f>
        <v>0.10900733869787999</v>
      </c>
      <c r="M28" s="28"/>
    </row>
    <row r="29" spans="3:13">
      <c r="C29" s="25"/>
      <c r="D29" s="27">
        <v>40543</v>
      </c>
      <c r="E29" s="26">
        <v>174.90941947176773</v>
      </c>
      <c r="F29" s="26">
        <v>6.7328437966320758</v>
      </c>
      <c r="G29" s="26">
        <v>11.642692429971623</v>
      </c>
      <c r="H29" s="12">
        <f t="shared" si="1"/>
        <v>0.32354617520147227</v>
      </c>
      <c r="I29" s="12">
        <f t="shared" si="2"/>
        <v>0.92650154270785989</v>
      </c>
      <c r="J29" s="12">
        <f t="shared" si="2"/>
        <v>1.1137479807338</v>
      </c>
      <c r="K29" s="28">
        <f t="shared" si="3"/>
        <v>0.8205135076663197</v>
      </c>
      <c r="L29" s="26">
        <f t="shared" si="4"/>
        <v>0.14864688627741282</v>
      </c>
      <c r="M29" s="28"/>
    </row>
    <row r="30" spans="3:13">
      <c r="C30" s="25"/>
      <c r="D30" s="27">
        <v>40908</v>
      </c>
      <c r="E30" s="26">
        <v>158.59994477387605</v>
      </c>
      <c r="F30" s="26">
        <v>6.2157689117122361</v>
      </c>
      <c r="G30" s="26">
        <v>6.6575785257499112</v>
      </c>
      <c r="H30" s="12">
        <f t="shared" si="1"/>
        <v>-9.3245262302892803E-2</v>
      </c>
      <c r="I30" s="12">
        <f t="shared" si="2"/>
        <v>-7.6798883285914415E-2</v>
      </c>
      <c r="J30" s="12">
        <f t="shared" si="2"/>
        <v>-0.42817534983476863</v>
      </c>
      <c r="K30" s="28">
        <f t="shared" si="3"/>
        <v>-0.22228338361054961</v>
      </c>
      <c r="L30" s="26">
        <f t="shared" si="4"/>
        <v>0.4319767426934934</v>
      </c>
      <c r="M30" s="28"/>
    </row>
    <row r="31" spans="3:13">
      <c r="C31" s="25"/>
      <c r="D31" s="27">
        <v>41274</v>
      </c>
      <c r="E31" s="26">
        <v>94.724680949133756</v>
      </c>
      <c r="F31" s="26">
        <v>4.4612149846666451</v>
      </c>
      <c r="G31" s="26">
        <v>9.6304595026571089</v>
      </c>
      <c r="H31" s="12">
        <f t="shared" si="1"/>
        <v>-0.40274455275386434</v>
      </c>
      <c r="I31" s="12">
        <f t="shared" si="2"/>
        <v>-0.28227463922275547</v>
      </c>
      <c r="J31" s="12">
        <f t="shared" si="2"/>
        <v>0.44654088050314539</v>
      </c>
      <c r="K31" s="28">
        <f t="shared" si="3"/>
        <v>-2.6889405391727822E-2</v>
      </c>
      <c r="L31" s="26">
        <f t="shared" si="4"/>
        <v>0.21331040876957827</v>
      </c>
      <c r="M31" s="28"/>
    </row>
    <row r="32" spans="3:13">
      <c r="C32" s="25"/>
      <c r="D32" s="27">
        <v>41639</v>
      </c>
      <c r="E32" s="26">
        <v>282.90427033169158</v>
      </c>
      <c r="F32" s="26">
        <v>5.1207711778388614</v>
      </c>
      <c r="G32" s="26">
        <v>17.041726163397581</v>
      </c>
      <c r="H32" s="12">
        <f t="shared" si="1"/>
        <v>1.9865951249137324</v>
      </c>
      <c r="I32" s="12">
        <f t="shared" si="2"/>
        <v>0.14784227961197441</v>
      </c>
      <c r="J32" s="12">
        <f t="shared" si="2"/>
        <v>0.76956521739130446</v>
      </c>
      <c r="K32" s="28">
        <f t="shared" si="3"/>
        <v>0.94815730831423384</v>
      </c>
      <c r="L32" s="26">
        <f t="shared" si="4"/>
        <v>0.26336532639618954</v>
      </c>
      <c r="M32" s="28"/>
    </row>
    <row r="33" spans="3:13">
      <c r="C33" s="25"/>
      <c r="D33" s="27">
        <v>42004</v>
      </c>
      <c r="E33" s="26">
        <v>304.14917103492689</v>
      </c>
      <c r="F33" s="26">
        <v>6.2554087283316244</v>
      </c>
      <c r="G33" s="26">
        <v>44.610049916242652</v>
      </c>
      <c r="H33" s="12">
        <f t="shared" si="1"/>
        <v>7.509572293951837E-2</v>
      </c>
      <c r="I33" s="12">
        <f t="shared" si="2"/>
        <v>0.22157552272656292</v>
      </c>
      <c r="J33" s="12">
        <f t="shared" si="2"/>
        <v>1.6176955015306278</v>
      </c>
      <c r="K33" s="28">
        <f t="shared" si="3"/>
        <v>0.73607957431207549</v>
      </c>
      <c r="L33" s="26">
        <f t="shared" si="4"/>
        <v>9.0669389016185181E-2</v>
      </c>
      <c r="M33" s="28"/>
    </row>
    <row r="34" spans="3:13">
      <c r="C34" s="25"/>
      <c r="D34" s="27">
        <v>42369</v>
      </c>
      <c r="E34" s="26">
        <v>213.18795679922232</v>
      </c>
      <c r="F34" s="26">
        <v>12.357201753450646</v>
      </c>
      <c r="G34" s="26">
        <v>76.306664330415074</v>
      </c>
      <c r="H34" s="12">
        <f t="shared" si="1"/>
        <v>-0.29906776969403304</v>
      </c>
      <c r="I34" s="12">
        <f t="shared" si="2"/>
        <v>0.97544273925429426</v>
      </c>
      <c r="J34" s="12">
        <f t="shared" si="2"/>
        <v>0.71052631578947401</v>
      </c>
      <c r="K34" s="28">
        <f t="shared" si="3"/>
        <v>0.48712301718386791</v>
      </c>
      <c r="L34" s="26">
        <f t="shared" si="4"/>
        <v>2.7203552004010085E-3</v>
      </c>
      <c r="M34" s="28"/>
    </row>
    <row r="35" spans="3:13">
      <c r="C35" s="25"/>
      <c r="D35" s="27">
        <v>42735</v>
      </c>
      <c r="E35" s="26">
        <v>252.96730888156057</v>
      </c>
      <c r="F35" s="26">
        <v>16.596126129011253</v>
      </c>
      <c r="G35" s="26">
        <v>79.864063517553561</v>
      </c>
      <c r="H35" s="12">
        <f t="shared" si="1"/>
        <v>0.18659286706238257</v>
      </c>
      <c r="I35" s="12">
        <f t="shared" si="2"/>
        <v>0.34303270757693366</v>
      </c>
      <c r="J35" s="12">
        <f t="shared" si="2"/>
        <v>4.6619770610527689E-2</v>
      </c>
      <c r="K35" s="28">
        <f t="shared" si="3"/>
        <v>0.17753558063600594</v>
      </c>
      <c r="L35" s="26">
        <f t="shared" si="4"/>
        <v>6.6270417068318863E-2</v>
      </c>
      <c r="M35" s="28"/>
    </row>
    <row r="36" spans="3:13">
      <c r="C36" s="25"/>
      <c r="D36" s="27">
        <v>43100</v>
      </c>
      <c r="E36" s="26">
        <v>415.97526684041998</v>
      </c>
      <c r="F36" s="26">
        <v>17.039346114652503</v>
      </c>
      <c r="G36" s="26">
        <v>134.38746764297559</v>
      </c>
      <c r="H36" s="12">
        <f t="shared" si="1"/>
        <v>0.64438349239497905</v>
      </c>
      <c r="I36" s="12">
        <f t="shared" si="2"/>
        <v>2.6706231454005903E-2</v>
      </c>
      <c r="J36" s="12">
        <f t="shared" si="2"/>
        <v>0.68270260394949944</v>
      </c>
      <c r="K36" s="28">
        <f t="shared" si="3"/>
        <v>0.47440795873449521</v>
      </c>
      <c r="L36" s="26">
        <f t="shared" si="4"/>
        <v>1.5556686826927104E-3</v>
      </c>
      <c r="M36" s="28"/>
    </row>
    <row r="37" spans="3:13">
      <c r="C37" s="25"/>
      <c r="D37" s="27">
        <v>43465</v>
      </c>
      <c r="E37" s="26">
        <v>498.34420514999999</v>
      </c>
      <c r="F37" s="26">
        <v>12.016186277385</v>
      </c>
      <c r="G37" s="26">
        <v>124.2263065141026</v>
      </c>
      <c r="H37" s="12">
        <f t="shared" si="1"/>
        <v>0.19801402841861532</v>
      </c>
      <c r="I37" s="12">
        <f t="shared" si="2"/>
        <v>-0.29479768786127181</v>
      </c>
      <c r="J37" s="12">
        <f t="shared" si="2"/>
        <v>-7.561092791679011E-2</v>
      </c>
      <c r="K37" s="28">
        <f t="shared" si="3"/>
        <v>-5.9279468999512995E-2</v>
      </c>
      <c r="L37" s="26">
        <f t="shared" si="4"/>
        <v>0.24427857643529538</v>
      </c>
      <c r="M37" s="28"/>
    </row>
    <row r="38" spans="3:13">
      <c r="C38" s="25"/>
      <c r="D38" s="27">
        <v>43830</v>
      </c>
      <c r="E38" s="26">
        <v>857.2</v>
      </c>
      <c r="F38" s="26">
        <v>17.039346114652503</v>
      </c>
      <c r="G38" s="26">
        <v>128.02473643166175</v>
      </c>
      <c r="H38" s="12">
        <f t="shared" si="1"/>
        <v>0.72009625303455793</v>
      </c>
      <c r="I38" s="12">
        <f t="shared" si="2"/>
        <v>0.41803278688524614</v>
      </c>
      <c r="J38" s="12">
        <f t="shared" si="2"/>
        <v>3.0576695260016738E-2</v>
      </c>
      <c r="K38" s="28">
        <f t="shared" si="3"/>
        <v>0.35366939007994791</v>
      </c>
      <c r="L38" s="26">
        <f t="shared" si="4"/>
        <v>6.6091376016305095E-3</v>
      </c>
      <c r="M38" s="28"/>
    </row>
    <row r="39" spans="3:13">
      <c r="C39" s="25"/>
      <c r="D39" s="27">
        <v>44196</v>
      </c>
      <c r="E39" s="26">
        <v>693.85</v>
      </c>
      <c r="F39" s="26">
        <v>29.547999042750003</v>
      </c>
      <c r="G39" s="26">
        <v>141.82953897215771</v>
      </c>
      <c r="H39" s="12">
        <f t="shared" si="1"/>
        <v>-0.19056229584694356</v>
      </c>
      <c r="I39" s="12">
        <f t="shared" si="2"/>
        <v>0.73410404624277448</v>
      </c>
      <c r="J39" s="12">
        <f t="shared" si="2"/>
        <v>0.10782918149466227</v>
      </c>
      <c r="K39" s="28">
        <f t="shared" si="3"/>
        <v>0.20619419771661418</v>
      </c>
      <c r="L39" s="26">
        <f t="shared" si="4"/>
        <v>5.2336534191367398E-2</v>
      </c>
      <c r="M39" s="28"/>
    </row>
    <row r="40" spans="3:13">
      <c r="C40" s="25"/>
      <c r="D40" s="27">
        <v>44561</v>
      </c>
      <c r="E40" s="26">
        <v>778.45</v>
      </c>
      <c r="F40" s="26">
        <v>67.550790300000003</v>
      </c>
      <c r="G40" s="26">
        <v>204.38397424641806</v>
      </c>
      <c r="H40" s="12">
        <f t="shared" si="1"/>
        <v>0.12192837068530665</v>
      </c>
      <c r="I40" s="12">
        <f t="shared" si="2"/>
        <v>1.2861375554489363</v>
      </c>
      <c r="J40" s="12">
        <f t="shared" si="2"/>
        <v>0.4410536460006424</v>
      </c>
      <c r="K40" s="28">
        <f t="shared" si="3"/>
        <v>0.59884123624052976</v>
      </c>
      <c r="L40" s="26">
        <f t="shared" si="4"/>
        <v>2.6855095437268092E-2</v>
      </c>
      <c r="M40" s="28"/>
    </row>
    <row r="41" spans="3:13">
      <c r="C41" s="25"/>
      <c r="D41" s="27">
        <v>44926</v>
      </c>
      <c r="E41" s="26">
        <v>3147.35</v>
      </c>
      <c r="F41" s="26">
        <v>168.75</v>
      </c>
      <c r="G41" s="26">
        <v>455.2</v>
      </c>
      <c r="H41" s="12">
        <f t="shared" si="1"/>
        <v>3.0430984648981947</v>
      </c>
      <c r="I41" s="12">
        <f t="shared" si="2"/>
        <v>1.4981202921618519</v>
      </c>
      <c r="J41" s="12">
        <f t="shared" si="2"/>
        <v>1.2271804904389543</v>
      </c>
      <c r="K41" s="28">
        <f t="shared" si="3"/>
        <v>1.8532378232935955</v>
      </c>
      <c r="L41" s="26">
        <f t="shared" si="4"/>
        <v>2.011494985384342</v>
      </c>
      <c r="M41" s="28"/>
    </row>
    <row r="42" spans="3:13">
      <c r="C42" s="25"/>
      <c r="D42" s="25">
        <v>45291</v>
      </c>
      <c r="E42" s="26">
        <v>5029</v>
      </c>
      <c r="F42" s="26">
        <v>220</v>
      </c>
      <c r="G42" s="26">
        <v>659</v>
      </c>
      <c r="H42" s="12">
        <f t="shared" si="1"/>
        <v>0.59785216134208152</v>
      </c>
      <c r="I42" s="12">
        <f t="shared" si="2"/>
        <v>0.3037037037037037</v>
      </c>
      <c r="J42" s="12">
        <f t="shared" si="2"/>
        <v>0.44771528998242532</v>
      </c>
      <c r="K42" s="28">
        <f t="shared" si="3"/>
        <v>0.44955287550670564</v>
      </c>
      <c r="L42" s="26">
        <f t="shared" si="4"/>
        <v>2.1277714928667876E-4</v>
      </c>
      <c r="M42" s="28"/>
    </row>
  </sheetData>
  <mergeCells count="1">
    <mergeCell ref="C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M50"/>
  <sheetViews>
    <sheetView topLeftCell="B1" zoomScale="130" zoomScaleNormal="130" workbookViewId="0">
      <selection activeCell="L20" sqref="L20"/>
    </sheetView>
  </sheetViews>
  <sheetFormatPr baseColWidth="10" defaultColWidth="11.5" defaultRowHeight="15"/>
  <cols>
    <col min="1" max="1" width="3.5" style="1" customWidth="1"/>
    <col min="2" max="2" width="18.5" style="1" customWidth="1"/>
    <col min="3" max="9" width="11.5" style="1"/>
    <col min="10" max="10" width="15.5" style="1" customWidth="1"/>
    <col min="11" max="11" width="14.5" style="1" customWidth="1"/>
    <col min="12" max="12" width="23.83203125" style="1" customWidth="1"/>
    <col min="13" max="16384" width="11.5" style="1"/>
  </cols>
  <sheetData>
    <row r="1" spans="3:13" ht="21">
      <c r="C1" s="56" t="s">
        <v>69</v>
      </c>
      <c r="D1" s="56"/>
      <c r="E1" s="56"/>
      <c r="F1" s="56"/>
      <c r="G1" s="56"/>
      <c r="H1" s="56"/>
      <c r="I1" s="56"/>
      <c r="J1" s="56"/>
      <c r="K1" s="56"/>
      <c r="L1" s="56"/>
      <c r="M1" s="56"/>
    </row>
    <row r="3" spans="3:13">
      <c r="H3" s="29"/>
      <c r="I3" s="30">
        <v>0.30308551210136164</v>
      </c>
      <c r="J3" s="29"/>
      <c r="K3" s="36">
        <v>0.57096756253324277</v>
      </c>
    </row>
    <row r="4" spans="3:13">
      <c r="H4" s="29"/>
      <c r="I4" s="30">
        <v>0.30800146949971757</v>
      </c>
      <c r="J4" s="29"/>
      <c r="K4" s="36">
        <v>0.86524925609332848</v>
      </c>
    </row>
    <row r="5" spans="3:13">
      <c r="H5" s="29"/>
      <c r="I5" s="29"/>
      <c r="J5" s="29"/>
      <c r="K5" s="32">
        <v>0.11414407209617615</v>
      </c>
    </row>
    <row r="6" spans="3:13">
      <c r="H6" s="29"/>
      <c r="I6" s="29"/>
      <c r="J6" s="29"/>
      <c r="K6" s="32">
        <v>0.23104719017731737</v>
      </c>
    </row>
    <row r="7" spans="3:13">
      <c r="K7" s="24"/>
    </row>
    <row r="8" spans="3:13">
      <c r="K8" s="24"/>
    </row>
    <row r="9" spans="3:13">
      <c r="C9" s="3" t="s">
        <v>60</v>
      </c>
      <c r="D9" s="4">
        <v>0.5</v>
      </c>
      <c r="E9" s="1" t="s">
        <v>72</v>
      </c>
      <c r="I9" s="34">
        <f>D9*$I$3+D10*$I$4</f>
        <v>0.30554349080053961</v>
      </c>
      <c r="K9" s="24"/>
    </row>
    <row r="10" spans="3:13">
      <c r="D10" s="4">
        <v>0.5</v>
      </c>
      <c r="E10" s="1" t="s">
        <v>71</v>
      </c>
      <c r="I10" s="23">
        <f>((D9^2)*($K$3^2)+(D10^2)*($K$4^2)+2*D9*D10*$K$5)^(1/2)</f>
        <v>0.57073382080168578</v>
      </c>
      <c r="K10" s="24"/>
    </row>
    <row r="11" spans="3:13">
      <c r="K11" s="24"/>
    </row>
    <row r="12" spans="3:13">
      <c r="K12" s="16"/>
      <c r="L12" s="16"/>
    </row>
    <row r="13" spans="3:13">
      <c r="C13" s="25"/>
      <c r="D13" s="26"/>
      <c r="E13" s="26"/>
    </row>
    <row r="14" spans="3:13">
      <c r="C14" s="25"/>
      <c r="D14" s="27"/>
      <c r="E14" s="26"/>
      <c r="F14" s="26"/>
    </row>
    <row r="15" spans="3:13">
      <c r="C15" s="43"/>
      <c r="D15" s="44"/>
      <c r="E15" s="45"/>
      <c r="F15" s="45"/>
      <c r="H15" s="12"/>
      <c r="I15" s="12"/>
      <c r="J15" s="26"/>
      <c r="K15" s="26"/>
      <c r="L15" s="28"/>
    </row>
    <row r="16" spans="3:13">
      <c r="C16" s="40"/>
      <c r="D16" s="28"/>
      <c r="E16" s="26"/>
      <c r="F16" s="26"/>
      <c r="H16" s="12"/>
      <c r="I16" s="12"/>
      <c r="J16" s="26"/>
      <c r="K16" s="26"/>
      <c r="L16" s="28"/>
    </row>
    <row r="17" spans="3:12">
      <c r="C17" s="40">
        <v>-1</v>
      </c>
      <c r="D17" s="28">
        <f>1-C17</f>
        <v>2</v>
      </c>
      <c r="E17" s="34">
        <f>C17*$I$3+D17*$I$4</f>
        <v>0.3129174268980735</v>
      </c>
      <c r="F17" s="23">
        <f>((C17^2)*($K$3^2)+(D17^2)*($K$4^2)+2*C17*D17*$K$5)^(1/2)</f>
        <v>1.6923512548406376</v>
      </c>
      <c r="H17" s="12"/>
      <c r="I17" s="12"/>
      <c r="J17" s="26"/>
      <c r="K17" s="26"/>
      <c r="L17" s="28"/>
    </row>
    <row r="18" spans="3:12">
      <c r="C18" s="40">
        <f>C17+0.1</f>
        <v>-0.9</v>
      </c>
      <c r="D18" s="28">
        <f t="shared" ref="D18:D47" si="0">1-C18</f>
        <v>1.9</v>
      </c>
      <c r="E18" s="34">
        <f t="shared" ref="E18:E42" si="1">C18*$I$3+D18*$I$4</f>
        <v>0.31242583115823785</v>
      </c>
      <c r="F18" s="23">
        <f t="shared" ref="F18:F42" si="2">((C18^2)*($K$3^2)+(D18^2)*($K$4^2)+2*C18*D18*$K$5)^(1/2)</f>
        <v>1.6050980133131314</v>
      </c>
      <c r="H18" s="12"/>
      <c r="I18" s="12"/>
      <c r="J18" s="26"/>
      <c r="K18" s="26"/>
      <c r="L18" s="28"/>
    </row>
    <row r="19" spans="3:12">
      <c r="C19" s="40">
        <f>C18+0.1</f>
        <v>-0.8</v>
      </c>
      <c r="D19" s="28">
        <f t="shared" si="0"/>
        <v>1.8</v>
      </c>
      <c r="E19" s="34">
        <f t="shared" si="1"/>
        <v>0.31193423541840237</v>
      </c>
      <c r="F19" s="23">
        <f t="shared" si="2"/>
        <v>1.5184050634437765</v>
      </c>
      <c r="H19" s="12"/>
      <c r="I19" s="12"/>
      <c r="J19" s="26"/>
      <c r="K19" s="26"/>
      <c r="L19" s="28"/>
    </row>
    <row r="20" spans="3:12">
      <c r="C20" s="40">
        <f t="shared" ref="C20:C34" si="3">C19+0.1</f>
        <v>-0.70000000000000007</v>
      </c>
      <c r="D20" s="28">
        <f t="shared" si="0"/>
        <v>1.7000000000000002</v>
      </c>
      <c r="E20" s="34">
        <f t="shared" si="1"/>
        <v>0.31144263967856678</v>
      </c>
      <c r="F20" s="23">
        <f t="shared" si="2"/>
        <v>1.43237414204896</v>
      </c>
      <c r="H20" s="12"/>
      <c r="I20" s="12"/>
      <c r="J20" s="26"/>
      <c r="K20" s="26"/>
      <c r="L20" s="28"/>
    </row>
    <row r="21" spans="3:12">
      <c r="C21" s="40">
        <f t="shared" si="3"/>
        <v>-0.60000000000000009</v>
      </c>
      <c r="D21" s="28">
        <f t="shared" si="0"/>
        <v>1.6</v>
      </c>
      <c r="E21" s="34">
        <f t="shared" si="1"/>
        <v>0.31095104393873108</v>
      </c>
      <c r="F21" s="23">
        <f t="shared" si="2"/>
        <v>1.3471320910356734</v>
      </c>
      <c r="H21" s="12"/>
      <c r="I21" s="12"/>
      <c r="J21" s="26"/>
      <c r="K21" s="26"/>
      <c r="L21" s="28"/>
    </row>
    <row r="22" spans="3:12">
      <c r="C22" s="40">
        <f t="shared" si="3"/>
        <v>-0.50000000000000011</v>
      </c>
      <c r="D22" s="28">
        <f t="shared" si="0"/>
        <v>1.5</v>
      </c>
      <c r="E22" s="34">
        <f t="shared" si="1"/>
        <v>0.31045944819889554</v>
      </c>
      <c r="F22" s="23">
        <f t="shared" si="2"/>
        <v>1.262838667587691</v>
      </c>
      <c r="H22" s="12"/>
      <c r="I22" s="12"/>
      <c r="J22" s="26"/>
      <c r="K22" s="26"/>
      <c r="L22" s="28"/>
    </row>
    <row r="23" spans="3:12">
      <c r="C23" s="40">
        <f t="shared" si="3"/>
        <v>-0.40000000000000013</v>
      </c>
      <c r="D23" s="28">
        <f t="shared" si="0"/>
        <v>1.4000000000000001</v>
      </c>
      <c r="E23" s="34">
        <f t="shared" si="1"/>
        <v>0.30996785245905994</v>
      </c>
      <c r="F23" s="23">
        <f t="shared" si="2"/>
        <v>1.179697237336776</v>
      </c>
      <c r="H23" s="12"/>
      <c r="I23" s="12"/>
      <c r="J23" s="26"/>
      <c r="K23" s="26"/>
      <c r="L23" s="28"/>
    </row>
    <row r="24" spans="3:12">
      <c r="C24" s="40">
        <f t="shared" si="3"/>
        <v>-0.30000000000000016</v>
      </c>
      <c r="D24" s="28">
        <f t="shared" si="0"/>
        <v>1.3000000000000003</v>
      </c>
      <c r="E24" s="34">
        <f t="shared" si="1"/>
        <v>0.30947625671922435</v>
      </c>
      <c r="F24" s="23">
        <f t="shared" si="2"/>
        <v>1.0979695282539699</v>
      </c>
      <c r="H24" s="12"/>
      <c r="I24" s="12"/>
      <c r="J24" s="26"/>
      <c r="K24" s="26"/>
      <c r="L24" s="28"/>
    </row>
    <row r="25" spans="3:12">
      <c r="C25" s="40">
        <f t="shared" si="3"/>
        <v>-0.20000000000000015</v>
      </c>
      <c r="D25" s="28">
        <f t="shared" si="0"/>
        <v>1.2000000000000002</v>
      </c>
      <c r="E25" s="34">
        <f t="shared" si="1"/>
        <v>0.30898466097938881</v>
      </c>
      <c r="F25" s="23">
        <f t="shared" si="2"/>
        <v>1.0179960903349903</v>
      </c>
      <c r="H25" s="12"/>
      <c r="I25" s="12"/>
      <c r="J25" s="26"/>
      <c r="K25" s="26"/>
      <c r="L25" s="28"/>
    </row>
    <row r="26" spans="3:12">
      <c r="C26" s="40">
        <f t="shared" si="3"/>
        <v>-0.10000000000000014</v>
      </c>
      <c r="D26" s="28">
        <f t="shared" si="0"/>
        <v>1.1000000000000001</v>
      </c>
      <c r="E26" s="34">
        <f t="shared" si="1"/>
        <v>0.30849306523955317</v>
      </c>
      <c r="F26" s="23">
        <f t="shared" si="2"/>
        <v>0.94022467350589312</v>
      </c>
      <c r="H26" s="12"/>
      <c r="I26" s="12"/>
      <c r="J26" s="26"/>
      <c r="K26" s="26"/>
      <c r="L26" s="28"/>
    </row>
    <row r="27" spans="3:12">
      <c r="C27" s="40">
        <f t="shared" si="3"/>
        <v>-1.3877787807814457E-16</v>
      </c>
      <c r="D27" s="28">
        <f t="shared" si="0"/>
        <v>1.0000000000000002</v>
      </c>
      <c r="E27" s="34">
        <f t="shared" si="1"/>
        <v>0.30800146949971757</v>
      </c>
      <c r="F27" s="23">
        <f t="shared" si="2"/>
        <v>0.86524925609332859</v>
      </c>
      <c r="H27" s="12"/>
      <c r="I27" s="12"/>
      <c r="J27" s="26"/>
      <c r="K27" s="26"/>
      <c r="L27" s="28"/>
    </row>
    <row r="28" spans="3:12">
      <c r="C28" s="40">
        <f t="shared" si="3"/>
        <v>9.9999999999999867E-2</v>
      </c>
      <c r="D28" s="28">
        <f t="shared" si="0"/>
        <v>0.90000000000000013</v>
      </c>
      <c r="E28" s="34">
        <f t="shared" si="1"/>
        <v>0.30750987375988198</v>
      </c>
      <c r="F28" s="23">
        <f t="shared" si="2"/>
        <v>0.79386242853514022</v>
      </c>
      <c r="H28" s="12"/>
      <c r="I28" s="12"/>
      <c r="J28" s="26"/>
      <c r="K28" s="26"/>
      <c r="L28" s="28"/>
    </row>
    <row r="29" spans="3:12">
      <c r="C29" s="40">
        <f t="shared" si="3"/>
        <v>0.19999999999999987</v>
      </c>
      <c r="D29" s="28">
        <f t="shared" si="0"/>
        <v>0.80000000000000016</v>
      </c>
      <c r="E29" s="34">
        <f t="shared" si="1"/>
        <v>0.30701827802004639</v>
      </c>
      <c r="F29" s="23">
        <f t="shared" si="2"/>
        <v>0.72712191376564905</v>
      </c>
      <c r="H29" s="12"/>
      <c r="I29" s="12"/>
      <c r="J29" s="26"/>
      <c r="K29" s="26"/>
      <c r="L29" s="28"/>
    </row>
    <row r="30" spans="3:12">
      <c r="C30" s="40">
        <f t="shared" si="3"/>
        <v>0.29999999999999988</v>
      </c>
      <c r="D30" s="28">
        <f t="shared" si="0"/>
        <v>0.70000000000000018</v>
      </c>
      <c r="E30" s="34">
        <f t="shared" si="1"/>
        <v>0.30652668228021079</v>
      </c>
      <c r="F30" s="23">
        <f t="shared" si="2"/>
        <v>0.66642512053912439</v>
      </c>
      <c r="H30" s="12"/>
      <c r="I30" s="12"/>
      <c r="J30" s="26"/>
      <c r="K30" s="26"/>
      <c r="L30" s="28"/>
    </row>
    <row r="31" spans="3:12">
      <c r="C31" s="40">
        <f t="shared" si="3"/>
        <v>0.39999999999999991</v>
      </c>
      <c r="D31" s="28">
        <f t="shared" si="0"/>
        <v>0.60000000000000009</v>
      </c>
      <c r="E31" s="34">
        <f t="shared" si="1"/>
        <v>0.3060350865403752</v>
      </c>
      <c r="F31" s="23">
        <f t="shared" si="2"/>
        <v>0.61356829030011806</v>
      </c>
      <c r="H31" s="12"/>
      <c r="I31" s="12"/>
      <c r="J31" s="26"/>
      <c r="K31" s="26"/>
      <c r="L31" s="28"/>
    </row>
    <row r="32" spans="3:12">
      <c r="C32" s="40">
        <f t="shared" si="3"/>
        <v>0.49999999999999989</v>
      </c>
      <c r="D32" s="28">
        <f t="shared" si="0"/>
        <v>0.50000000000000011</v>
      </c>
      <c r="E32" s="34">
        <f t="shared" si="1"/>
        <v>0.30554349080053961</v>
      </c>
      <c r="F32" s="23">
        <f t="shared" si="2"/>
        <v>0.57073382080168578</v>
      </c>
      <c r="H32" s="12"/>
      <c r="I32" s="12"/>
      <c r="J32" s="26"/>
      <c r="K32" s="26"/>
      <c r="L32" s="28"/>
    </row>
    <row r="33" spans="3:12">
      <c r="C33" s="40">
        <f t="shared" si="3"/>
        <v>0.59999999999999987</v>
      </c>
      <c r="D33" s="28">
        <f t="shared" si="0"/>
        <v>0.40000000000000013</v>
      </c>
      <c r="E33" s="34">
        <f t="shared" si="1"/>
        <v>0.30505189506070401</v>
      </c>
      <c r="F33" s="23">
        <f t="shared" si="2"/>
        <v>0.5403106359501253</v>
      </c>
      <c r="H33" s="12"/>
      <c r="I33" s="12"/>
      <c r="J33" s="26"/>
      <c r="K33" s="26"/>
      <c r="L33" s="28"/>
    </row>
    <row r="34" spans="3:12">
      <c r="C34" s="40">
        <f t="shared" si="3"/>
        <v>0.69999999999999984</v>
      </c>
      <c r="D34" s="28">
        <f t="shared" si="0"/>
        <v>0.30000000000000016</v>
      </c>
      <c r="E34" s="34">
        <f t="shared" si="1"/>
        <v>0.30456029932086842</v>
      </c>
      <c r="F34" s="23">
        <f t="shared" si="2"/>
        <v>0.5244630722973963</v>
      </c>
      <c r="H34" s="12"/>
      <c r="I34" s="12"/>
      <c r="J34" s="26"/>
      <c r="K34" s="26"/>
      <c r="L34" s="28"/>
    </row>
    <row r="35" spans="3:12">
      <c r="C35" s="40">
        <f>C34+0.1</f>
        <v>0.79999999999999982</v>
      </c>
      <c r="D35" s="28">
        <f t="shared" si="0"/>
        <v>0.20000000000000018</v>
      </c>
      <c r="E35" s="34">
        <f t="shared" si="1"/>
        <v>0.30406870358103283</v>
      </c>
      <c r="F35" s="23">
        <f t="shared" si="2"/>
        <v>0.5245139529652918</v>
      </c>
      <c r="H35" s="12"/>
      <c r="I35" s="12"/>
      <c r="J35" s="26"/>
      <c r="K35" s="26"/>
      <c r="L35" s="28"/>
    </row>
    <row r="36" spans="3:12">
      <c r="C36" s="40">
        <f>C35+0.1</f>
        <v>0.8999999999999998</v>
      </c>
      <c r="D36" s="28">
        <f t="shared" si="0"/>
        <v>0.1000000000000002</v>
      </c>
      <c r="E36" s="34">
        <f t="shared" si="1"/>
        <v>0.30357710784119724</v>
      </c>
      <c r="F36" s="23">
        <f t="shared" si="2"/>
        <v>0.54045878776811995</v>
      </c>
      <c r="H36" s="12"/>
      <c r="I36" s="12"/>
      <c r="J36" s="26"/>
      <c r="K36" s="26"/>
      <c r="L36" s="28"/>
    </row>
    <row r="37" spans="3:12">
      <c r="C37" s="40">
        <f t="shared" ref="C37:C47" si="4">C36+0.1</f>
        <v>0.99999999999999978</v>
      </c>
      <c r="D37" s="28">
        <f t="shared" si="0"/>
        <v>0</v>
      </c>
      <c r="E37" s="34">
        <f t="shared" si="1"/>
        <v>0.30308551210136159</v>
      </c>
      <c r="F37" s="23">
        <f t="shared" si="2"/>
        <v>0.57096756253324266</v>
      </c>
      <c r="H37" s="12"/>
      <c r="I37" s="12"/>
      <c r="J37" s="26"/>
      <c r="K37" s="26"/>
      <c r="L37" s="28"/>
    </row>
    <row r="38" spans="3:12">
      <c r="C38" s="40">
        <f t="shared" si="4"/>
        <v>1.0999999999999999</v>
      </c>
      <c r="D38" s="28">
        <f t="shared" si="0"/>
        <v>-9.9999999999999867E-2</v>
      </c>
      <c r="E38" s="34">
        <f t="shared" si="1"/>
        <v>0.30259391636152605</v>
      </c>
      <c r="F38" s="23">
        <f t="shared" si="2"/>
        <v>0.61387267036688986</v>
      </c>
      <c r="H38" s="12"/>
      <c r="I38" s="12"/>
      <c r="J38" s="26"/>
      <c r="K38" s="26"/>
      <c r="L38" s="28"/>
    </row>
    <row r="39" spans="3:12">
      <c r="C39" s="40">
        <f t="shared" si="4"/>
        <v>1.2</v>
      </c>
      <c r="D39" s="28">
        <f t="shared" si="0"/>
        <v>-0.19999999999999996</v>
      </c>
      <c r="E39" s="34">
        <f t="shared" si="1"/>
        <v>0.30210232062169046</v>
      </c>
      <c r="F39" s="23">
        <f t="shared" si="2"/>
        <v>0.66678541911956757</v>
      </c>
      <c r="H39" s="12"/>
      <c r="I39" s="12"/>
      <c r="J39" s="26"/>
      <c r="K39" s="26"/>
      <c r="L39" s="28"/>
    </row>
    <row r="40" spans="3:12">
      <c r="C40" s="40">
        <f t="shared" si="4"/>
        <v>1.3</v>
      </c>
      <c r="D40" s="28">
        <f t="shared" si="0"/>
        <v>-0.30000000000000004</v>
      </c>
      <c r="E40" s="34">
        <f t="shared" si="1"/>
        <v>0.30161072488185486</v>
      </c>
      <c r="F40" s="23">
        <f t="shared" si="2"/>
        <v>0.72752551614798755</v>
      </c>
      <c r="H40" s="12"/>
      <c r="I40" s="12"/>
      <c r="J40" s="26"/>
      <c r="K40" s="26"/>
      <c r="L40" s="28"/>
    </row>
    <row r="41" spans="3:12">
      <c r="C41" s="40">
        <f t="shared" si="4"/>
        <v>1.4000000000000001</v>
      </c>
      <c r="D41" s="28">
        <f t="shared" si="0"/>
        <v>-0.40000000000000013</v>
      </c>
      <c r="E41" s="34">
        <f t="shared" si="1"/>
        <v>0.30111912914201927</v>
      </c>
      <c r="F41" s="23">
        <f t="shared" si="2"/>
        <v>0.79429931380506114</v>
      </c>
      <c r="H41" s="12"/>
      <c r="I41" s="12"/>
      <c r="J41" s="26"/>
      <c r="K41" s="26"/>
      <c r="L41" s="28"/>
    </row>
    <row r="42" spans="3:12">
      <c r="C42" s="40">
        <f t="shared" si="4"/>
        <v>1.5000000000000002</v>
      </c>
      <c r="D42" s="28">
        <f t="shared" si="0"/>
        <v>-0.50000000000000022</v>
      </c>
      <c r="E42" s="34">
        <f t="shared" si="1"/>
        <v>0.30062753340218373</v>
      </c>
      <c r="F42" s="23">
        <f t="shared" si="2"/>
        <v>0.8657117678216254</v>
      </c>
      <c r="H42" s="12"/>
      <c r="I42" s="12"/>
      <c r="J42" s="26"/>
      <c r="K42" s="26"/>
      <c r="L42" s="28"/>
    </row>
    <row r="43" spans="3:12">
      <c r="C43" s="40">
        <f t="shared" si="4"/>
        <v>1.6000000000000003</v>
      </c>
      <c r="D43" s="28">
        <f t="shared" si="0"/>
        <v>-0.60000000000000031</v>
      </c>
      <c r="E43" s="34">
        <f t="shared" ref="E43:E47" si="5">C43*$I$3+D43*$I$4</f>
        <v>0.30013593766234803</v>
      </c>
      <c r="F43" s="23">
        <f t="shared" ref="F43:F47" si="6">((C43^2)*($K$3^2)+(D43^2)*($K$4^2)+2*C43*D43*$K$5)^(1/2)</f>
        <v>0.94070705947566569</v>
      </c>
      <c r="H43" s="12"/>
      <c r="I43" s="12"/>
      <c r="J43" s="26"/>
      <c r="K43" s="26"/>
      <c r="L43" s="28"/>
    </row>
    <row r="44" spans="3:12">
      <c r="C44" s="40">
        <f t="shared" si="4"/>
        <v>1.7000000000000004</v>
      </c>
      <c r="D44" s="28">
        <f t="shared" si="0"/>
        <v>-0.7000000000000004</v>
      </c>
      <c r="E44" s="34">
        <f t="shared" si="5"/>
        <v>0.29964434192251244</v>
      </c>
      <c r="F44" s="23">
        <f t="shared" si="6"/>
        <v>1.0184940453035161</v>
      </c>
      <c r="H44" s="12"/>
      <c r="I44" s="12"/>
      <c r="J44" s="26"/>
      <c r="K44" s="26"/>
      <c r="L44" s="28"/>
    </row>
    <row r="45" spans="3:12">
      <c r="C45" s="40">
        <f t="shared" si="4"/>
        <v>1.8000000000000005</v>
      </c>
      <c r="D45" s="28">
        <f t="shared" si="0"/>
        <v>-0.80000000000000049</v>
      </c>
      <c r="E45" s="34">
        <f t="shared" si="5"/>
        <v>0.2991527461826769</v>
      </c>
      <c r="F45" s="23">
        <f t="shared" si="6"/>
        <v>1.098479818048081</v>
      </c>
      <c r="H45" s="12"/>
      <c r="I45" s="12"/>
      <c r="J45" s="26"/>
      <c r="K45" s="26"/>
      <c r="L45" s="28"/>
    </row>
    <row r="46" spans="3:12">
      <c r="C46" s="40">
        <f t="shared" si="4"/>
        <v>1.9000000000000006</v>
      </c>
      <c r="D46" s="28">
        <f t="shared" si="0"/>
        <v>-0.90000000000000058</v>
      </c>
      <c r="E46" s="34">
        <f t="shared" si="5"/>
        <v>0.29866115044284131</v>
      </c>
      <c r="F46" s="23">
        <f t="shared" si="6"/>
        <v>1.1802174133472301</v>
      </c>
      <c r="H46" s="12"/>
      <c r="I46" s="12"/>
      <c r="J46" s="26"/>
      <c r="K46" s="26"/>
      <c r="L46" s="28"/>
    </row>
    <row r="47" spans="3:12">
      <c r="C47" s="40">
        <f t="shared" si="4"/>
        <v>2.0000000000000004</v>
      </c>
      <c r="D47" s="28">
        <f t="shared" si="0"/>
        <v>-1.0000000000000004</v>
      </c>
      <c r="E47" s="34">
        <f t="shared" si="5"/>
        <v>0.29816955470300571</v>
      </c>
      <c r="F47" s="23">
        <f t="shared" si="6"/>
        <v>1.2633668575065458</v>
      </c>
      <c r="H47" s="12"/>
      <c r="I47" s="12"/>
      <c r="J47" s="26"/>
      <c r="K47" s="26"/>
      <c r="L47" s="28"/>
    </row>
    <row r="48" spans="3:12">
      <c r="C48" s="40"/>
      <c r="D48" s="28"/>
      <c r="E48" s="34"/>
      <c r="F48" s="23"/>
    </row>
    <row r="49" spans="3:6">
      <c r="C49" s="40"/>
      <c r="D49" s="28"/>
      <c r="E49" s="34"/>
      <c r="F49" s="23"/>
    </row>
    <row r="50" spans="3:6">
      <c r="C50" s="40"/>
      <c r="D50" s="28"/>
      <c r="E50" s="34"/>
      <c r="F50" s="23"/>
    </row>
  </sheetData>
  <mergeCells count="1">
    <mergeCell ref="C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Q50"/>
  <sheetViews>
    <sheetView tabSelected="1" workbookViewId="0">
      <selection activeCell="L5" sqref="L5"/>
    </sheetView>
  </sheetViews>
  <sheetFormatPr baseColWidth="10" defaultColWidth="11.5" defaultRowHeight="15"/>
  <cols>
    <col min="1" max="1" width="3.5" style="1" customWidth="1"/>
    <col min="2" max="2" width="18.5" style="1" customWidth="1"/>
    <col min="3" max="9" width="11.5" style="1"/>
    <col min="10" max="10" width="15.5" style="1" customWidth="1"/>
    <col min="11" max="11" width="14.5" style="1" customWidth="1"/>
    <col min="12" max="12" width="23.83203125" style="1" customWidth="1"/>
    <col min="13" max="16384" width="11.5" style="1"/>
  </cols>
  <sheetData>
    <row r="1" spans="3:17" ht="21">
      <c r="C1" s="56" t="s">
        <v>69</v>
      </c>
      <c r="D1" s="56"/>
      <c r="E1" s="56"/>
      <c r="F1" s="56"/>
      <c r="G1" s="56"/>
      <c r="H1" s="56"/>
      <c r="I1" s="56"/>
      <c r="J1" s="56"/>
      <c r="K1" s="56"/>
      <c r="L1" s="56"/>
      <c r="M1" s="56"/>
    </row>
    <row r="3" spans="3:17">
      <c r="H3" s="29"/>
      <c r="I3" s="30">
        <v>0.30308551210136164</v>
      </c>
      <c r="J3" s="29"/>
      <c r="K3" s="36">
        <v>0.57096756253324277</v>
      </c>
    </row>
    <row r="4" spans="3:17" ht="16" thickBot="1">
      <c r="H4" s="29"/>
      <c r="I4" s="30">
        <v>0.30800146949971757</v>
      </c>
      <c r="J4" s="29"/>
      <c r="K4" s="36">
        <v>0.86524925609332848</v>
      </c>
    </row>
    <row r="5" spans="3:17">
      <c r="H5" s="29"/>
      <c r="I5" s="29"/>
      <c r="J5" s="29"/>
      <c r="K5" s="32">
        <v>0.11414407209617615</v>
      </c>
      <c r="L5" s="48" t="s">
        <v>74</v>
      </c>
      <c r="M5" s="49"/>
    </row>
    <row r="6" spans="3:17" ht="16" thickBot="1">
      <c r="H6" s="29"/>
      <c r="I6" s="29"/>
      <c r="J6" s="29"/>
      <c r="K6" s="32">
        <f>M6*0.05-1.05</f>
        <v>-0.35</v>
      </c>
      <c r="L6" s="50"/>
      <c r="M6" s="51">
        <v>14</v>
      </c>
    </row>
    <row r="7" spans="3:17" ht="16" thickBot="1">
      <c r="K7" s="24"/>
      <c r="M7" s="52"/>
    </row>
    <row r="8" spans="3:17">
      <c r="K8" s="24"/>
      <c r="L8" s="48" t="s">
        <v>75</v>
      </c>
      <c r="M8" s="53"/>
      <c r="N8" s="43"/>
      <c r="O8" s="44"/>
      <c r="P8" s="45"/>
      <c r="Q8" s="45"/>
    </row>
    <row r="9" spans="3:17" ht="16" thickBot="1">
      <c r="C9" s="3" t="s">
        <v>60</v>
      </c>
      <c r="D9" s="4">
        <v>0.5</v>
      </c>
      <c r="E9" s="1" t="s">
        <v>72</v>
      </c>
      <c r="I9" s="34">
        <f>D9*$I$3+D10*$I$4</f>
        <v>0.30554349080053961</v>
      </c>
      <c r="K9" s="24"/>
      <c r="L9" s="50"/>
      <c r="M9" s="51">
        <v>7</v>
      </c>
      <c r="N9" s="40">
        <f>M9*0.1-1.1</f>
        <v>-0.4</v>
      </c>
      <c r="O9" s="28">
        <f>1-N9</f>
        <v>1.4</v>
      </c>
      <c r="P9" s="34">
        <f>N9*$I$3+O9*$I$4</f>
        <v>0.30996785245905994</v>
      </c>
      <c r="Q9" s="23">
        <f>((N9^2)*($K$3^2)+(O9^2)*($K$4^2)+2*N9*O9*$K$3*$K$4*$K$6)^(1/2)</f>
        <v>1.3088874672606425</v>
      </c>
    </row>
    <row r="10" spans="3:17">
      <c r="D10" s="4">
        <v>0.5</v>
      </c>
      <c r="E10" s="1" t="s">
        <v>71</v>
      </c>
      <c r="I10" s="23">
        <f>((D9^2)*($K$3^2)+(D10^2)*($K$4^2)+2*D9*D10*$K$5)^(1/2)</f>
        <v>0.57073382080168578</v>
      </c>
      <c r="K10" s="24"/>
    </row>
    <row r="11" spans="3:17">
      <c r="K11" s="24"/>
    </row>
    <row r="12" spans="3:17">
      <c r="K12" s="16"/>
      <c r="L12" s="16"/>
    </row>
    <row r="13" spans="3:17">
      <c r="C13" s="25"/>
      <c r="D13" s="26"/>
      <c r="E13" s="26"/>
    </row>
    <row r="14" spans="3:17">
      <c r="C14" s="25"/>
      <c r="D14" s="27"/>
      <c r="E14" s="26"/>
      <c r="F14" s="26"/>
    </row>
    <row r="15" spans="3:17">
      <c r="C15" s="43"/>
      <c r="D15" s="44"/>
      <c r="E15" s="45"/>
      <c r="F15" s="45"/>
      <c r="H15" s="12"/>
      <c r="I15" s="12"/>
      <c r="J15" s="26"/>
      <c r="K15" s="26"/>
      <c r="L15" s="28"/>
    </row>
    <row r="16" spans="3:17">
      <c r="C16" s="40"/>
      <c r="D16" s="28"/>
      <c r="E16" s="26"/>
      <c r="F16" s="26"/>
      <c r="H16" s="12"/>
      <c r="I16" s="12"/>
      <c r="J16" s="26"/>
      <c r="K16" s="26"/>
      <c r="L16" s="28"/>
    </row>
    <row r="17" spans="3:12">
      <c r="C17" s="40">
        <v>-1</v>
      </c>
      <c r="D17" s="28">
        <f>1-C17</f>
        <v>2</v>
      </c>
      <c r="E17" s="34">
        <f>C17*$I$3+D17*$I$4</f>
        <v>0.3129174268980735</v>
      </c>
      <c r="F17" s="23">
        <f>((C17^2)*($K$3^2)+(D17^2)*($K$4^2)+2*C17*D17*$K$3*$K$4*$K$6)^(1/2)</f>
        <v>2.003065156297922</v>
      </c>
      <c r="H17" s="12"/>
      <c r="I17" s="12"/>
      <c r="J17" s="26"/>
      <c r="K17" s="26"/>
      <c r="L17" s="28"/>
    </row>
    <row r="18" spans="3:12">
      <c r="C18" s="40">
        <f>C17+0.1</f>
        <v>-0.9</v>
      </c>
      <c r="D18" s="28">
        <f t="shared" ref="D18:D47" si="0">1-C18</f>
        <v>1.9</v>
      </c>
      <c r="E18" s="34">
        <f t="shared" ref="E18:E47" si="1">C18*$I$3+D18*$I$4</f>
        <v>0.31242583115823785</v>
      </c>
      <c r="F18" s="23">
        <f t="shared" ref="F18:F47" si="2">((C18^2)*($K$3^2)+(D18^2)*($K$4^2)+2*C18*D18*$K$3*$K$4*$K$6)^(1/2)</f>
        <v>1.8862834838954745</v>
      </c>
      <c r="H18" s="12"/>
      <c r="I18" s="12"/>
      <c r="J18" s="26"/>
      <c r="K18" s="26"/>
      <c r="L18" s="28"/>
    </row>
    <row r="19" spans="3:12">
      <c r="C19" s="40">
        <f>C18+0.1</f>
        <v>-0.8</v>
      </c>
      <c r="D19" s="28">
        <f t="shared" si="0"/>
        <v>1.8</v>
      </c>
      <c r="E19" s="34">
        <f t="shared" si="1"/>
        <v>0.31193423541840237</v>
      </c>
      <c r="F19" s="23">
        <f t="shared" si="2"/>
        <v>1.7698221258459501</v>
      </c>
      <c r="H19" s="12"/>
      <c r="I19" s="12"/>
      <c r="J19" s="26"/>
      <c r="K19" s="26"/>
      <c r="L19" s="28"/>
    </row>
    <row r="20" spans="3:12">
      <c r="C20" s="40">
        <f t="shared" ref="C20:C34" si="3">C19+0.1</f>
        <v>-0.70000000000000007</v>
      </c>
      <c r="D20" s="28">
        <f t="shared" si="0"/>
        <v>1.7000000000000002</v>
      </c>
      <c r="E20" s="34">
        <f t="shared" si="1"/>
        <v>0.31144263967856678</v>
      </c>
      <c r="F20" s="23">
        <f t="shared" si="2"/>
        <v>1.6537487556838573</v>
      </c>
      <c r="H20" s="12"/>
      <c r="I20" s="12"/>
      <c r="J20" s="26"/>
      <c r="K20" s="26"/>
      <c r="L20" s="28"/>
    </row>
    <row r="21" spans="3:12">
      <c r="C21" s="40">
        <f t="shared" si="3"/>
        <v>-0.60000000000000009</v>
      </c>
      <c r="D21" s="28">
        <f t="shared" si="0"/>
        <v>1.6</v>
      </c>
      <c r="E21" s="34">
        <f t="shared" si="1"/>
        <v>0.31095104393873108</v>
      </c>
      <c r="F21" s="23">
        <f t="shared" si="2"/>
        <v>1.5381512120051566</v>
      </c>
      <c r="H21" s="12"/>
      <c r="I21" s="12"/>
      <c r="J21" s="26"/>
      <c r="K21" s="26"/>
      <c r="L21" s="28"/>
    </row>
    <row r="22" spans="3:12">
      <c r="C22" s="40">
        <f t="shared" si="3"/>
        <v>-0.50000000000000011</v>
      </c>
      <c r="D22" s="28">
        <f t="shared" si="0"/>
        <v>1.5</v>
      </c>
      <c r="E22" s="34">
        <f t="shared" si="1"/>
        <v>0.31045944819889554</v>
      </c>
      <c r="F22" s="23">
        <f t="shared" si="2"/>
        <v>1.4231454491143751</v>
      </c>
      <c r="H22" s="12"/>
      <c r="I22" s="12"/>
      <c r="J22" s="26"/>
      <c r="K22" s="26"/>
      <c r="L22" s="28"/>
    </row>
    <row r="23" spans="3:12">
      <c r="C23" s="40">
        <f t="shared" si="3"/>
        <v>-0.40000000000000013</v>
      </c>
      <c r="D23" s="28">
        <f t="shared" si="0"/>
        <v>1.4000000000000001</v>
      </c>
      <c r="E23" s="34">
        <f t="shared" si="1"/>
        <v>0.30996785245905994</v>
      </c>
      <c r="F23" s="23">
        <f t="shared" si="2"/>
        <v>1.3088874672606428</v>
      </c>
      <c r="H23" s="12"/>
      <c r="I23" s="12"/>
      <c r="J23" s="26"/>
      <c r="K23" s="26"/>
      <c r="L23" s="28"/>
    </row>
    <row r="24" spans="3:12">
      <c r="C24" s="40">
        <f t="shared" si="3"/>
        <v>-0.30000000000000016</v>
      </c>
      <c r="D24" s="28">
        <f t="shared" si="0"/>
        <v>1.3000000000000003</v>
      </c>
      <c r="E24" s="34">
        <f t="shared" si="1"/>
        <v>0.30947625671922435</v>
      </c>
      <c r="F24" s="23">
        <f t="shared" si="2"/>
        <v>1.1955916731242326</v>
      </c>
      <c r="H24" s="12"/>
      <c r="I24" s="12"/>
      <c r="J24" s="26"/>
      <c r="K24" s="26"/>
      <c r="L24" s="28"/>
    </row>
    <row r="25" spans="3:12">
      <c r="C25" s="40">
        <f t="shared" si="3"/>
        <v>-0.20000000000000015</v>
      </c>
      <c r="D25" s="28">
        <f t="shared" si="0"/>
        <v>1.2000000000000002</v>
      </c>
      <c r="E25" s="34">
        <f t="shared" si="1"/>
        <v>0.30898466097938881</v>
      </c>
      <c r="F25" s="23">
        <f t="shared" si="2"/>
        <v>1.0835599245131866</v>
      </c>
      <c r="H25" s="12"/>
      <c r="I25" s="12"/>
      <c r="J25" s="26"/>
      <c r="K25" s="26"/>
      <c r="L25" s="28"/>
    </row>
    <row r="26" spans="3:12">
      <c r="C26" s="40">
        <f t="shared" si="3"/>
        <v>-0.10000000000000014</v>
      </c>
      <c r="D26" s="28">
        <f t="shared" si="0"/>
        <v>1.1000000000000001</v>
      </c>
      <c r="E26" s="34">
        <f t="shared" si="1"/>
        <v>0.30849306523955317</v>
      </c>
      <c r="F26" s="23">
        <f t="shared" si="2"/>
        <v>0.97322884536631005</v>
      </c>
      <c r="H26" s="12"/>
      <c r="I26" s="12"/>
      <c r="J26" s="26"/>
      <c r="K26" s="26"/>
      <c r="L26" s="28"/>
    </row>
    <row r="27" spans="3:12">
      <c r="C27" s="40">
        <f t="shared" si="3"/>
        <v>-1.3877787807814457E-16</v>
      </c>
      <c r="D27" s="28">
        <f t="shared" si="0"/>
        <v>1.0000000000000002</v>
      </c>
      <c r="E27" s="34">
        <f t="shared" si="1"/>
        <v>0.30800146949971757</v>
      </c>
      <c r="F27" s="23">
        <f t="shared" si="2"/>
        <v>0.86524925609332859</v>
      </c>
      <c r="H27" s="12"/>
      <c r="I27" s="12"/>
      <c r="J27" s="26"/>
      <c r="K27" s="26"/>
      <c r="L27" s="28"/>
    </row>
    <row r="28" spans="3:12">
      <c r="C28" s="40">
        <f t="shared" si="3"/>
        <v>9.9999999999999867E-2</v>
      </c>
      <c r="D28" s="28">
        <f t="shared" si="0"/>
        <v>0.90000000000000013</v>
      </c>
      <c r="E28" s="34">
        <f t="shared" si="1"/>
        <v>0.30750987375988198</v>
      </c>
      <c r="F28" s="23">
        <f t="shared" si="2"/>
        <v>0.7606232833420723</v>
      </c>
      <c r="H28" s="12"/>
      <c r="I28" s="12"/>
      <c r="J28" s="26"/>
      <c r="K28" s="26"/>
      <c r="L28" s="28"/>
    </row>
    <row r="29" spans="3:12">
      <c r="C29" s="40">
        <f t="shared" si="3"/>
        <v>0.19999999999999987</v>
      </c>
      <c r="D29" s="28">
        <f t="shared" si="0"/>
        <v>0.80000000000000016</v>
      </c>
      <c r="E29" s="34">
        <f t="shared" si="1"/>
        <v>0.30701827802004639</v>
      </c>
      <c r="F29" s="23">
        <f t="shared" si="2"/>
        <v>0.66094545722706122</v>
      </c>
      <c r="H29" s="12"/>
      <c r="I29" s="12"/>
      <c r="J29" s="26"/>
      <c r="K29" s="26"/>
      <c r="L29" s="28"/>
    </row>
    <row r="30" spans="3:12">
      <c r="C30" s="40">
        <f t="shared" si="3"/>
        <v>0.29999999999999988</v>
      </c>
      <c r="D30" s="28">
        <f t="shared" si="0"/>
        <v>0.70000000000000018</v>
      </c>
      <c r="E30" s="34">
        <f t="shared" si="1"/>
        <v>0.30652668228021079</v>
      </c>
      <c r="F30" s="23">
        <f t="shared" si="2"/>
        <v>0.56882302166060583</v>
      </c>
      <c r="H30" s="12"/>
      <c r="I30" s="12"/>
      <c r="J30" s="26"/>
      <c r="K30" s="26"/>
      <c r="L30" s="28"/>
    </row>
    <row r="31" spans="3:12">
      <c r="C31" s="40">
        <f t="shared" si="3"/>
        <v>0.39999999999999991</v>
      </c>
      <c r="D31" s="28">
        <f t="shared" si="0"/>
        <v>0.60000000000000009</v>
      </c>
      <c r="E31" s="34">
        <f t="shared" si="1"/>
        <v>0.3060350865403752</v>
      </c>
      <c r="F31" s="23">
        <f t="shared" si="2"/>
        <v>0.48854884790378278</v>
      </c>
      <c r="H31" s="12"/>
      <c r="I31" s="12"/>
      <c r="J31" s="26"/>
      <c r="K31" s="26"/>
      <c r="L31" s="28"/>
    </row>
    <row r="32" spans="3:12">
      <c r="C32" s="40">
        <f t="shared" si="3"/>
        <v>0.49999999999999989</v>
      </c>
      <c r="D32" s="28">
        <f t="shared" si="0"/>
        <v>0.50000000000000011</v>
      </c>
      <c r="E32" s="34">
        <f t="shared" si="1"/>
        <v>0.30554349080053961</v>
      </c>
      <c r="F32" s="23">
        <f t="shared" si="2"/>
        <v>0.42686056023029767</v>
      </c>
      <c r="H32" s="12"/>
      <c r="I32" s="12"/>
      <c r="J32" s="26"/>
      <c r="K32" s="26"/>
      <c r="L32" s="28"/>
    </row>
    <row r="33" spans="3:12">
      <c r="C33" s="40">
        <f t="shared" si="3"/>
        <v>0.59999999999999987</v>
      </c>
      <c r="D33" s="28">
        <f t="shared" si="0"/>
        <v>0.40000000000000013</v>
      </c>
      <c r="E33" s="34">
        <f t="shared" si="1"/>
        <v>0.30505189506070401</v>
      </c>
      <c r="F33" s="23">
        <f t="shared" si="2"/>
        <v>0.39261878870875788</v>
      </c>
      <c r="H33" s="12"/>
      <c r="I33" s="12"/>
      <c r="J33" s="26"/>
      <c r="K33" s="26"/>
      <c r="L33" s="28"/>
    </row>
    <row r="34" spans="3:12">
      <c r="C34" s="40">
        <f t="shared" si="3"/>
        <v>0.69999999999999984</v>
      </c>
      <c r="D34" s="28">
        <f t="shared" si="0"/>
        <v>0.30000000000000016</v>
      </c>
      <c r="E34" s="34">
        <f t="shared" si="1"/>
        <v>0.30456029932086842</v>
      </c>
      <c r="F34" s="23">
        <f t="shared" si="2"/>
        <v>0.39306323014133421</v>
      </c>
      <c r="H34" s="12"/>
      <c r="I34" s="12"/>
      <c r="J34" s="26"/>
      <c r="K34" s="26"/>
      <c r="L34" s="28"/>
    </row>
    <row r="35" spans="3:12">
      <c r="C35" s="40">
        <f>C34+0.1</f>
        <v>0.79999999999999982</v>
      </c>
      <c r="D35" s="28">
        <f t="shared" si="0"/>
        <v>0.20000000000000018</v>
      </c>
      <c r="E35" s="34">
        <f t="shared" si="1"/>
        <v>0.30406870358103283</v>
      </c>
      <c r="F35" s="23">
        <f t="shared" si="2"/>
        <v>0.42808586382423935</v>
      </c>
      <c r="H35" s="12"/>
      <c r="I35" s="12"/>
      <c r="J35" s="26"/>
      <c r="K35" s="26"/>
      <c r="L35" s="28"/>
    </row>
    <row r="36" spans="3:12">
      <c r="C36" s="40">
        <f>C35+0.1</f>
        <v>0.8999999999999998</v>
      </c>
      <c r="D36" s="28">
        <f t="shared" si="0"/>
        <v>0.1000000000000002</v>
      </c>
      <c r="E36" s="34">
        <f t="shared" si="1"/>
        <v>0.30357710784119724</v>
      </c>
      <c r="F36" s="23">
        <f t="shared" si="2"/>
        <v>0.49033246374082701</v>
      </c>
      <c r="H36" s="12"/>
      <c r="I36" s="12"/>
      <c r="J36" s="26"/>
      <c r="K36" s="26"/>
      <c r="L36" s="28"/>
    </row>
    <row r="37" spans="3:12">
      <c r="C37" s="40">
        <f t="shared" ref="C37:C47" si="4">C36+0.1</f>
        <v>0.99999999999999978</v>
      </c>
      <c r="D37" s="28">
        <f t="shared" si="0"/>
        <v>0</v>
      </c>
      <c r="E37" s="34">
        <f t="shared" si="1"/>
        <v>0.30308551210136159</v>
      </c>
      <c r="F37" s="23">
        <f t="shared" si="2"/>
        <v>0.57096756253324266</v>
      </c>
      <c r="H37" s="12"/>
      <c r="I37" s="12"/>
      <c r="J37" s="26"/>
      <c r="K37" s="26"/>
      <c r="L37" s="28"/>
    </row>
    <row r="38" spans="3:12">
      <c r="C38" s="40">
        <f t="shared" si="4"/>
        <v>1.0999999999999999</v>
      </c>
      <c r="D38" s="28">
        <f t="shared" si="0"/>
        <v>-9.9999999999999867E-2</v>
      </c>
      <c r="E38" s="34">
        <f t="shared" si="1"/>
        <v>0.30259391636152605</v>
      </c>
      <c r="F38" s="23">
        <f t="shared" si="2"/>
        <v>0.66331862947391562</v>
      </c>
      <c r="H38" s="12"/>
      <c r="I38" s="12"/>
      <c r="J38" s="26"/>
      <c r="K38" s="26"/>
      <c r="L38" s="28"/>
    </row>
    <row r="39" spans="3:12">
      <c r="C39" s="40">
        <f t="shared" si="4"/>
        <v>1.2</v>
      </c>
      <c r="D39" s="28">
        <f t="shared" si="0"/>
        <v>-0.19999999999999996</v>
      </c>
      <c r="E39" s="34">
        <f t="shared" si="1"/>
        <v>0.30210232062169046</v>
      </c>
      <c r="F39" s="23">
        <f t="shared" si="2"/>
        <v>0.76314406583826211</v>
      </c>
      <c r="H39" s="12"/>
      <c r="I39" s="12"/>
      <c r="J39" s="26"/>
      <c r="K39" s="26"/>
      <c r="L39" s="28"/>
    </row>
    <row r="40" spans="3:12">
      <c r="C40" s="40">
        <f t="shared" si="4"/>
        <v>1.3</v>
      </c>
      <c r="D40" s="28">
        <f t="shared" si="0"/>
        <v>-0.30000000000000004</v>
      </c>
      <c r="E40" s="34">
        <f t="shared" si="1"/>
        <v>0.30161072488185486</v>
      </c>
      <c r="F40" s="23">
        <f t="shared" si="2"/>
        <v>0.86786850416186467</v>
      </c>
      <c r="H40" s="12"/>
      <c r="I40" s="12"/>
      <c r="J40" s="26"/>
      <c r="K40" s="26"/>
      <c r="L40" s="28"/>
    </row>
    <row r="41" spans="3:12">
      <c r="C41" s="40">
        <f t="shared" si="4"/>
        <v>1.4000000000000001</v>
      </c>
      <c r="D41" s="28">
        <f t="shared" si="0"/>
        <v>-0.40000000000000013</v>
      </c>
      <c r="E41" s="34">
        <f t="shared" si="1"/>
        <v>0.30111912914201927</v>
      </c>
      <c r="F41" s="23">
        <f t="shared" si="2"/>
        <v>0.97591609787068767</v>
      </c>
      <c r="H41" s="12"/>
      <c r="I41" s="12"/>
      <c r="J41" s="26"/>
      <c r="K41" s="26"/>
      <c r="L41" s="28"/>
    </row>
    <row r="42" spans="3:12">
      <c r="C42" s="40">
        <f t="shared" si="4"/>
        <v>1.5000000000000002</v>
      </c>
      <c r="D42" s="28">
        <f t="shared" si="0"/>
        <v>-0.50000000000000022</v>
      </c>
      <c r="E42" s="34">
        <f t="shared" si="1"/>
        <v>0.30062753340218373</v>
      </c>
      <c r="F42" s="23">
        <f t="shared" si="2"/>
        <v>1.0862956935959682</v>
      </c>
      <c r="H42" s="12"/>
      <c r="I42" s="12"/>
      <c r="J42" s="26"/>
      <c r="K42" s="26"/>
      <c r="L42" s="28"/>
    </row>
    <row r="43" spans="3:12">
      <c r="C43" s="40">
        <f t="shared" si="4"/>
        <v>1.6000000000000003</v>
      </c>
      <c r="D43" s="28">
        <f t="shared" si="0"/>
        <v>-0.60000000000000031</v>
      </c>
      <c r="E43" s="34">
        <f t="shared" si="1"/>
        <v>0.30013593766234803</v>
      </c>
      <c r="F43" s="23">
        <f t="shared" si="2"/>
        <v>1.1983630718785272</v>
      </c>
      <c r="H43" s="12"/>
      <c r="I43" s="12"/>
      <c r="J43" s="26"/>
      <c r="K43" s="26"/>
      <c r="L43" s="28"/>
    </row>
    <row r="44" spans="3:12">
      <c r="C44" s="40">
        <f t="shared" si="4"/>
        <v>1.7000000000000004</v>
      </c>
      <c r="D44" s="28">
        <f t="shared" si="0"/>
        <v>-0.7000000000000004</v>
      </c>
      <c r="E44" s="34">
        <f t="shared" si="1"/>
        <v>0.29964434192251244</v>
      </c>
      <c r="F44" s="23">
        <f t="shared" si="2"/>
        <v>1.3116857033733855</v>
      </c>
      <c r="H44" s="12"/>
      <c r="I44" s="12"/>
      <c r="J44" s="26"/>
      <c r="K44" s="26"/>
      <c r="L44" s="28"/>
    </row>
    <row r="45" spans="3:12">
      <c r="C45" s="40">
        <f t="shared" si="4"/>
        <v>1.8000000000000005</v>
      </c>
      <c r="D45" s="28">
        <f t="shared" si="0"/>
        <v>-0.80000000000000049</v>
      </c>
      <c r="E45" s="34">
        <f t="shared" si="1"/>
        <v>0.2991527461826769</v>
      </c>
      <c r="F45" s="23">
        <f t="shared" si="2"/>
        <v>1.4259643512728937</v>
      </c>
      <c r="H45" s="12"/>
      <c r="I45" s="12"/>
      <c r="J45" s="26"/>
      <c r="K45" s="26"/>
      <c r="L45" s="28"/>
    </row>
    <row r="46" spans="3:12">
      <c r="C46" s="40">
        <f t="shared" si="4"/>
        <v>1.9000000000000006</v>
      </c>
      <c r="D46" s="28">
        <f t="shared" si="0"/>
        <v>-0.90000000000000058</v>
      </c>
      <c r="E46" s="34">
        <f t="shared" si="1"/>
        <v>0.29866115044284131</v>
      </c>
      <c r="F46" s="23">
        <f t="shared" si="2"/>
        <v>1.5409863373966413</v>
      </c>
      <c r="H46" s="12"/>
      <c r="I46" s="12"/>
      <c r="J46" s="26"/>
      <c r="K46" s="26"/>
      <c r="L46" s="28"/>
    </row>
    <row r="47" spans="3:12">
      <c r="C47" s="40">
        <f t="shared" si="4"/>
        <v>2.0000000000000004</v>
      </c>
      <c r="D47" s="28">
        <f t="shared" si="0"/>
        <v>-1.0000000000000004</v>
      </c>
      <c r="E47" s="34">
        <f t="shared" si="1"/>
        <v>0.29816955470300571</v>
      </c>
      <c r="F47" s="23">
        <f t="shared" si="2"/>
        <v>1.6565968330466236</v>
      </c>
      <c r="H47" s="12"/>
      <c r="I47" s="12"/>
      <c r="J47" s="26"/>
      <c r="K47" s="26"/>
      <c r="L47" s="28"/>
    </row>
    <row r="48" spans="3:12">
      <c r="C48" s="40"/>
      <c r="D48" s="28"/>
      <c r="E48" s="34"/>
      <c r="F48" s="23"/>
    </row>
    <row r="49" spans="3:6">
      <c r="C49" s="40"/>
      <c r="D49" s="28"/>
      <c r="E49" s="34"/>
      <c r="F49" s="23"/>
    </row>
    <row r="50" spans="3:6">
      <c r="C50" s="40"/>
      <c r="D50" s="28"/>
      <c r="E50" s="34"/>
      <c r="F50" s="23"/>
    </row>
  </sheetData>
  <mergeCells count="1">
    <mergeCell ref="C1:M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Spinner 1">
              <controlPr defaultSize="0" autoPict="0">
                <anchor moveWithCells="1" sizeWithCells="1">
                  <from>
                    <xdr:col>11</xdr:col>
                    <xdr:colOff>1549400</xdr:colOff>
                    <xdr:row>4</xdr:row>
                    <xdr:rowOff>63500</xdr:rowOff>
                  </from>
                  <to>
                    <xdr:col>12</xdr:col>
                    <xdr:colOff>482600</xdr:colOff>
                    <xdr:row>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Spinner 2">
              <controlPr defaultSize="0" autoPict="0">
                <anchor moveWithCells="1" sizeWithCells="1">
                  <from>
                    <xdr:col>11</xdr:col>
                    <xdr:colOff>1574800</xdr:colOff>
                    <xdr:row>7</xdr:row>
                    <xdr:rowOff>63500</xdr:rowOff>
                  </from>
                  <to>
                    <xdr:col>12</xdr:col>
                    <xdr:colOff>482600</xdr:colOff>
                    <xdr:row>8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Reglas</vt:lpstr>
      <vt:lpstr>Ejemplo Series 1</vt:lpstr>
      <vt:lpstr>Ejemplo Series 2</vt:lpstr>
      <vt:lpstr>Ejemplo Portfolio 1</vt:lpstr>
      <vt:lpstr>Ejemplo Porfolio 2 SINTETICO</vt:lpstr>
      <vt:lpstr>Ejemplo Portfolio 3 activos</vt:lpstr>
      <vt:lpstr>Comb. 2 Activos Riegosos</vt:lpstr>
      <vt:lpstr>Comb. 2 Activos Riesgosos 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TRUCCO</dc:creator>
  <cp:lastModifiedBy>Federico Lopez</cp:lastModifiedBy>
  <dcterms:created xsi:type="dcterms:W3CDTF">2017-09-10T13:12:46Z</dcterms:created>
  <dcterms:modified xsi:type="dcterms:W3CDTF">2023-04-14T22:50:36Z</dcterms:modified>
</cp:coreProperties>
</file>