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truc\Dropbox\CLASES Y CAPACITACIONES\MERCADO DE CAPITALES 2023\CLASES MERCADOS\MAGISTRALES\CLASE 18\"/>
    </mc:Choice>
  </mc:AlternateContent>
  <xr:revisionPtr revIDLastSave="0" documentId="8_{087585FC-A2E0-461A-A216-CFDCF9F246F0}" xr6:coauthVersionLast="47" xr6:coauthVersionMax="47" xr10:uidLastSave="{00000000-0000-0000-0000-000000000000}"/>
  <bookViews>
    <workbookView xWindow="-108" yWindow="312" windowWidth="23256" windowHeight="12036" tabRatio="814" firstSheet="1" activeTab="7" xr2:uid="{00000000-000D-0000-FFFF-FFFF00000000}"/>
  </bookViews>
  <sheets>
    <sheet name="Ejemplos anterior" sheetId="1" r:id="rId1"/>
    <sheet name="VANOC" sheetId="6" r:id="rId2"/>
    <sheet name="Acciones Preferidas" sheetId="7" r:id="rId3"/>
    <sheet name="Ejemplo Acc Pref" sheetId="9" r:id="rId4"/>
    <sheet name="DDM poryectado" sheetId="4" r:id="rId5"/>
    <sheet name="Ejemplo 1" sheetId="5" r:id="rId6"/>
    <sheet name="DDM dos etapas" sheetId="2" r:id="rId7"/>
    <sheet name="Ejemplo 2" sheetId="3" r:id="rId8"/>
    <sheet name="Ejemplo 3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0" l="1"/>
  <c r="G13" i="10"/>
  <c r="D58" i="10"/>
  <c r="D59" i="10" s="1"/>
  <c r="E57" i="10"/>
  <c r="H57" i="10" s="1"/>
  <c r="I57" i="10" s="1"/>
  <c r="C56" i="10"/>
  <c r="G57" i="10" s="1"/>
  <c r="D27" i="10"/>
  <c r="E27" i="10" s="1"/>
  <c r="E26" i="10"/>
  <c r="H26" i="10" s="1"/>
  <c r="I26" i="10" s="1"/>
  <c r="C25" i="10"/>
  <c r="G26" i="10" s="1"/>
  <c r="C57" i="10" l="1"/>
  <c r="C58" i="10" s="1"/>
  <c r="C59" i="10" s="1"/>
  <c r="C60" i="10" s="1"/>
  <c r="C61" i="10" s="1"/>
  <c r="C62" i="10" s="1"/>
  <c r="D28" i="10"/>
  <c r="L27" i="10"/>
  <c r="J26" i="10"/>
  <c r="H27" i="10"/>
  <c r="I27" i="10" s="1"/>
  <c r="M27" i="10"/>
  <c r="J57" i="10"/>
  <c r="E59" i="10"/>
  <c r="H59" i="10" s="1"/>
  <c r="I59" i="10" s="1"/>
  <c r="D60" i="10"/>
  <c r="G59" i="10"/>
  <c r="A26" i="10"/>
  <c r="C26" i="10"/>
  <c r="G58" i="10"/>
  <c r="E28" i="10"/>
  <c r="E58" i="10"/>
  <c r="H58" i="10" s="1"/>
  <c r="I58" i="10" s="1"/>
  <c r="L28" i="10" l="1"/>
  <c r="D29" i="10"/>
  <c r="J58" i="10"/>
  <c r="G27" i="10"/>
  <c r="J27" i="10" s="1"/>
  <c r="O27" i="10" s="1"/>
  <c r="C27" i="10"/>
  <c r="K26" i="10"/>
  <c r="D61" i="10"/>
  <c r="G60" i="10"/>
  <c r="E60" i="10"/>
  <c r="H60" i="10" s="1"/>
  <c r="I60" i="10" s="1"/>
  <c r="J59" i="10"/>
  <c r="M28" i="10"/>
  <c r="H28" i="10"/>
  <c r="I28" i="10" s="1"/>
  <c r="A27" i="10" l="1"/>
  <c r="E29" i="10"/>
  <c r="D30" i="10"/>
  <c r="L29" i="10"/>
  <c r="J60" i="10"/>
  <c r="K27" i="10"/>
  <c r="C28" i="10"/>
  <c r="G28" i="10"/>
  <c r="J28" i="10" s="1"/>
  <c r="O28" i="10" s="1"/>
  <c r="G61" i="10"/>
  <c r="E61" i="10"/>
  <c r="H61" i="10" s="1"/>
  <c r="I61" i="10" s="1"/>
  <c r="D62" i="10"/>
  <c r="J61" i="10" l="1"/>
  <c r="E30" i="10"/>
  <c r="D31" i="10"/>
  <c r="L30" i="10"/>
  <c r="H29" i="10"/>
  <c r="I29" i="10" s="1"/>
  <c r="M29" i="10"/>
  <c r="E62" i="10"/>
  <c r="H62" i="10" s="1"/>
  <c r="I62" i="10" s="1"/>
  <c r="D63" i="10"/>
  <c r="G62" i="10"/>
  <c r="K28" i="10"/>
  <c r="C29" i="10"/>
  <c r="G29" i="10"/>
  <c r="J29" i="10" s="1"/>
  <c r="O29" i="10" s="1"/>
  <c r="A28" i="10"/>
  <c r="A29" i="10" l="1"/>
  <c r="J62" i="10"/>
  <c r="E31" i="10"/>
  <c r="L31" i="10"/>
  <c r="H30" i="10"/>
  <c r="I30" i="10" s="1"/>
  <c r="M30" i="10"/>
  <c r="K29" i="10"/>
  <c r="C30" i="10"/>
  <c r="G30" i="10"/>
  <c r="J30" i="10" s="1"/>
  <c r="O30" i="10" s="1"/>
  <c r="D67" i="10"/>
  <c r="G63" i="10"/>
  <c r="E63" i="10"/>
  <c r="H63" i="10" s="1"/>
  <c r="I63" i="10" s="1"/>
  <c r="H31" i="10" l="1"/>
  <c r="I31" i="10" s="1"/>
  <c r="M31" i="10"/>
  <c r="C31" i="10"/>
  <c r="K30" i="10"/>
  <c r="G31" i="10"/>
  <c r="J31" i="10" s="1"/>
  <c r="O31" i="10" s="1"/>
  <c r="A30" i="10"/>
  <c r="J63" i="10"/>
  <c r="C32" i="10" l="1"/>
  <c r="K31" i="10"/>
  <c r="D32" i="10"/>
  <c r="A31" i="10"/>
  <c r="D33" i="10" l="1"/>
  <c r="L33" i="10" s="1"/>
  <c r="L32" i="10"/>
  <c r="G32" i="10"/>
  <c r="E32" i="10"/>
  <c r="K32" i="10"/>
  <c r="C33" i="10"/>
  <c r="K33" i="10" s="1"/>
  <c r="H32" i="10" l="1"/>
  <c r="I32" i="10" s="1"/>
  <c r="M32" i="10"/>
  <c r="J32" i="10"/>
  <c r="O32" i="10" s="1"/>
  <c r="A32" i="10"/>
  <c r="G33" i="10"/>
  <c r="E33" i="10"/>
  <c r="M33" i="10" l="1"/>
  <c r="H33" i="10"/>
  <c r="I33" i="10" s="1"/>
  <c r="J33" i="10" s="1"/>
  <c r="O33" i="10" s="1"/>
  <c r="A33" i="10"/>
  <c r="F18" i="6" l="1"/>
  <c r="C41" i="5"/>
  <c r="C40" i="3"/>
  <c r="F14" i="3"/>
  <c r="C42" i="3" s="1"/>
  <c r="F11" i="3"/>
  <c r="C27" i="3" s="1"/>
  <c r="I36" i="6" l="1"/>
  <c r="L44" i="6" s="1"/>
  <c r="C29" i="3"/>
  <c r="C48" i="1"/>
  <c r="E51" i="1" s="1"/>
  <c r="F65" i="1"/>
  <c r="C65" i="1"/>
  <c r="E17" i="1"/>
  <c r="C12" i="1"/>
  <c r="E16" i="1" s="1"/>
  <c r="G32" i="1"/>
  <c r="G31" i="1"/>
  <c r="I37" i="6" l="1"/>
  <c r="I38" i="6" s="1"/>
  <c r="E68" i="1"/>
  <c r="C19" i="1"/>
  <c r="C34" i="1"/>
</calcChain>
</file>

<file path=xl/sharedStrings.xml><?xml version="1.0" encoding="utf-8"?>
<sst xmlns="http://schemas.openxmlformats.org/spreadsheetml/2006/main" count="215" uniqueCount="114">
  <si>
    <r>
      <t xml:space="preserve">D </t>
    </r>
    <r>
      <rPr>
        <b/>
        <vertAlign val="subscript"/>
        <sz val="10"/>
        <rFont val="Times New Roman"/>
        <family val="1"/>
      </rPr>
      <t>0</t>
    </r>
    <r>
      <rPr>
        <b/>
        <sz val="10"/>
        <rFont val="Times New Roman"/>
        <family val="1"/>
      </rPr>
      <t xml:space="preserve"> =</t>
    </r>
  </si>
  <si>
    <t>g =</t>
  </si>
  <si>
    <r>
      <t xml:space="preserve">r </t>
    </r>
    <r>
      <rPr>
        <b/>
        <vertAlign val="subscript"/>
        <sz val="10"/>
        <rFont val="Times New Roman"/>
        <family val="1"/>
      </rPr>
      <t xml:space="preserve">s </t>
    </r>
    <r>
      <rPr>
        <b/>
        <sz val="10"/>
        <rFont val="Times New Roman"/>
        <family val="1"/>
      </rPr>
      <t>=</t>
    </r>
  </si>
  <si>
    <r>
      <t xml:space="preserve">P </t>
    </r>
    <r>
      <rPr>
        <b/>
        <vertAlign val="subscript"/>
        <sz val="10"/>
        <rFont val="Times New Roman"/>
        <family val="1"/>
      </rPr>
      <t xml:space="preserve">0  </t>
    </r>
    <r>
      <rPr>
        <b/>
        <sz val="10"/>
        <rFont val="Times New Roman"/>
        <family val="1"/>
      </rPr>
      <t>=</t>
    </r>
  </si>
  <si>
    <r>
      <t xml:space="preserve">D </t>
    </r>
    <r>
      <rPr>
        <b/>
        <vertAlign val="subscript"/>
        <sz val="10"/>
        <rFont val="Times New Roman"/>
        <family val="1"/>
      </rPr>
      <t>1</t>
    </r>
  </si>
  <si>
    <t>=</t>
  </si>
  <si>
    <r>
      <t xml:space="preserve">D </t>
    </r>
    <r>
      <rPr>
        <b/>
        <vertAlign val="subscript"/>
        <sz val="10"/>
        <rFont val="Times New Roman"/>
        <family val="1"/>
      </rPr>
      <t>0</t>
    </r>
    <r>
      <rPr>
        <b/>
        <sz val="10"/>
        <rFont val="Times New Roman"/>
        <family val="1"/>
      </rPr>
      <t xml:space="preserve"> (1+g)</t>
    </r>
  </si>
  <si>
    <r>
      <t xml:space="preserve">( r </t>
    </r>
    <r>
      <rPr>
        <b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 xml:space="preserve"> - g )</t>
    </r>
  </si>
  <si>
    <r>
      <t xml:space="preserve">P </t>
    </r>
    <r>
      <rPr>
        <b/>
        <vertAlign val="subscript"/>
        <sz val="10"/>
        <rFont val="Times New Roman"/>
        <family val="1"/>
      </rPr>
      <t xml:space="preserve">0 </t>
    </r>
    <r>
      <rPr>
        <b/>
        <sz val="10"/>
        <rFont val="Times New Roman"/>
        <family val="1"/>
      </rPr>
      <t>=</t>
    </r>
  </si>
  <si>
    <r>
      <t xml:space="preserve">D 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Times New Roman"/>
        <family val="1"/>
      </rPr>
      <t xml:space="preserve"> =</t>
    </r>
  </si>
  <si>
    <t>MODELO DE GORDON. Valoracion de acciones por descuento de dividendos.</t>
  </si>
  <si>
    <t>Ejemplo 1:</t>
  </si>
  <si>
    <t>Ejemplo 2:</t>
  </si>
  <si>
    <t>Ejemplo 3:</t>
  </si>
  <si>
    <t>ROE=</t>
  </si>
  <si>
    <t>Coef ret.=</t>
  </si>
  <si>
    <t>g=</t>
  </si>
  <si>
    <t>Modelo de Descuento de Dividendos en dos etapas</t>
  </si>
  <si>
    <t>Etapa Inicial</t>
  </si>
  <si>
    <t>Tasa de creciemiento alta</t>
  </si>
  <si>
    <t>Etapa Estable</t>
  </si>
  <si>
    <t xml:space="preserve">Tasa de Crecimiento Estable </t>
  </si>
  <si>
    <t>Largo plazo</t>
  </si>
  <si>
    <t>Este Modelo permite dos etapas de crecimiento:</t>
  </si>
  <si>
    <t xml:space="preserve">VP de los dividendos en la etapa extraordinaria </t>
  </si>
  <si>
    <t>+</t>
  </si>
  <si>
    <t xml:space="preserve"> VP de los dividendos en la Etapa Estable</t>
  </si>
  <si>
    <t>Valor Presente</t>
  </si>
  <si>
    <t>dividendos por acción en t</t>
  </si>
  <si>
    <t>tasa de descuento</t>
  </si>
  <si>
    <t>tasa de crecimiento en t</t>
  </si>
  <si>
    <t>donde,</t>
  </si>
  <si>
    <t>Ecuación:</t>
  </si>
  <si>
    <t>ABS es una compañía Innovadora del mercado de frenos de aviones. En los últimos años ha realizado fuertes inversiones.</t>
  </si>
  <si>
    <t>Ejemplo. Modelo de Descuento de Dividendos en dos etapas</t>
  </si>
  <si>
    <t xml:space="preserve">Se esperara que estas inversiones tengan un fuerte impacto en la compañía por 5 años momento a partir del cual, dada la competencia intensa </t>
  </si>
  <si>
    <t>del sector, el creciemiento de la compañía encuentre un techo</t>
  </si>
  <si>
    <t>Se tienen los siguientes datos:</t>
  </si>
  <si>
    <t>Beta de ABS</t>
  </si>
  <si>
    <t>Dividend payout ratio</t>
  </si>
  <si>
    <t>Tasa de crecimiento de Div</t>
  </si>
  <si>
    <t xml:space="preserve"> Suma de Valores presentes</t>
  </si>
  <si>
    <t xml:space="preserve">Modelo de Descuento de Dividendos con Cash flows proyectados </t>
  </si>
  <si>
    <t>Dividendos proyectados por n períodos</t>
  </si>
  <si>
    <t xml:space="preserve"> VP de los dividendos proyectados por N períodos</t>
  </si>
  <si>
    <t xml:space="preserve">Ejemplo. Modelo de Descuento de Dividendos con Cash flows proyectados </t>
  </si>
  <si>
    <t xml:space="preserve">Se esperara que estas inversiones tengan un fuerte impacto en la compañía por 3 años momento a partir del cual, dada la competencia intensa </t>
  </si>
  <si>
    <t>VP de los dividendos en la etapa extraordinaria=</t>
  </si>
  <si>
    <t>Tasa Requerida</t>
  </si>
  <si>
    <t>Verificación=</t>
  </si>
  <si>
    <t>Modelo de valuación de Acciones Preferidas</t>
  </si>
  <si>
    <t>Las Acciones preferidas pagan un dividendo fijo a perpetuidad:</t>
  </si>
  <si>
    <t xml:space="preserve">Supongamos </t>
  </si>
  <si>
    <t>Valor Actual de las Oportunidades de Crecimiento (VAOC)</t>
  </si>
  <si>
    <t>Ecuación</t>
  </si>
  <si>
    <t>Ejemplo</t>
  </si>
  <si>
    <t>Supongamos la empresa CF SA y la siguiente Iformación de la misma:</t>
  </si>
  <si>
    <t>Ratio de Ret.=</t>
  </si>
  <si>
    <t>k=</t>
  </si>
  <si>
    <t>BPA1=</t>
  </si>
  <si>
    <t>Si aplicamos Modelo de Gordon</t>
  </si>
  <si>
    <t xml:space="preserve">Si CF SA sigue una política de no crecimiento, </t>
  </si>
  <si>
    <t xml:space="preserve">entonces </t>
  </si>
  <si>
    <t>VAOC=</t>
  </si>
  <si>
    <t>Veamos cómo podemos explicar esta cifra,</t>
  </si>
  <si>
    <t>Inversión=</t>
  </si>
  <si>
    <t>Si CF SA reinvierte solo en t=1,</t>
  </si>
  <si>
    <t>Flujo a perpetuidad=</t>
  </si>
  <si>
    <t>VAN1=</t>
  </si>
  <si>
    <t>t</t>
  </si>
  <si>
    <t>Cupones de crecimiento</t>
  </si>
  <si>
    <t>Crecen a la tasa 10%. ¿Cómo valuo esto?</t>
  </si>
  <si>
    <t>DPA=</t>
  </si>
  <si>
    <t>CPA</t>
  </si>
  <si>
    <t>BPA</t>
  </si>
  <si>
    <t>DIV</t>
  </si>
  <si>
    <t>ROE</t>
  </si>
  <si>
    <t>% DE DIST.</t>
  </si>
  <si>
    <t>TASA DE REINVERSION</t>
  </si>
  <si>
    <t>TASA DE CRECIMIENTO G</t>
  </si>
  <si>
    <t>Tasa de crecimiento de CPA</t>
  </si>
  <si>
    <t>Tasa de crecimiento de BPA</t>
  </si>
  <si>
    <t>Tasa de crecimiento de DIV</t>
  </si>
  <si>
    <t>Hecho mal</t>
  </si>
  <si>
    <t>1- La tasa de crecimiento de CPA es en todo momento el g correspondiente.</t>
  </si>
  <si>
    <t xml:space="preserve">2- La tasa de crecimiento de BPA es g1 hasta el periodo 5 y g6 desde 7 en adelante. </t>
  </si>
  <si>
    <t>Para determinar BPA6, se debe respetar BPA6=ROExCPA5.</t>
  </si>
  <si>
    <t>3- La tasa de crecimiento de DIV es g1 hasta el periodo 5 y g6 desde 7 en adelante</t>
  </si>
  <si>
    <t>Para determinar DIV6, se debe respetar DIV6=bxBPA6.</t>
  </si>
  <si>
    <t>Explicacion:</t>
  </si>
  <si>
    <t>(CPA4 / CPA3)=(BPA5/BPA4)</t>
  </si>
  <si>
    <t xml:space="preserve">PERO, </t>
  </si>
  <si>
    <t>CPA3*0,15=BPA4</t>
  </si>
  <si>
    <t>CPA4*0,15=BPA5</t>
  </si>
  <si>
    <t>CPA5*0,13=BPA6</t>
  </si>
  <si>
    <t>Aca la tasa de crecimiento es =</t>
  </si>
  <si>
    <t>Aca la tasa de crecimiento es distinta</t>
  </si>
  <si>
    <t>Que pasa si uso g6 para buscar el BPA 6?</t>
  </si>
  <si>
    <t>(6,39/44,72)=</t>
  </si>
  <si>
    <t>Hasta 5 CPA, BPA y DIV crecen al 9%</t>
  </si>
  <si>
    <t>Pero si usamos g6 para buscar el BPA 6, encontramos una contradiccion. CPA 5 * (ROE nuevo) es distinto de BPA encontrado. De modo que el BPA 6 encontrado esta mal.</t>
  </si>
  <si>
    <t>(CPA5 / CPA4) es distinto de (BPA6/BPA5) y tambien de (CPA6 / CPA5)</t>
  </si>
  <si>
    <t>Ultimos Div. Pagados:</t>
  </si>
  <si>
    <t>Ultimo Resultado Neto por acc:</t>
  </si>
  <si>
    <t>Retornos / Patrimonio:</t>
  </si>
  <si>
    <t>Dividend payout ratio:</t>
  </si>
  <si>
    <t>Beta de ABS:</t>
  </si>
  <si>
    <t>Rendimiento de Mercado:</t>
  </si>
  <si>
    <t>Tasa libre de riesgo:</t>
  </si>
  <si>
    <t>Ultimo Patrimonio Neto por accion (CPA):</t>
  </si>
  <si>
    <t>EJEMPLO NUEVO:</t>
  </si>
  <si>
    <t>EJEMPLO ANTERIOR:</t>
  </si>
  <si>
    <t>ABS2 es una compañía Innovadora del mercado de frenos de aviones. En los últimos años ha realizado fuertes inversiones.</t>
  </si>
  <si>
    <t>No lo vamos a utilizar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</si>
</sst>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&quot;$&quot;#,##0.00_);[Red]\(&quot;$&quot;#,##0.00\)"/>
    <numFmt numFmtId="165" formatCode="0.0%"/>
    <numFmt numFmtId="166" formatCode="&quot;$&quot;#,##0.00"/>
    <numFmt numFmtId="167" formatCode="0.0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color indexed="12"/>
      <name val="Times New Roman"/>
      <family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4343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65">
    <xf numFmtId="0" fontId="0" fillId="0" borderId="0" xfId="0"/>
    <xf numFmtId="0" fontId="0" fillId="2" borderId="0" xfId="0" applyFill="1"/>
    <xf numFmtId="0" fontId="3" fillId="3" borderId="1" xfId="2" applyFont="1" applyFill="1" applyBorder="1" applyAlignment="1">
      <alignment horizontal="right"/>
    </xf>
    <xf numFmtId="164" fontId="5" fillId="3" borderId="2" xfId="2" applyNumberFormat="1" applyFont="1" applyFill="1" applyBorder="1" applyAlignment="1">
      <alignment horizontal="center"/>
    </xf>
    <xf numFmtId="0" fontId="3" fillId="3" borderId="2" xfId="2" applyFont="1" applyFill="1" applyBorder="1"/>
    <xf numFmtId="0" fontId="3" fillId="3" borderId="3" xfId="2" applyFont="1" applyFill="1" applyBorder="1"/>
    <xf numFmtId="0" fontId="3" fillId="3" borderId="4" xfId="2" applyFont="1" applyFill="1" applyBorder="1" applyAlignment="1">
      <alignment horizontal="right"/>
    </xf>
    <xf numFmtId="9" fontId="5" fillId="3" borderId="0" xfId="2" applyNumberFormat="1" applyFont="1" applyFill="1" applyAlignment="1">
      <alignment horizontal="center"/>
    </xf>
    <xf numFmtId="0" fontId="3" fillId="3" borderId="0" xfId="2" applyFont="1" applyFill="1"/>
    <xf numFmtId="0" fontId="3" fillId="3" borderId="5" xfId="2" applyFont="1" applyFill="1" applyBorder="1"/>
    <xf numFmtId="165" fontId="5" fillId="3" borderId="0" xfId="2" applyNumberFormat="1" applyFont="1" applyFill="1" applyAlignment="1">
      <alignment horizontal="center"/>
    </xf>
    <xf numFmtId="0" fontId="3" fillId="3" borderId="6" xfId="2" applyFont="1" applyFill="1" applyBorder="1" applyAlignment="1">
      <alignment horizontal="center"/>
    </xf>
    <xf numFmtId="164" fontId="3" fillId="3" borderId="6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39" fontId="3" fillId="3" borderId="0" xfId="1" applyNumberFormat="1" applyFont="1" applyFill="1" applyBorder="1" applyAlignment="1">
      <alignment horizontal="center"/>
    </xf>
    <xf numFmtId="39" fontId="3" fillId="3" borderId="5" xfId="1" applyNumberFormat="1" applyFont="1" applyFill="1" applyBorder="1" applyAlignment="1">
      <alignment horizontal="center"/>
    </xf>
    <xf numFmtId="0" fontId="3" fillId="3" borderId="8" xfId="2" applyFont="1" applyFill="1" applyBorder="1" applyAlignment="1">
      <alignment horizontal="right"/>
    </xf>
    <xf numFmtId="166" fontId="5" fillId="3" borderId="9" xfId="2" applyNumberFormat="1" applyFont="1" applyFill="1" applyBorder="1" applyAlignment="1">
      <alignment horizontal="center"/>
    </xf>
    <xf numFmtId="0" fontId="3" fillId="3" borderId="9" xfId="2" applyFont="1" applyFill="1" applyBorder="1"/>
    <xf numFmtId="0" fontId="3" fillId="3" borderId="10" xfId="2" applyFont="1" applyFill="1" applyBorder="1"/>
    <xf numFmtId="164" fontId="3" fillId="3" borderId="7" xfId="2" applyNumberFormat="1" applyFont="1" applyFill="1" applyBorder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left"/>
    </xf>
    <xf numFmtId="0" fontId="6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10" fontId="0" fillId="2" borderId="0" xfId="0" applyNumberFormat="1" applyFill="1"/>
    <xf numFmtId="2" fontId="0" fillId="2" borderId="0" xfId="0" applyNumberFormat="1" applyFill="1"/>
    <xf numFmtId="0" fontId="8" fillId="2" borderId="0" xfId="0" applyFont="1" applyFill="1"/>
    <xf numFmtId="0" fontId="7" fillId="2" borderId="0" xfId="0" applyFont="1" applyFill="1"/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4" borderId="6" xfId="0" applyFill="1" applyBorder="1"/>
    <xf numFmtId="0" fontId="0" fillId="4" borderId="20" xfId="0" applyFill="1" applyBorder="1"/>
    <xf numFmtId="0" fontId="0" fillId="3" borderId="0" xfId="0" applyFill="1"/>
    <xf numFmtId="0" fontId="9" fillId="3" borderId="0" xfId="0" applyFont="1" applyFill="1"/>
    <xf numFmtId="9" fontId="0" fillId="3" borderId="0" xfId="0" applyNumberFormat="1" applyFill="1"/>
    <xf numFmtId="0" fontId="10" fillId="3" borderId="0" xfId="0" applyFont="1" applyFill="1"/>
    <xf numFmtId="2" fontId="0" fillId="3" borderId="0" xfId="0" applyNumberFormat="1" applyFill="1"/>
    <xf numFmtId="167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9" xfId="0" applyFill="1" applyBorder="1"/>
    <xf numFmtId="0" fontId="7" fillId="2" borderId="21" xfId="0" applyFont="1" applyFill="1" applyBorder="1"/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/>
    <xf numFmtId="4" fontId="0" fillId="2" borderId="0" xfId="0" applyNumberFormat="1" applyFill="1"/>
    <xf numFmtId="0" fontId="7" fillId="2" borderId="24" xfId="0" applyFont="1" applyFill="1" applyBorder="1"/>
    <xf numFmtId="0" fontId="7" fillId="2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8" fontId="0" fillId="2" borderId="0" xfId="0" applyNumberFormat="1" applyFill="1"/>
    <xf numFmtId="0" fontId="3" fillId="3" borderId="4" xfId="2" applyFont="1" applyFill="1" applyBorder="1" applyAlignment="1">
      <alignment horizontal="right" vertical="center"/>
    </xf>
    <xf numFmtId="0" fontId="3" fillId="3" borderId="0" xfId="2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_Acciones" xfId="2" xr:uid="{00000000-0005-0000-0000-000002000000}"/>
  </cellStyles>
  <dxfs count="0"/>
  <tableStyles count="1" defaultTableStyle="TableStyleMedium2" defaultPivotStyle="PivotStyleLight16">
    <tableStyle name="Invisible" pivot="0" table="0" count="0" xr9:uid="{EC447A0A-3609-43A3-B055-9031395A2D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5</xdr:row>
      <xdr:rowOff>142875</xdr:rowOff>
    </xdr:from>
    <xdr:to>
      <xdr:col>7</xdr:col>
      <xdr:colOff>667767</xdr:colOff>
      <xdr:row>11</xdr:row>
      <xdr:rowOff>29818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4" y="1095375"/>
          <a:ext cx="5258818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590556</xdr:colOff>
      <xdr:row>21</xdr:row>
      <xdr:rowOff>152400</xdr:rowOff>
    </xdr:from>
    <xdr:to>
      <xdr:col>8</xdr:col>
      <xdr:colOff>57433</xdr:colOff>
      <xdr:row>25</xdr:row>
      <xdr:rowOff>146400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6" y="4552950"/>
          <a:ext cx="5420002" cy="756000"/>
        </a:xfrm>
        <a:prstGeom prst="rect">
          <a:avLst/>
        </a:prstGeom>
      </xdr:spPr>
    </xdr:pic>
    <xdr:clientData/>
  </xdr:twoCellAnchor>
  <xdr:oneCellAnchor>
    <xdr:from>
      <xdr:col>1</xdr:col>
      <xdr:colOff>67296</xdr:colOff>
      <xdr:row>45</xdr:row>
      <xdr:rowOff>67710</xdr:rowOff>
    </xdr:from>
    <xdr:ext cx="145033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29296" y="9145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6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29296" y="9145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=𝑅_𝑓+𝛽_𝑒 (𝑅_𝑚−𝑅_𝑓 )</a:t>
              </a:r>
              <a:endParaRPr lang="es-AR" sz="1600"/>
            </a:p>
          </xdr:txBody>
        </xdr:sp>
      </mc:Fallback>
    </mc:AlternateContent>
    <xdr:clientData/>
  </xdr:oneCellAnchor>
  <xdr:oneCellAnchor>
    <xdr:from>
      <xdr:col>1</xdr:col>
      <xdr:colOff>420757</xdr:colOff>
      <xdr:row>47</xdr:row>
      <xdr:rowOff>2486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66261</xdr:colOff>
      <xdr:row>49</xdr:row>
      <xdr:rowOff>91109</xdr:rowOff>
    </xdr:from>
    <xdr:ext cx="204812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2(1+0,05)</m:t>
                        </m:r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0,102−0,05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𝑃_𝑒=(𝐷_0 (1+𝑔))/(𝑘_𝑒−𝑔)=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67296</xdr:colOff>
      <xdr:row>62</xdr:row>
      <xdr:rowOff>67710</xdr:rowOff>
    </xdr:from>
    <xdr:ext cx="145033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29296" y="9907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6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829296" y="9907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=𝑅_𝑓+𝛽_𝑒 (𝑅_𝑚−𝑅_𝑓 )</a:t>
              </a:r>
              <a:endParaRPr lang="es-AR" sz="1600"/>
            </a:p>
          </xdr:txBody>
        </xdr:sp>
      </mc:Fallback>
    </mc:AlternateContent>
    <xdr:clientData/>
  </xdr:oneCellAnchor>
  <xdr:oneCellAnchor>
    <xdr:from>
      <xdr:col>1</xdr:col>
      <xdr:colOff>420757</xdr:colOff>
      <xdr:row>64</xdr:row>
      <xdr:rowOff>2486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66261</xdr:colOff>
      <xdr:row>66</xdr:row>
      <xdr:rowOff>91109</xdr:rowOff>
    </xdr:from>
    <xdr:ext cx="204812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2(1+0,05)</m:t>
                        </m:r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0,102−0,05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𝑃_𝑒=(𝐷_0 (1+𝑔))/(𝑘_𝑒−𝑔)=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</xdr:col>
      <xdr:colOff>10</xdr:colOff>
      <xdr:row>55</xdr:row>
      <xdr:rowOff>0</xdr:rowOff>
    </xdr:from>
    <xdr:to>
      <xdr:col>7</xdr:col>
      <xdr:colOff>391602</xdr:colOff>
      <xdr:row>60</xdr:row>
      <xdr:rowOff>91500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10" y="11744739"/>
          <a:ext cx="4822788" cy="104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</xdr:colOff>
      <xdr:row>39</xdr:row>
      <xdr:rowOff>0</xdr:rowOff>
    </xdr:from>
    <xdr:to>
      <xdr:col>7</xdr:col>
      <xdr:colOff>155441</xdr:colOff>
      <xdr:row>44</xdr:row>
      <xdr:rowOff>19500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11" y="8696739"/>
          <a:ext cx="4586626" cy="9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7</xdr:row>
      <xdr:rowOff>109537</xdr:rowOff>
    </xdr:from>
    <xdr:ext cx="1216359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295525" y="1509712"/>
              <a:ext cx="1216359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𝐵𝑃𝐴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𝑉𝐴𝑂𝐶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295525" y="1509712"/>
              <a:ext cx="1216359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𝑃_0=〖𝐵𝑃𝐴〗_1/𝑘+𝑉𝐴𝑂𝐶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57150</xdr:colOff>
      <xdr:row>25</xdr:row>
      <xdr:rowOff>4762</xdr:rowOff>
    </xdr:from>
    <xdr:ext cx="314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19150" y="4833937"/>
              <a:ext cx="31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19150" y="4833937"/>
              <a:ext cx="31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29</xdr:row>
      <xdr:rowOff>0</xdr:rowOff>
    </xdr:from>
    <xdr:ext cx="314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62000" y="5591175"/>
              <a:ext cx="31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62000" y="5591175"/>
              <a:ext cx="31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4</xdr:col>
      <xdr:colOff>266700</xdr:colOff>
      <xdr:row>34</xdr:row>
      <xdr:rowOff>9525</xdr:rowOff>
    </xdr:from>
    <xdr:to>
      <xdr:col>5</xdr:col>
      <xdr:colOff>590550</xdr:colOff>
      <xdr:row>45</xdr:row>
      <xdr:rowOff>104775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457575" y="6553200"/>
          <a:ext cx="1085850" cy="2190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7</xdr:col>
      <xdr:colOff>438150</xdr:colOff>
      <xdr:row>42</xdr:row>
      <xdr:rowOff>166687</xdr:rowOff>
    </xdr:from>
    <xdr:ext cx="1707840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915025" y="8234362"/>
              <a:ext cx="170784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𝑉𝐴𝑁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2,22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,15−0,1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=44,44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915025" y="8234362"/>
              <a:ext cx="170784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𝑉𝐴𝑁/(𝑟−𝑔)=2,22/(𝑜,15−0,1)=44,44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8</xdr:row>
      <xdr:rowOff>90487</xdr:rowOff>
    </xdr:from>
    <xdr:ext cx="68993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438400" y="1300162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438400" y="1300162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𝑃_0=〖𝐷𝑃𝐴〗_1/𝑘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8</xdr:row>
      <xdr:rowOff>61912</xdr:rowOff>
    </xdr:from>
    <xdr:ext cx="68993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362200" y="1652587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62200" y="1652587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𝑃_0=〖𝐷𝑃𝐴〗_1/𝑘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314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762000" y="3686175"/>
              <a:ext cx="314189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62000" y="3686175"/>
              <a:ext cx="314189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21</xdr:row>
      <xdr:rowOff>61912</xdr:rowOff>
    </xdr:from>
    <xdr:ext cx="3725828" cy="352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190625" y="4129087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190625" y="4129087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𝑃_0=〖𝐷𝑃𝐴〗_1/(1+𝑘)^1 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+…+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latin typeface="Cambria Math" panose="02040503050406030204" pitchFamily="18" charset="0"/>
                </a:rPr>
                <a:t>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8</xdr:row>
      <xdr:rowOff>0</xdr:rowOff>
    </xdr:from>
    <xdr:ext cx="178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4229100" y="1590675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229100" y="1590675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28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295275</xdr:colOff>
      <xdr:row>29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323850</xdr:colOff>
      <xdr:row>31</xdr:row>
      <xdr:rowOff>171450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123825</xdr:colOff>
      <xdr:row>17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1315700" y="33385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315700" y="33385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295275</xdr:colOff>
      <xdr:row>18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1487150" y="36480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1487150" y="36480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40</xdr:row>
      <xdr:rowOff>9525</xdr:rowOff>
    </xdr:from>
    <xdr:ext cx="323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285875" y="75247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285875" y="75247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4</xdr:col>
      <xdr:colOff>123825</xdr:colOff>
      <xdr:row>43</xdr:row>
      <xdr:rowOff>123825</xdr:rowOff>
    </xdr:from>
    <xdr:to>
      <xdr:col>4</xdr:col>
      <xdr:colOff>542925</xdr:colOff>
      <xdr:row>45</xdr:row>
      <xdr:rowOff>28575</xdr:rowOff>
    </xdr:to>
    <xdr:sp macro="" textlink="">
      <xdr:nvSpPr>
        <xdr:cNvPr id="15" name="Flecha derecha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3286125" y="9163050"/>
          <a:ext cx="419100" cy="2857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7</xdr:col>
      <xdr:colOff>409575</xdr:colOff>
      <xdr:row>18</xdr:row>
      <xdr:rowOff>66675</xdr:rowOff>
    </xdr:from>
    <xdr:ext cx="3725828" cy="352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 txBox="1"/>
          </xdr:nvSpPr>
          <xdr:spPr>
            <a:xfrm>
              <a:off x="6267450" y="3562350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6267450" y="3562350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𝑃_0=〖𝐷𝑃𝐴〗_1/(1+𝑘)^1 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+…+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latin typeface="Cambria Math" panose="02040503050406030204" pitchFamily="18" charset="0"/>
                </a:rPr>
                <a:t>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27</xdr:row>
      <xdr:rowOff>0</xdr:rowOff>
    </xdr:from>
    <xdr:ext cx="513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762000" y="5029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762000" y="5029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28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SpPr txBox="1"/>
          </xdr:nvSpPr>
          <xdr:spPr>
            <a:xfrm>
              <a:off x="762000" y="521970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762000" y="521970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28</xdr:row>
      <xdr:rowOff>180975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 txBox="1"/>
          </xdr:nvSpPr>
          <xdr:spPr>
            <a:xfrm>
              <a:off x="742950" y="5400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742950" y="5400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8</xdr:row>
      <xdr:rowOff>9525</xdr:rowOff>
    </xdr:from>
    <xdr:ext cx="513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 txBox="1"/>
          </xdr:nvSpPr>
          <xdr:spPr>
            <a:xfrm>
              <a:off x="3381375" y="1600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3381375" y="1600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209550</xdr:colOff>
      <xdr:row>9</xdr:row>
      <xdr:rowOff>28575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 txBox="1"/>
          </xdr:nvSpPr>
          <xdr:spPr>
            <a:xfrm>
              <a:off x="3371850" y="18097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3371850" y="18097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200025</xdr:colOff>
      <xdr:row>10</xdr:row>
      <xdr:rowOff>28575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 txBox="1"/>
          </xdr:nvSpPr>
          <xdr:spPr>
            <a:xfrm>
              <a:off x="3362325" y="20002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3362325" y="20002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16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SpPr txBox="1"/>
          </xdr:nvSpPr>
          <xdr:spPr>
            <a:xfrm>
              <a:off x="3162300" y="3114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3162300" y="3114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21</xdr:row>
      <xdr:rowOff>14287</xdr:rowOff>
    </xdr:from>
    <xdr:ext cx="3392531" cy="503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b>
                                          <m:sSubPr>
                                            <m:ctrlP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𝑔</m:t>
                                            </m:r>
                                          </m:e>
                                          <m:sub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𝑃_0=(〖𝐷𝑃𝐴〗_0 (1+𝑔_1 )(1−(1+𝑔_1 )^𝑛/(1+𝑘)^𝑛 ))/(𝑘−𝑔_1 )+〖𝐷𝑃𝐴〗_(𝑛+1)/((𝑘−𝑔_2 )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314325</xdr:colOff>
      <xdr:row>6</xdr:row>
      <xdr:rowOff>42862</xdr:rowOff>
    </xdr:from>
    <xdr:ext cx="1754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4238625" y="1252537"/>
              <a:ext cx="1754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238625" y="1252537"/>
              <a:ext cx="1754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8</xdr:row>
      <xdr:rowOff>0</xdr:rowOff>
    </xdr:from>
    <xdr:ext cx="178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4229100" y="1590675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4229100" y="1590675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28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295275</xdr:colOff>
      <xdr:row>29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323850</xdr:colOff>
      <xdr:row>31</xdr:row>
      <xdr:rowOff>171450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18</xdr:row>
      <xdr:rowOff>14287</xdr:rowOff>
    </xdr:from>
    <xdr:ext cx="3392531" cy="503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b>
                                          <m:sSubPr>
                                            <m:ctrlP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𝑔</m:t>
                                            </m:r>
                                          </m:e>
                                          <m:sub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𝑃_0=(〖𝐷𝑃𝐴〗_0 (1+𝑔_1 )(1−(1+𝑔_1 )^𝑛/(1+𝑘)^𝑛 ))/(𝑘−𝑔_1 )+〖𝐷𝑃𝐴〗_(𝑛+1)/((𝑘−𝑔_2 )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123825</xdr:colOff>
      <xdr:row>17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700-00000B000000}"/>
                </a:ext>
              </a:extLst>
            </xdr:cNvPr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295275</xdr:colOff>
      <xdr:row>18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323850</xdr:colOff>
      <xdr:row>20</xdr:row>
      <xdr:rowOff>171450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700-00000D000000}"/>
                </a:ext>
              </a:extLst>
            </xdr:cNvPr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26</xdr:row>
      <xdr:rowOff>9525</xdr:rowOff>
    </xdr:from>
    <xdr:ext cx="3200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700-00000F000000}"/>
                </a:ext>
              </a:extLst>
            </xdr:cNvPr>
            <xdr:cNvSpPr txBox="1"/>
          </xdr:nvSpPr>
          <xdr:spPr>
            <a:xfrm>
              <a:off x="1285875" y="4838700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1285875" y="4838700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495300</xdr:colOff>
      <xdr:row>28</xdr:row>
      <xdr:rowOff>66675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700-000010000000}"/>
                </a:ext>
              </a:extLst>
            </xdr:cNvPr>
            <xdr:cNvSpPr txBox="1"/>
          </xdr:nvSpPr>
          <xdr:spPr>
            <a:xfrm>
              <a:off x="1257300" y="5276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1257300" y="5276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39</xdr:row>
      <xdr:rowOff>9525</xdr:rowOff>
    </xdr:from>
    <xdr:ext cx="323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 txBox="1"/>
          </xdr:nvSpPr>
          <xdr:spPr>
            <a:xfrm>
              <a:off x="1285875" y="73342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285875" y="73342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581025</xdr:colOff>
      <xdr:row>41</xdr:row>
      <xdr:rowOff>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 txBox="1"/>
          </xdr:nvSpPr>
          <xdr:spPr>
            <a:xfrm>
              <a:off x="1343025" y="77057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1343025" y="77057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43</xdr:row>
      <xdr:rowOff>28575</xdr:rowOff>
    </xdr:from>
    <xdr:ext cx="2005806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700-000014000000}"/>
                </a:ext>
              </a:extLst>
            </xdr:cNvPr>
            <xdr:cNvSpPr txBox="1"/>
          </xdr:nvSpPr>
          <xdr:spPr>
            <a:xfrm>
              <a:off x="1285875" y="8305800"/>
              <a:ext cx="2005806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𝐵𝑃𝐴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=2,7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1,1304</m:t>
                          </m:r>
                        </m:e>
                      </m:d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5</m:t>
                      </m:r>
                    </m:sup>
                  </m:sSup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1,06</m:t>
                      </m:r>
                    </m:e>
                  </m:d>
                </m:oMath>
              </a14:m>
              <a:r>
                <a:rPr lang="es-AR" sz="1100"/>
                <a:t>=5,28</a:t>
              </a:r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285875" y="8305800"/>
              <a:ext cx="2005806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𝐵𝑃𝐴〗_6=2,7(1,1304)^5 (1,06)</a:t>
              </a:r>
              <a:r>
                <a:rPr lang="es-AR" sz="1100"/>
                <a:t>=5,28</a:t>
              </a:r>
            </a:p>
          </xdr:txBody>
        </xdr:sp>
      </mc:Fallback>
    </mc:AlternateContent>
    <xdr:clientData/>
  </xdr:oneCellAnchor>
  <xdr:oneCellAnchor>
    <xdr:from>
      <xdr:col>1</xdr:col>
      <xdr:colOff>514350</xdr:colOff>
      <xdr:row>45</xdr:row>
      <xdr:rowOff>9525</xdr:rowOff>
    </xdr:from>
    <xdr:ext cx="16432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700-000015000000}"/>
                </a:ext>
              </a:extLst>
            </xdr:cNvPr>
            <xdr:cNvSpPr txBox="1"/>
          </xdr:nvSpPr>
          <xdr:spPr>
            <a:xfrm>
              <a:off x="1276350" y="8667750"/>
              <a:ext cx="1643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𝐷𝑃𝐴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=5,28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0,6933</m:t>
                      </m:r>
                    </m:e>
                  </m:d>
                </m:oMath>
              </a14:m>
              <a:r>
                <a:rPr lang="es-AR" sz="1100"/>
                <a:t>=3,66</a:t>
              </a:r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1276350" y="8667750"/>
              <a:ext cx="1643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𝐷𝑃𝐴〗_6=5,28(0,6933)</a:t>
              </a:r>
              <a:r>
                <a:rPr lang="es-AR" sz="1100"/>
                <a:t>=3,66</a:t>
              </a:r>
            </a:p>
          </xdr:txBody>
        </xdr:sp>
      </mc:Fallback>
    </mc:AlternateContent>
    <xdr:clientData/>
  </xdr:oneCellAnchor>
  <xdr:twoCellAnchor>
    <xdr:from>
      <xdr:col>4</xdr:col>
      <xdr:colOff>123825</xdr:colOff>
      <xdr:row>47</xdr:row>
      <xdr:rowOff>123825</xdr:rowOff>
    </xdr:from>
    <xdr:to>
      <xdr:col>4</xdr:col>
      <xdr:colOff>542925</xdr:colOff>
      <xdr:row>49</xdr:row>
      <xdr:rowOff>28575</xdr:rowOff>
    </xdr:to>
    <xdr:sp macro="" textlink="">
      <xdr:nvSpPr>
        <xdr:cNvPr id="23" name="Flecha derecha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3286125" y="9163050"/>
          <a:ext cx="419100" cy="2857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1</xdr:col>
      <xdr:colOff>0</xdr:colOff>
      <xdr:row>56</xdr:row>
      <xdr:rowOff>0</xdr:rowOff>
    </xdr:from>
    <xdr:ext cx="3392531" cy="503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700-000020000000}"/>
                </a:ext>
              </a:extLst>
            </xdr:cNvPr>
            <xdr:cNvSpPr txBox="1"/>
          </xdr:nvSpPr>
          <xdr:spPr>
            <a:xfrm>
              <a:off x="762000" y="10763250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b>
                                          <m:sSubPr>
                                            <m:ctrlP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𝑔</m:t>
                                            </m:r>
                                          </m:e>
                                          <m:sub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762000" y="10763250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𝑃_0=(〖𝐷𝑃𝐴〗_0 (1+𝑔_1 )(1−(1+𝑔_1 )^𝑛/(1+𝑘)^𝑛 ))/(𝑘−𝑔_1 )+〖𝐷𝑃𝐴〗_(𝑛+1)/((𝑘−𝑔_2 )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8"/>
  <sheetViews>
    <sheetView topLeftCell="A55" zoomScale="115" zoomScaleNormal="115" workbookViewId="0">
      <selection activeCell="B55" sqref="B55"/>
    </sheetView>
  </sheetViews>
  <sheetFormatPr defaultColWidth="11.44140625" defaultRowHeight="14.4" x14ac:dyDescent="0.3"/>
  <cols>
    <col min="1" max="5" width="11.44140625" style="1"/>
    <col min="6" max="6" width="9.33203125" style="1" customWidth="1"/>
    <col min="7" max="16384" width="11.44140625" style="1"/>
  </cols>
  <sheetData>
    <row r="2" spans="2:10" ht="15" thickBot="1" x14ac:dyDescent="0.35"/>
    <row r="3" spans="2:10" ht="21.6" thickBot="1" x14ac:dyDescent="0.45">
      <c r="B3" s="24" t="s">
        <v>10</v>
      </c>
      <c r="C3" s="25"/>
      <c r="D3" s="25"/>
      <c r="E3" s="25"/>
      <c r="F3" s="25"/>
      <c r="G3" s="25"/>
      <c r="H3" s="25"/>
      <c r="I3" s="25"/>
      <c r="J3" s="26"/>
    </row>
    <row r="5" spans="2:10" x14ac:dyDescent="0.3">
      <c r="B5" s="1" t="s">
        <v>11</v>
      </c>
    </row>
    <row r="11" spans="2:10" ht="15" thickBot="1" x14ac:dyDescent="0.35"/>
    <row r="12" spans="2:10" x14ac:dyDescent="0.3">
      <c r="B12" s="2" t="s">
        <v>9</v>
      </c>
      <c r="C12" s="3">
        <f>1.15*1.08</f>
        <v>1.242</v>
      </c>
      <c r="D12" s="4"/>
      <c r="E12" s="4"/>
      <c r="F12" s="4"/>
      <c r="G12" s="5"/>
    </row>
    <row r="13" spans="2:10" x14ac:dyDescent="0.3">
      <c r="B13" s="6" t="s">
        <v>1</v>
      </c>
      <c r="C13" s="7">
        <v>0.08</v>
      </c>
      <c r="D13" s="8"/>
      <c r="E13" s="8"/>
      <c r="F13" s="8"/>
      <c r="G13" s="9"/>
    </row>
    <row r="14" spans="2:10" x14ac:dyDescent="0.3">
      <c r="B14" s="6" t="s">
        <v>2</v>
      </c>
      <c r="C14" s="10">
        <v>0.13400000000000001</v>
      </c>
      <c r="D14" s="8"/>
      <c r="E14" s="8"/>
      <c r="F14" s="8"/>
      <c r="G14" s="9"/>
    </row>
    <row r="15" spans="2:10" x14ac:dyDescent="0.3">
      <c r="B15" s="6"/>
      <c r="C15" s="8"/>
      <c r="D15" s="8"/>
      <c r="E15" s="8"/>
      <c r="F15" s="8"/>
      <c r="G15" s="9"/>
    </row>
    <row r="16" spans="2:10" x14ac:dyDescent="0.3">
      <c r="B16" s="63" t="s">
        <v>3</v>
      </c>
      <c r="C16" s="11" t="s">
        <v>4</v>
      </c>
      <c r="D16" s="64" t="s">
        <v>5</v>
      </c>
      <c r="E16" s="12">
        <f>C12</f>
        <v>1.242</v>
      </c>
      <c r="F16" s="64"/>
      <c r="G16" s="13"/>
    </row>
    <row r="17" spans="2:7" x14ac:dyDescent="0.3">
      <c r="B17" s="63"/>
      <c r="C17" s="14" t="s">
        <v>7</v>
      </c>
      <c r="D17" s="64"/>
      <c r="E17" s="15">
        <f>C14-C13</f>
        <v>5.4000000000000006E-2</v>
      </c>
      <c r="F17" s="64"/>
      <c r="G17" s="16"/>
    </row>
    <row r="18" spans="2:7" x14ac:dyDescent="0.3">
      <c r="B18" s="6"/>
      <c r="C18" s="8"/>
      <c r="D18" s="8"/>
      <c r="E18" s="8"/>
      <c r="F18" s="8"/>
      <c r="G18" s="9"/>
    </row>
    <row r="19" spans="2:7" ht="15" thickBot="1" x14ac:dyDescent="0.35">
      <c r="B19" s="17" t="s">
        <v>8</v>
      </c>
      <c r="C19" s="18">
        <f>E16/E17</f>
        <v>22.999999999999996</v>
      </c>
      <c r="D19" s="19"/>
      <c r="E19" s="19"/>
      <c r="F19" s="19"/>
      <c r="G19" s="20"/>
    </row>
    <row r="26" spans="2:7" ht="15" thickBot="1" x14ac:dyDescent="0.35"/>
    <row r="27" spans="2:7" x14ac:dyDescent="0.3">
      <c r="B27" s="2" t="s">
        <v>0</v>
      </c>
      <c r="C27" s="3">
        <v>1.1499999999999999</v>
      </c>
      <c r="D27" s="4"/>
      <c r="E27" s="4"/>
      <c r="F27" s="4"/>
      <c r="G27" s="5"/>
    </row>
    <row r="28" spans="2:7" x14ac:dyDescent="0.3">
      <c r="B28" s="6" t="s">
        <v>1</v>
      </c>
      <c r="C28" s="7">
        <v>0.08</v>
      </c>
      <c r="D28" s="8"/>
      <c r="E28" s="8"/>
      <c r="F28" s="8"/>
      <c r="G28" s="9"/>
    </row>
    <row r="29" spans="2:7" x14ac:dyDescent="0.3">
      <c r="B29" s="6" t="s">
        <v>2</v>
      </c>
      <c r="C29" s="10">
        <v>0.13400000000000001</v>
      </c>
      <c r="D29" s="8"/>
      <c r="E29" s="8"/>
      <c r="F29" s="8"/>
      <c r="G29" s="9"/>
    </row>
    <row r="30" spans="2:7" x14ac:dyDescent="0.3">
      <c r="B30" s="6"/>
      <c r="C30" s="8"/>
      <c r="D30" s="8"/>
      <c r="E30" s="8"/>
      <c r="F30" s="8"/>
      <c r="G30" s="9"/>
    </row>
    <row r="31" spans="2:7" x14ac:dyDescent="0.3">
      <c r="B31" s="63" t="s">
        <v>3</v>
      </c>
      <c r="C31" s="11" t="s">
        <v>4</v>
      </c>
      <c r="D31" s="64" t="s">
        <v>5</v>
      </c>
      <c r="E31" s="11" t="s">
        <v>6</v>
      </c>
      <c r="F31" s="64" t="s">
        <v>5</v>
      </c>
      <c r="G31" s="21">
        <f>C27*(1+C28)</f>
        <v>1.242</v>
      </c>
    </row>
    <row r="32" spans="2:7" x14ac:dyDescent="0.3">
      <c r="B32" s="63"/>
      <c r="C32" s="14" t="s">
        <v>7</v>
      </c>
      <c r="D32" s="64"/>
      <c r="E32" s="14" t="s">
        <v>7</v>
      </c>
      <c r="F32" s="64"/>
      <c r="G32" s="16">
        <f>C29-C28</f>
        <v>5.4000000000000006E-2</v>
      </c>
    </row>
    <row r="33" spans="2:8" x14ac:dyDescent="0.3">
      <c r="B33" s="6"/>
      <c r="C33" s="8"/>
      <c r="D33" s="8"/>
      <c r="E33" s="8"/>
      <c r="F33" s="8"/>
      <c r="G33" s="9"/>
    </row>
    <row r="34" spans="2:8" ht="15" thickBot="1" x14ac:dyDescent="0.35">
      <c r="B34" s="17" t="s">
        <v>8</v>
      </c>
      <c r="C34" s="18">
        <f>G31/G32</f>
        <v>22.999999999999996</v>
      </c>
      <c r="D34" s="19"/>
      <c r="E34" s="19"/>
      <c r="F34" s="19"/>
      <c r="G34" s="20"/>
    </row>
    <row r="38" spans="2:8" x14ac:dyDescent="0.3">
      <c r="B38" s="1" t="s">
        <v>12</v>
      </c>
    </row>
    <row r="41" spans="2:8" x14ac:dyDescent="0.3">
      <c r="H41" s="23"/>
    </row>
    <row r="43" spans="2:8" x14ac:dyDescent="0.3">
      <c r="H43" s="22"/>
    </row>
    <row r="44" spans="2:8" x14ac:dyDescent="0.3">
      <c r="D44" s="22"/>
    </row>
    <row r="48" spans="2:8" x14ac:dyDescent="0.3">
      <c r="C48" s="27">
        <f>0.03+1.2*0.06</f>
        <v>0.10199999999999999</v>
      </c>
    </row>
    <row r="51" spans="2:6" x14ac:dyDescent="0.3">
      <c r="E51" s="28">
        <f>2*(1+0.05)/(C48-0.05)</f>
        <v>40.384615384615394</v>
      </c>
    </row>
    <row r="54" spans="2:6" x14ac:dyDescent="0.3">
      <c r="B54" s="1" t="s">
        <v>13</v>
      </c>
    </row>
    <row r="63" spans="2:6" x14ac:dyDescent="0.3">
      <c r="E63" s="1" t="s">
        <v>14</v>
      </c>
      <c r="F63" s="1">
        <v>0.1</v>
      </c>
    </row>
    <row r="64" spans="2:6" x14ac:dyDescent="0.3">
      <c r="E64" s="1" t="s">
        <v>15</v>
      </c>
      <c r="F64" s="1">
        <v>0.5</v>
      </c>
    </row>
    <row r="65" spans="3:6" x14ac:dyDescent="0.3">
      <c r="C65" s="27">
        <f>0.03+1.2*0.06</f>
        <v>0.10199999999999999</v>
      </c>
      <c r="E65" s="1" t="s">
        <v>16</v>
      </c>
      <c r="F65" s="1">
        <f>F63*F64</f>
        <v>0.05</v>
      </c>
    </row>
    <row r="68" spans="3:6" x14ac:dyDescent="0.3">
      <c r="E68" s="28">
        <f>2*(1+F65)/(C65-F65)</f>
        <v>40.384615384615394</v>
      </c>
    </row>
  </sheetData>
  <mergeCells count="6">
    <mergeCell ref="B31:B32"/>
    <mergeCell ref="D31:D32"/>
    <mergeCell ref="F31:F32"/>
    <mergeCell ref="B16:B17"/>
    <mergeCell ref="D16:D17"/>
    <mergeCell ref="F16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44"/>
  <sheetViews>
    <sheetView topLeftCell="A25" workbookViewId="0">
      <selection activeCell="G30" sqref="G30"/>
    </sheetView>
  </sheetViews>
  <sheetFormatPr defaultColWidth="11.44140625" defaultRowHeight="14.4" x14ac:dyDescent="0.3"/>
  <cols>
    <col min="1" max="1" width="11.44140625" style="1"/>
    <col min="2" max="2" width="13.5546875" style="1" customWidth="1"/>
    <col min="3" max="8" width="11.44140625" style="1"/>
    <col min="9" max="9" width="22.6640625" style="1" bestFit="1" customWidth="1"/>
    <col min="10" max="10" width="14.44140625" style="1" customWidth="1"/>
    <col min="11" max="11" width="12.5546875" style="1" bestFit="1" customWidth="1"/>
    <col min="12" max="16384" width="11.44140625" style="1"/>
  </cols>
  <sheetData>
    <row r="3" spans="2:7" ht="20.399999999999999" x14ac:dyDescent="0.35">
      <c r="B3" s="29" t="s">
        <v>53</v>
      </c>
    </row>
    <row r="6" spans="2:7" x14ac:dyDescent="0.3">
      <c r="B6" s="1" t="s">
        <v>54</v>
      </c>
    </row>
    <row r="7" spans="2:7" x14ac:dyDescent="0.3">
      <c r="B7" s="33"/>
      <c r="C7" s="34"/>
      <c r="D7" s="34"/>
      <c r="E7" s="34"/>
      <c r="F7" s="34"/>
      <c r="G7" s="35"/>
    </row>
    <row r="8" spans="2:7" x14ac:dyDescent="0.3">
      <c r="B8" s="36"/>
      <c r="C8" s="37"/>
      <c r="D8" s="37"/>
      <c r="E8" s="37"/>
      <c r="F8" s="37"/>
      <c r="G8" s="38"/>
    </row>
    <row r="9" spans="2:7" x14ac:dyDescent="0.3">
      <c r="B9" s="36"/>
      <c r="C9" s="37"/>
      <c r="D9" s="37"/>
      <c r="E9" s="37"/>
      <c r="F9" s="37"/>
      <c r="G9" s="38"/>
    </row>
    <row r="10" spans="2:7" x14ac:dyDescent="0.3">
      <c r="B10" s="36"/>
      <c r="C10" s="37"/>
      <c r="D10" s="37"/>
      <c r="E10" s="37"/>
      <c r="F10" s="37"/>
      <c r="G10" s="38"/>
    </row>
    <row r="11" spans="2:7" x14ac:dyDescent="0.3">
      <c r="B11" s="39"/>
      <c r="C11" s="40"/>
      <c r="D11" s="40"/>
      <c r="E11" s="40"/>
      <c r="F11" s="40"/>
      <c r="G11" s="41"/>
    </row>
    <row r="14" spans="2:7" x14ac:dyDescent="0.3">
      <c r="B14" s="1" t="s">
        <v>55</v>
      </c>
    </row>
    <row r="16" spans="2:7" x14ac:dyDescent="0.3">
      <c r="B16" s="1" t="s">
        <v>56</v>
      </c>
    </row>
    <row r="18" spans="2:7" x14ac:dyDescent="0.3">
      <c r="B18" s="1" t="s">
        <v>14</v>
      </c>
      <c r="C18" s="1">
        <v>0.25</v>
      </c>
      <c r="E18" s="1" t="s">
        <v>16</v>
      </c>
      <c r="F18" s="1">
        <f>C18*C19</f>
        <v>0.1</v>
      </c>
    </row>
    <row r="19" spans="2:7" x14ac:dyDescent="0.3">
      <c r="B19" s="1" t="s">
        <v>57</v>
      </c>
      <c r="C19" s="1">
        <v>0.4</v>
      </c>
    </row>
    <row r="20" spans="2:7" x14ac:dyDescent="0.3">
      <c r="B20" s="1" t="s">
        <v>58</v>
      </c>
      <c r="C20" s="1">
        <v>0.15</v>
      </c>
    </row>
    <row r="21" spans="2:7" x14ac:dyDescent="0.3">
      <c r="B21" s="1" t="s">
        <v>59</v>
      </c>
      <c r="C21" s="28">
        <v>8.3333329999999997</v>
      </c>
    </row>
    <row r="24" spans="2:7" x14ac:dyDescent="0.3">
      <c r="B24" s="1" t="s">
        <v>60</v>
      </c>
    </row>
    <row r="26" spans="2:7" x14ac:dyDescent="0.3">
      <c r="C26" s="47"/>
    </row>
    <row r="28" spans="2:7" x14ac:dyDescent="0.3">
      <c r="B28" s="1" t="s">
        <v>61</v>
      </c>
    </row>
    <row r="30" spans="2:7" x14ac:dyDescent="0.3">
      <c r="C30" s="48"/>
      <c r="E30" s="1" t="s">
        <v>62</v>
      </c>
      <c r="F30" s="1" t="s">
        <v>63</v>
      </c>
      <c r="G30" s="49"/>
    </row>
    <row r="32" spans="2:7" x14ac:dyDescent="0.3">
      <c r="B32" s="1" t="s">
        <v>64</v>
      </c>
    </row>
    <row r="34" spans="2:12" x14ac:dyDescent="0.3">
      <c r="B34" s="1" t="s">
        <v>66</v>
      </c>
    </row>
    <row r="35" spans="2:12" x14ac:dyDescent="0.3">
      <c r="H35" s="50" t="s">
        <v>69</v>
      </c>
      <c r="I35" s="1" t="s">
        <v>70</v>
      </c>
    </row>
    <row r="36" spans="2:12" x14ac:dyDescent="0.3">
      <c r="B36" s="1" t="s">
        <v>65</v>
      </c>
      <c r="D36" s="48"/>
      <c r="H36" s="50">
        <v>1</v>
      </c>
      <c r="I36" s="48">
        <f>D38</f>
        <v>0</v>
      </c>
    </row>
    <row r="37" spans="2:12" x14ac:dyDescent="0.3">
      <c r="B37" s="1" t="s">
        <v>67</v>
      </c>
      <c r="D37" s="48"/>
      <c r="H37" s="50">
        <v>2</v>
      </c>
      <c r="I37" s="48">
        <f>D44</f>
        <v>0</v>
      </c>
    </row>
    <row r="38" spans="2:12" x14ac:dyDescent="0.3">
      <c r="B38" s="1" t="s">
        <v>68</v>
      </c>
      <c r="D38" s="48"/>
      <c r="H38" s="50">
        <v>3</v>
      </c>
      <c r="I38" s="48">
        <f>I37*(1.1)</f>
        <v>0</v>
      </c>
    </row>
    <row r="40" spans="2:12" x14ac:dyDescent="0.3">
      <c r="B40" s="1" t="s">
        <v>66</v>
      </c>
      <c r="H40" s="1" t="s">
        <v>71</v>
      </c>
    </row>
    <row r="42" spans="2:12" x14ac:dyDescent="0.3">
      <c r="B42" s="1" t="s">
        <v>65</v>
      </c>
      <c r="D42" s="48"/>
    </row>
    <row r="43" spans="2:12" x14ac:dyDescent="0.3">
      <c r="B43" s="1" t="s">
        <v>67</v>
      </c>
      <c r="D43" s="48"/>
    </row>
    <row r="44" spans="2:12" x14ac:dyDescent="0.3">
      <c r="B44" s="1" t="s">
        <v>68</v>
      </c>
      <c r="D44" s="48"/>
      <c r="K44" s="1" t="s">
        <v>49</v>
      </c>
      <c r="L44" s="1">
        <f>I36/(C20-F18)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"/>
  <sheetViews>
    <sheetView workbookViewId="0">
      <selection activeCell="C14" sqref="C14"/>
    </sheetView>
  </sheetViews>
  <sheetFormatPr defaultColWidth="11.44140625" defaultRowHeight="14.4" x14ac:dyDescent="0.3"/>
  <cols>
    <col min="1" max="16384" width="11.44140625" style="1"/>
  </cols>
  <sheetData>
    <row r="2" spans="2:7" ht="20.399999999999999" x14ac:dyDescent="0.35">
      <c r="B2" s="29" t="s">
        <v>50</v>
      </c>
    </row>
    <row r="4" spans="2:7" x14ac:dyDescent="0.3">
      <c r="B4" s="1" t="s">
        <v>51</v>
      </c>
    </row>
    <row r="7" spans="2:7" x14ac:dyDescent="0.3">
      <c r="B7" s="30" t="s">
        <v>32</v>
      </c>
    </row>
    <row r="8" spans="2:7" x14ac:dyDescent="0.3">
      <c r="B8" s="33"/>
      <c r="C8" s="34"/>
      <c r="D8" s="34"/>
      <c r="E8" s="34"/>
      <c r="F8" s="34"/>
      <c r="G8" s="35"/>
    </row>
    <row r="9" spans="2:7" x14ac:dyDescent="0.3">
      <c r="B9" s="36"/>
      <c r="C9" s="37"/>
      <c r="D9" s="37"/>
      <c r="E9" s="37"/>
      <c r="F9" s="37"/>
      <c r="G9" s="38"/>
    </row>
    <row r="10" spans="2:7" x14ac:dyDescent="0.3">
      <c r="B10" s="36"/>
      <c r="C10" s="37"/>
      <c r="D10" s="37"/>
      <c r="E10" s="37"/>
      <c r="F10" s="37"/>
      <c r="G10" s="38"/>
    </row>
    <row r="11" spans="2:7" x14ac:dyDescent="0.3">
      <c r="B11" s="36"/>
      <c r="C11" s="37"/>
      <c r="D11" s="37"/>
      <c r="E11" s="37"/>
      <c r="F11" s="37"/>
      <c r="G11" s="38"/>
    </row>
    <row r="12" spans="2:7" x14ac:dyDescent="0.3">
      <c r="B12" s="39"/>
      <c r="C12" s="40"/>
      <c r="D12" s="40"/>
      <c r="E12" s="40"/>
      <c r="F12" s="40"/>
      <c r="G12" s="4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7"/>
  <sheetViews>
    <sheetView workbookViewId="0">
      <selection activeCell="C20" sqref="C20"/>
    </sheetView>
  </sheetViews>
  <sheetFormatPr defaultColWidth="11.44140625" defaultRowHeight="14.4" x14ac:dyDescent="0.3"/>
  <cols>
    <col min="1" max="16384" width="11.44140625" style="1"/>
  </cols>
  <sheetData>
    <row r="2" spans="2:7" ht="20.399999999999999" x14ac:dyDescent="0.35">
      <c r="B2" s="29" t="s">
        <v>50</v>
      </c>
    </row>
    <row r="4" spans="2:7" x14ac:dyDescent="0.3">
      <c r="B4" s="1" t="s">
        <v>51</v>
      </c>
    </row>
    <row r="7" spans="2:7" x14ac:dyDescent="0.3">
      <c r="B7" s="30" t="s">
        <v>32</v>
      </c>
    </row>
    <row r="8" spans="2:7" x14ac:dyDescent="0.3">
      <c r="B8" s="33"/>
      <c r="C8" s="34"/>
      <c r="D8" s="34"/>
      <c r="E8" s="34"/>
      <c r="F8" s="34"/>
      <c r="G8" s="35"/>
    </row>
    <row r="9" spans="2:7" x14ac:dyDescent="0.3">
      <c r="B9" s="36"/>
      <c r="C9" s="37"/>
      <c r="D9" s="37"/>
      <c r="E9" s="37"/>
      <c r="F9" s="37"/>
      <c r="G9" s="38"/>
    </row>
    <row r="10" spans="2:7" x14ac:dyDescent="0.3">
      <c r="B10" s="36"/>
      <c r="C10" s="37"/>
      <c r="D10" s="37"/>
      <c r="E10" s="37"/>
      <c r="F10" s="37"/>
      <c r="G10" s="38"/>
    </row>
    <row r="11" spans="2:7" x14ac:dyDescent="0.3">
      <c r="B11" s="36"/>
      <c r="C11" s="37"/>
      <c r="D11" s="37"/>
      <c r="E11" s="37"/>
      <c r="F11" s="37"/>
      <c r="G11" s="38"/>
    </row>
    <row r="12" spans="2:7" x14ac:dyDescent="0.3">
      <c r="B12" s="39"/>
      <c r="C12" s="40"/>
      <c r="D12" s="40"/>
      <c r="E12" s="40"/>
      <c r="F12" s="40"/>
      <c r="G12" s="41"/>
    </row>
    <row r="15" spans="2:7" x14ac:dyDescent="0.3">
      <c r="B15" s="1" t="s">
        <v>52</v>
      </c>
    </row>
    <row r="16" spans="2:7" x14ac:dyDescent="0.3">
      <c r="B16" s="1" t="s">
        <v>72</v>
      </c>
      <c r="C16" s="1">
        <v>100</v>
      </c>
    </row>
    <row r="17" spans="2:3" x14ac:dyDescent="0.3">
      <c r="B17" s="1" t="s">
        <v>58</v>
      </c>
      <c r="C17" s="1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33"/>
  <sheetViews>
    <sheetView workbookViewId="0">
      <selection activeCell="B20" sqref="B20:G25"/>
    </sheetView>
  </sheetViews>
  <sheetFormatPr defaultColWidth="11.44140625" defaultRowHeight="14.4" x14ac:dyDescent="0.3"/>
  <cols>
    <col min="1" max="2" width="11.44140625" style="1"/>
    <col min="3" max="3" width="13.109375" style="1" customWidth="1"/>
    <col min="4" max="16384" width="11.44140625" style="1"/>
  </cols>
  <sheetData>
    <row r="2" spans="2:7" ht="20.399999999999999" x14ac:dyDescent="0.35">
      <c r="B2" s="29" t="s">
        <v>42</v>
      </c>
    </row>
    <row r="5" spans="2:7" x14ac:dyDescent="0.3">
      <c r="B5" s="1" t="s">
        <v>23</v>
      </c>
    </row>
    <row r="7" spans="2:7" x14ac:dyDescent="0.3">
      <c r="C7" s="30" t="s">
        <v>18</v>
      </c>
      <c r="D7" s="1" t="s">
        <v>43</v>
      </c>
    </row>
    <row r="9" spans="2:7" x14ac:dyDescent="0.3">
      <c r="C9" s="30" t="s">
        <v>20</v>
      </c>
      <c r="D9" s="1" t="s">
        <v>21</v>
      </c>
    </row>
    <row r="10" spans="2:7" x14ac:dyDescent="0.3">
      <c r="D10" s="1" t="s">
        <v>22</v>
      </c>
    </row>
    <row r="13" spans="2:7" x14ac:dyDescent="0.3">
      <c r="C13" s="1" t="s">
        <v>44</v>
      </c>
    </row>
    <row r="14" spans="2:7" x14ac:dyDescent="0.3">
      <c r="B14" s="31" t="s">
        <v>25</v>
      </c>
    </row>
    <row r="15" spans="2:7" x14ac:dyDescent="0.3">
      <c r="C15" s="32" t="s">
        <v>24</v>
      </c>
      <c r="D15" s="32"/>
      <c r="E15" s="32"/>
      <c r="F15" s="32"/>
      <c r="G15" s="32"/>
    </row>
    <row r="17" spans="2:7" x14ac:dyDescent="0.3">
      <c r="C17" s="30" t="s">
        <v>27</v>
      </c>
    </row>
    <row r="20" spans="2:7" x14ac:dyDescent="0.3">
      <c r="B20" s="30" t="s">
        <v>32</v>
      </c>
    </row>
    <row r="21" spans="2:7" x14ac:dyDescent="0.3">
      <c r="B21" s="33"/>
      <c r="C21" s="34"/>
      <c r="D21" s="34"/>
      <c r="E21" s="34"/>
      <c r="F21" s="34"/>
      <c r="G21" s="35"/>
    </row>
    <row r="22" spans="2:7" x14ac:dyDescent="0.3">
      <c r="B22" s="36"/>
      <c r="C22" s="37"/>
      <c r="D22" s="37"/>
      <c r="E22" s="37"/>
      <c r="F22" s="37"/>
      <c r="G22" s="38"/>
    </row>
    <row r="23" spans="2:7" x14ac:dyDescent="0.3">
      <c r="B23" s="36"/>
      <c r="C23" s="37"/>
      <c r="D23" s="37"/>
      <c r="E23" s="37"/>
      <c r="F23" s="37"/>
      <c r="G23" s="38"/>
    </row>
    <row r="24" spans="2:7" x14ac:dyDescent="0.3">
      <c r="B24" s="36"/>
      <c r="C24" s="37"/>
      <c r="D24" s="37"/>
      <c r="E24" s="37"/>
      <c r="F24" s="37"/>
      <c r="G24" s="38"/>
    </row>
    <row r="25" spans="2:7" x14ac:dyDescent="0.3">
      <c r="B25" s="39"/>
      <c r="C25" s="40"/>
      <c r="D25" s="40"/>
      <c r="E25" s="40"/>
      <c r="F25" s="40"/>
      <c r="G25" s="41"/>
    </row>
    <row r="27" spans="2:7" x14ac:dyDescent="0.3">
      <c r="B27" s="1" t="s">
        <v>31</v>
      </c>
      <c r="C27"/>
    </row>
    <row r="28" spans="2:7" x14ac:dyDescent="0.3">
      <c r="B28"/>
    </row>
    <row r="29" spans="2:7" x14ac:dyDescent="0.3">
      <c r="C29" s="1" t="s">
        <v>28</v>
      </c>
    </row>
    <row r="31" spans="2:7" x14ac:dyDescent="0.3">
      <c r="C31" s="1" t="s">
        <v>30</v>
      </c>
    </row>
    <row r="33" spans="3:3" x14ac:dyDescent="0.3">
      <c r="C33" s="1" t="s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64"/>
  <sheetViews>
    <sheetView topLeftCell="A15" workbookViewId="0">
      <selection activeCell="F52" sqref="F52"/>
    </sheetView>
  </sheetViews>
  <sheetFormatPr defaultColWidth="11.44140625" defaultRowHeight="14.4" x14ac:dyDescent="0.3"/>
  <cols>
    <col min="1" max="2" width="11.44140625" style="1"/>
    <col min="3" max="3" width="13.109375" style="1" customWidth="1"/>
    <col min="4" max="4" width="11.44140625" style="1"/>
    <col min="5" max="5" width="17.5546875" style="1" customWidth="1"/>
    <col min="6" max="6" width="13.5546875" style="1" bestFit="1" customWidth="1"/>
    <col min="7" max="9" width="11.44140625" style="1"/>
    <col min="10" max="11" width="12.5546875" style="1" customWidth="1"/>
    <col min="12" max="16384" width="11.44140625" style="1"/>
  </cols>
  <sheetData>
    <row r="2" spans="2:16" ht="20.399999999999999" x14ac:dyDescent="0.35">
      <c r="B2" s="29" t="s">
        <v>45</v>
      </c>
    </row>
    <row r="4" spans="2:16" x14ac:dyDescent="0.3">
      <c r="B4" s="1" t="s">
        <v>33</v>
      </c>
    </row>
    <row r="5" spans="2:16" x14ac:dyDescent="0.3">
      <c r="B5" s="1" t="s">
        <v>46</v>
      </c>
    </row>
    <row r="6" spans="2:16" x14ac:dyDescent="0.3">
      <c r="B6" s="1" t="s">
        <v>36</v>
      </c>
    </row>
    <row r="7" spans="2:16" x14ac:dyDescent="0.3">
      <c r="B7" s="1" t="s">
        <v>37</v>
      </c>
    </row>
    <row r="9" spans="2:16" x14ac:dyDescent="0.3">
      <c r="C9" s="30" t="s">
        <v>18</v>
      </c>
      <c r="F9" s="1">
        <v>5.5</v>
      </c>
      <c r="I9" s="1" t="s">
        <v>24</v>
      </c>
    </row>
    <row r="10" spans="2:16" x14ac:dyDescent="0.3">
      <c r="F10" s="1">
        <v>6.05</v>
      </c>
      <c r="H10" s="31" t="s">
        <v>25</v>
      </c>
    </row>
    <row r="11" spans="2:16" x14ac:dyDescent="0.3">
      <c r="F11" s="1">
        <v>6.6550000000000002</v>
      </c>
      <c r="I11" s="32" t="s">
        <v>26</v>
      </c>
      <c r="J11" s="32"/>
      <c r="K11" s="32"/>
      <c r="L11" s="32"/>
      <c r="M11" s="32"/>
    </row>
    <row r="12" spans="2:16" x14ac:dyDescent="0.3">
      <c r="F12" s="27"/>
    </row>
    <row r="13" spans="2:16" x14ac:dyDescent="0.3">
      <c r="I13" s="30" t="s">
        <v>27</v>
      </c>
    </row>
    <row r="14" spans="2:16" x14ac:dyDescent="0.3">
      <c r="D14" s="1" t="s">
        <v>48</v>
      </c>
      <c r="F14" s="27">
        <v>0.15</v>
      </c>
    </row>
    <row r="15" spans="2:16" x14ac:dyDescent="0.3">
      <c r="F15" s="27"/>
      <c r="P15"/>
    </row>
    <row r="16" spans="2:16" x14ac:dyDescent="0.3">
      <c r="O16" s="1" t="s">
        <v>31</v>
      </c>
      <c r="P16"/>
    </row>
    <row r="17" spans="1:17" x14ac:dyDescent="0.3">
      <c r="C17" s="30" t="s">
        <v>20</v>
      </c>
      <c r="F17" s="1">
        <v>6.9877500000000001</v>
      </c>
      <c r="H17" s="30" t="s">
        <v>32</v>
      </c>
      <c r="O17"/>
    </row>
    <row r="18" spans="1:17" x14ac:dyDescent="0.3">
      <c r="C18" s="30"/>
      <c r="D18" s="1" t="s">
        <v>40</v>
      </c>
      <c r="F18" s="22">
        <v>0.05</v>
      </c>
      <c r="H18" s="33"/>
      <c r="I18" s="34"/>
      <c r="J18" s="34"/>
      <c r="K18" s="34"/>
      <c r="L18" s="34"/>
      <c r="M18" s="35"/>
      <c r="P18" s="1" t="s">
        <v>28</v>
      </c>
    </row>
    <row r="19" spans="1:17" x14ac:dyDescent="0.3">
      <c r="C19" s="30"/>
      <c r="H19" s="36"/>
      <c r="I19" s="37"/>
      <c r="J19" s="37"/>
      <c r="K19" s="37"/>
      <c r="L19" s="37"/>
      <c r="M19" s="38"/>
    </row>
    <row r="20" spans="1:17" x14ac:dyDescent="0.3">
      <c r="C20" s="30"/>
      <c r="H20" s="36"/>
      <c r="I20" s="37"/>
      <c r="J20" s="37"/>
      <c r="K20" s="37"/>
      <c r="L20" s="37"/>
      <c r="M20" s="38"/>
      <c r="P20" s="1" t="s">
        <v>30</v>
      </c>
    </row>
    <row r="21" spans="1:17" x14ac:dyDescent="0.3">
      <c r="H21" s="36"/>
      <c r="I21" s="37"/>
      <c r="J21" s="37"/>
      <c r="K21" s="37"/>
      <c r="L21" s="37"/>
      <c r="M21" s="38"/>
    </row>
    <row r="22" spans="1:17" x14ac:dyDescent="0.3">
      <c r="H22" s="39"/>
      <c r="I22" s="40"/>
      <c r="J22" s="40"/>
      <c r="K22" s="40"/>
      <c r="L22" s="40"/>
      <c r="M22" s="41"/>
      <c r="P22" s="1" t="s">
        <v>29</v>
      </c>
    </row>
    <row r="25" spans="1:17" ht="15.6" x14ac:dyDescent="0.3">
      <c r="A25" s="42"/>
      <c r="B25" s="43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3">
      <c r="A28" s="42"/>
      <c r="B28" s="42"/>
      <c r="C28" s="42"/>
      <c r="D28" s="42"/>
      <c r="E28" s="42">
        <v>1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x14ac:dyDescent="0.3">
      <c r="A29" s="42"/>
      <c r="B29" s="42"/>
      <c r="C29" s="42"/>
      <c r="D29" s="42"/>
      <c r="E29" s="42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x14ac:dyDescent="0.3">
      <c r="A30" s="42"/>
      <c r="B30" s="42"/>
      <c r="C30" s="42"/>
      <c r="D30" s="42"/>
      <c r="E30" s="42">
        <v>3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ht="15.6" x14ac:dyDescent="0.3">
      <c r="A32" s="42"/>
      <c r="B32" s="45" t="s">
        <v>47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1:17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7" spans="1:17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9" spans="1:17" ht="15.6" x14ac:dyDescent="0.3">
      <c r="A39" s="42"/>
      <c r="B39" s="43" t="s">
        <v>26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3">
      <c r="A41" s="42"/>
      <c r="B41" s="42"/>
      <c r="C41" s="44">
        <f>F18</f>
        <v>0.05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 t="s">
        <v>49</v>
      </c>
      <c r="K44" s="42"/>
      <c r="L44" s="42"/>
      <c r="M44" s="42"/>
      <c r="N44" s="42"/>
      <c r="O44" s="42"/>
      <c r="P44" s="42"/>
      <c r="Q44" s="42"/>
    </row>
    <row r="45" spans="1:17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</row>
    <row r="47" spans="1:17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50" spans="1:17" ht="15.6" x14ac:dyDescent="0.3">
      <c r="A50" s="42"/>
      <c r="B50" s="43" t="s">
        <v>41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x14ac:dyDescent="0.3">
      <c r="A52" s="42"/>
      <c r="B52" s="42"/>
      <c r="C52" s="44"/>
      <c r="D52" s="42"/>
      <c r="E52" s="42" t="s">
        <v>49</v>
      </c>
      <c r="F52" s="46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3" spans="1:17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</row>
    <row r="54" spans="1:17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3"/>
  <sheetViews>
    <sheetView topLeftCell="A16" workbookViewId="0">
      <selection activeCell="B2" sqref="B2"/>
    </sheetView>
  </sheetViews>
  <sheetFormatPr defaultColWidth="11.44140625" defaultRowHeight="14.4" x14ac:dyDescent="0.3"/>
  <cols>
    <col min="1" max="2" width="11.44140625" style="1"/>
    <col min="3" max="3" width="13.109375" style="1" customWidth="1"/>
    <col min="4" max="16384" width="11.44140625" style="1"/>
  </cols>
  <sheetData>
    <row r="2" spans="2:7" ht="20.399999999999999" x14ac:dyDescent="0.35">
      <c r="B2" s="29" t="s">
        <v>17</v>
      </c>
    </row>
    <row r="5" spans="2:7" x14ac:dyDescent="0.3">
      <c r="B5" s="1" t="s">
        <v>23</v>
      </c>
    </row>
    <row r="7" spans="2:7" x14ac:dyDescent="0.3">
      <c r="C7" s="30" t="s">
        <v>18</v>
      </c>
      <c r="D7" s="1" t="s">
        <v>19</v>
      </c>
    </row>
    <row r="9" spans="2:7" x14ac:dyDescent="0.3">
      <c r="C9" s="30" t="s">
        <v>20</v>
      </c>
      <c r="D9" s="1" t="s">
        <v>21</v>
      </c>
    </row>
    <row r="10" spans="2:7" x14ac:dyDescent="0.3">
      <c r="D10" s="1" t="s">
        <v>22</v>
      </c>
    </row>
    <row r="13" spans="2:7" x14ac:dyDescent="0.3">
      <c r="C13" s="1" t="s">
        <v>26</v>
      </c>
    </row>
    <row r="14" spans="2:7" x14ac:dyDescent="0.3">
      <c r="B14" s="31" t="s">
        <v>25</v>
      </c>
    </row>
    <row r="15" spans="2:7" x14ac:dyDescent="0.3">
      <c r="C15" s="32" t="s">
        <v>24</v>
      </c>
      <c r="D15" s="32"/>
      <c r="E15" s="32"/>
      <c r="F15" s="32"/>
      <c r="G15" s="32"/>
    </row>
    <row r="17" spans="2:7" x14ac:dyDescent="0.3">
      <c r="C17" s="30" t="s">
        <v>27</v>
      </c>
    </row>
    <row r="20" spans="2:7" x14ac:dyDescent="0.3">
      <c r="B20" s="30" t="s">
        <v>32</v>
      </c>
    </row>
    <row r="21" spans="2:7" x14ac:dyDescent="0.3">
      <c r="B21" s="33"/>
      <c r="C21" s="34"/>
      <c r="D21" s="34"/>
      <c r="E21" s="34"/>
      <c r="F21" s="34"/>
      <c r="G21" s="35"/>
    </row>
    <row r="22" spans="2:7" x14ac:dyDescent="0.3">
      <c r="B22" s="36"/>
      <c r="C22" s="37"/>
      <c r="D22" s="37"/>
      <c r="E22" s="37"/>
      <c r="F22" s="37"/>
      <c r="G22" s="38"/>
    </row>
    <row r="23" spans="2:7" x14ac:dyDescent="0.3">
      <c r="B23" s="36"/>
      <c r="C23" s="37"/>
      <c r="D23" s="37"/>
      <c r="E23" s="37"/>
      <c r="F23" s="37"/>
      <c r="G23" s="38"/>
    </row>
    <row r="24" spans="2:7" x14ac:dyDescent="0.3">
      <c r="B24" s="36"/>
      <c r="C24" s="37"/>
      <c r="D24" s="37"/>
      <c r="E24" s="37"/>
      <c r="F24" s="37"/>
      <c r="G24" s="38"/>
    </row>
    <row r="25" spans="2:7" x14ac:dyDescent="0.3">
      <c r="B25" s="39"/>
      <c r="C25" s="40"/>
      <c r="D25" s="40"/>
      <c r="E25" s="40"/>
      <c r="F25" s="40"/>
      <c r="G25" s="41"/>
    </row>
    <row r="27" spans="2:7" x14ac:dyDescent="0.3">
      <c r="B27" s="1" t="s">
        <v>31</v>
      </c>
      <c r="C27"/>
    </row>
    <row r="28" spans="2:7" x14ac:dyDescent="0.3">
      <c r="B28"/>
    </row>
    <row r="29" spans="2:7" x14ac:dyDescent="0.3">
      <c r="C29" s="1" t="s">
        <v>28</v>
      </c>
    </row>
    <row r="31" spans="2:7" x14ac:dyDescent="0.3">
      <c r="C31" s="1" t="s">
        <v>30</v>
      </c>
    </row>
    <row r="33" spans="3:3" x14ac:dyDescent="0.3">
      <c r="C33" s="1" t="s">
        <v>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68"/>
  <sheetViews>
    <sheetView tabSelected="1" topLeftCell="A17" workbookViewId="0">
      <selection activeCell="C27" sqref="C27"/>
    </sheetView>
  </sheetViews>
  <sheetFormatPr defaultColWidth="11.44140625" defaultRowHeight="14.4" x14ac:dyDescent="0.3"/>
  <cols>
    <col min="1" max="2" width="11.44140625" style="1"/>
    <col min="3" max="3" width="13.109375" style="1" customWidth="1"/>
    <col min="4" max="4" width="11.44140625" style="1"/>
    <col min="5" max="5" width="17.5546875" style="1" customWidth="1"/>
    <col min="6" max="16384" width="11.44140625" style="1"/>
  </cols>
  <sheetData>
    <row r="2" spans="2:16" ht="20.399999999999999" x14ac:dyDescent="0.35">
      <c r="B2" s="29" t="s">
        <v>34</v>
      </c>
    </row>
    <row r="4" spans="2:16" x14ac:dyDescent="0.3">
      <c r="B4" s="1" t="s">
        <v>33</v>
      </c>
    </row>
    <row r="5" spans="2:16" x14ac:dyDescent="0.3">
      <c r="B5" s="1" t="s">
        <v>35</v>
      </c>
    </row>
    <row r="6" spans="2:16" x14ac:dyDescent="0.3">
      <c r="B6" s="1" t="s">
        <v>36</v>
      </c>
    </row>
    <row r="7" spans="2:16" x14ac:dyDescent="0.3">
      <c r="B7" s="1" t="s">
        <v>37</v>
      </c>
    </row>
    <row r="9" spans="2:16" x14ac:dyDescent="0.3">
      <c r="C9" s="30" t="s">
        <v>18</v>
      </c>
      <c r="D9" s="1" t="s">
        <v>102</v>
      </c>
      <c r="F9" s="1">
        <v>0.9</v>
      </c>
      <c r="I9" s="1" t="s">
        <v>24</v>
      </c>
    </row>
    <row r="10" spans="2:16" x14ac:dyDescent="0.3">
      <c r="D10" s="1" t="s">
        <v>103</v>
      </c>
      <c r="F10" s="1">
        <v>2.7</v>
      </c>
      <c r="H10" s="31" t="s">
        <v>25</v>
      </c>
    </row>
    <row r="11" spans="2:16" x14ac:dyDescent="0.3">
      <c r="D11" s="1" t="s">
        <v>104</v>
      </c>
      <c r="F11" s="1">
        <f>0.125+(0.125-0.085*(1-0.36))</f>
        <v>0.1956</v>
      </c>
      <c r="I11" s="32" t="s">
        <v>26</v>
      </c>
      <c r="J11" s="32"/>
      <c r="K11" s="32"/>
      <c r="L11" s="32"/>
      <c r="M11" s="32"/>
    </row>
    <row r="12" spans="2:16" x14ac:dyDescent="0.3">
      <c r="D12" s="1" t="s">
        <v>105</v>
      </c>
      <c r="F12" s="27">
        <v>0.33329999999999999</v>
      </c>
    </row>
    <row r="13" spans="2:16" x14ac:dyDescent="0.3">
      <c r="D13" s="1" t="s">
        <v>106</v>
      </c>
      <c r="F13" s="1">
        <v>1.45</v>
      </c>
      <c r="I13" s="30" t="s">
        <v>27</v>
      </c>
    </row>
    <row r="14" spans="2:16" x14ac:dyDescent="0.3">
      <c r="D14" s="1" t="s">
        <v>107</v>
      </c>
      <c r="F14" s="27">
        <f>F15+5.5%</f>
        <v>0.13</v>
      </c>
    </row>
    <row r="15" spans="2:16" x14ac:dyDescent="0.3">
      <c r="D15" s="1" t="s">
        <v>108</v>
      </c>
      <c r="F15" s="27">
        <v>7.4999999999999997E-2</v>
      </c>
      <c r="P15"/>
    </row>
    <row r="16" spans="2:16" x14ac:dyDescent="0.3">
      <c r="O16" s="1" t="s">
        <v>31</v>
      </c>
      <c r="P16"/>
    </row>
    <row r="17" spans="1:17" x14ac:dyDescent="0.3">
      <c r="C17" s="30" t="s">
        <v>20</v>
      </c>
      <c r="D17" s="1" t="s">
        <v>40</v>
      </c>
      <c r="F17" s="22">
        <v>0.06</v>
      </c>
      <c r="H17" s="30" t="s">
        <v>32</v>
      </c>
      <c r="O17"/>
    </row>
    <row r="18" spans="1:17" x14ac:dyDescent="0.3">
      <c r="C18" s="30"/>
      <c r="D18" s="1" t="s">
        <v>38</v>
      </c>
      <c r="F18" s="1">
        <v>1.1000000000000001</v>
      </c>
      <c r="H18" s="33"/>
      <c r="I18" s="34"/>
      <c r="J18" s="34"/>
      <c r="K18" s="34"/>
      <c r="L18" s="34"/>
      <c r="M18" s="35"/>
      <c r="P18" s="1" t="s">
        <v>28</v>
      </c>
    </row>
    <row r="19" spans="1:17" x14ac:dyDescent="0.3">
      <c r="C19" s="30"/>
      <c r="D19" s="1" t="s">
        <v>39</v>
      </c>
      <c r="F19" s="1">
        <v>0.69330000000000003</v>
      </c>
      <c r="H19" s="36"/>
      <c r="I19" s="37"/>
      <c r="J19" s="37"/>
      <c r="K19" s="37"/>
      <c r="L19" s="37"/>
      <c r="M19" s="38"/>
    </row>
    <row r="20" spans="1:17" x14ac:dyDescent="0.3">
      <c r="C20" s="30"/>
      <c r="H20" s="36"/>
      <c r="I20" s="37"/>
      <c r="J20" s="37"/>
      <c r="K20" s="37"/>
      <c r="L20" s="37"/>
      <c r="M20" s="38"/>
      <c r="P20" s="1" t="s">
        <v>30</v>
      </c>
    </row>
    <row r="21" spans="1:17" x14ac:dyDescent="0.3">
      <c r="H21" s="36"/>
      <c r="I21" s="37"/>
      <c r="J21" s="37"/>
      <c r="K21" s="37"/>
      <c r="L21" s="37"/>
      <c r="M21" s="38"/>
    </row>
    <row r="22" spans="1:17" x14ac:dyDescent="0.3">
      <c r="H22" s="39"/>
      <c r="I22" s="40"/>
      <c r="J22" s="40"/>
      <c r="K22" s="40"/>
      <c r="L22" s="40"/>
      <c r="M22" s="41"/>
      <c r="P22" s="1" t="s">
        <v>29</v>
      </c>
    </row>
    <row r="25" spans="1:17" ht="15.6" x14ac:dyDescent="0.3">
      <c r="A25" s="42"/>
      <c r="B25" s="43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3">
      <c r="A27" s="42"/>
      <c r="B27" s="42"/>
      <c r="C27" s="42">
        <f>F11*(1-F12)</f>
        <v>0.13040652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x14ac:dyDescent="0.3">
      <c r="A29" s="42"/>
      <c r="B29" s="42"/>
      <c r="C29" s="42">
        <f>$F$15+$F$13*($F$14-$F$15)</f>
        <v>0.15475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1:17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8" spans="1:17" ht="15.6" x14ac:dyDescent="0.3">
      <c r="A38" s="42"/>
      <c r="B38" s="43" t="s">
        <v>26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39" spans="1:17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3">
      <c r="A40" s="42"/>
      <c r="B40" s="42"/>
      <c r="C40" s="44">
        <f>F17</f>
        <v>0.06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x14ac:dyDescent="0.3">
      <c r="A42" s="42"/>
      <c r="B42" s="42"/>
      <c r="C42" s="42">
        <f>F15+F18*(F14-F15)</f>
        <v>0.13550000000000001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</row>
    <row r="47" spans="1:17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49" spans="1:17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</row>
    <row r="50" spans="1:17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4" spans="1:17" ht="15.6" x14ac:dyDescent="0.3">
      <c r="A54" s="42"/>
      <c r="B54" s="43" t="s">
        <v>41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x14ac:dyDescent="0.3">
      <c r="A56" s="42"/>
      <c r="B56" s="42"/>
      <c r="C56" s="4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</row>
    <row r="65" spans="1:17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</row>
    <row r="66" spans="1:17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</row>
    <row r="67" spans="1:17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</row>
    <row r="68" spans="1:17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E3CA-A6D5-4469-B71A-0762E3FB20E9}">
  <dimension ref="A2:O68"/>
  <sheetViews>
    <sheetView workbookViewId="0">
      <selection activeCell="D32" sqref="D32"/>
    </sheetView>
  </sheetViews>
  <sheetFormatPr defaultColWidth="9.109375" defaultRowHeight="14.4" x14ac:dyDescent="0.3"/>
  <cols>
    <col min="1" max="2" width="9.109375" style="1"/>
    <col min="3" max="3" width="13.109375" style="1" customWidth="1"/>
    <col min="4" max="4" width="9.109375" style="1"/>
    <col min="5" max="5" width="11.6640625" style="1" customWidth="1"/>
    <col min="6" max="7" width="9.109375" style="1"/>
    <col min="8" max="8" width="11.88671875" style="1" customWidth="1"/>
    <col min="9" max="9" width="13.6640625" style="1" customWidth="1"/>
    <col min="10" max="10" width="16.33203125" style="1" customWidth="1"/>
    <col min="11" max="13" width="13.5546875" style="1" customWidth="1"/>
    <col min="14" max="14" width="9.109375" style="1"/>
    <col min="15" max="15" width="11.77734375" style="1" customWidth="1"/>
    <col min="16" max="16384" width="9.109375" style="1"/>
  </cols>
  <sheetData>
    <row r="2" spans="2:13" ht="20.399999999999999" x14ac:dyDescent="0.35">
      <c r="B2" s="29" t="s">
        <v>34</v>
      </c>
    </row>
    <row r="4" spans="2:13" x14ac:dyDescent="0.3">
      <c r="B4" s="1" t="s">
        <v>112</v>
      </c>
    </row>
    <row r="5" spans="2:13" x14ac:dyDescent="0.3">
      <c r="B5" s="1" t="s">
        <v>35</v>
      </c>
    </row>
    <row r="6" spans="2:13" x14ac:dyDescent="0.3">
      <c r="B6" s="1" t="s">
        <v>36</v>
      </c>
    </row>
    <row r="7" spans="2:13" x14ac:dyDescent="0.3">
      <c r="B7" s="1" t="s">
        <v>37</v>
      </c>
    </row>
    <row r="9" spans="2:13" x14ac:dyDescent="0.3">
      <c r="D9" s="30" t="s">
        <v>111</v>
      </c>
      <c r="E9" s="30"/>
      <c r="F9" s="30"/>
      <c r="G9" s="30"/>
      <c r="J9" s="30" t="s">
        <v>110</v>
      </c>
    </row>
    <row r="10" spans="2:13" x14ac:dyDescent="0.3">
      <c r="D10" s="30"/>
      <c r="E10" s="30"/>
      <c r="F10" s="30"/>
      <c r="G10" s="30"/>
    </row>
    <row r="11" spans="2:13" x14ac:dyDescent="0.3">
      <c r="C11" s="30" t="s">
        <v>18</v>
      </c>
      <c r="D11" s="1" t="s">
        <v>102</v>
      </c>
      <c r="G11" s="1">
        <v>0.9</v>
      </c>
    </row>
    <row r="12" spans="2:13" x14ac:dyDescent="0.3">
      <c r="D12" s="1" t="s">
        <v>103</v>
      </c>
      <c r="G12" s="1">
        <v>2.7</v>
      </c>
      <c r="J12" s="1" t="s">
        <v>109</v>
      </c>
      <c r="M12" s="1">
        <v>29.07</v>
      </c>
    </row>
    <row r="13" spans="2:13" x14ac:dyDescent="0.3">
      <c r="D13" s="1" t="s">
        <v>104</v>
      </c>
      <c r="G13" s="1">
        <f>0.125+(0.125-0.085*(1-0.36))</f>
        <v>0.1956</v>
      </c>
      <c r="J13" s="1" t="s">
        <v>104</v>
      </c>
      <c r="M13" s="22">
        <v>0.15</v>
      </c>
    </row>
    <row r="14" spans="2:13" x14ac:dyDescent="0.3">
      <c r="D14" s="1" t="s">
        <v>105</v>
      </c>
      <c r="G14" s="27">
        <v>0.33329999999999999</v>
      </c>
      <c r="J14" s="1" t="s">
        <v>105</v>
      </c>
      <c r="M14" s="22">
        <v>0.4</v>
      </c>
    </row>
    <row r="15" spans="2:13" x14ac:dyDescent="0.3">
      <c r="D15" s="1" t="s">
        <v>106</v>
      </c>
      <c r="G15" s="1">
        <v>1.45</v>
      </c>
      <c r="J15" s="1" t="s">
        <v>106</v>
      </c>
      <c r="M15" s="1" t="s">
        <v>113</v>
      </c>
    </row>
    <row r="16" spans="2:13" x14ac:dyDescent="0.3">
      <c r="D16" s="1" t="s">
        <v>107</v>
      </c>
      <c r="G16" s="27">
        <f>G17+5.5%</f>
        <v>0.13</v>
      </c>
      <c r="J16" s="1" t="s">
        <v>107</v>
      </c>
      <c r="M16" s="1" t="s">
        <v>113</v>
      </c>
    </row>
    <row r="17" spans="1:15" x14ac:dyDescent="0.3">
      <c r="D17" s="1" t="s">
        <v>108</v>
      </c>
      <c r="G17" s="27">
        <v>7.4999999999999997E-2</v>
      </c>
      <c r="J17" s="1" t="s">
        <v>108</v>
      </c>
      <c r="M17" s="1" t="s">
        <v>113</v>
      </c>
    </row>
    <row r="19" spans="1:15" x14ac:dyDescent="0.3">
      <c r="C19" s="30" t="s">
        <v>20</v>
      </c>
      <c r="D19" s="1" t="s">
        <v>40</v>
      </c>
      <c r="G19" s="22">
        <v>0.06</v>
      </c>
      <c r="J19" s="1" t="s">
        <v>104</v>
      </c>
      <c r="M19" s="22">
        <v>0.13</v>
      </c>
    </row>
    <row r="20" spans="1:15" x14ac:dyDescent="0.3">
      <c r="C20" s="30"/>
      <c r="D20" s="1" t="s">
        <v>38</v>
      </c>
      <c r="G20" s="1">
        <v>1.1000000000000001</v>
      </c>
      <c r="J20" s="1" t="s">
        <v>106</v>
      </c>
      <c r="M20" s="1" t="s">
        <v>113</v>
      </c>
    </row>
    <row r="21" spans="1:15" x14ac:dyDescent="0.3">
      <c r="C21" s="30"/>
      <c r="D21" s="1" t="s">
        <v>39</v>
      </c>
      <c r="G21" s="1">
        <v>0.69330000000000003</v>
      </c>
      <c r="J21" s="1" t="s">
        <v>105</v>
      </c>
      <c r="M21" s="22">
        <v>0.7</v>
      </c>
    </row>
    <row r="23" spans="1:15" ht="15" thickBot="1" x14ac:dyDescent="0.35">
      <c r="C23" s="51"/>
    </row>
    <row r="24" spans="1:15" ht="43.8" thickBot="1" x14ac:dyDescent="0.35">
      <c r="B24" s="52"/>
      <c r="C24" s="53" t="s">
        <v>73</v>
      </c>
      <c r="D24" s="53" t="s">
        <v>74</v>
      </c>
      <c r="E24" s="54" t="s">
        <v>75</v>
      </c>
      <c r="G24" s="55" t="s">
        <v>76</v>
      </c>
      <c r="H24" s="53" t="s">
        <v>77</v>
      </c>
      <c r="I24" s="53" t="s">
        <v>78</v>
      </c>
      <c r="J24" s="54" t="s">
        <v>79</v>
      </c>
      <c r="K24" s="56" t="s">
        <v>80</v>
      </c>
      <c r="L24" s="56" t="s">
        <v>81</v>
      </c>
      <c r="M24" s="56" t="s">
        <v>82</v>
      </c>
      <c r="O24" s="56" t="s">
        <v>83</v>
      </c>
    </row>
    <row r="25" spans="1:15" x14ac:dyDescent="0.3">
      <c r="B25" s="57">
        <v>-1</v>
      </c>
      <c r="C25" s="58">
        <f>D26/0.15</f>
        <v>26.666666666666668</v>
      </c>
      <c r="E25" s="58"/>
    </row>
    <row r="26" spans="1:15" x14ac:dyDescent="0.3">
      <c r="A26" s="28">
        <f>C25*G26</f>
        <v>4</v>
      </c>
      <c r="B26" s="57">
        <v>0</v>
      </c>
      <c r="C26" s="58">
        <f>C25*(1+0.09)</f>
        <v>29.06666666666667</v>
      </c>
      <c r="D26" s="58">
        <v>4</v>
      </c>
      <c r="E26" s="58">
        <f>D26*0.4</f>
        <v>1.6</v>
      </c>
      <c r="G26" s="27">
        <f>D26/C25</f>
        <v>0.15</v>
      </c>
      <c r="H26" s="27">
        <f>E26/D26</f>
        <v>0.4</v>
      </c>
      <c r="I26" s="27">
        <f>1-H26</f>
        <v>0.6</v>
      </c>
      <c r="J26" s="27">
        <f>G26*I26</f>
        <v>0.09</v>
      </c>
      <c r="K26" s="27">
        <f>(C26-C25)/C25</f>
        <v>9.000000000000008E-2</v>
      </c>
      <c r="L26" s="27"/>
      <c r="M26" s="27"/>
      <c r="O26" s="1">
        <v>4</v>
      </c>
    </row>
    <row r="27" spans="1:15" x14ac:dyDescent="0.3">
      <c r="A27" s="28">
        <f t="shared" ref="A27:A33" si="0">C26*G27</f>
        <v>4.3600000000000003</v>
      </c>
      <c r="B27" s="57">
        <v>1</v>
      </c>
      <c r="C27" s="58">
        <f t="shared" ref="C27:D31" si="1">C26*(1+0.09)</f>
        <v>31.682666666666673</v>
      </c>
      <c r="D27" s="58">
        <f>D26*(1+0.09)</f>
        <v>4.3600000000000003</v>
      </c>
      <c r="E27" s="58">
        <f t="shared" ref="E27:E31" si="2">D27*0.4</f>
        <v>1.7440000000000002</v>
      </c>
      <c r="G27" s="27">
        <f t="shared" ref="G27:G30" si="3">D27/C26</f>
        <v>0.15</v>
      </c>
      <c r="H27" s="27">
        <f t="shared" ref="H27:H33" si="4">E27/D27</f>
        <v>0.4</v>
      </c>
      <c r="I27" s="27">
        <f t="shared" ref="I27:I31" si="5">1-H27</f>
        <v>0.6</v>
      </c>
      <c r="J27" s="27">
        <f t="shared" ref="J27:J33" si="6">G27*I27</f>
        <v>0.09</v>
      </c>
      <c r="K27" s="27">
        <f t="shared" ref="K27:M33" si="7">(C27-C26)/C26</f>
        <v>9.0000000000000094E-2</v>
      </c>
      <c r="L27" s="27">
        <f>(D27-D26)/D26</f>
        <v>9.000000000000008E-2</v>
      </c>
      <c r="M27" s="27">
        <f>(E27-E26)/E26</f>
        <v>9.000000000000008E-2</v>
      </c>
      <c r="O27" s="28">
        <f>O26*(1+J27)</f>
        <v>4.3600000000000003</v>
      </c>
    </row>
    <row r="28" spans="1:15" x14ac:dyDescent="0.3">
      <c r="A28" s="28">
        <f t="shared" si="0"/>
        <v>4.7524000000000006</v>
      </c>
      <c r="B28" s="57">
        <v>2</v>
      </c>
      <c r="C28" s="58">
        <f t="shared" si="1"/>
        <v>34.534106666666673</v>
      </c>
      <c r="D28" s="58">
        <f t="shared" si="1"/>
        <v>4.7524000000000006</v>
      </c>
      <c r="E28" s="58">
        <f t="shared" si="2"/>
        <v>1.9009600000000004</v>
      </c>
      <c r="G28" s="27">
        <f t="shared" si="3"/>
        <v>0.15</v>
      </c>
      <c r="H28" s="27">
        <f t="shared" si="4"/>
        <v>0.4</v>
      </c>
      <c r="I28" s="27">
        <f t="shared" si="5"/>
        <v>0.6</v>
      </c>
      <c r="J28" s="27">
        <f t="shared" si="6"/>
        <v>0.09</v>
      </c>
      <c r="K28" s="27">
        <f t="shared" si="7"/>
        <v>8.9999999999999983E-2</v>
      </c>
      <c r="L28" s="27">
        <f t="shared" si="7"/>
        <v>9.0000000000000066E-2</v>
      </c>
      <c r="M28" s="27">
        <f t="shared" si="7"/>
        <v>9.0000000000000108E-2</v>
      </c>
      <c r="O28" s="28">
        <f t="shared" ref="O28:O33" si="8">O27*(1+J28)</f>
        <v>4.7524000000000006</v>
      </c>
    </row>
    <row r="29" spans="1:15" x14ac:dyDescent="0.3">
      <c r="A29" s="28">
        <f t="shared" si="0"/>
        <v>5.1801160000000008</v>
      </c>
      <c r="B29" s="57">
        <v>3</v>
      </c>
      <c r="C29" s="58">
        <f t="shared" si="1"/>
        <v>37.642176266666674</v>
      </c>
      <c r="D29" s="58">
        <f t="shared" si="1"/>
        <v>5.1801160000000008</v>
      </c>
      <c r="E29" s="58">
        <f t="shared" si="2"/>
        <v>2.0720464000000005</v>
      </c>
      <c r="G29" s="27">
        <f t="shared" si="3"/>
        <v>0.15</v>
      </c>
      <c r="H29" s="27">
        <f>E29/D29</f>
        <v>0.4</v>
      </c>
      <c r="I29" s="27">
        <f t="shared" si="5"/>
        <v>0.6</v>
      </c>
      <c r="J29" s="27">
        <f t="shared" si="6"/>
        <v>0.09</v>
      </c>
      <c r="K29" s="27">
        <f t="shared" si="7"/>
        <v>0.09</v>
      </c>
      <c r="L29" s="27">
        <f t="shared" si="7"/>
        <v>9.0000000000000038E-2</v>
      </c>
      <c r="M29" s="27">
        <f t="shared" si="7"/>
        <v>9.0000000000000024E-2</v>
      </c>
      <c r="O29" s="28">
        <f t="shared" si="8"/>
        <v>5.1801160000000008</v>
      </c>
    </row>
    <row r="30" spans="1:15" x14ac:dyDescent="0.3">
      <c r="A30" s="28">
        <f t="shared" si="0"/>
        <v>5.6463264400000011</v>
      </c>
      <c r="B30" s="57">
        <v>4</v>
      </c>
      <c r="C30" s="58">
        <f t="shared" si="1"/>
        <v>41.029972130666678</v>
      </c>
      <c r="D30" s="58">
        <f t="shared" si="1"/>
        <v>5.6463264400000011</v>
      </c>
      <c r="E30" s="58">
        <f t="shared" si="2"/>
        <v>2.2585305760000005</v>
      </c>
      <c r="G30" s="27">
        <f t="shared" si="3"/>
        <v>0.15</v>
      </c>
      <c r="H30" s="27">
        <f t="shared" si="4"/>
        <v>0.4</v>
      </c>
      <c r="I30" s="27">
        <f t="shared" si="5"/>
        <v>0.6</v>
      </c>
      <c r="J30" s="27">
        <f t="shared" si="6"/>
        <v>0.09</v>
      </c>
      <c r="K30" s="27">
        <f t="shared" si="7"/>
        <v>9.0000000000000108E-2</v>
      </c>
      <c r="L30" s="27">
        <f t="shared" si="7"/>
        <v>9.0000000000000024E-2</v>
      </c>
      <c r="M30" s="27">
        <f t="shared" si="7"/>
        <v>8.9999999999999983E-2</v>
      </c>
      <c r="O30" s="28">
        <f t="shared" si="8"/>
        <v>5.6463264400000011</v>
      </c>
    </row>
    <row r="31" spans="1:15" x14ac:dyDescent="0.3">
      <c r="A31" s="28">
        <f t="shared" si="0"/>
        <v>6.1544958196000019</v>
      </c>
      <c r="B31" s="57">
        <v>5</v>
      </c>
      <c r="C31" s="58">
        <f t="shared" si="1"/>
        <v>44.722669622426686</v>
      </c>
      <c r="D31" s="58">
        <f>D30*(1+0.09)</f>
        <v>6.1544958196000019</v>
      </c>
      <c r="E31" s="58">
        <f t="shared" si="2"/>
        <v>2.4617983278400009</v>
      </c>
      <c r="G31" s="27">
        <f>D31/C30</f>
        <v>0.15</v>
      </c>
      <c r="H31" s="27">
        <f>E31/D31</f>
        <v>0.4</v>
      </c>
      <c r="I31" s="27">
        <f t="shared" si="5"/>
        <v>0.6</v>
      </c>
      <c r="J31" s="27">
        <f t="shared" si="6"/>
        <v>0.09</v>
      </c>
      <c r="K31" s="27">
        <f t="shared" si="7"/>
        <v>9.0000000000000163E-2</v>
      </c>
      <c r="L31" s="27">
        <f t="shared" si="7"/>
        <v>9.0000000000000135E-2</v>
      </c>
      <c r="M31" s="27">
        <f t="shared" si="7"/>
        <v>9.0000000000000135E-2</v>
      </c>
      <c r="O31" s="28">
        <f t="shared" si="8"/>
        <v>6.1544958196000019</v>
      </c>
    </row>
    <row r="32" spans="1:15" x14ac:dyDescent="0.3">
      <c r="A32" s="28">
        <f t="shared" si="0"/>
        <v>5.8139470509154698</v>
      </c>
      <c r="B32" s="57">
        <v>6</v>
      </c>
      <c r="C32" s="58">
        <f>C31*(1.039)</f>
        <v>46.466853737701321</v>
      </c>
      <c r="D32" s="58">
        <f>C31*0.13</f>
        <v>5.8139470509154698</v>
      </c>
      <c r="E32" s="58">
        <f>D32*0.7</f>
        <v>4.0697629356408287</v>
      </c>
      <c r="G32" s="27">
        <f>D32/C31</f>
        <v>0.13</v>
      </c>
      <c r="H32" s="27">
        <f t="shared" si="4"/>
        <v>0.7</v>
      </c>
      <c r="I32" s="27">
        <f>1-H32</f>
        <v>0.30000000000000004</v>
      </c>
      <c r="J32" s="27">
        <f>G32*I32</f>
        <v>3.9000000000000007E-2</v>
      </c>
      <c r="K32" s="27">
        <f t="shared" si="7"/>
        <v>3.8999999999999868E-2</v>
      </c>
      <c r="L32" s="27">
        <f t="shared" si="7"/>
        <v>-5.5333333333333116E-2</v>
      </c>
      <c r="M32" s="27">
        <f>(E32-E31)/E31</f>
        <v>0.6531666666666669</v>
      </c>
      <c r="O32" s="28">
        <f t="shared" si="8"/>
        <v>6.3945211565644016</v>
      </c>
    </row>
    <row r="33" spans="1:15" ht="15" thickBot="1" x14ac:dyDescent="0.35">
      <c r="A33" s="28">
        <f t="shared" si="0"/>
        <v>6.0406909859011728</v>
      </c>
      <c r="B33" s="59">
        <v>7</v>
      </c>
      <c r="C33" s="58">
        <f>C32*(1.039)</f>
        <v>48.27906103347167</v>
      </c>
      <c r="D33" s="58">
        <f>D32*(1+0.039)</f>
        <v>6.0406909859011728</v>
      </c>
      <c r="E33" s="58">
        <f>D33*0.7</f>
        <v>4.2284836901308207</v>
      </c>
      <c r="G33" s="27">
        <f>D33/C32</f>
        <v>0.13000000000000003</v>
      </c>
      <c r="H33" s="27">
        <f t="shared" si="4"/>
        <v>0.7</v>
      </c>
      <c r="I33" s="27">
        <f>1-H33</f>
        <v>0.30000000000000004</v>
      </c>
      <c r="J33" s="27">
        <f t="shared" si="6"/>
        <v>3.9000000000000014E-2</v>
      </c>
      <c r="K33" s="27">
        <f>(C33-C32)/C32</f>
        <v>3.8999999999999958E-2</v>
      </c>
      <c r="L33" s="27">
        <f>(D33-D32)/D32</f>
        <v>3.8999999999999944E-2</v>
      </c>
      <c r="M33" s="27">
        <f t="shared" si="7"/>
        <v>3.8999999999999924E-2</v>
      </c>
      <c r="O33" s="28">
        <f t="shared" si="8"/>
        <v>6.6439074816704125</v>
      </c>
    </row>
    <row r="34" spans="1:15" x14ac:dyDescent="0.3">
      <c r="B34" s="30"/>
      <c r="C34" s="58"/>
      <c r="D34" s="58"/>
      <c r="E34" s="58"/>
    </row>
    <row r="35" spans="1:15" x14ac:dyDescent="0.3">
      <c r="B35" s="30"/>
      <c r="C35" s="58"/>
      <c r="D35" s="58"/>
      <c r="E35" s="58"/>
    </row>
    <row r="36" spans="1:15" x14ac:dyDescent="0.3">
      <c r="B36" s="30" t="s">
        <v>84</v>
      </c>
      <c r="C36" s="58"/>
      <c r="D36" s="58"/>
      <c r="E36" s="58"/>
    </row>
    <row r="37" spans="1:15" x14ac:dyDescent="0.3">
      <c r="B37" s="30" t="s">
        <v>85</v>
      </c>
      <c r="C37" s="58"/>
      <c r="D37" s="58"/>
      <c r="E37" s="58"/>
    </row>
    <row r="38" spans="1:15" x14ac:dyDescent="0.3">
      <c r="B38" s="30" t="s">
        <v>86</v>
      </c>
      <c r="C38" s="58"/>
      <c r="D38" s="58"/>
      <c r="E38" s="58"/>
    </row>
    <row r="39" spans="1:15" x14ac:dyDescent="0.3">
      <c r="B39" s="30" t="s">
        <v>87</v>
      </c>
      <c r="C39" s="58"/>
      <c r="D39" s="58"/>
      <c r="E39" s="58"/>
    </row>
    <row r="40" spans="1:15" x14ac:dyDescent="0.3">
      <c r="B40" s="30" t="s">
        <v>88</v>
      </c>
      <c r="C40" s="58"/>
      <c r="D40" s="58"/>
      <c r="E40" s="58"/>
    </row>
    <row r="41" spans="1:15" x14ac:dyDescent="0.3">
      <c r="B41" s="30"/>
      <c r="C41" s="58"/>
      <c r="D41" s="58"/>
      <c r="E41" s="58"/>
    </row>
    <row r="42" spans="1:15" x14ac:dyDescent="0.3">
      <c r="B42" s="30" t="s">
        <v>89</v>
      </c>
      <c r="C42" s="58"/>
      <c r="D42" s="58"/>
      <c r="E42" s="58"/>
    </row>
    <row r="43" spans="1:15" x14ac:dyDescent="0.3">
      <c r="B43" s="30"/>
      <c r="C43" s="58"/>
      <c r="D43" s="58"/>
      <c r="E43" s="58"/>
    </row>
    <row r="44" spans="1:15" x14ac:dyDescent="0.3">
      <c r="B44" s="30" t="s">
        <v>90</v>
      </c>
      <c r="C44" s="58"/>
      <c r="D44" s="58"/>
      <c r="E44" s="58" t="s">
        <v>91</v>
      </c>
      <c r="F44" s="30" t="s">
        <v>101</v>
      </c>
    </row>
    <row r="45" spans="1:15" x14ac:dyDescent="0.3">
      <c r="B45" s="30"/>
      <c r="C45" s="58"/>
      <c r="D45" s="58"/>
      <c r="E45" s="58"/>
    </row>
    <row r="46" spans="1:15" x14ac:dyDescent="0.3">
      <c r="B46" s="30" t="s">
        <v>92</v>
      </c>
      <c r="F46" s="30" t="s">
        <v>93</v>
      </c>
    </row>
    <row r="47" spans="1:15" x14ac:dyDescent="0.3">
      <c r="B47" s="30" t="s">
        <v>93</v>
      </c>
      <c r="F47" s="30" t="s">
        <v>94</v>
      </c>
    </row>
    <row r="48" spans="1:15" x14ac:dyDescent="0.3">
      <c r="B48" s="30" t="s">
        <v>95</v>
      </c>
      <c r="F48" s="30" t="s">
        <v>96</v>
      </c>
    </row>
    <row r="49" spans="2:10" x14ac:dyDescent="0.3">
      <c r="B49" s="30"/>
    </row>
    <row r="50" spans="2:10" x14ac:dyDescent="0.3">
      <c r="B50" s="30"/>
    </row>
    <row r="51" spans="2:10" s="51" customFormat="1" ht="15" thickBot="1" x14ac:dyDescent="0.35"/>
    <row r="53" spans="2:10" x14ac:dyDescent="0.3">
      <c r="B53" s="1" t="s">
        <v>97</v>
      </c>
    </row>
    <row r="54" spans="2:10" ht="15" thickBot="1" x14ac:dyDescent="0.35"/>
    <row r="55" spans="2:10" ht="29.4" thickBot="1" x14ac:dyDescent="0.35">
      <c r="B55" s="60"/>
      <c r="C55" s="53" t="s">
        <v>73</v>
      </c>
      <c r="D55" s="53" t="s">
        <v>74</v>
      </c>
      <c r="E55" s="54" t="s">
        <v>75</v>
      </c>
      <c r="F55" s="61"/>
      <c r="G55" s="55" t="s">
        <v>76</v>
      </c>
      <c r="H55" s="53" t="s">
        <v>77</v>
      </c>
      <c r="I55" s="53" t="s">
        <v>78</v>
      </c>
      <c r="J55" s="54" t="s">
        <v>79</v>
      </c>
    </row>
    <row r="56" spans="2:10" x14ac:dyDescent="0.3">
      <c r="B56" s="57">
        <v>-1</v>
      </c>
      <c r="C56" s="58">
        <f>D57/0.15</f>
        <v>26.666666666666668</v>
      </c>
      <c r="E56" s="58"/>
    </row>
    <row r="57" spans="2:10" x14ac:dyDescent="0.3">
      <c r="B57" s="57">
        <v>0</v>
      </c>
      <c r="C57" s="58">
        <f>C56*(1+0.09)</f>
        <v>29.06666666666667</v>
      </c>
      <c r="D57" s="58">
        <v>4</v>
      </c>
      <c r="E57" s="58">
        <f>D57*0.4</f>
        <v>1.6</v>
      </c>
      <c r="G57" s="62">
        <f>D57/C56</f>
        <v>0.15</v>
      </c>
      <c r="H57" s="62">
        <f>E57/D57</f>
        <v>0.4</v>
      </c>
      <c r="I57" s="62">
        <f>1-H57</f>
        <v>0.6</v>
      </c>
      <c r="J57" s="62">
        <f>G57*I57</f>
        <v>0.09</v>
      </c>
    </row>
    <row r="58" spans="2:10" x14ac:dyDescent="0.3">
      <c r="B58" s="57">
        <v>1</v>
      </c>
      <c r="C58" s="58">
        <f t="shared" ref="C58:D62" si="9">C57*(1+0.09)</f>
        <v>31.682666666666673</v>
      </c>
      <c r="D58" s="58">
        <f>D57*(1+0.09)</f>
        <v>4.3600000000000003</v>
      </c>
      <c r="E58" s="58">
        <f t="shared" ref="E58:E62" si="10">D58*0.4</f>
        <v>1.7440000000000002</v>
      </c>
      <c r="G58" s="62">
        <f t="shared" ref="G58:G63" si="11">D58/C57</f>
        <v>0.15</v>
      </c>
      <c r="H58" s="62">
        <f t="shared" ref="H58:H63" si="12">E58/D58</f>
        <v>0.4</v>
      </c>
      <c r="I58" s="62">
        <f t="shared" ref="I58:I63" si="13">1-H58</f>
        <v>0.6</v>
      </c>
      <c r="J58" s="62">
        <f t="shared" ref="J58:J62" si="14">G58*I58</f>
        <v>0.09</v>
      </c>
    </row>
    <row r="59" spans="2:10" x14ac:dyDescent="0.3">
      <c r="B59" s="57">
        <v>2</v>
      </c>
      <c r="C59" s="58">
        <f t="shared" si="9"/>
        <v>34.534106666666673</v>
      </c>
      <c r="D59" s="58">
        <f t="shared" si="9"/>
        <v>4.7524000000000006</v>
      </c>
      <c r="E59" s="58">
        <f t="shared" si="10"/>
        <v>1.9009600000000004</v>
      </c>
      <c r="G59" s="62">
        <f>D59/C58</f>
        <v>0.15</v>
      </c>
      <c r="H59" s="62">
        <f t="shared" si="12"/>
        <v>0.4</v>
      </c>
      <c r="I59" s="62">
        <f t="shared" si="13"/>
        <v>0.6</v>
      </c>
      <c r="J59" s="62">
        <f t="shared" si="14"/>
        <v>0.09</v>
      </c>
    </row>
    <row r="60" spans="2:10" x14ac:dyDescent="0.3">
      <c r="B60" s="57">
        <v>3</v>
      </c>
      <c r="C60" s="58">
        <f t="shared" si="9"/>
        <v>37.642176266666674</v>
      </c>
      <c r="D60" s="58">
        <f t="shared" si="9"/>
        <v>5.1801160000000008</v>
      </c>
      <c r="E60" s="58">
        <f t="shared" si="10"/>
        <v>2.0720464000000005</v>
      </c>
      <c r="G60" s="62">
        <f t="shared" si="11"/>
        <v>0.15</v>
      </c>
      <c r="H60" s="62">
        <f t="shared" si="12"/>
        <v>0.4</v>
      </c>
      <c r="I60" s="62">
        <f t="shared" si="13"/>
        <v>0.6</v>
      </c>
      <c r="J60" s="62">
        <f t="shared" si="14"/>
        <v>0.09</v>
      </c>
    </row>
    <row r="61" spans="2:10" x14ac:dyDescent="0.3">
      <c r="B61" s="57">
        <v>4</v>
      </c>
      <c r="C61" s="58">
        <f t="shared" si="9"/>
        <v>41.029972130666678</v>
      </c>
      <c r="D61" s="58">
        <f t="shared" si="9"/>
        <v>5.6463264400000011</v>
      </c>
      <c r="E61" s="58">
        <f t="shared" si="10"/>
        <v>2.2585305760000005</v>
      </c>
      <c r="G61" s="62">
        <f t="shared" si="11"/>
        <v>0.15</v>
      </c>
      <c r="H61" s="62">
        <f t="shared" si="12"/>
        <v>0.4</v>
      </c>
      <c r="I61" s="62">
        <f t="shared" si="13"/>
        <v>0.6</v>
      </c>
      <c r="J61" s="62">
        <f t="shared" si="14"/>
        <v>0.09</v>
      </c>
    </row>
    <row r="62" spans="2:10" x14ac:dyDescent="0.3">
      <c r="B62" s="57">
        <v>5</v>
      </c>
      <c r="C62" s="58">
        <f>C61*(1+0.09)</f>
        <v>44.722669622426686</v>
      </c>
      <c r="D62" s="58">
        <f t="shared" si="9"/>
        <v>6.1544958196000019</v>
      </c>
      <c r="E62" s="58">
        <f t="shared" si="10"/>
        <v>2.4617983278400009</v>
      </c>
      <c r="G62" s="62">
        <f t="shared" si="11"/>
        <v>0.15</v>
      </c>
      <c r="H62" s="62">
        <f t="shared" si="12"/>
        <v>0.4</v>
      </c>
      <c r="I62" s="62">
        <f t="shared" si="13"/>
        <v>0.6</v>
      </c>
      <c r="J62" s="62">
        <f t="shared" si="14"/>
        <v>0.09</v>
      </c>
    </row>
    <row r="63" spans="2:10" x14ac:dyDescent="0.3">
      <c r="B63" s="57">
        <v>6</v>
      </c>
      <c r="C63" s="58"/>
      <c r="D63" s="58">
        <f>D62*(1+0.039)</f>
        <v>6.3945211565644016</v>
      </c>
      <c r="E63" s="58">
        <f>D63*0.7</f>
        <v>4.4761648095950806</v>
      </c>
      <c r="G63" s="62">
        <f t="shared" si="11"/>
        <v>0.14298165137614677</v>
      </c>
      <c r="H63" s="62">
        <f t="shared" si="12"/>
        <v>0.7</v>
      </c>
      <c r="I63" s="62">
        <f t="shared" si="13"/>
        <v>0.30000000000000004</v>
      </c>
      <c r="J63" s="62">
        <f>G63*I63</f>
        <v>4.2894495412844034E-2</v>
      </c>
    </row>
    <row r="64" spans="2:10" ht="15" thickBot="1" x14ac:dyDescent="0.35">
      <c r="B64" s="59">
        <v>7</v>
      </c>
      <c r="C64" s="58"/>
      <c r="D64" s="58"/>
      <c r="E64" s="58"/>
      <c r="G64" s="62"/>
      <c r="H64" s="62"/>
      <c r="I64" s="62"/>
      <c r="J64" s="62"/>
    </row>
    <row r="67" spans="2:6" x14ac:dyDescent="0.3">
      <c r="B67" s="1" t="s">
        <v>98</v>
      </c>
      <c r="D67" s="1">
        <f>D63/C62</f>
        <v>0.14298165137614677</v>
      </c>
      <c r="F67" s="1" t="s">
        <v>99</v>
      </c>
    </row>
    <row r="68" spans="2:6" x14ac:dyDescent="0.3">
      <c r="B68" s="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Ejemplos anterior</vt:lpstr>
      <vt:lpstr>VANOC</vt:lpstr>
      <vt:lpstr>Acciones Preferidas</vt:lpstr>
      <vt:lpstr>Ejemplo Acc Pref</vt:lpstr>
      <vt:lpstr>DDM poryectado</vt:lpstr>
      <vt:lpstr>Ejemplo 1</vt:lpstr>
      <vt:lpstr>DDM dos etapas</vt:lpstr>
      <vt:lpstr>Ejemplo 2</vt:lpstr>
      <vt:lpstr>Ejemplo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TRUCCO</dc:creator>
  <cp:lastModifiedBy>Agustin Trucco</cp:lastModifiedBy>
  <dcterms:created xsi:type="dcterms:W3CDTF">2017-10-23T00:00:30Z</dcterms:created>
  <dcterms:modified xsi:type="dcterms:W3CDTF">2023-05-29T12:29:50Z</dcterms:modified>
</cp:coreProperties>
</file>