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d.docs.live.net/d55e916249d8decc/Documents/UDESA/05/MercadoCapitales/"/>
    </mc:Choice>
  </mc:AlternateContent>
  <xr:revisionPtr revIDLastSave="3555" documentId="8_{17205FEF-3A7E-6D45-B258-BFCD828F9AB6}" xr6:coauthVersionLast="47" xr6:coauthVersionMax="47" xr10:uidLastSave="{E4CDF566-8BF3-9543-93F4-CB1C2FD3723C}"/>
  <bookViews>
    <workbookView xWindow="0" yWindow="740" windowWidth="30240" windowHeight="18900" activeTab="5" xr2:uid="{7729CC46-FC4F-B54B-A182-CCBEB5273197}"/>
  </bookViews>
  <sheets>
    <sheet name="TEMPLATE" sheetId="5" r:id="rId1"/>
    <sheet name="SERIES " sheetId="4" r:id="rId2"/>
    <sheet name="DUMRAUF" sheetId="2" r:id="rId3"/>
    <sheet name="SANTA_EMILIA" sheetId="7" r:id="rId4"/>
    <sheet name="EJ_NOCAPS" sheetId="3" r:id="rId5"/>
    <sheet name="EJ_CAPS" sheetId="6" r:id="rId6"/>
    <sheet name="YPF_ON_PROGRA" sheetId="1" r:id="rId7"/>
    <sheet name="TEST PROG" sheetId="9" r:id="rId8"/>
    <sheet name="AE38" sheetId="10" r:id="rId9"/>
    <sheet name="CP170" sheetId="12" r:id="rId10"/>
    <sheet name="CP170 (2)" sheetId="14" r:id="rId11"/>
    <sheet name="Port" sheetId="16" r:id="rId12"/>
    <sheet name="Port (2)" sheetId="17" r:id="rId13"/>
  </sheets>
  <definedNames>
    <definedName name="solver_adj" localSheetId="8" hidden="1">'AE38'!$AB$42</definedName>
    <definedName name="solver_adj" localSheetId="9" hidden="1">'CP170'!$Y$12</definedName>
    <definedName name="solver_adj" localSheetId="10" hidden="1">'CP170 (2)'!$AG$12</definedName>
    <definedName name="solver_adj" localSheetId="2" hidden="1">DUMRAUF!$U$53</definedName>
    <definedName name="solver_adj" localSheetId="4" hidden="1">EJ_NOCAPS!$U$9</definedName>
    <definedName name="solver_adj" localSheetId="11" hidden="1">Port!$AG$12</definedName>
    <definedName name="solver_adj" localSheetId="12" hidden="1">'Port (2)'!$AG$12</definedName>
    <definedName name="solver_adj" localSheetId="6" hidden="1">YPF_ON_PROGRA!$AB$6</definedName>
    <definedName name="solver_cvg" localSheetId="8" hidden="1">0.0001</definedName>
    <definedName name="solver_cvg" localSheetId="9" hidden="1">0.0001</definedName>
    <definedName name="solver_cvg" localSheetId="10" hidden="1">0.0001</definedName>
    <definedName name="solver_cvg" localSheetId="2" hidden="1">0.0001</definedName>
    <definedName name="solver_cvg" localSheetId="4" hidden="1">0.0001</definedName>
    <definedName name="solver_cvg" localSheetId="11" hidden="1">0.0001</definedName>
    <definedName name="solver_cvg" localSheetId="12" hidden="1">0.0001</definedName>
    <definedName name="solver_cvg" localSheetId="6" hidden="1">0.0001</definedName>
    <definedName name="solver_drv" localSheetId="8" hidden="1">1</definedName>
    <definedName name="solver_drv" localSheetId="9" hidden="1">1</definedName>
    <definedName name="solver_drv" localSheetId="10" hidden="1">1</definedName>
    <definedName name="solver_drv" localSheetId="2" hidden="1">1</definedName>
    <definedName name="solver_drv" localSheetId="4" hidden="1">2</definedName>
    <definedName name="solver_drv" localSheetId="11" hidden="1">1</definedName>
    <definedName name="solver_drv" localSheetId="12" hidden="1">1</definedName>
    <definedName name="solver_drv" localSheetId="6" hidden="1">1</definedName>
    <definedName name="solver_eng" localSheetId="8" hidden="1">1</definedName>
    <definedName name="solver_eng" localSheetId="9" hidden="1">1</definedName>
    <definedName name="solver_eng" localSheetId="10" hidden="1">1</definedName>
    <definedName name="solver_eng" localSheetId="2" hidden="1">1</definedName>
    <definedName name="solver_eng" localSheetId="4" hidden="1">1</definedName>
    <definedName name="solver_eng" localSheetId="11" hidden="1">1</definedName>
    <definedName name="solver_eng" localSheetId="12" hidden="1">1</definedName>
    <definedName name="solver_eng" localSheetId="6" hidden="1">1</definedName>
    <definedName name="solver_itr" localSheetId="8" hidden="1">2147483647</definedName>
    <definedName name="solver_itr" localSheetId="9" hidden="1">2147483647</definedName>
    <definedName name="solver_itr" localSheetId="10" hidden="1">2147483647</definedName>
    <definedName name="solver_itr" localSheetId="2" hidden="1">2147483647</definedName>
    <definedName name="solver_itr" localSheetId="4" hidden="1">2147483647</definedName>
    <definedName name="solver_itr" localSheetId="11" hidden="1">2147483647</definedName>
    <definedName name="solver_itr" localSheetId="12" hidden="1">2147483647</definedName>
    <definedName name="solver_itr" localSheetId="6" hidden="1">2147483647</definedName>
    <definedName name="solver_lin" localSheetId="8" hidden="1">2</definedName>
    <definedName name="solver_lin" localSheetId="9" hidden="1">2</definedName>
    <definedName name="solver_lin" localSheetId="10" hidden="1">2</definedName>
    <definedName name="solver_lin" localSheetId="2" hidden="1">2</definedName>
    <definedName name="solver_lin" localSheetId="4" hidden="1">2</definedName>
    <definedName name="solver_lin" localSheetId="11" hidden="1">2</definedName>
    <definedName name="solver_lin" localSheetId="12" hidden="1">2</definedName>
    <definedName name="solver_lin" localSheetId="6" hidden="1">2</definedName>
    <definedName name="solver_mip" localSheetId="8" hidden="1">2147483647</definedName>
    <definedName name="solver_mip" localSheetId="9" hidden="1">2147483647</definedName>
    <definedName name="solver_mip" localSheetId="10" hidden="1">2147483647</definedName>
    <definedName name="solver_mip" localSheetId="2" hidden="1">2147483647</definedName>
    <definedName name="solver_mip" localSheetId="4" hidden="1">2147483647</definedName>
    <definedName name="solver_mip" localSheetId="11" hidden="1">2147483647</definedName>
    <definedName name="solver_mip" localSheetId="12" hidden="1">2147483647</definedName>
    <definedName name="solver_mip" localSheetId="6" hidden="1">2147483647</definedName>
    <definedName name="solver_mni" localSheetId="8" hidden="1">30</definedName>
    <definedName name="solver_mni" localSheetId="9" hidden="1">30</definedName>
    <definedName name="solver_mni" localSheetId="10" hidden="1">30</definedName>
    <definedName name="solver_mni" localSheetId="2" hidden="1">30</definedName>
    <definedName name="solver_mni" localSheetId="4" hidden="1">30</definedName>
    <definedName name="solver_mni" localSheetId="11" hidden="1">30</definedName>
    <definedName name="solver_mni" localSheetId="12" hidden="1">30</definedName>
    <definedName name="solver_mni" localSheetId="6" hidden="1">30</definedName>
    <definedName name="solver_mrt" localSheetId="8" hidden="1">0.075</definedName>
    <definedName name="solver_mrt" localSheetId="9" hidden="1">0.075</definedName>
    <definedName name="solver_mrt" localSheetId="10" hidden="1">0.075</definedName>
    <definedName name="solver_mrt" localSheetId="2" hidden="1">0.075</definedName>
    <definedName name="solver_mrt" localSheetId="4" hidden="1">0.075</definedName>
    <definedName name="solver_mrt" localSheetId="11" hidden="1">0.075</definedName>
    <definedName name="solver_mrt" localSheetId="12" hidden="1">0.075</definedName>
    <definedName name="solver_mrt" localSheetId="6" hidden="1">0.075</definedName>
    <definedName name="solver_msl" localSheetId="8" hidden="1">2</definedName>
    <definedName name="solver_msl" localSheetId="9" hidden="1">2</definedName>
    <definedName name="solver_msl" localSheetId="10" hidden="1">2</definedName>
    <definedName name="solver_msl" localSheetId="2" hidden="1">2</definedName>
    <definedName name="solver_msl" localSheetId="4" hidden="1">2</definedName>
    <definedName name="solver_msl" localSheetId="11" hidden="1">2</definedName>
    <definedName name="solver_msl" localSheetId="12" hidden="1">2</definedName>
    <definedName name="solver_msl" localSheetId="6" hidden="1">2</definedName>
    <definedName name="solver_neg" localSheetId="8" hidden="1">1</definedName>
    <definedName name="solver_neg" localSheetId="9" hidden="1">1</definedName>
    <definedName name="solver_neg" localSheetId="10" hidden="1">1</definedName>
    <definedName name="solver_neg" localSheetId="2" hidden="1">2</definedName>
    <definedName name="solver_neg" localSheetId="4" hidden="1">2</definedName>
    <definedName name="solver_neg" localSheetId="11" hidden="1">1</definedName>
    <definedName name="solver_neg" localSheetId="12" hidden="1">1</definedName>
    <definedName name="solver_neg" localSheetId="6" hidden="1">2</definedName>
    <definedName name="solver_nod" localSheetId="8" hidden="1">2147483647</definedName>
    <definedName name="solver_nod" localSheetId="9" hidden="1">2147483647</definedName>
    <definedName name="solver_nod" localSheetId="10" hidden="1">2147483647</definedName>
    <definedName name="solver_nod" localSheetId="2" hidden="1">2147483647</definedName>
    <definedName name="solver_nod" localSheetId="4" hidden="1">2147483647</definedName>
    <definedName name="solver_nod" localSheetId="11" hidden="1">2147483647</definedName>
    <definedName name="solver_nod" localSheetId="12" hidden="1">2147483647</definedName>
    <definedName name="solver_nod" localSheetId="6" hidden="1">2147483647</definedName>
    <definedName name="solver_num" localSheetId="8" hidden="1">0</definedName>
    <definedName name="solver_num" localSheetId="9" hidden="1">0</definedName>
    <definedName name="solver_num" localSheetId="10" hidden="1">0</definedName>
    <definedName name="solver_num" localSheetId="2" hidden="1">0</definedName>
    <definedName name="solver_num" localSheetId="4" hidden="1">0</definedName>
    <definedName name="solver_num" localSheetId="11" hidden="1">0</definedName>
    <definedName name="solver_num" localSheetId="12" hidden="1">0</definedName>
    <definedName name="solver_num" localSheetId="6" hidden="1">0</definedName>
    <definedName name="solver_opt" localSheetId="8" hidden="1">'AE38'!$AB$43</definedName>
    <definedName name="solver_opt" localSheetId="9" hidden="1">'CP170'!$Y$13</definedName>
    <definedName name="solver_opt" localSheetId="10" hidden="1">'CP170 (2)'!$AG$13</definedName>
    <definedName name="solver_opt" localSheetId="2" hidden="1">DUMRAUF!$U$66</definedName>
    <definedName name="solver_opt" localSheetId="4" hidden="1">EJ_NOCAPS!$U$23</definedName>
    <definedName name="solver_opt" localSheetId="11" hidden="1">Port!$AG$13</definedName>
    <definedName name="solver_opt" localSheetId="12" hidden="1">'Port (2)'!$AG$13</definedName>
    <definedName name="solver_opt" localSheetId="6" hidden="1">YPF_ON_PROGRA!$AB$30</definedName>
    <definedName name="solver_pre" localSheetId="8" hidden="1">0.000001</definedName>
    <definedName name="solver_pre" localSheetId="9" hidden="1">0.000001</definedName>
    <definedName name="solver_pre" localSheetId="10" hidden="1">0.000001</definedName>
    <definedName name="solver_pre" localSheetId="2" hidden="1">0.000001</definedName>
    <definedName name="solver_pre" localSheetId="4" hidden="1">0.000001</definedName>
    <definedName name="solver_pre" localSheetId="11" hidden="1">0.000001</definedName>
    <definedName name="solver_pre" localSheetId="12" hidden="1">0.000001</definedName>
    <definedName name="solver_pre" localSheetId="6" hidden="1">0.000001</definedName>
    <definedName name="solver_rbv" localSheetId="8" hidden="1">1</definedName>
    <definedName name="solver_rbv" localSheetId="9" hidden="1">1</definedName>
    <definedName name="solver_rbv" localSheetId="10" hidden="1">1</definedName>
    <definedName name="solver_rbv" localSheetId="2" hidden="1">1</definedName>
    <definedName name="solver_rbv" localSheetId="4" hidden="1">2</definedName>
    <definedName name="solver_rbv" localSheetId="11" hidden="1">1</definedName>
    <definedName name="solver_rbv" localSheetId="12" hidden="1">1</definedName>
    <definedName name="solver_rbv" localSheetId="6" hidden="1">1</definedName>
    <definedName name="solver_rlx" localSheetId="8" hidden="1">2</definedName>
    <definedName name="solver_rlx" localSheetId="9" hidden="1">2</definedName>
    <definedName name="solver_rlx" localSheetId="10" hidden="1">2</definedName>
    <definedName name="solver_rlx" localSheetId="2" hidden="1">1</definedName>
    <definedName name="solver_rlx" localSheetId="4" hidden="1">2</definedName>
    <definedName name="solver_rlx" localSheetId="11" hidden="1">2</definedName>
    <definedName name="solver_rlx" localSheetId="12" hidden="1">2</definedName>
    <definedName name="solver_rlx" localSheetId="6" hidden="1">2</definedName>
    <definedName name="solver_rsd" localSheetId="8" hidden="1">0</definedName>
    <definedName name="solver_rsd" localSheetId="9" hidden="1">0</definedName>
    <definedName name="solver_rsd" localSheetId="10" hidden="1">0</definedName>
    <definedName name="solver_rsd" localSheetId="2" hidden="1">0</definedName>
    <definedName name="solver_rsd" localSheetId="4" hidden="1">0</definedName>
    <definedName name="solver_rsd" localSheetId="11" hidden="1">0</definedName>
    <definedName name="solver_rsd" localSheetId="12" hidden="1">0</definedName>
    <definedName name="solver_rsd" localSheetId="6" hidden="1">0</definedName>
    <definedName name="solver_scl" localSheetId="8" hidden="1">1</definedName>
    <definedName name="solver_scl" localSheetId="9" hidden="1">1</definedName>
    <definedName name="solver_scl" localSheetId="10" hidden="1">1</definedName>
    <definedName name="solver_scl" localSheetId="2" hidden="1">2</definedName>
    <definedName name="solver_scl" localSheetId="4" hidden="1">2</definedName>
    <definedName name="solver_scl" localSheetId="11" hidden="1">1</definedName>
    <definedName name="solver_scl" localSheetId="12" hidden="1">1</definedName>
    <definedName name="solver_scl" localSheetId="6" hidden="1">1</definedName>
    <definedName name="solver_sho" localSheetId="8" hidden="1">2</definedName>
    <definedName name="solver_sho" localSheetId="9" hidden="1">2</definedName>
    <definedName name="solver_sho" localSheetId="10" hidden="1">2</definedName>
    <definedName name="solver_sho" localSheetId="2" hidden="1">2</definedName>
    <definedName name="solver_sho" localSheetId="4" hidden="1">2</definedName>
    <definedName name="solver_sho" localSheetId="11" hidden="1">2</definedName>
    <definedName name="solver_sho" localSheetId="12" hidden="1">2</definedName>
    <definedName name="solver_sho" localSheetId="6" hidden="1">2</definedName>
    <definedName name="solver_ssz" localSheetId="8" hidden="1">100</definedName>
    <definedName name="solver_ssz" localSheetId="9" hidden="1">100</definedName>
    <definedName name="solver_ssz" localSheetId="10" hidden="1">100</definedName>
    <definedName name="solver_ssz" localSheetId="2" hidden="1">100</definedName>
    <definedName name="solver_ssz" localSheetId="4" hidden="1">100</definedName>
    <definedName name="solver_ssz" localSheetId="11" hidden="1">100</definedName>
    <definedName name="solver_ssz" localSheetId="12" hidden="1">100</definedName>
    <definedName name="solver_ssz" localSheetId="6" hidden="1">100</definedName>
    <definedName name="solver_tim" localSheetId="8" hidden="1">2147483647</definedName>
    <definedName name="solver_tim" localSheetId="9" hidden="1">2147483647</definedName>
    <definedName name="solver_tim" localSheetId="10" hidden="1">2147483647</definedName>
    <definedName name="solver_tim" localSheetId="2" hidden="1">2147483647</definedName>
    <definedName name="solver_tim" localSheetId="4" hidden="1">2147483647</definedName>
    <definedName name="solver_tim" localSheetId="11" hidden="1">2147483647</definedName>
    <definedName name="solver_tim" localSheetId="12" hidden="1">2147483647</definedName>
    <definedName name="solver_tim" localSheetId="6" hidden="1">2147483647</definedName>
    <definedName name="solver_tol" localSheetId="8" hidden="1">0.01</definedName>
    <definedName name="solver_tol" localSheetId="9" hidden="1">0.01</definedName>
    <definedName name="solver_tol" localSheetId="10" hidden="1">0.01</definedName>
    <definedName name="solver_tol" localSheetId="2" hidden="1">0.01</definedName>
    <definedName name="solver_tol" localSheetId="4" hidden="1">0.01</definedName>
    <definedName name="solver_tol" localSheetId="11" hidden="1">0.01</definedName>
    <definedName name="solver_tol" localSheetId="12" hidden="1">0.01</definedName>
    <definedName name="solver_tol" localSheetId="6" hidden="1">0.01</definedName>
    <definedName name="solver_typ" localSheetId="8" hidden="1">3</definedName>
    <definedName name="solver_typ" localSheetId="9" hidden="1">3</definedName>
    <definedName name="solver_typ" localSheetId="10" hidden="1">3</definedName>
    <definedName name="solver_typ" localSheetId="2" hidden="1">3</definedName>
    <definedName name="solver_typ" localSheetId="4" hidden="1">3</definedName>
    <definedName name="solver_typ" localSheetId="11" hidden="1">3</definedName>
    <definedName name="solver_typ" localSheetId="12" hidden="1">3</definedName>
    <definedName name="solver_typ" localSheetId="6" hidden="1">3</definedName>
    <definedName name="solver_val" localSheetId="8" hidden="1">58.1378548</definedName>
    <definedName name="solver_val" localSheetId="9" hidden="1">76.6546</definedName>
    <definedName name="solver_val" localSheetId="10" hidden="1">76.6546</definedName>
    <definedName name="solver_val" localSheetId="2" hidden="1">0.08</definedName>
    <definedName name="solver_val" localSheetId="4" hidden="1">0</definedName>
    <definedName name="solver_val" localSheetId="11" hidden="1">76.6546</definedName>
    <definedName name="solver_val" localSheetId="12" hidden="1">76.6546</definedName>
    <definedName name="solver_val" localSheetId="6" hidden="1">0</definedName>
    <definedName name="solver_ver" localSheetId="8" hidden="1">2</definedName>
    <definedName name="solver_ver" localSheetId="9" hidden="1">2</definedName>
    <definedName name="solver_ver" localSheetId="10" hidden="1">2</definedName>
    <definedName name="solver_ver" localSheetId="2" hidden="1">2</definedName>
    <definedName name="solver_ver" localSheetId="4" hidden="1">2</definedName>
    <definedName name="solver_ver" localSheetId="11" hidden="1">2</definedName>
    <definedName name="solver_ver" localSheetId="12" hidden="1">2</definedName>
    <definedName name="solver_ver" localSheetId="6" hidde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6" l="1"/>
  <c r="C7" i="6"/>
  <c r="C6" i="6"/>
  <c r="AH21" i="14"/>
  <c r="AH22" i="14"/>
  <c r="C8" i="14"/>
  <c r="C9" i="14"/>
  <c r="C10" i="14"/>
  <c r="AH10" i="14" s="1"/>
  <c r="C7" i="14"/>
  <c r="AH7" i="14"/>
  <c r="AH8" i="14"/>
  <c r="AH9" i="14"/>
  <c r="X60" i="17"/>
  <c r="W26" i="17"/>
  <c r="W27" i="17"/>
  <c r="W28" i="17"/>
  <c r="W29" i="17"/>
  <c r="W30" i="17"/>
  <c r="W31" i="17"/>
  <c r="W32" i="17"/>
  <c r="X32" i="17" s="1"/>
  <c r="W33" i="17"/>
  <c r="X33" i="17" s="1"/>
  <c r="W34" i="17"/>
  <c r="X34" i="17" s="1"/>
  <c r="W35" i="17"/>
  <c r="X35" i="17" s="1"/>
  <c r="W36" i="17"/>
  <c r="W37" i="17"/>
  <c r="W38" i="17"/>
  <c r="W39" i="17"/>
  <c r="W40" i="17"/>
  <c r="W41" i="17"/>
  <c r="X41" i="17" s="1"/>
  <c r="W42" i="17"/>
  <c r="X42" i="17" s="1"/>
  <c r="W43" i="17"/>
  <c r="X43" i="17" s="1"/>
  <c r="W44" i="17"/>
  <c r="X44" i="17" s="1"/>
  <c r="W45" i="17"/>
  <c r="X45" i="17" s="1"/>
  <c r="W46" i="17"/>
  <c r="W47" i="17"/>
  <c r="W48" i="17"/>
  <c r="W49" i="17"/>
  <c r="W50" i="17"/>
  <c r="W51" i="17"/>
  <c r="W52" i="17"/>
  <c r="X52" i="17" s="1"/>
  <c r="W53" i="17"/>
  <c r="X53" i="17" s="1"/>
  <c r="W54" i="17"/>
  <c r="X54" i="17" s="1"/>
  <c r="W55" i="17"/>
  <c r="X55" i="17" s="1"/>
  <c r="W56" i="17"/>
  <c r="W57" i="17"/>
  <c r="W58" i="17"/>
  <c r="W25" i="17"/>
  <c r="X25" i="17" s="1"/>
  <c r="X26" i="17"/>
  <c r="X27" i="17"/>
  <c r="X28" i="17"/>
  <c r="X29" i="17"/>
  <c r="X30" i="17"/>
  <c r="X31" i="17"/>
  <c r="X36" i="17"/>
  <c r="X37" i="17"/>
  <c r="X38" i="17"/>
  <c r="X39" i="17"/>
  <c r="X40" i="17"/>
  <c r="X46" i="17"/>
  <c r="X47" i="17"/>
  <c r="X48" i="17"/>
  <c r="X49" i="17"/>
  <c r="X50" i="17"/>
  <c r="X51" i="17"/>
  <c r="X56" i="17"/>
  <c r="X57" i="17"/>
  <c r="X58" i="17"/>
  <c r="T26" i="17"/>
  <c r="T27" i="17"/>
  <c r="T28" i="17"/>
  <c r="T29" i="17"/>
  <c r="T30" i="17"/>
  <c r="T31" i="17"/>
  <c r="T32" i="17"/>
  <c r="T33" i="17"/>
  <c r="T34" i="17"/>
  <c r="T35" i="17"/>
  <c r="T36" i="17"/>
  <c r="T37" i="17"/>
  <c r="T38" i="17"/>
  <c r="T39" i="17"/>
  <c r="T40" i="17"/>
  <c r="T41" i="17"/>
  <c r="T42" i="17"/>
  <c r="T43" i="17"/>
  <c r="T44" i="17"/>
  <c r="T45" i="17"/>
  <c r="T46" i="17"/>
  <c r="T47" i="17"/>
  <c r="T48" i="17"/>
  <c r="T49" i="17"/>
  <c r="T50" i="17"/>
  <c r="T51" i="17"/>
  <c r="T52" i="17"/>
  <c r="T53" i="17"/>
  <c r="T54" i="17"/>
  <c r="T55" i="17"/>
  <c r="T56" i="17"/>
  <c r="T57" i="17"/>
  <c r="T58" i="17"/>
  <c r="T25" i="17"/>
  <c r="Y43" i="17"/>
  <c r="V60" i="17" l="1"/>
  <c r="U25" i="17"/>
  <c r="U26" i="17"/>
  <c r="U27" i="17"/>
  <c r="U28" i="17"/>
  <c r="U29" i="17"/>
  <c r="U30" i="17"/>
  <c r="U31" i="17"/>
  <c r="U32" i="17"/>
  <c r="U33" i="17"/>
  <c r="U34" i="17"/>
  <c r="U35" i="17"/>
  <c r="U36" i="17"/>
  <c r="U37" i="17"/>
  <c r="U38" i="17"/>
  <c r="U39" i="17"/>
  <c r="U40" i="17"/>
  <c r="U41" i="17"/>
  <c r="U42" i="17"/>
  <c r="U43" i="17"/>
  <c r="U44" i="17"/>
  <c r="U45" i="17"/>
  <c r="U46" i="17"/>
  <c r="U47" i="17"/>
  <c r="U48" i="17"/>
  <c r="U49" i="17"/>
  <c r="U50" i="17"/>
  <c r="U51" i="17"/>
  <c r="U52" i="17"/>
  <c r="U53" i="17"/>
  <c r="U54" i="17"/>
  <c r="U55" i="17"/>
  <c r="U56" i="17"/>
  <c r="U57" i="17"/>
  <c r="U58" i="17"/>
  <c r="H8" i="17"/>
  <c r="H6" i="17"/>
  <c r="H4" i="17"/>
  <c r="R18" i="17"/>
  <c r="V29" i="17" s="1"/>
  <c r="U24" i="17"/>
  <c r="C19" i="14"/>
  <c r="L60" i="10"/>
  <c r="M59" i="10"/>
  <c r="L62" i="10"/>
  <c r="L61" i="10"/>
  <c r="N62" i="10"/>
  <c r="N61" i="10"/>
  <c r="N59" i="10"/>
  <c r="J70" i="10"/>
  <c r="E53" i="17"/>
  <c r="N4" i="17"/>
  <c r="N5" i="17" s="1"/>
  <c r="N6" i="17" s="1"/>
  <c r="N7" i="17" s="1"/>
  <c r="N8" i="17" s="1"/>
  <c r="B37" i="17"/>
  <c r="B36" i="17"/>
  <c r="B31" i="17"/>
  <c r="B30" i="17"/>
  <c r="B27" i="17"/>
  <c r="C47" i="17"/>
  <c r="C46" i="17"/>
  <c r="C45" i="17"/>
  <c r="C44" i="17"/>
  <c r="C43" i="17"/>
  <c r="C42" i="17"/>
  <c r="C41" i="17"/>
  <c r="C40" i="17"/>
  <c r="C39" i="17"/>
  <c r="C38" i="17"/>
  <c r="C37" i="17"/>
  <c r="C36" i="17"/>
  <c r="C35" i="17"/>
  <c r="C34" i="17"/>
  <c r="C33" i="17"/>
  <c r="C32" i="17"/>
  <c r="C31" i="17"/>
  <c r="C30" i="17"/>
  <c r="C29" i="17"/>
  <c r="C28" i="17"/>
  <c r="C27" i="17"/>
  <c r="C26" i="17"/>
  <c r="M25" i="17"/>
  <c r="Q25" i="17" s="1"/>
  <c r="R25" i="17" s="1"/>
  <c r="V36" i="17" s="1"/>
  <c r="C25" i="17"/>
  <c r="M24" i="17"/>
  <c r="Q24" i="17" s="1"/>
  <c r="R24" i="17" s="1"/>
  <c r="V35" i="17" s="1"/>
  <c r="C24" i="17"/>
  <c r="M23" i="17"/>
  <c r="Q23" i="17" s="1"/>
  <c r="R23" i="17" s="1"/>
  <c r="V34" i="17" s="1"/>
  <c r="C23" i="17"/>
  <c r="M22" i="17"/>
  <c r="Q22" i="17" s="1"/>
  <c r="R22" i="17" s="1"/>
  <c r="V33" i="17" s="1"/>
  <c r="C22" i="17"/>
  <c r="C21" i="17"/>
  <c r="M20" i="17"/>
  <c r="Q20" i="17" s="1"/>
  <c r="R20" i="17" s="1"/>
  <c r="V31" i="17" s="1"/>
  <c r="C20" i="17"/>
  <c r="C19" i="17"/>
  <c r="M18" i="17"/>
  <c r="Q18" i="17" s="1"/>
  <c r="C18" i="17"/>
  <c r="C17" i="17"/>
  <c r="M16" i="17"/>
  <c r="Q16" i="17" s="1"/>
  <c r="R16" i="17" s="1"/>
  <c r="V27" i="17" s="1"/>
  <c r="C16" i="17"/>
  <c r="C15" i="17"/>
  <c r="M14" i="17"/>
  <c r="Q14" i="17" s="1"/>
  <c r="R14" i="17" s="1"/>
  <c r="V25" i="17" s="1"/>
  <c r="C14" i="17"/>
  <c r="B14" i="17"/>
  <c r="AG14" i="17" s="1"/>
  <c r="W13" i="17"/>
  <c r="V13" i="17"/>
  <c r="U13" i="17"/>
  <c r="T13" i="17"/>
  <c r="C13" i="17"/>
  <c r="M12" i="17"/>
  <c r="C12" i="17"/>
  <c r="C11" i="17"/>
  <c r="AE10" i="17"/>
  <c r="Y10" i="17"/>
  <c r="AB10" i="17" s="1"/>
  <c r="S10" i="17"/>
  <c r="M10" i="17"/>
  <c r="C10" i="17"/>
  <c r="AE9" i="17"/>
  <c r="Y9" i="17"/>
  <c r="AB9" i="17" s="1"/>
  <c r="S9" i="17"/>
  <c r="M9" i="17"/>
  <c r="C9" i="17"/>
  <c r="AE8" i="17"/>
  <c r="Y8" i="17"/>
  <c r="AB8" i="17" s="1"/>
  <c r="M8" i="17"/>
  <c r="C8" i="17"/>
  <c r="AE7" i="17"/>
  <c r="Y7" i="17"/>
  <c r="AB7" i="17" s="1"/>
  <c r="M7" i="17"/>
  <c r="C7" i="17"/>
  <c r="AF6" i="17"/>
  <c r="AC6" i="17"/>
  <c r="Z6" i="17"/>
  <c r="Y6" i="17"/>
  <c r="AB6" i="17" s="1"/>
  <c r="AE6" i="17" s="1"/>
  <c r="Q6" i="17"/>
  <c r="R6" i="17" s="1"/>
  <c r="M6" i="17"/>
  <c r="C6" i="17"/>
  <c r="M5" i="17"/>
  <c r="C5" i="17"/>
  <c r="O4" i="17"/>
  <c r="O5" i="17" s="1"/>
  <c r="O6" i="17" s="1"/>
  <c r="M4" i="17"/>
  <c r="Q4" i="17" s="1"/>
  <c r="R4" i="17" s="1"/>
  <c r="G4" i="17"/>
  <c r="C4" i="17"/>
  <c r="Q8" i="17" l="1"/>
  <c r="R8" i="17" s="1"/>
  <c r="H5" i="17"/>
  <c r="Q5" i="17" s="1"/>
  <c r="R5" i="17" s="1"/>
  <c r="P4" i="17"/>
  <c r="H7" i="17"/>
  <c r="Q7" i="17" s="1"/>
  <c r="K17" i="17"/>
  <c r="M17" i="17" s="1"/>
  <c r="K19" i="17"/>
  <c r="M19" i="17" s="1"/>
  <c r="K21" i="17"/>
  <c r="M21" i="17" s="1"/>
  <c r="K11" i="17"/>
  <c r="M11" i="17" s="1"/>
  <c r="K15" i="17"/>
  <c r="M15" i="17" s="1"/>
  <c r="K13" i="17"/>
  <c r="M13" i="17" s="1"/>
  <c r="F9" i="17"/>
  <c r="Q9" i="17" s="1"/>
  <c r="N9" i="17"/>
  <c r="P6" i="17"/>
  <c r="O7" i="17"/>
  <c r="P5" i="17"/>
  <c r="AF7" i="17" l="1"/>
  <c r="Z7" i="17"/>
  <c r="R7" i="17"/>
  <c r="N10" i="17"/>
  <c r="N11" i="17" s="1"/>
  <c r="H10" i="17"/>
  <c r="Q10" i="17" s="1"/>
  <c r="AF9" i="17"/>
  <c r="AG9" i="17" s="1"/>
  <c r="R9" i="17"/>
  <c r="AF8" i="17"/>
  <c r="AC8" i="17" s="1"/>
  <c r="Z8" i="17"/>
  <c r="Z9" i="17"/>
  <c r="T9" i="17"/>
  <c r="P7" i="17"/>
  <c r="O8" i="17"/>
  <c r="N12" i="17" l="1"/>
  <c r="N13" i="17" s="1"/>
  <c r="N14" i="17" s="1"/>
  <c r="H12" i="17"/>
  <c r="Q12" i="17" s="1"/>
  <c r="R12" i="17" s="1"/>
  <c r="AH8" i="17"/>
  <c r="F11" i="17"/>
  <c r="Q11" i="17" s="1"/>
  <c r="R11" i="17" s="1"/>
  <c r="R10" i="17"/>
  <c r="T10" i="17"/>
  <c r="T12" i="17" s="1"/>
  <c r="T14" i="17" s="1"/>
  <c r="B19" i="17" s="1"/>
  <c r="Z10" i="17"/>
  <c r="Z12" i="17" s="1"/>
  <c r="AF10" i="17"/>
  <c r="AH9" i="17"/>
  <c r="AG8" i="17"/>
  <c r="AC9" i="17"/>
  <c r="AG7" i="17"/>
  <c r="AH7" i="17"/>
  <c r="AC7" i="17"/>
  <c r="F13" i="17"/>
  <c r="Q13" i="17" s="1"/>
  <c r="R13" i="17" s="1"/>
  <c r="P8" i="17"/>
  <c r="O9" i="17"/>
  <c r="AH10" i="17" l="1"/>
  <c r="AH13" i="17" s="1"/>
  <c r="AC10" i="17"/>
  <c r="AC12" i="17" s="1"/>
  <c r="AG10" i="17"/>
  <c r="AG13" i="17" s="1"/>
  <c r="F15" i="17"/>
  <c r="N15" i="17"/>
  <c r="N16" i="17" s="1"/>
  <c r="P9" i="17"/>
  <c r="O10" i="17"/>
  <c r="N17" i="17" l="1"/>
  <c r="N18" i="17" s="1"/>
  <c r="F17" i="17"/>
  <c r="B16" i="17"/>
  <c r="B15" i="17" s="1"/>
  <c r="Q15" i="17"/>
  <c r="R15" i="17" s="1"/>
  <c r="V26" i="17" s="1"/>
  <c r="P10" i="17"/>
  <c r="O11" i="17"/>
  <c r="Q17" i="17" l="1"/>
  <c r="R17" i="17" s="1"/>
  <c r="V28" i="17" s="1"/>
  <c r="B18" i="17"/>
  <c r="B20" i="17" s="1"/>
  <c r="F19" i="17"/>
  <c r="Q19" i="17" s="1"/>
  <c r="R19" i="17" s="1"/>
  <c r="V30" i="17" s="1"/>
  <c r="N19" i="17"/>
  <c r="N20" i="17" s="1"/>
  <c r="O12" i="17"/>
  <c r="P11" i="17"/>
  <c r="N21" i="17" l="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F21" i="17"/>
  <c r="Q21" i="17" s="1"/>
  <c r="R21" i="17" s="1"/>
  <c r="V32" i="17" s="1"/>
  <c r="O13" i="17"/>
  <c r="P12" i="17"/>
  <c r="O14" i="17" l="1"/>
  <c r="P13" i="17"/>
  <c r="P14" i="17" l="1"/>
  <c r="O15" i="17"/>
  <c r="O16" i="17" l="1"/>
  <c r="P15" i="17"/>
  <c r="P16" i="17" l="1"/>
  <c r="O17" i="17"/>
  <c r="P17" i="17" l="1"/>
  <c r="O18" i="17"/>
  <c r="P18" i="17" l="1"/>
  <c r="O19" i="17"/>
  <c r="O20" i="17" l="1"/>
  <c r="P19" i="17"/>
  <c r="O21" i="17" l="1"/>
  <c r="P20" i="17"/>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 i="16"/>
  <c r="M64" i="10"/>
  <c r="H61" i="10"/>
  <c r="H60" i="10"/>
  <c r="H59" i="10"/>
  <c r="J59" i="10"/>
  <c r="I60" i="10"/>
  <c r="I61" i="10"/>
  <c r="I59" i="10"/>
  <c r="I63" i="10" s="1"/>
  <c r="M20" i="10"/>
  <c r="M13" i="10" s="1"/>
  <c r="M21" i="10"/>
  <c r="M17" i="10"/>
  <c r="M18" i="10"/>
  <c r="M19" i="10"/>
  <c r="M16" i="10"/>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 i="16"/>
  <c r="F11" i="16"/>
  <c r="F13" i="16"/>
  <c r="F15" i="16"/>
  <c r="F17" i="16"/>
  <c r="F19" i="16"/>
  <c r="F21" i="16"/>
  <c r="F9" i="16"/>
  <c r="K21" i="16"/>
  <c r="K19" i="16"/>
  <c r="K17" i="16"/>
  <c r="K15" i="16"/>
  <c r="K13" i="16"/>
  <c r="K11" i="16"/>
  <c r="N9" i="16"/>
  <c r="N10" i="16" s="1"/>
  <c r="O15" i="16"/>
  <c r="O16" i="16" s="1"/>
  <c r="O17" i="16" s="1"/>
  <c r="O18" i="16" s="1"/>
  <c r="O19" i="16" s="1"/>
  <c r="O20" i="16" s="1"/>
  <c r="O21" i="16" s="1"/>
  <c r="O22" i="16" s="1"/>
  <c r="O23" i="16" s="1"/>
  <c r="O24" i="16" s="1"/>
  <c r="O5" i="16"/>
  <c r="O6" i="16" s="1"/>
  <c r="O7" i="16" s="1"/>
  <c r="O8" i="16" s="1"/>
  <c r="O9" i="16" s="1"/>
  <c r="O10" i="16" s="1"/>
  <c r="O11" i="16" s="1"/>
  <c r="O12" i="16" s="1"/>
  <c r="O13" i="16" s="1"/>
  <c r="O14" i="16" s="1"/>
  <c r="O4" i="16"/>
  <c r="C8" i="16"/>
  <c r="C9" i="16"/>
  <c r="C10" i="16"/>
  <c r="C11" i="16"/>
  <c r="C12" i="16"/>
  <c r="C13" i="16"/>
  <c r="C7"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P4" i="16"/>
  <c r="G4" i="16"/>
  <c r="B14" i="16"/>
  <c r="AC6" i="16" s="1"/>
  <c r="W13" i="16"/>
  <c r="V13" i="16"/>
  <c r="U13" i="16"/>
  <c r="T13" i="16"/>
  <c r="AE10" i="16"/>
  <c r="Y10" i="16"/>
  <c r="AB10" i="16" s="1"/>
  <c r="S10" i="16"/>
  <c r="AE9" i="16"/>
  <c r="Y9" i="16"/>
  <c r="AB9" i="16" s="1"/>
  <c r="S9" i="16"/>
  <c r="AE8" i="16"/>
  <c r="Y8" i="16"/>
  <c r="AB8" i="16" s="1"/>
  <c r="AE7" i="16"/>
  <c r="Y7" i="16"/>
  <c r="AB7" i="16" s="1"/>
  <c r="Y6" i="16"/>
  <c r="AB6" i="16" s="1"/>
  <c r="AE6" i="16" s="1"/>
  <c r="C6" i="16"/>
  <c r="C5" i="16"/>
  <c r="C4" i="16"/>
  <c r="R5" i="14"/>
  <c r="R6" i="14"/>
  <c r="R7" i="14"/>
  <c r="R8" i="14"/>
  <c r="R9" i="14"/>
  <c r="R10" i="14"/>
  <c r="R4" i="14"/>
  <c r="L10" i="14"/>
  <c r="P10" i="14" s="1"/>
  <c r="L5" i="14"/>
  <c r="L6" i="14"/>
  <c r="L7" i="14"/>
  <c r="L8" i="14"/>
  <c r="L9" i="14"/>
  <c r="B14" i="14"/>
  <c r="AF6" i="14" s="1"/>
  <c r="W13" i="14"/>
  <c r="V13" i="14"/>
  <c r="U13" i="14"/>
  <c r="T13" i="14"/>
  <c r="AE10" i="14"/>
  <c r="Y10" i="14"/>
  <c r="AB10" i="14" s="1"/>
  <c r="S10" i="14"/>
  <c r="AE9" i="14"/>
  <c r="Y9" i="14"/>
  <c r="AB9" i="14" s="1"/>
  <c r="S9" i="14"/>
  <c r="AE8" i="14"/>
  <c r="Y8" i="14"/>
  <c r="AB8" i="14" s="1"/>
  <c r="AE7" i="14"/>
  <c r="Y7" i="14"/>
  <c r="AB7" i="14" s="1"/>
  <c r="Y6" i="14"/>
  <c r="AB6" i="14" s="1"/>
  <c r="AE6" i="14" s="1"/>
  <c r="C6" i="14"/>
  <c r="C5" i="14"/>
  <c r="C4" i="14"/>
  <c r="N3" i="14"/>
  <c r="G4" i="14" s="1"/>
  <c r="Q4" i="14" s="1"/>
  <c r="I25" i="12"/>
  <c r="G22" i="12"/>
  <c r="G23" i="12"/>
  <c r="I29" i="12"/>
  <c r="J25" i="12"/>
  <c r="H25" i="12"/>
  <c r="J21" i="12"/>
  <c r="J23" i="12"/>
  <c r="J22" i="12"/>
  <c r="B14" i="12"/>
  <c r="W6" i="12"/>
  <c r="T6" i="12"/>
  <c r="T8" i="12"/>
  <c r="T9" i="12"/>
  <c r="T10" i="12"/>
  <c r="T7" i="12"/>
  <c r="Y14" i="12"/>
  <c r="W8" i="12"/>
  <c r="W9" i="12"/>
  <c r="W10" i="12"/>
  <c r="W7" i="12"/>
  <c r="Q7" i="12"/>
  <c r="Q8" i="12"/>
  <c r="Q9" i="12"/>
  <c r="Q10" i="12"/>
  <c r="K9" i="12"/>
  <c r="K10" i="12"/>
  <c r="C8" i="12"/>
  <c r="C9" i="12"/>
  <c r="C10" i="12"/>
  <c r="C7" i="12"/>
  <c r="U6" i="12"/>
  <c r="Q6" i="12"/>
  <c r="C6" i="12"/>
  <c r="C5" i="12"/>
  <c r="C4" i="12"/>
  <c r="I3" i="12"/>
  <c r="B10"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13" i="10"/>
  <c r="E19" i="10"/>
  <c r="F19" i="10" s="1"/>
  <c r="H19" i="10"/>
  <c r="I19" i="10" s="1"/>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10" i="10"/>
  <c r="C11" i="10"/>
  <c r="C4" i="10"/>
  <c r="W29" i="10"/>
  <c r="W30" i="10"/>
  <c r="W31" i="10"/>
  <c r="W32" i="10"/>
  <c r="W33" i="10"/>
  <c r="W34" i="10"/>
  <c r="W35" i="10"/>
  <c r="W36" i="10"/>
  <c r="W37" i="10"/>
  <c r="W38" i="10"/>
  <c r="W39" i="10"/>
  <c r="W40" i="10"/>
  <c r="C5" i="10"/>
  <c r="C6" i="10"/>
  <c r="C7" i="10"/>
  <c r="C8" i="10"/>
  <c r="C9" i="10"/>
  <c r="C10" i="10"/>
  <c r="W12" i="10"/>
  <c r="W13" i="10"/>
  <c r="W14" i="10"/>
  <c r="W15" i="10"/>
  <c r="W16" i="10"/>
  <c r="W17" i="10"/>
  <c r="W18" i="10"/>
  <c r="W19" i="10"/>
  <c r="W20" i="10"/>
  <c r="W21" i="10"/>
  <c r="W22" i="10"/>
  <c r="W23" i="10"/>
  <c r="W24" i="10"/>
  <c r="W25" i="10"/>
  <c r="W26" i="10"/>
  <c r="W27" i="10"/>
  <c r="W28" i="10"/>
  <c r="W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11" i="10"/>
  <c r="B13" i="10"/>
  <c r="U10" i="10" s="1"/>
  <c r="W10" i="10"/>
  <c r="T10" i="10"/>
  <c r="I3" i="10"/>
  <c r="E4" i="10" s="1"/>
  <c r="G4" i="10" s="1"/>
  <c r="I4" i="10" s="1"/>
  <c r="F5" i="10" s="1"/>
  <c r="AS53" i="9"/>
  <c r="AS52" i="9"/>
  <c r="AS51" i="9"/>
  <c r="AP13" i="9"/>
  <c r="AS50" i="9"/>
  <c r="AS49" i="9"/>
  <c r="P21" i="17" l="1"/>
  <c r="O22" i="17"/>
  <c r="N11" i="16"/>
  <c r="N12" i="16"/>
  <c r="N13" i="16" s="1"/>
  <c r="O25" i="16"/>
  <c r="L35" i="16"/>
  <c r="L42" i="16"/>
  <c r="L43" i="16"/>
  <c r="L44" i="16"/>
  <c r="L36" i="16"/>
  <c r="L30" i="16"/>
  <c r="L31" i="16"/>
  <c r="L32" i="16"/>
  <c r="L39" i="16"/>
  <c r="L40" i="16"/>
  <c r="L29" i="16"/>
  <c r="L41" i="16"/>
  <c r="L33" i="16"/>
  <c r="L45" i="16"/>
  <c r="L34" i="16"/>
  <c r="L46" i="16"/>
  <c r="L27" i="16"/>
  <c r="L38" i="16"/>
  <c r="L28" i="16"/>
  <c r="L47" i="16"/>
  <c r="L37" i="16"/>
  <c r="Z6" i="16"/>
  <c r="AG14" i="16"/>
  <c r="AF6" i="16"/>
  <c r="Z6" i="14"/>
  <c r="O5" i="14"/>
  <c r="O6" i="14" s="1"/>
  <c r="O7" i="14" s="1"/>
  <c r="O8" i="14" s="1"/>
  <c r="O9" i="14" s="1"/>
  <c r="O10" i="14" s="1"/>
  <c r="AC6" i="14"/>
  <c r="F4" i="14"/>
  <c r="N4" i="14" s="1"/>
  <c r="K7" i="14" s="1"/>
  <c r="K6" i="14"/>
  <c r="F5" i="14"/>
  <c r="AG14" i="14"/>
  <c r="R6" i="12"/>
  <c r="E4" i="12"/>
  <c r="G4" i="12" s="1"/>
  <c r="I4" i="12" s="1"/>
  <c r="F4" i="12"/>
  <c r="J4" i="12" s="1"/>
  <c r="X6" i="12"/>
  <c r="J19" i="10"/>
  <c r="N19" i="10" s="1"/>
  <c r="E20" i="10"/>
  <c r="F20" i="10" s="1"/>
  <c r="X10" i="10"/>
  <c r="AA10" i="10"/>
  <c r="F4" i="10"/>
  <c r="J4" i="10" s="1"/>
  <c r="E5" i="10"/>
  <c r="G5" i="10" s="1"/>
  <c r="I5" i="10" s="1"/>
  <c r="P22" i="17" l="1"/>
  <c r="O23" i="17"/>
  <c r="N14" i="16"/>
  <c r="N15" i="16" s="1"/>
  <c r="G5" i="14"/>
  <c r="P4" i="14" s="1"/>
  <c r="K9" i="14"/>
  <c r="K8" i="14"/>
  <c r="K10" i="14"/>
  <c r="K5" i="14"/>
  <c r="Q5" i="14"/>
  <c r="H8" i="12"/>
  <c r="E5" i="12"/>
  <c r="G5" i="12" s="1"/>
  <c r="H9" i="12"/>
  <c r="H6" i="12"/>
  <c r="H5" i="12"/>
  <c r="H10" i="12"/>
  <c r="H7" i="12"/>
  <c r="F5" i="12"/>
  <c r="J5" i="12" s="1"/>
  <c r="L19" i="10"/>
  <c r="P19" i="10"/>
  <c r="X19" i="10"/>
  <c r="E6" i="10"/>
  <c r="G6" i="10" s="1"/>
  <c r="I6" i="10" s="1"/>
  <c r="E7" i="10" s="1"/>
  <c r="F6" i="10"/>
  <c r="J5" i="10"/>
  <c r="O24" i="17" l="1"/>
  <c r="P23" i="17"/>
  <c r="N16" i="16"/>
  <c r="N17" i="16" s="1"/>
  <c r="P5" i="16"/>
  <c r="N5" i="14"/>
  <c r="M5" i="14"/>
  <c r="G6" i="14"/>
  <c r="F6" i="14"/>
  <c r="N6" i="14" s="1"/>
  <c r="G7" i="14" s="1"/>
  <c r="I5" i="12"/>
  <c r="F7" i="10"/>
  <c r="G7" i="10"/>
  <c r="I7" i="10" s="1"/>
  <c r="E8" i="10" s="1"/>
  <c r="G8" i="10" s="1"/>
  <c r="I8" i="10" s="1"/>
  <c r="J6" i="10"/>
  <c r="L42" i="17" l="1"/>
  <c r="M42" i="17" s="1"/>
  <c r="Q42" i="17" s="1"/>
  <c r="R42" i="17" s="1"/>
  <c r="V53" i="17" s="1"/>
  <c r="L32" i="17"/>
  <c r="M32" i="17" s="1"/>
  <c r="Q32" i="17" s="1"/>
  <c r="R32" i="17" s="1"/>
  <c r="V43" i="17" s="1"/>
  <c r="L26" i="17"/>
  <c r="M26" i="17" s="1"/>
  <c r="Q26" i="17" s="1"/>
  <c r="R26" i="17" s="1"/>
  <c r="V37" i="17" s="1"/>
  <c r="L38" i="17"/>
  <c r="M38" i="17" s="1"/>
  <c r="Q38" i="17" s="1"/>
  <c r="R38" i="17" s="1"/>
  <c r="V49" i="17" s="1"/>
  <c r="L39" i="17"/>
  <c r="M39" i="17" s="1"/>
  <c r="Q39" i="17" s="1"/>
  <c r="R39" i="17" s="1"/>
  <c r="V50" i="17" s="1"/>
  <c r="L29" i="17"/>
  <c r="M29" i="17" s="1"/>
  <c r="Q29" i="17" s="1"/>
  <c r="R29" i="17" s="1"/>
  <c r="V40" i="17" s="1"/>
  <c r="P24" i="17"/>
  <c r="L36" i="17"/>
  <c r="M36" i="17" s="1"/>
  <c r="Q36" i="17" s="1"/>
  <c r="R36" i="17" s="1"/>
  <c r="V47" i="17" s="1"/>
  <c r="L41" i="17"/>
  <c r="M41" i="17" s="1"/>
  <c r="Q41" i="17" s="1"/>
  <c r="R41" i="17" s="1"/>
  <c r="V52" i="17" s="1"/>
  <c r="L28" i="17"/>
  <c r="M28" i="17" s="1"/>
  <c r="Q28" i="17" s="1"/>
  <c r="R28" i="17" s="1"/>
  <c r="V39" i="17" s="1"/>
  <c r="L46" i="17"/>
  <c r="M46" i="17" s="1"/>
  <c r="Q46" i="17" s="1"/>
  <c r="R46" i="17" s="1"/>
  <c r="V57" i="17" s="1"/>
  <c r="O25" i="17"/>
  <c r="L43" i="17"/>
  <c r="M43" i="17" s="1"/>
  <c r="Q43" i="17" s="1"/>
  <c r="R43" i="17" s="1"/>
  <c r="V54" i="17" s="1"/>
  <c r="L33" i="17"/>
  <c r="M33" i="17" s="1"/>
  <c r="Q33" i="17" s="1"/>
  <c r="R33" i="17" s="1"/>
  <c r="V44" i="17" s="1"/>
  <c r="L44" i="17"/>
  <c r="M44" i="17" s="1"/>
  <c r="Q44" i="17" s="1"/>
  <c r="R44" i="17" s="1"/>
  <c r="V55" i="17" s="1"/>
  <c r="L40" i="17"/>
  <c r="M40" i="17" s="1"/>
  <c r="Q40" i="17" s="1"/>
  <c r="R40" i="17" s="1"/>
  <c r="V51" i="17" s="1"/>
  <c r="L30" i="17"/>
  <c r="M30" i="17" s="1"/>
  <c r="Q30" i="17" s="1"/>
  <c r="R30" i="17" s="1"/>
  <c r="V41" i="17" s="1"/>
  <c r="L34" i="17"/>
  <c r="M34" i="17" s="1"/>
  <c r="Q34" i="17" s="1"/>
  <c r="R34" i="17" s="1"/>
  <c r="V45" i="17" s="1"/>
  <c r="L31" i="17"/>
  <c r="M31" i="17" s="1"/>
  <c r="Q31" i="17" s="1"/>
  <c r="R31" i="17" s="1"/>
  <c r="V42" i="17" s="1"/>
  <c r="L35" i="17"/>
  <c r="M35" i="17" s="1"/>
  <c r="Q35" i="17" s="1"/>
  <c r="R35" i="17" s="1"/>
  <c r="V46" i="17" s="1"/>
  <c r="L47" i="17"/>
  <c r="M47" i="17" s="1"/>
  <c r="Q47" i="17" s="1"/>
  <c r="R47" i="17" s="1"/>
  <c r="V58" i="17" s="1"/>
  <c r="L37" i="17"/>
  <c r="M37" i="17" s="1"/>
  <c r="Q37" i="17" s="1"/>
  <c r="R37" i="17" s="1"/>
  <c r="V48" i="17" s="1"/>
  <c r="L27" i="17"/>
  <c r="M27" i="17" s="1"/>
  <c r="Q27" i="17" s="1"/>
  <c r="R27" i="17" s="1"/>
  <c r="V38" i="17" s="1"/>
  <c r="L45" i="17"/>
  <c r="M45" i="17" s="1"/>
  <c r="Q45" i="17" s="1"/>
  <c r="R45" i="17" s="1"/>
  <c r="V56" i="17" s="1"/>
  <c r="N18" i="16"/>
  <c r="N19" i="16" s="1"/>
  <c r="P6" i="16"/>
  <c r="Q7" i="14"/>
  <c r="P6" i="14"/>
  <c r="Q6" i="14"/>
  <c r="P5" i="14"/>
  <c r="F7" i="14"/>
  <c r="N7" i="14"/>
  <c r="B16" i="14"/>
  <c r="B15" i="14" s="1"/>
  <c r="AF7" i="14"/>
  <c r="Z7" i="14"/>
  <c r="E6" i="12"/>
  <c r="G6" i="12" s="1"/>
  <c r="I6" i="12" s="1"/>
  <c r="F6" i="12"/>
  <c r="J6" i="12" s="1"/>
  <c r="F8" i="10"/>
  <c r="E9" i="10"/>
  <c r="G9" i="10" s="1"/>
  <c r="I9" i="10" s="1"/>
  <c r="F9" i="10"/>
  <c r="O26" i="17" l="1"/>
  <c r="P25" i="17"/>
  <c r="N20" i="16"/>
  <c r="P7" i="16"/>
  <c r="AC7" i="14"/>
  <c r="AG7" i="14"/>
  <c r="AI7" i="14" s="1"/>
  <c r="F8" i="14"/>
  <c r="G8" i="14"/>
  <c r="E7" i="12"/>
  <c r="F7" i="12"/>
  <c r="J7" i="12" s="1"/>
  <c r="E10" i="10"/>
  <c r="G10" i="10" s="1"/>
  <c r="I10" i="10" s="1"/>
  <c r="E11" i="10" s="1"/>
  <c r="F10" i="10"/>
  <c r="J7" i="10"/>
  <c r="O27" i="17" l="1"/>
  <c r="P26" i="17"/>
  <c r="N21" i="16"/>
  <c r="N22" i="16" s="1"/>
  <c r="N23" i="16" s="1"/>
  <c r="N24" i="16" s="1"/>
  <c r="N25" i="16" s="1"/>
  <c r="N26" i="16" s="1"/>
  <c r="N27" i="16" s="1"/>
  <c r="N28" i="16" s="1"/>
  <c r="N29" i="16" s="1"/>
  <c r="N30" i="16" s="1"/>
  <c r="N31" i="16" s="1"/>
  <c r="N32" i="16" s="1"/>
  <c r="N33" i="16" s="1"/>
  <c r="N34" i="16" s="1"/>
  <c r="N35" i="16" s="1"/>
  <c r="N36" i="16" s="1"/>
  <c r="N37" i="16" s="1"/>
  <c r="N38" i="16" s="1"/>
  <c r="N39" i="16" s="1"/>
  <c r="N40" i="16" s="1"/>
  <c r="N41" i="16" s="1"/>
  <c r="N42" i="16" s="1"/>
  <c r="N43" i="16" s="1"/>
  <c r="N44" i="16" s="1"/>
  <c r="N45" i="16" s="1"/>
  <c r="N46" i="16" s="1"/>
  <c r="N47" i="16" s="1"/>
  <c r="B16" i="16"/>
  <c r="P8" i="16"/>
  <c r="B18" i="16"/>
  <c r="Q8" i="14"/>
  <c r="P7" i="14"/>
  <c r="AF8" i="14"/>
  <c r="Z8" i="14"/>
  <c r="N8" i="14"/>
  <c r="B18" i="14"/>
  <c r="X7" i="12"/>
  <c r="G7" i="12"/>
  <c r="I7" i="12" s="1"/>
  <c r="B16" i="12"/>
  <c r="R7" i="12"/>
  <c r="E8" i="12"/>
  <c r="G8" i="12" s="1"/>
  <c r="I8" i="12" s="1"/>
  <c r="F8" i="12"/>
  <c r="J8" i="12" s="1"/>
  <c r="F11" i="10"/>
  <c r="B15" i="10"/>
  <c r="B14" i="10" s="1"/>
  <c r="Y7" i="12" l="1"/>
  <c r="Z7" i="12"/>
  <c r="B18" i="12"/>
  <c r="P27" i="17"/>
  <c r="O28" i="17"/>
  <c r="B15" i="16"/>
  <c r="Z7" i="16"/>
  <c r="AF7" i="16"/>
  <c r="P9" i="16"/>
  <c r="AG8" i="14"/>
  <c r="AI8" i="14" s="1"/>
  <c r="AC8" i="14"/>
  <c r="F9" i="14"/>
  <c r="N9" i="14" s="1"/>
  <c r="G9" i="14"/>
  <c r="X8" i="12"/>
  <c r="R8" i="12"/>
  <c r="E9" i="12"/>
  <c r="G9" i="12" s="1"/>
  <c r="I9" i="12" s="1"/>
  <c r="F9" i="12"/>
  <c r="J9" i="12" s="1"/>
  <c r="J8" i="10"/>
  <c r="Y8" i="12" l="1"/>
  <c r="Z8" i="12"/>
  <c r="P28" i="17"/>
  <c r="O29" i="17"/>
  <c r="P11" i="16"/>
  <c r="P10" i="16"/>
  <c r="Z8" i="16"/>
  <c r="AF8" i="16"/>
  <c r="AH7" i="16"/>
  <c r="AG7" i="16"/>
  <c r="AC7" i="16"/>
  <c r="Q9" i="14"/>
  <c r="AF9" i="14" s="1"/>
  <c r="P8" i="14"/>
  <c r="G10" i="14"/>
  <c r="F10" i="14"/>
  <c r="N10" i="14" s="1"/>
  <c r="X9" i="12"/>
  <c r="L9" i="12"/>
  <c r="R9" i="12"/>
  <c r="E10" i="12"/>
  <c r="G10" i="12" s="1"/>
  <c r="I10" i="12" s="1"/>
  <c r="F10" i="12"/>
  <c r="J10" i="12" s="1"/>
  <c r="B15" i="12"/>
  <c r="J9" i="10"/>
  <c r="Y9" i="12" l="1"/>
  <c r="Z9" i="12"/>
  <c r="O30" i="17"/>
  <c r="P29" i="17"/>
  <c r="P12" i="16"/>
  <c r="AC8" i="16"/>
  <c r="AH8" i="16"/>
  <c r="AG8" i="16"/>
  <c r="Z9" i="16"/>
  <c r="T9" i="16"/>
  <c r="AF9" i="16"/>
  <c r="Z9" i="14"/>
  <c r="T9" i="14"/>
  <c r="Q10" i="14"/>
  <c r="P9" i="14"/>
  <c r="AG9" i="14"/>
  <c r="AI9" i="14" s="1"/>
  <c r="AC9" i="14"/>
  <c r="Z10" i="14"/>
  <c r="Z12" i="14" s="1"/>
  <c r="AF10" i="14"/>
  <c r="T10" i="14"/>
  <c r="T12" i="14" s="1"/>
  <c r="T14" i="14" s="1"/>
  <c r="B19" i="14" s="1"/>
  <c r="B20" i="14" s="1"/>
  <c r="X10" i="12"/>
  <c r="L10" i="12"/>
  <c r="L12" i="12" s="1"/>
  <c r="R10" i="12"/>
  <c r="R12" i="12" s="1"/>
  <c r="U10" i="12" s="1"/>
  <c r="G11" i="10"/>
  <c r="I11" i="10" s="1"/>
  <c r="E12" i="10" s="1"/>
  <c r="J10" i="10"/>
  <c r="Y10" i="12" l="1"/>
  <c r="Y13" i="12" s="1"/>
  <c r="Z10" i="12"/>
  <c r="P30" i="17"/>
  <c r="O31" i="17"/>
  <c r="P13" i="16"/>
  <c r="AC9" i="16"/>
  <c r="AH9" i="16"/>
  <c r="AG9" i="16"/>
  <c r="T10" i="16"/>
  <c r="T12" i="16" s="1"/>
  <c r="T14" i="16" s="1"/>
  <c r="B19" i="16" s="1"/>
  <c r="B20" i="16" s="1"/>
  <c r="Z10" i="16"/>
  <c r="Z12" i="16" s="1"/>
  <c r="AF10" i="16"/>
  <c r="AG10" i="14"/>
  <c r="AC10" i="14"/>
  <c r="AH13" i="14"/>
  <c r="U7" i="12"/>
  <c r="U8" i="12"/>
  <c r="U9" i="12"/>
  <c r="F12" i="10"/>
  <c r="B17" i="10"/>
  <c r="J11" i="10"/>
  <c r="N11" i="10" s="1"/>
  <c r="AG13" i="14" l="1"/>
  <c r="AI10" i="14"/>
  <c r="AI13" i="14" s="1"/>
  <c r="U12" i="12"/>
  <c r="P31" i="17"/>
  <c r="O32" i="17"/>
  <c r="P14" i="16"/>
  <c r="AC10" i="16"/>
  <c r="AC12" i="16" s="1"/>
  <c r="AH10" i="16"/>
  <c r="AH13" i="16" s="1"/>
  <c r="AG10" i="16"/>
  <c r="AG13" i="16" s="1"/>
  <c r="AC12" i="14"/>
  <c r="L13" i="12"/>
  <c r="P11" i="10"/>
  <c r="X11" i="10"/>
  <c r="AA11" i="10"/>
  <c r="AB11" i="10" s="1"/>
  <c r="U11" i="10"/>
  <c r="J12" i="10"/>
  <c r="N12" i="10" s="1"/>
  <c r="I12" i="10"/>
  <c r="O33" i="17" l="1"/>
  <c r="P32" i="17"/>
  <c r="P15" i="16"/>
  <c r="X12" i="10"/>
  <c r="P12" i="10"/>
  <c r="AA12" i="10"/>
  <c r="AB12" i="10" s="1"/>
  <c r="U12" i="10"/>
  <c r="I13" i="10"/>
  <c r="E13" i="10"/>
  <c r="O34" i="17" l="1"/>
  <c r="P33" i="17"/>
  <c r="P16" i="16"/>
  <c r="F13" i="10"/>
  <c r="L43" i="10"/>
  <c r="J13" i="10"/>
  <c r="N13" i="10" s="1"/>
  <c r="E14" i="10"/>
  <c r="F14" i="10" s="1"/>
  <c r="I14" i="10"/>
  <c r="P34" i="17" l="1"/>
  <c r="O35" i="17"/>
  <c r="P17" i="16"/>
  <c r="L13" i="10"/>
  <c r="X13" i="10"/>
  <c r="P13" i="10"/>
  <c r="AA13" i="10"/>
  <c r="AB13" i="10" s="1"/>
  <c r="U13" i="10"/>
  <c r="I15" i="10"/>
  <c r="E15" i="10"/>
  <c r="F15" i="10" s="1"/>
  <c r="J14" i="10"/>
  <c r="N14" i="10" s="1"/>
  <c r="AX15" i="9"/>
  <c r="AS12" i="9"/>
  <c r="BA12" i="9"/>
  <c r="AR9" i="9"/>
  <c r="O36" i="17" l="1"/>
  <c r="P35" i="17"/>
  <c r="P18" i="16"/>
  <c r="L14" i="10"/>
  <c r="X14" i="10"/>
  <c r="P14" i="10"/>
  <c r="AA14" i="10"/>
  <c r="AB14" i="10" s="1"/>
  <c r="U14" i="10"/>
  <c r="J15" i="10"/>
  <c r="N15" i="10" s="1"/>
  <c r="E16" i="10"/>
  <c r="F16" i="10" s="1"/>
  <c r="J16" i="10" s="1"/>
  <c r="N16" i="10" s="1"/>
  <c r="I16" i="10"/>
  <c r="E17" i="10" s="1"/>
  <c r="F17" i="10" s="1"/>
  <c r="J17" i="10" s="1"/>
  <c r="N17" i="10" s="1"/>
  <c r="O37" i="17" l="1"/>
  <c r="P36" i="17"/>
  <c r="P19" i="16"/>
  <c r="L17" i="10"/>
  <c r="X17" i="10"/>
  <c r="P17" i="10"/>
  <c r="L15" i="10"/>
  <c r="P15" i="10"/>
  <c r="X15" i="10"/>
  <c r="L16" i="10"/>
  <c r="X16" i="10"/>
  <c r="P16" i="10"/>
  <c r="AA15" i="10"/>
  <c r="AB15" i="10" s="1"/>
  <c r="U15" i="10"/>
  <c r="AA16" i="10"/>
  <c r="AB16" i="10" s="1"/>
  <c r="I17" i="10"/>
  <c r="E18" i="10" s="1"/>
  <c r="F18" i="10" s="1"/>
  <c r="J18" i="10" s="1"/>
  <c r="N18" i="10" s="1"/>
  <c r="P37" i="17" l="1"/>
  <c r="O38" i="17"/>
  <c r="P20" i="16"/>
  <c r="L18" i="10"/>
  <c r="X18" i="10"/>
  <c r="P18" i="10"/>
  <c r="U16" i="10"/>
  <c r="AA17" i="10"/>
  <c r="AB17" i="10" s="1"/>
  <c r="O39" i="17" l="1"/>
  <c r="P38" i="17"/>
  <c r="P21" i="16"/>
  <c r="U17" i="10"/>
  <c r="AA18" i="10"/>
  <c r="AB18" i="10" s="1"/>
  <c r="P39" i="17" l="1"/>
  <c r="O40" i="17"/>
  <c r="P22" i="16"/>
  <c r="U18" i="10"/>
  <c r="P40" i="17" l="1"/>
  <c r="O41" i="17"/>
  <c r="P23" i="16"/>
  <c r="L14" i="12"/>
  <c r="B19" i="12" s="1"/>
  <c r="B20" i="12" s="1"/>
  <c r="P41" i="17" l="1"/>
  <c r="O42" i="17"/>
  <c r="L26" i="16"/>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P24" i="16"/>
  <c r="M13" i="12"/>
  <c r="O43" i="17" l="1"/>
  <c r="P42" i="17"/>
  <c r="P25" i="16"/>
  <c r="O13" i="12"/>
  <c r="N13" i="12"/>
  <c r="O44" i="17" l="1"/>
  <c r="P43" i="17"/>
  <c r="P26" i="16"/>
  <c r="AS14" i="9"/>
  <c r="AN50" i="9"/>
  <c r="BA54" i="9"/>
  <c r="BA53" i="9"/>
  <c r="BA16" i="9"/>
  <c r="AR15" i="9"/>
  <c r="BB24" i="9"/>
  <c r="BB25" i="9"/>
  <c r="BB34" i="9"/>
  <c r="BB35" i="9"/>
  <c r="BB44" i="9"/>
  <c r="BB45" i="9"/>
  <c r="BB19" i="9"/>
  <c r="AS18" i="9"/>
  <c r="AS19" i="9"/>
  <c r="BC19" i="9" s="1"/>
  <c r="AS20" i="9"/>
  <c r="BC20" i="9" s="1"/>
  <c r="AS21" i="9"/>
  <c r="BC21" i="9" s="1"/>
  <c r="AS22" i="9"/>
  <c r="BC22" i="9" s="1"/>
  <c r="AS23" i="9"/>
  <c r="BC23" i="9" s="1"/>
  <c r="AS24" i="9"/>
  <c r="BC24" i="9" s="1"/>
  <c r="AS25" i="9"/>
  <c r="BC25" i="9" s="1"/>
  <c r="AS26" i="9"/>
  <c r="BC26" i="9" s="1"/>
  <c r="AS27" i="9"/>
  <c r="BC27" i="9" s="1"/>
  <c r="AS28" i="9"/>
  <c r="BC28" i="9" s="1"/>
  <c r="AS29" i="9"/>
  <c r="BC29" i="9" s="1"/>
  <c r="AS30" i="9"/>
  <c r="BC30" i="9" s="1"/>
  <c r="AS31" i="9"/>
  <c r="BC31" i="9" s="1"/>
  <c r="AS32" i="9"/>
  <c r="BC32" i="9" s="1"/>
  <c r="AS33" i="9"/>
  <c r="BC33" i="9" s="1"/>
  <c r="AS34" i="9"/>
  <c r="BC34" i="9" s="1"/>
  <c r="AS35" i="9"/>
  <c r="BC35" i="9" s="1"/>
  <c r="AS36" i="9"/>
  <c r="BC36" i="9" s="1"/>
  <c r="AS37" i="9"/>
  <c r="BC37" i="9" s="1"/>
  <c r="AS38" i="9"/>
  <c r="BC38" i="9" s="1"/>
  <c r="AS39" i="9"/>
  <c r="BC39" i="9" s="1"/>
  <c r="AS40" i="9"/>
  <c r="BC40" i="9" s="1"/>
  <c r="AS41" i="9"/>
  <c r="BC41" i="9" s="1"/>
  <c r="AS42" i="9"/>
  <c r="BC42" i="9" s="1"/>
  <c r="AS43" i="9"/>
  <c r="BC43" i="9" s="1"/>
  <c r="AS44" i="9"/>
  <c r="BC44" i="9" s="1"/>
  <c r="AS45" i="9"/>
  <c r="BC45" i="9" s="1"/>
  <c r="AS46" i="9"/>
  <c r="BC46" i="9" s="1"/>
  <c r="AS47" i="9"/>
  <c r="BC47" i="9" s="1"/>
  <c r="AS17" i="9"/>
  <c r="BA18" i="9"/>
  <c r="BA19" i="9"/>
  <c r="BA20" i="9"/>
  <c r="BA21" i="9"/>
  <c r="BA22" i="9"/>
  <c r="BA23" i="9"/>
  <c r="BA24" i="9"/>
  <c r="BA25" i="9"/>
  <c r="BA26" i="9"/>
  <c r="BA27" i="9"/>
  <c r="BA28" i="9"/>
  <c r="BA29" i="9"/>
  <c r="BA30" i="9"/>
  <c r="BA31" i="9"/>
  <c r="BA32" i="9"/>
  <c r="BA33" i="9"/>
  <c r="BA34" i="9"/>
  <c r="BA35" i="9"/>
  <c r="BA36" i="9"/>
  <c r="BA37" i="9"/>
  <c r="BA38" i="9"/>
  <c r="BA39" i="9"/>
  <c r="BA40" i="9"/>
  <c r="BA41" i="9"/>
  <c r="BA42" i="9"/>
  <c r="BA43" i="9"/>
  <c r="BA44" i="9"/>
  <c r="BA45" i="9"/>
  <c r="BA46" i="9"/>
  <c r="BA47" i="9"/>
  <c r="BA17" i="9"/>
  <c r="AY26" i="9"/>
  <c r="AY27" i="9"/>
  <c r="AY28" i="9"/>
  <c r="AY29" i="9"/>
  <c r="AY30" i="9"/>
  <c r="AY31" i="9"/>
  <c r="AY32" i="9"/>
  <c r="AY33" i="9"/>
  <c r="AY34" i="9"/>
  <c r="AY35" i="9"/>
  <c r="AY36" i="9"/>
  <c r="AY37" i="9"/>
  <c r="AY38" i="9"/>
  <c r="AY39" i="9"/>
  <c r="AY40" i="9"/>
  <c r="AY41" i="9"/>
  <c r="AY42" i="9"/>
  <c r="AY43" i="9"/>
  <c r="AY44" i="9"/>
  <c r="AY45" i="9"/>
  <c r="AY46" i="9"/>
  <c r="AY47" i="9"/>
  <c r="AZ26" i="9"/>
  <c r="AZ27" i="9" s="1"/>
  <c r="AZ28" i="9" s="1"/>
  <c r="AY25" i="9"/>
  <c r="AX17" i="9"/>
  <c r="AX18" i="9"/>
  <c r="AX19" i="9"/>
  <c r="AX20" i="9"/>
  <c r="AX21" i="9"/>
  <c r="AX22" i="9"/>
  <c r="AX23" i="9"/>
  <c r="AX24" i="9"/>
  <c r="AX25" i="9"/>
  <c r="AX26" i="9"/>
  <c r="AX27" i="9"/>
  <c r="AX28" i="9"/>
  <c r="AX29" i="9"/>
  <c r="AX30" i="9"/>
  <c r="AX31" i="9"/>
  <c r="AX32" i="9"/>
  <c r="AX33" i="9"/>
  <c r="AX34" i="9"/>
  <c r="AX35" i="9"/>
  <c r="AX36" i="9"/>
  <c r="AX37" i="9"/>
  <c r="AX38" i="9"/>
  <c r="AX39" i="9"/>
  <c r="AX40" i="9"/>
  <c r="AX41" i="9"/>
  <c r="AX42" i="9"/>
  <c r="AX43" i="9"/>
  <c r="AX44" i="9"/>
  <c r="AX45" i="9"/>
  <c r="AX46" i="9"/>
  <c r="AX47" i="9"/>
  <c r="AU18" i="9"/>
  <c r="AU19" i="9"/>
  <c r="AU20" i="9"/>
  <c r="AU21" i="9"/>
  <c r="AU22" i="9"/>
  <c r="AU23" i="9"/>
  <c r="AU24" i="9"/>
  <c r="AU25" i="9"/>
  <c r="AU26" i="9"/>
  <c r="AU27" i="9"/>
  <c r="AU28" i="9"/>
  <c r="AU29" i="9"/>
  <c r="AU30" i="9"/>
  <c r="AU31" i="9"/>
  <c r="AU32" i="9"/>
  <c r="AU33" i="9"/>
  <c r="AU34" i="9"/>
  <c r="AU35" i="9"/>
  <c r="AU36" i="9"/>
  <c r="AU37" i="9"/>
  <c r="AU38" i="9"/>
  <c r="AU39" i="9"/>
  <c r="AU40" i="9"/>
  <c r="AU41" i="9"/>
  <c r="AU42" i="9"/>
  <c r="AU43" i="9"/>
  <c r="AU44" i="9"/>
  <c r="AU45" i="9"/>
  <c r="AU46" i="9"/>
  <c r="AU47" i="9"/>
  <c r="AU1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57" i="9"/>
  <c r="AH6" i="9"/>
  <c r="AH5" i="9"/>
  <c r="Y6" i="9"/>
  <c r="Y7" i="9"/>
  <c r="Y8" i="9"/>
  <c r="Y9" i="9"/>
  <c r="Y14" i="9" s="1"/>
  <c r="Y10" i="9"/>
  <c r="Y11" i="9"/>
  <c r="Y12" i="9"/>
  <c r="Y5" i="9"/>
  <c r="X6" i="9"/>
  <c r="X7" i="9"/>
  <c r="X8" i="9"/>
  <c r="X9" i="9"/>
  <c r="X10" i="9"/>
  <c r="X11" i="9"/>
  <c r="X12" i="9"/>
  <c r="X5" i="9"/>
  <c r="AD2" i="9"/>
  <c r="Y4" i="9"/>
  <c r="Z4" i="9"/>
  <c r="AH4" i="9"/>
  <c r="P44" i="17" l="1"/>
  <c r="O45" i="17"/>
  <c r="P27" i="16"/>
  <c r="BB42" i="9"/>
  <c r="BB21" i="9"/>
  <c r="BB33" i="9"/>
  <c r="BB22" i="9"/>
  <c r="BB41" i="9"/>
  <c r="BB40" i="9"/>
  <c r="BB30" i="9"/>
  <c r="BB20" i="9"/>
  <c r="BB23" i="9"/>
  <c r="BB31" i="9"/>
  <c r="BC18" i="9"/>
  <c r="BC48" i="9" s="1"/>
  <c r="BC49" i="9" s="1"/>
  <c r="BC51" i="9" s="1"/>
  <c r="BB18" i="9"/>
  <c r="BB39" i="9"/>
  <c r="BB29" i="9"/>
  <c r="BB43" i="9"/>
  <c r="BB38" i="9"/>
  <c r="BB28" i="9"/>
  <c r="BB32" i="9"/>
  <c r="BB47" i="9"/>
  <c r="BB37" i="9"/>
  <c r="BB27" i="9"/>
  <c r="BB46" i="9"/>
  <c r="BB36" i="9"/>
  <c r="BB26" i="9"/>
  <c r="AZ29" i="9"/>
  <c r="AZ30" i="9" s="1"/>
  <c r="AZ31" i="9" s="1"/>
  <c r="AZ32" i="9" s="1"/>
  <c r="AZ33" i="9" s="1"/>
  <c r="AZ34" i="9" s="1"/>
  <c r="AZ35" i="9" s="1"/>
  <c r="AZ36" i="9" s="1"/>
  <c r="AZ37" i="9" s="1"/>
  <c r="AZ38" i="9" s="1"/>
  <c r="AZ39" i="9" s="1"/>
  <c r="AZ40" i="9" s="1"/>
  <c r="AZ41" i="9" s="1"/>
  <c r="AZ42" i="9" s="1"/>
  <c r="AZ43" i="9" s="1"/>
  <c r="AZ44" i="9" s="1"/>
  <c r="AZ45" i="9" s="1"/>
  <c r="AZ46" i="9" s="1"/>
  <c r="AZ47" i="9" s="1"/>
  <c r="O46" i="17" l="1"/>
  <c r="P45" i="17"/>
  <c r="P28" i="16"/>
  <c r="BB48" i="9"/>
  <c r="BB49" i="9" s="1"/>
  <c r="BB51" i="9" s="1"/>
  <c r="P46" i="17" l="1"/>
  <c r="O47" i="17"/>
  <c r="P47" i="17" s="1"/>
  <c r="P29" i="16"/>
  <c r="AE5" i="9"/>
  <c r="AE6" i="9"/>
  <c r="AE7" i="9"/>
  <c r="AE8" i="9"/>
  <c r="AE9" i="9"/>
  <c r="AE10" i="9"/>
  <c r="AE11" i="9"/>
  <c r="AE12" i="9"/>
  <c r="AE4" i="9"/>
  <c r="AD6" i="9"/>
  <c r="AD7" i="9"/>
  <c r="AD8" i="9"/>
  <c r="AD11" i="9"/>
  <c r="AD3" i="9"/>
  <c r="AB29" i="9"/>
  <c r="AB22" i="9"/>
  <c r="AB14" i="9"/>
  <c r="AC12" i="9"/>
  <c r="AD12" i="9" s="1"/>
  <c r="AC11" i="9"/>
  <c r="AC10" i="9"/>
  <c r="AD10" i="9" s="1"/>
  <c r="AC9" i="9"/>
  <c r="AD9" i="9" s="1"/>
  <c r="AC8" i="9"/>
  <c r="AC7" i="9"/>
  <c r="AC6" i="9"/>
  <c r="AC5" i="9"/>
  <c r="AD5" i="9" s="1"/>
  <c r="AC4" i="9"/>
  <c r="AD4" i="9" s="1"/>
  <c r="U38" i="9"/>
  <c r="V34" i="9"/>
  <c r="U31" i="9"/>
  <c r="V29" i="9"/>
  <c r="W39" i="9" s="1"/>
  <c r="V25" i="9"/>
  <c r="X23" i="9" s="1"/>
  <c r="V24" i="9"/>
  <c r="V23" i="9"/>
  <c r="U18" i="9"/>
  <c r="V14" i="9"/>
  <c r="U11" i="9"/>
  <c r="V9" i="9"/>
  <c r="W18" i="9" s="1"/>
  <c r="V5" i="9"/>
  <c r="V4" i="9"/>
  <c r="V3" i="9"/>
  <c r="W3" i="9" s="1"/>
  <c r="AK58" i="2"/>
  <c r="AL42" i="2"/>
  <c r="AL41" i="2"/>
  <c r="AL40" i="2"/>
  <c r="AN40" i="2"/>
  <c r="AL22" i="2"/>
  <c r="AL21" i="2"/>
  <c r="AN20" i="2" s="1"/>
  <c r="AL20" i="2"/>
  <c r="AK55" i="2"/>
  <c r="AL51" i="2"/>
  <c r="AK48" i="2"/>
  <c r="AL46" i="2"/>
  <c r="AM56" i="2" s="1"/>
  <c r="AM36" i="2"/>
  <c r="AK35" i="2"/>
  <c r="AL31" i="2"/>
  <c r="AK28" i="2"/>
  <c r="AL26" i="2"/>
  <c r="N22" i="9"/>
  <c r="O2" i="9"/>
  <c r="P2" i="9" s="1"/>
  <c r="P3" i="9"/>
  <c r="P5" i="9"/>
  <c r="P6" i="9"/>
  <c r="P7" i="9"/>
  <c r="P8" i="9"/>
  <c r="P9" i="9"/>
  <c r="P10" i="9"/>
  <c r="P11" i="9"/>
  <c r="O3" i="9"/>
  <c r="O4" i="9"/>
  <c r="P4" i="9" s="1"/>
  <c r="O5" i="9"/>
  <c r="O6" i="9"/>
  <c r="O7" i="9"/>
  <c r="O8" i="9"/>
  <c r="O9" i="9"/>
  <c r="O10" i="9"/>
  <c r="O11" i="9"/>
  <c r="N13" i="9"/>
  <c r="P7" i="1"/>
  <c r="A24" i="1"/>
  <c r="A23" i="1"/>
  <c r="F13" i="1"/>
  <c r="F14" i="1"/>
  <c r="F15" i="1"/>
  <c r="F16" i="1"/>
  <c r="F17" i="1"/>
  <c r="F18" i="1"/>
  <c r="F19" i="1"/>
  <c r="F20" i="1"/>
  <c r="F21" i="1"/>
  <c r="F22" i="1"/>
  <c r="F23" i="1"/>
  <c r="F24" i="1"/>
  <c r="F25" i="1"/>
  <c r="F12" i="1"/>
  <c r="P30" i="16" l="1"/>
  <c r="Z6" i="9"/>
  <c r="AF6" i="9" s="1"/>
  <c r="AF4" i="9"/>
  <c r="Z7" i="9"/>
  <c r="AF7" i="9" s="1"/>
  <c r="Z8" i="9"/>
  <c r="AF8" i="9" s="1"/>
  <c r="Z9" i="9"/>
  <c r="AF9" i="9" s="1"/>
  <c r="Z10" i="9"/>
  <c r="AF10" i="9" s="1"/>
  <c r="Z11" i="9"/>
  <c r="AF11" i="9" s="1"/>
  <c r="Z12" i="9"/>
  <c r="AF12" i="9" s="1"/>
  <c r="Z5" i="9"/>
  <c r="AF5" i="9" s="1"/>
  <c r="AD14" i="9"/>
  <c r="AC20" i="9" s="1"/>
  <c r="AD30" i="9" s="1"/>
  <c r="AE3" i="9"/>
  <c r="AE14" i="9" s="1"/>
  <c r="AC25" i="9" s="1"/>
  <c r="W38" i="9"/>
  <c r="U41" i="9" s="1"/>
  <c r="W19" i="9"/>
  <c r="U21" i="9" s="1"/>
  <c r="AM35" i="2"/>
  <c r="AK38" i="2" s="1"/>
  <c r="AM55" i="2"/>
  <c r="P13" i="9"/>
  <c r="P31" i="16" l="1"/>
  <c r="AF14" i="9"/>
  <c r="AD29" i="9"/>
  <c r="AB32" i="9" s="1"/>
  <c r="P32" i="16" l="1"/>
  <c r="B18" i="1"/>
  <c r="M6" i="1" s="1"/>
  <c r="C6" i="5"/>
  <c r="C5" i="5"/>
  <c r="C4" i="5"/>
  <c r="C5" i="1"/>
  <c r="C6" i="1"/>
  <c r="C4" i="1"/>
  <c r="C8" i="1"/>
  <c r="C9" i="1"/>
  <c r="C10" i="1"/>
  <c r="C11" i="1"/>
  <c r="C12" i="1"/>
  <c r="C13" i="1"/>
  <c r="C14" i="1"/>
  <c r="C15" i="1"/>
  <c r="C16" i="1"/>
  <c r="C17" i="1"/>
  <c r="C18" i="1"/>
  <c r="C19" i="1"/>
  <c r="C20" i="1"/>
  <c r="C21" i="1"/>
  <c r="C22" i="1"/>
  <c r="C23" i="1"/>
  <c r="C24" i="1"/>
  <c r="C25" i="1"/>
  <c r="C7" i="1"/>
  <c r="O7" i="1"/>
  <c r="R7" i="1"/>
  <c r="X7" i="1" s="1"/>
  <c r="AA7" i="1" s="1"/>
  <c r="O8" i="1"/>
  <c r="R8" i="1"/>
  <c r="X8" i="1" s="1"/>
  <c r="AA8" i="1" s="1"/>
  <c r="O9" i="1"/>
  <c r="R9" i="1"/>
  <c r="X9" i="1" s="1"/>
  <c r="AA9" i="1" s="1"/>
  <c r="L7" i="1"/>
  <c r="L8" i="1"/>
  <c r="L9" i="1"/>
  <c r="R21" i="1"/>
  <c r="X21" i="1" s="1"/>
  <c r="AA21" i="1" s="1"/>
  <c r="R22" i="1"/>
  <c r="X22" i="1" s="1"/>
  <c r="AA22" i="1" s="1"/>
  <c r="R23" i="1"/>
  <c r="X23" i="1" s="1"/>
  <c r="AA23" i="1" s="1"/>
  <c r="R24" i="1"/>
  <c r="X24" i="1" s="1"/>
  <c r="AA24" i="1" s="1"/>
  <c r="R25" i="1"/>
  <c r="X25" i="1" s="1"/>
  <c r="AA25" i="1" s="1"/>
  <c r="O21" i="1"/>
  <c r="O22" i="1"/>
  <c r="O23" i="1"/>
  <c r="O24" i="1"/>
  <c r="O25" i="1"/>
  <c r="L21" i="1"/>
  <c r="L22" i="1"/>
  <c r="L23" i="1"/>
  <c r="L24" i="1"/>
  <c r="L25" i="1"/>
  <c r="B10" i="1"/>
  <c r="T7" i="1" s="1"/>
  <c r="F14" i="7"/>
  <c r="I14" i="7"/>
  <c r="F16" i="7"/>
  <c r="F17" i="7" s="1"/>
  <c r="F18" i="7" s="1"/>
  <c r="F19" i="7" s="1"/>
  <c r="I16" i="7"/>
  <c r="I17" i="7" s="1"/>
  <c r="I18" i="7" s="1"/>
  <c r="I19" i="7" s="1"/>
  <c r="A16" i="7"/>
  <c r="C5" i="7"/>
  <c r="C4" i="7"/>
  <c r="F4" i="7"/>
  <c r="J4" i="7"/>
  <c r="C6" i="7"/>
  <c r="C7" i="7"/>
  <c r="C8" i="7"/>
  <c r="I3" i="7"/>
  <c r="E4" i="7" s="1"/>
  <c r="G4" i="7" s="1"/>
  <c r="I4" i="7" s="1"/>
  <c r="E5" i="7" s="1"/>
  <c r="G5" i="7" s="1"/>
  <c r="I5" i="7" s="1"/>
  <c r="I3" i="5"/>
  <c r="E4" i="5" s="1"/>
  <c r="G4" i="5" s="1"/>
  <c r="A18" i="5"/>
  <c r="A20" i="5" s="1"/>
  <c r="A16" i="5"/>
  <c r="P28" i="6"/>
  <c r="S28" i="6" s="1"/>
  <c r="M28" i="6"/>
  <c r="J28" i="6"/>
  <c r="A28" i="6"/>
  <c r="P27" i="6"/>
  <c r="S27" i="6" s="1"/>
  <c r="M27" i="6"/>
  <c r="J27" i="6"/>
  <c r="F27" i="6"/>
  <c r="A27" i="6"/>
  <c r="P26" i="6"/>
  <c r="S26" i="6" s="1"/>
  <c r="M26" i="6"/>
  <c r="J26" i="6"/>
  <c r="F26" i="6"/>
  <c r="A26" i="6"/>
  <c r="P25" i="6"/>
  <c r="S25" i="6" s="1"/>
  <c r="M25" i="6"/>
  <c r="J25" i="6"/>
  <c r="A25" i="6"/>
  <c r="P24" i="6"/>
  <c r="S24" i="6" s="1"/>
  <c r="M24" i="6"/>
  <c r="J24" i="6"/>
  <c r="A24" i="6"/>
  <c r="P23" i="6"/>
  <c r="S23" i="6" s="1"/>
  <c r="M23" i="6"/>
  <c r="J23" i="6"/>
  <c r="A23" i="6"/>
  <c r="P22" i="6"/>
  <c r="S22" i="6" s="1"/>
  <c r="M22" i="6"/>
  <c r="J22" i="6"/>
  <c r="A22" i="6"/>
  <c r="P21" i="6"/>
  <c r="S21" i="6" s="1"/>
  <c r="M21" i="6"/>
  <c r="J21" i="6"/>
  <c r="A21" i="6"/>
  <c r="P20" i="6"/>
  <c r="S20" i="6" s="1"/>
  <c r="M20" i="6"/>
  <c r="J20" i="6"/>
  <c r="A20" i="6"/>
  <c r="P19" i="6"/>
  <c r="S19" i="6" s="1"/>
  <c r="M19" i="6"/>
  <c r="J19" i="6"/>
  <c r="A19" i="6"/>
  <c r="P18" i="6"/>
  <c r="S18" i="6" s="1"/>
  <c r="M18" i="6"/>
  <c r="J18" i="6"/>
  <c r="A18" i="6"/>
  <c r="P17" i="6"/>
  <c r="S17" i="6" s="1"/>
  <c r="M17" i="6"/>
  <c r="J17" i="6"/>
  <c r="A17" i="6"/>
  <c r="A16" i="6"/>
  <c r="A15" i="6"/>
  <c r="A14" i="6"/>
  <c r="A13" i="6"/>
  <c r="A12" i="6"/>
  <c r="G11" i="6"/>
  <c r="D12" i="6" s="1"/>
  <c r="H12" i="6" s="1"/>
  <c r="R20" i="1"/>
  <c r="X20" i="1" s="1"/>
  <c r="AA20" i="1" s="1"/>
  <c r="O20" i="1"/>
  <c r="L20" i="1"/>
  <c r="R19" i="1"/>
  <c r="X19" i="1" s="1"/>
  <c r="AA19" i="1" s="1"/>
  <c r="O19" i="1"/>
  <c r="L19" i="1"/>
  <c r="R18" i="1"/>
  <c r="X18" i="1" s="1"/>
  <c r="AA18" i="1" s="1"/>
  <c r="O18" i="1"/>
  <c r="L18" i="1"/>
  <c r="R17" i="1"/>
  <c r="X17" i="1" s="1"/>
  <c r="AA17" i="1" s="1"/>
  <c r="O17" i="1"/>
  <c r="L17" i="1"/>
  <c r="R16" i="1"/>
  <c r="X16" i="1" s="1"/>
  <c r="AA16" i="1" s="1"/>
  <c r="O16" i="1"/>
  <c r="L16" i="1"/>
  <c r="R15" i="1"/>
  <c r="X15" i="1" s="1"/>
  <c r="AA15" i="1" s="1"/>
  <c r="O15" i="1"/>
  <c r="L15" i="1"/>
  <c r="R14" i="1"/>
  <c r="X14" i="1" s="1"/>
  <c r="AA14" i="1" s="1"/>
  <c r="O14" i="1"/>
  <c r="L14" i="1"/>
  <c r="R13" i="1"/>
  <c r="X13" i="1" s="1"/>
  <c r="AA13" i="1" s="1"/>
  <c r="O13" i="1"/>
  <c r="L13" i="1"/>
  <c r="R12" i="1"/>
  <c r="X12" i="1" s="1"/>
  <c r="AA12" i="1" s="1"/>
  <c r="O12" i="1"/>
  <c r="L12" i="1"/>
  <c r="R11" i="1"/>
  <c r="X11" i="1" s="1"/>
  <c r="AA11" i="1" s="1"/>
  <c r="O11" i="1"/>
  <c r="L11" i="1"/>
  <c r="R10" i="1"/>
  <c r="X10" i="1" s="1"/>
  <c r="AA10" i="1" s="1"/>
  <c r="O10" i="1"/>
  <c r="L10" i="1"/>
  <c r="R6" i="1"/>
  <c r="X6" i="1" s="1"/>
  <c r="AA6" i="1" s="1"/>
  <c r="O6" i="1"/>
  <c r="L6" i="1"/>
  <c r="I3" i="1"/>
  <c r="F4" i="1" s="1"/>
  <c r="J4" i="1" s="1"/>
  <c r="K11" i="3"/>
  <c r="K12" i="3"/>
  <c r="K13" i="3"/>
  <c r="K14" i="3"/>
  <c r="K15" i="3"/>
  <c r="K16" i="3"/>
  <c r="K17" i="3"/>
  <c r="K18" i="3"/>
  <c r="K19" i="3"/>
  <c r="K20" i="3"/>
  <c r="K10" i="3"/>
  <c r="K9" i="3"/>
  <c r="N9" i="3"/>
  <c r="N11" i="3"/>
  <c r="N12" i="3"/>
  <c r="N13" i="3"/>
  <c r="N14" i="3"/>
  <c r="N15" i="3"/>
  <c r="N16" i="3"/>
  <c r="N17" i="3"/>
  <c r="N18" i="3"/>
  <c r="N19" i="3"/>
  <c r="N20" i="3"/>
  <c r="N10" i="3"/>
  <c r="I3" i="3"/>
  <c r="C5" i="3"/>
  <c r="C6" i="3"/>
  <c r="C7" i="3"/>
  <c r="C8" i="3"/>
  <c r="C9" i="3"/>
  <c r="C4" i="3"/>
  <c r="C12" i="3"/>
  <c r="C13" i="3"/>
  <c r="C14" i="3"/>
  <c r="C15" i="3"/>
  <c r="C16" i="3"/>
  <c r="C17" i="3"/>
  <c r="C18" i="3"/>
  <c r="C19" i="3"/>
  <c r="C20" i="3"/>
  <c r="C11" i="3"/>
  <c r="C10" i="3"/>
  <c r="Q11" i="3"/>
  <c r="T11" i="3" s="1"/>
  <c r="Q12" i="3"/>
  <c r="T12" i="3" s="1"/>
  <c r="Q13" i="3"/>
  <c r="T13" i="3" s="1"/>
  <c r="Q14" i="3"/>
  <c r="T14" i="3" s="1"/>
  <c r="Q15" i="3"/>
  <c r="T15" i="3" s="1"/>
  <c r="Q16" i="3"/>
  <c r="T16" i="3" s="1"/>
  <c r="Q17" i="3"/>
  <c r="T17" i="3" s="1"/>
  <c r="Q18" i="3"/>
  <c r="T18" i="3" s="1"/>
  <c r="Q19" i="3"/>
  <c r="T19" i="3" s="1"/>
  <c r="Q20" i="3"/>
  <c r="T20" i="3" s="1"/>
  <c r="Q10" i="3"/>
  <c r="T10" i="3" s="1"/>
  <c r="Q9" i="3"/>
  <c r="T9" i="3" s="1"/>
  <c r="H19" i="3"/>
  <c r="H18" i="3"/>
  <c r="A62" i="2"/>
  <c r="C55" i="2"/>
  <c r="C56" i="2"/>
  <c r="C57" i="2"/>
  <c r="C58" i="2"/>
  <c r="C59" i="2"/>
  <c r="C60" i="2"/>
  <c r="C61" i="2"/>
  <c r="C62" i="2"/>
  <c r="C63" i="2"/>
  <c r="C64" i="2"/>
  <c r="C54" i="2"/>
  <c r="E48" i="2"/>
  <c r="G48" i="2" s="1"/>
  <c r="F48" i="2"/>
  <c r="Q55" i="2"/>
  <c r="T55" i="2" s="1"/>
  <c r="Q56" i="2"/>
  <c r="T56" i="2" s="1"/>
  <c r="Q57" i="2"/>
  <c r="T57" i="2" s="1"/>
  <c r="Q58" i="2"/>
  <c r="T58" i="2" s="1"/>
  <c r="Q59" i="2"/>
  <c r="T59" i="2" s="1"/>
  <c r="Q60" i="2"/>
  <c r="T60" i="2" s="1"/>
  <c r="Q61" i="2"/>
  <c r="T61" i="2" s="1"/>
  <c r="Q62" i="2"/>
  <c r="T62" i="2" s="1"/>
  <c r="Q63" i="2"/>
  <c r="T63" i="2" s="1"/>
  <c r="Q64" i="2"/>
  <c r="T64" i="2" s="1"/>
  <c r="Q54" i="2"/>
  <c r="T54" i="2" s="1"/>
  <c r="Q53" i="2"/>
  <c r="T53" i="2" s="1"/>
  <c r="C49" i="2"/>
  <c r="C50" i="2"/>
  <c r="C51" i="2"/>
  <c r="C52" i="2"/>
  <c r="C53" i="2"/>
  <c r="C48" i="2"/>
  <c r="C12" i="6" l="1"/>
  <c r="E12" i="6" s="1"/>
  <c r="G12" i="6" s="1"/>
  <c r="D13" i="6" s="1"/>
  <c r="H13" i="6" s="1"/>
  <c r="P33" i="16"/>
  <c r="T11" i="1"/>
  <c r="T10" i="1"/>
  <c r="T9" i="1"/>
  <c r="T8" i="1"/>
  <c r="U6" i="1"/>
  <c r="E4" i="1"/>
  <c r="G4" i="1" s="1"/>
  <c r="I4" i="1" s="1"/>
  <c r="E5" i="1" s="1"/>
  <c r="G5" i="1" s="1"/>
  <c r="I5" i="1" s="1"/>
  <c r="F5" i="7"/>
  <c r="J5" i="7" s="1"/>
  <c r="L4" i="7"/>
  <c r="F4" i="5"/>
  <c r="J4" i="5" s="1"/>
  <c r="I4" i="5"/>
  <c r="F4" i="3"/>
  <c r="J4" i="3" s="1"/>
  <c r="E4" i="3"/>
  <c r="G4" i="3" s="1"/>
  <c r="I4" i="3" s="1"/>
  <c r="N53" i="2"/>
  <c r="N64" i="2"/>
  <c r="N61" i="2"/>
  <c r="N63" i="2"/>
  <c r="N62" i="2"/>
  <c r="N55" i="2"/>
  <c r="N54" i="2"/>
  <c r="N60" i="2"/>
  <c r="N59" i="2"/>
  <c r="N58" i="2"/>
  <c r="N57" i="2"/>
  <c r="N56" i="2"/>
  <c r="C13" i="6" l="1"/>
  <c r="E13" i="6" s="1"/>
  <c r="G13" i="6" s="1"/>
  <c r="P34" i="16"/>
  <c r="F5" i="1"/>
  <c r="J5" i="1" s="1"/>
  <c r="L5" i="7"/>
  <c r="E5" i="5"/>
  <c r="G5" i="5" s="1"/>
  <c r="F5" i="5"/>
  <c r="J5" i="5" s="1"/>
  <c r="I5" i="5"/>
  <c r="C14" i="6"/>
  <c r="E14" i="6" s="1"/>
  <c r="G14" i="6" s="1"/>
  <c r="D14" i="6"/>
  <c r="H14" i="6" s="1"/>
  <c r="F6" i="1"/>
  <c r="J6" i="1" s="1"/>
  <c r="E6" i="1"/>
  <c r="G6" i="1" s="1"/>
  <c r="I6" i="1" s="1"/>
  <c r="E5" i="3"/>
  <c r="G5" i="3" s="1"/>
  <c r="I5" i="3" s="1"/>
  <c r="F5" i="3"/>
  <c r="J5" i="3" s="1"/>
  <c r="P35" i="16" l="1"/>
  <c r="F6" i="7"/>
  <c r="J6" i="7" s="1"/>
  <c r="E6" i="7"/>
  <c r="G6" i="7" s="1"/>
  <c r="I6" i="7" s="1"/>
  <c r="E6" i="5"/>
  <c r="G6" i="5" s="1"/>
  <c r="I6" i="5" s="1"/>
  <c r="F6" i="5"/>
  <c r="J6" i="5" s="1"/>
  <c r="D15" i="6"/>
  <c r="H15" i="6" s="1"/>
  <c r="C15" i="6"/>
  <c r="E15" i="6" s="1"/>
  <c r="G15" i="6" s="1"/>
  <c r="F7" i="1"/>
  <c r="S7" i="1" s="1"/>
  <c r="E7" i="1"/>
  <c r="E6" i="3"/>
  <c r="G6" i="3" s="1"/>
  <c r="I6" i="3" s="1"/>
  <c r="E7" i="3" s="1"/>
  <c r="G7" i="3" s="1"/>
  <c r="I7" i="3" s="1"/>
  <c r="F6" i="3"/>
  <c r="J6" i="3" s="1"/>
  <c r="P36" i="16" l="1"/>
  <c r="V7" i="1"/>
  <c r="L6" i="7"/>
  <c r="B16" i="1"/>
  <c r="B20" i="1" s="1"/>
  <c r="J7" i="1"/>
  <c r="U7" i="1" s="1"/>
  <c r="G7" i="1"/>
  <c r="I7" i="1" s="1"/>
  <c r="A16" i="1"/>
  <c r="E7" i="7"/>
  <c r="G7" i="7" s="1"/>
  <c r="I7" i="7" s="1"/>
  <c r="F7" i="7"/>
  <c r="J7" i="7" s="1"/>
  <c r="L7" i="7" s="1"/>
  <c r="D16" i="6"/>
  <c r="H16" i="6" s="1"/>
  <c r="C16" i="6"/>
  <c r="E16" i="6" s="1"/>
  <c r="G16" i="6" s="1"/>
  <c r="F7" i="3"/>
  <c r="J7" i="3" s="1"/>
  <c r="E8" i="3"/>
  <c r="G8" i="3" s="1"/>
  <c r="F8" i="3"/>
  <c r="J8" i="3" s="1"/>
  <c r="I8" i="3"/>
  <c r="P37" i="16" l="1"/>
  <c r="F8" i="1"/>
  <c r="E8" i="1"/>
  <c r="G8" i="1" s="1"/>
  <c r="I8" i="1"/>
  <c r="E9" i="1" s="1"/>
  <c r="G9" i="1" s="1"/>
  <c r="I9" i="1" s="1"/>
  <c r="J8" i="1"/>
  <c r="U8" i="1" s="1"/>
  <c r="S8" i="1"/>
  <c r="M8" i="1"/>
  <c r="P8" i="1"/>
  <c r="M7" i="1"/>
  <c r="F8" i="7"/>
  <c r="J8" i="7" s="1"/>
  <c r="L8" i="7" s="1"/>
  <c r="E8" i="7"/>
  <c r="G8" i="7" s="1"/>
  <c r="I8" i="7" s="1"/>
  <c r="C17" i="6"/>
  <c r="E17" i="6" s="1"/>
  <c r="G17" i="6" s="1"/>
  <c r="D17" i="6"/>
  <c r="H17" i="6" s="1"/>
  <c r="E9" i="3"/>
  <c r="G9" i="3" s="1"/>
  <c r="I9" i="3" s="1"/>
  <c r="F9" i="3"/>
  <c r="J9" i="3" s="1"/>
  <c r="I48" i="2"/>
  <c r="E49" i="2" s="1"/>
  <c r="G49" i="2" s="1"/>
  <c r="J48" i="2"/>
  <c r="P38" i="16" l="1"/>
  <c r="F9" i="1"/>
  <c r="G20" i="7"/>
  <c r="G21" i="7"/>
  <c r="G14" i="7"/>
  <c r="V8" i="1"/>
  <c r="G18" i="7"/>
  <c r="G22" i="7"/>
  <c r="G16" i="7"/>
  <c r="J14" i="7"/>
  <c r="G19" i="7"/>
  <c r="G23" i="7"/>
  <c r="G15" i="7"/>
  <c r="G17" i="7"/>
  <c r="J9" i="1"/>
  <c r="U9" i="1" s="1"/>
  <c r="S9" i="1"/>
  <c r="V9" i="1" s="1"/>
  <c r="Y8" i="1"/>
  <c r="AB8" i="1"/>
  <c r="Y7" i="1"/>
  <c r="AB7" i="1"/>
  <c r="A18" i="7"/>
  <c r="A20" i="7" s="1"/>
  <c r="D18" i="6"/>
  <c r="C18" i="6"/>
  <c r="F10" i="1"/>
  <c r="S10" i="1" s="1"/>
  <c r="V10" i="1" s="1"/>
  <c r="E10" i="1"/>
  <c r="E10" i="3"/>
  <c r="F10" i="3"/>
  <c r="F49" i="2"/>
  <c r="I49" i="2" s="1"/>
  <c r="E50" i="2" s="1"/>
  <c r="G50" i="2" s="1"/>
  <c r="P39" i="16" l="1"/>
  <c r="P9" i="1"/>
  <c r="M9" i="1"/>
  <c r="Y9" i="1" s="1"/>
  <c r="AB9" i="1"/>
  <c r="E18" i="6"/>
  <c r="G18" i="6" s="1"/>
  <c r="H18" i="6"/>
  <c r="J10" i="1"/>
  <c r="U10" i="1" s="1"/>
  <c r="G10" i="1"/>
  <c r="I10" i="1" s="1"/>
  <c r="G10" i="3"/>
  <c r="I10" i="3" s="1"/>
  <c r="E11" i="3" s="1"/>
  <c r="G11" i="3" s="1"/>
  <c r="I11" i="3" s="1"/>
  <c r="A16" i="3"/>
  <c r="J10" i="3"/>
  <c r="F50" i="2"/>
  <c r="I50" i="2" s="1"/>
  <c r="J49" i="2"/>
  <c r="P40" i="16" l="1"/>
  <c r="N18" i="6"/>
  <c r="Q18" i="6"/>
  <c r="K18" i="6"/>
  <c r="D19" i="6"/>
  <c r="C19" i="6"/>
  <c r="E19" i="6" s="1"/>
  <c r="G19" i="6" s="1"/>
  <c r="F11" i="1"/>
  <c r="S11" i="1" s="1"/>
  <c r="E11" i="1"/>
  <c r="G11" i="1" s="1"/>
  <c r="I11" i="1" s="1"/>
  <c r="P10" i="1"/>
  <c r="M10" i="1"/>
  <c r="AB10" i="1" s="1"/>
  <c r="O10" i="3"/>
  <c r="L10" i="3"/>
  <c r="R10" i="3"/>
  <c r="F11" i="3"/>
  <c r="E12" i="3"/>
  <c r="G12" i="3" s="1"/>
  <c r="I12" i="3" s="1"/>
  <c r="F12" i="3"/>
  <c r="J50" i="2"/>
  <c r="F51" i="2"/>
  <c r="E51" i="2"/>
  <c r="G51" i="2" s="1"/>
  <c r="I51" i="2" s="1"/>
  <c r="J51" i="2"/>
  <c r="P41" i="16" l="1"/>
  <c r="V11" i="1"/>
  <c r="H14" i="1"/>
  <c r="T14" i="1" s="1"/>
  <c r="H24" i="1"/>
  <c r="T24" i="1" s="1"/>
  <c r="H18" i="1"/>
  <c r="T18" i="1" s="1"/>
  <c r="H22" i="1"/>
  <c r="T22" i="1" s="1"/>
  <c r="H15" i="1"/>
  <c r="T15" i="1" s="1"/>
  <c r="H25" i="1"/>
  <c r="T25" i="1" s="1"/>
  <c r="H16" i="1"/>
  <c r="T16" i="1" s="1"/>
  <c r="H12" i="1"/>
  <c r="T12" i="1" s="1"/>
  <c r="H17" i="1"/>
  <c r="T17" i="1" s="1"/>
  <c r="H19" i="1"/>
  <c r="T19" i="1" s="1"/>
  <c r="H20" i="1"/>
  <c r="T20" i="1" s="1"/>
  <c r="H21" i="1"/>
  <c r="T21" i="1" s="1"/>
  <c r="H13" i="1"/>
  <c r="T13" i="1" s="1"/>
  <c r="H23" i="1"/>
  <c r="T23" i="1" s="1"/>
  <c r="C20" i="6"/>
  <c r="E20" i="6" s="1"/>
  <c r="G20" i="6" s="1"/>
  <c r="D20" i="6"/>
  <c r="H20" i="6" s="1"/>
  <c r="H19" i="6"/>
  <c r="T18" i="6"/>
  <c r="J11" i="3"/>
  <c r="R11" i="3" s="1"/>
  <c r="U10" i="3"/>
  <c r="S12" i="1"/>
  <c r="E12" i="1"/>
  <c r="Y10" i="1"/>
  <c r="J11" i="1"/>
  <c r="U11" i="1" s="1"/>
  <c r="O11" i="3"/>
  <c r="L11" i="3"/>
  <c r="U11" i="3" s="1"/>
  <c r="E13" i="3"/>
  <c r="G13" i="3" s="1"/>
  <c r="F13" i="3"/>
  <c r="I13" i="3"/>
  <c r="J13" i="3"/>
  <c r="J12" i="3"/>
  <c r="F52" i="2"/>
  <c r="J52" i="2" s="1"/>
  <c r="E52" i="2"/>
  <c r="G52" i="2" s="1"/>
  <c r="P42" i="16" l="1"/>
  <c r="V12" i="1"/>
  <c r="V34" i="1"/>
  <c r="I12" i="1"/>
  <c r="S13" i="1" s="1"/>
  <c r="V13" i="1" s="1"/>
  <c r="J12" i="1"/>
  <c r="U12" i="1" s="1"/>
  <c r="N19" i="6"/>
  <c r="K19" i="6"/>
  <c r="Q19" i="6"/>
  <c r="Q20" i="6"/>
  <c r="N20" i="6"/>
  <c r="K20" i="6"/>
  <c r="T20" i="6" s="1"/>
  <c r="D21" i="6"/>
  <c r="C21" i="6"/>
  <c r="E21" i="6" s="1"/>
  <c r="G21" i="6" s="1"/>
  <c r="M11" i="1"/>
  <c r="AB11" i="1" s="1"/>
  <c r="P11" i="1"/>
  <c r="O13" i="3"/>
  <c r="L13" i="3"/>
  <c r="U13" i="3" s="1"/>
  <c r="R13" i="3"/>
  <c r="O12" i="3"/>
  <c r="R12" i="3"/>
  <c r="L12" i="3"/>
  <c r="E14" i="3"/>
  <c r="G14" i="3" s="1"/>
  <c r="I14" i="3" s="1"/>
  <c r="F14" i="3"/>
  <c r="I52" i="2"/>
  <c r="E53" i="2" s="1"/>
  <c r="G53" i="2" s="1"/>
  <c r="P43" i="16" l="1"/>
  <c r="E13" i="1"/>
  <c r="I13" i="1" s="1"/>
  <c r="E14" i="1" s="1"/>
  <c r="I14" i="1" s="1"/>
  <c r="P12" i="1"/>
  <c r="M12" i="1"/>
  <c r="Y12" i="1"/>
  <c r="AB12" i="1"/>
  <c r="D22" i="6"/>
  <c r="H22" i="6" s="1"/>
  <c r="C22" i="6"/>
  <c r="E22" i="6" s="1"/>
  <c r="G22" i="6" s="1"/>
  <c r="H21" i="6"/>
  <c r="T19" i="6"/>
  <c r="U12" i="3"/>
  <c r="Y11" i="1"/>
  <c r="J13" i="1"/>
  <c r="U13" i="1" s="1"/>
  <c r="E15" i="3"/>
  <c r="G15" i="3" s="1"/>
  <c r="I15" i="3" s="1"/>
  <c r="F15" i="3"/>
  <c r="J15" i="3"/>
  <c r="J14" i="3"/>
  <c r="F53" i="2"/>
  <c r="J53" i="2" s="1"/>
  <c r="I53" i="2"/>
  <c r="F54" i="2" s="1"/>
  <c r="P44" i="16" l="1"/>
  <c r="J14" i="1"/>
  <c r="U14" i="1" s="1"/>
  <c r="S14" i="1"/>
  <c r="V14" i="1" s="1"/>
  <c r="D23" i="6"/>
  <c r="C23" i="6"/>
  <c r="E23" i="6" s="1"/>
  <c r="G23" i="6" s="1"/>
  <c r="K21" i="6"/>
  <c r="N21" i="6"/>
  <c r="Q21" i="6"/>
  <c r="Q22" i="6"/>
  <c r="K22" i="6"/>
  <c r="T22" i="6" s="1"/>
  <c r="N22" i="6"/>
  <c r="E54" i="2"/>
  <c r="G54" i="2" s="1"/>
  <c r="I54" i="2" s="1"/>
  <c r="F55" i="2" s="1"/>
  <c r="J55" i="2" s="1"/>
  <c r="O55" i="2" s="1"/>
  <c r="S15" i="1"/>
  <c r="V15" i="1" s="1"/>
  <c r="E15" i="1"/>
  <c r="I15" i="1" s="1"/>
  <c r="P13" i="1"/>
  <c r="M13" i="1"/>
  <c r="AB13" i="1" s="1"/>
  <c r="P14" i="1"/>
  <c r="M14" i="1"/>
  <c r="O15" i="3"/>
  <c r="R15" i="3"/>
  <c r="L15" i="3"/>
  <c r="U15" i="3" s="1"/>
  <c r="O14" i="3"/>
  <c r="R14" i="3"/>
  <c r="L14" i="3"/>
  <c r="E16" i="3"/>
  <c r="G16" i="3" s="1"/>
  <c r="F16" i="3"/>
  <c r="I16" i="3"/>
  <c r="B60" i="2"/>
  <c r="A60" i="2"/>
  <c r="J54" i="2"/>
  <c r="O54" i="2" s="1"/>
  <c r="P45" i="16" l="1"/>
  <c r="Y14" i="1"/>
  <c r="AB14" i="1"/>
  <c r="D24" i="6"/>
  <c r="H24" i="6" s="1"/>
  <c r="C24" i="6"/>
  <c r="E24" i="6" s="1"/>
  <c r="G24" i="6" s="1"/>
  <c r="T21" i="6"/>
  <c r="H23" i="6"/>
  <c r="U14" i="3"/>
  <c r="E16" i="1"/>
  <c r="I16" i="1" s="1"/>
  <c r="Y13" i="1"/>
  <c r="J15" i="1"/>
  <c r="U15" i="1" s="1"/>
  <c r="E17" i="3"/>
  <c r="G17" i="3" s="1"/>
  <c r="I17" i="3" s="1"/>
  <c r="F17" i="3"/>
  <c r="J17" i="3" s="1"/>
  <c r="J16" i="3"/>
  <c r="E55" i="2"/>
  <c r="G55" i="2" s="1"/>
  <c r="I55" i="2" s="1"/>
  <c r="L54" i="2"/>
  <c r="R54" i="2"/>
  <c r="U54" i="2" s="1"/>
  <c r="L55" i="2"/>
  <c r="R55" i="2"/>
  <c r="U55" i="2" s="1"/>
  <c r="P46" i="16" l="1"/>
  <c r="J16" i="1"/>
  <c r="U16" i="1" s="1"/>
  <c r="S16" i="1"/>
  <c r="V16" i="1" s="1"/>
  <c r="D25" i="6"/>
  <c r="H25" i="6" s="1"/>
  <c r="C25" i="6"/>
  <c r="E25" i="6" s="1"/>
  <c r="G25" i="6" s="1"/>
  <c r="N23" i="6"/>
  <c r="K23" i="6"/>
  <c r="Q23" i="6"/>
  <c r="N24" i="6"/>
  <c r="K24" i="6"/>
  <c r="T24" i="6" s="1"/>
  <c r="Q24" i="6"/>
  <c r="P15" i="1"/>
  <c r="M15" i="1"/>
  <c r="AB15" i="1" s="1"/>
  <c r="P16" i="1"/>
  <c r="M16" i="1"/>
  <c r="E17" i="1"/>
  <c r="I17" i="1" s="1"/>
  <c r="S17" i="1"/>
  <c r="V17" i="1" s="1"/>
  <c r="O16" i="3"/>
  <c r="L16" i="3"/>
  <c r="R16" i="3"/>
  <c r="O17" i="3"/>
  <c r="R17" i="3"/>
  <c r="L17" i="3"/>
  <c r="U17" i="3" s="1"/>
  <c r="E18" i="3"/>
  <c r="G18" i="3" s="1"/>
  <c r="I18" i="3" s="1"/>
  <c r="F18" i="3"/>
  <c r="F56" i="2"/>
  <c r="E56" i="2"/>
  <c r="G56" i="2" s="1"/>
  <c r="I56" i="2" s="1"/>
  <c r="F57" i="2" s="1"/>
  <c r="J57" i="2" s="1"/>
  <c r="O57" i="2" s="1"/>
  <c r="P47" i="16" l="1"/>
  <c r="Y16" i="1"/>
  <c r="AB16" i="1"/>
  <c r="D26" i="6"/>
  <c r="H26" i="6" s="1"/>
  <c r="C26" i="6"/>
  <c r="E26" i="6" s="1"/>
  <c r="G26" i="6" s="1"/>
  <c r="N25" i="6"/>
  <c r="K25" i="6"/>
  <c r="T25" i="6" s="1"/>
  <c r="Q25" i="6"/>
  <c r="T23" i="6"/>
  <c r="U16" i="3"/>
  <c r="E18" i="1"/>
  <c r="I18" i="1" s="1"/>
  <c r="J17" i="1"/>
  <c r="U17" i="1" s="1"/>
  <c r="Y15" i="1"/>
  <c r="E19" i="3"/>
  <c r="G19" i="3" s="1"/>
  <c r="I19" i="3" s="1"/>
  <c r="F19" i="3"/>
  <c r="J19" i="3" s="1"/>
  <c r="J18" i="3"/>
  <c r="J56" i="2"/>
  <c r="E57" i="2"/>
  <c r="G57" i="2" s="1"/>
  <c r="I57" i="2" s="1"/>
  <c r="L57" i="2"/>
  <c r="R57" i="2"/>
  <c r="U57" i="2" s="1"/>
  <c r="J18" i="1" l="1"/>
  <c r="U18" i="1" s="1"/>
  <c r="S18" i="1"/>
  <c r="V18" i="1" s="1"/>
  <c r="N26" i="6"/>
  <c r="Q26" i="6"/>
  <c r="K26" i="6"/>
  <c r="D27" i="6"/>
  <c r="H27" i="6" s="1"/>
  <c r="C27" i="6"/>
  <c r="E27" i="6" s="1"/>
  <c r="G27" i="6" s="1"/>
  <c r="F28" i="6" s="1"/>
  <c r="M17" i="1"/>
  <c r="AB17" i="1" s="1"/>
  <c r="P17" i="1"/>
  <c r="E19" i="1"/>
  <c r="I19" i="1" s="1"/>
  <c r="M18" i="1"/>
  <c r="O19" i="3"/>
  <c r="R19" i="3"/>
  <c r="L19" i="3"/>
  <c r="U19" i="3" s="1"/>
  <c r="O18" i="3"/>
  <c r="L18" i="3"/>
  <c r="R18" i="3"/>
  <c r="E20" i="3"/>
  <c r="G20" i="3" s="1"/>
  <c r="I20" i="3" s="1"/>
  <c r="F20" i="3"/>
  <c r="R26" i="3" s="1"/>
  <c r="O56" i="2"/>
  <c r="L56" i="2"/>
  <c r="R56" i="2"/>
  <c r="U56" i="2" s="1"/>
  <c r="F58" i="2"/>
  <c r="E58" i="2"/>
  <c r="G58" i="2" s="1"/>
  <c r="I58" i="2" s="1"/>
  <c r="P18" i="1" l="1"/>
  <c r="J19" i="1"/>
  <c r="U19" i="1" s="1"/>
  <c r="S19" i="1"/>
  <c r="V19" i="1" s="1"/>
  <c r="Y18" i="1"/>
  <c r="AB18" i="1"/>
  <c r="C28" i="6"/>
  <c r="T26" i="6"/>
  <c r="N27" i="6"/>
  <c r="K27" i="6"/>
  <c r="T27" i="6" s="1"/>
  <c r="Q27" i="6"/>
  <c r="U18" i="3"/>
  <c r="E20" i="1"/>
  <c r="I20" i="1" s="1"/>
  <c r="S20" i="1"/>
  <c r="V20" i="1" s="1"/>
  <c r="Y17" i="1"/>
  <c r="P19" i="1"/>
  <c r="M19" i="1"/>
  <c r="J20" i="3"/>
  <c r="E59" i="2"/>
  <c r="G59" i="2" s="1"/>
  <c r="I59" i="2" s="1"/>
  <c r="F60" i="2" s="1"/>
  <c r="J60" i="2" s="1"/>
  <c r="O60" i="2" s="1"/>
  <c r="F59" i="2"/>
  <c r="J59" i="2" s="1"/>
  <c r="O59" i="2" s="1"/>
  <c r="J58" i="2"/>
  <c r="G28" i="6" l="1"/>
  <c r="D28" i="6"/>
  <c r="Y19" i="1"/>
  <c r="AB19" i="1"/>
  <c r="S21" i="1"/>
  <c r="V21" i="1" s="1"/>
  <c r="E21" i="1"/>
  <c r="H28" i="6"/>
  <c r="Q5" i="6"/>
  <c r="R59" i="2"/>
  <c r="U59" i="2" s="1"/>
  <c r="L59" i="2"/>
  <c r="J20" i="1"/>
  <c r="U20" i="1" s="1"/>
  <c r="O20" i="3"/>
  <c r="A18" i="3" s="1"/>
  <c r="R20" i="3"/>
  <c r="R22" i="3" s="1"/>
  <c r="R27" i="3" s="1"/>
  <c r="L20" i="3"/>
  <c r="E60" i="2"/>
  <c r="G60" i="2" s="1"/>
  <c r="I60" i="2" s="1"/>
  <c r="O58" i="2"/>
  <c r="L58" i="2"/>
  <c r="R58" i="2"/>
  <c r="U58" i="2" s="1"/>
  <c r="L60" i="2"/>
  <c r="R60" i="2"/>
  <c r="U60" i="2" s="1"/>
  <c r="J21" i="1" l="1"/>
  <c r="U21" i="1" s="1"/>
  <c r="I21" i="1"/>
  <c r="N28" i="6"/>
  <c r="K17" i="6" s="1"/>
  <c r="K28" i="6"/>
  <c r="Q28" i="6"/>
  <c r="U20" i="3"/>
  <c r="L22" i="3"/>
  <c r="L23" i="3"/>
  <c r="P20" i="1"/>
  <c r="M20" i="1"/>
  <c r="AB20" i="1" s="1"/>
  <c r="A20" i="3"/>
  <c r="R9" i="3"/>
  <c r="O9" i="3"/>
  <c r="R23" i="3"/>
  <c r="F61" i="2"/>
  <c r="J61" i="2" s="1"/>
  <c r="O61" i="2" s="1"/>
  <c r="E61" i="2"/>
  <c r="G61" i="2" s="1"/>
  <c r="I61" i="2" s="1"/>
  <c r="F62" i="2" s="1"/>
  <c r="P21" i="1" l="1"/>
  <c r="M21" i="1"/>
  <c r="S22" i="1"/>
  <c r="V22" i="1" s="1"/>
  <c r="E22" i="1"/>
  <c r="I22" i="1" s="1"/>
  <c r="Q2" i="6"/>
  <c r="Q1" i="6"/>
  <c r="Q6" i="6" s="1"/>
  <c r="T28" i="6"/>
  <c r="T6" i="6" s="1"/>
  <c r="K6" i="6"/>
  <c r="K7" i="6"/>
  <c r="Q17" i="6"/>
  <c r="Q7" i="6" s="1"/>
  <c r="N17" i="6"/>
  <c r="L61" i="2"/>
  <c r="R61" i="2"/>
  <c r="U61" i="2" s="1"/>
  <c r="R28" i="3"/>
  <c r="R25" i="3"/>
  <c r="R24" i="3"/>
  <c r="U23" i="3"/>
  <c r="U22" i="3"/>
  <c r="Y20" i="1"/>
  <c r="E62" i="2"/>
  <c r="H64" i="2"/>
  <c r="H63" i="2"/>
  <c r="H62" i="2"/>
  <c r="I62" i="2" s="1"/>
  <c r="E63" i="2" s="1"/>
  <c r="Y21" i="1" l="1"/>
  <c r="AB21" i="1"/>
  <c r="S23" i="1"/>
  <c r="V23" i="1" s="1"/>
  <c r="E23" i="1"/>
  <c r="J22" i="1"/>
  <c r="U22" i="1" s="1"/>
  <c r="T7" i="6"/>
  <c r="Q4" i="6"/>
  <c r="Q3" i="6"/>
  <c r="F63" i="2"/>
  <c r="J63" i="2" s="1"/>
  <c r="O63" i="2" s="1"/>
  <c r="I63" i="2"/>
  <c r="E64" i="2" s="1"/>
  <c r="J62" i="2"/>
  <c r="O62" i="2" s="1"/>
  <c r="M22" i="1" l="1"/>
  <c r="P22" i="1"/>
  <c r="I23" i="1"/>
  <c r="J23" i="1"/>
  <c r="U23" i="1" s="1"/>
  <c r="F64" i="2"/>
  <c r="J64" i="2" s="1"/>
  <c r="R63" i="2"/>
  <c r="U63" i="2" s="1"/>
  <c r="I64" i="2"/>
  <c r="L63" i="2"/>
  <c r="R62" i="2"/>
  <c r="U62" i="2" s="1"/>
  <c r="L62" i="2"/>
  <c r="Y22" i="1" l="1"/>
  <c r="AB22" i="1"/>
  <c r="P23" i="1"/>
  <c r="M23" i="1"/>
  <c r="S24" i="1"/>
  <c r="V24" i="1" s="1"/>
  <c r="E24" i="1"/>
  <c r="I24" i="1" s="1"/>
  <c r="O64" i="2"/>
  <c r="O66" i="2" s="1"/>
  <c r="L64" i="2"/>
  <c r="B62" i="2" s="1"/>
  <c r="B64" i="2" s="1"/>
  <c r="R64" i="2"/>
  <c r="U64" i="2" s="1"/>
  <c r="U66" i="2" s="1"/>
  <c r="F67" i="2"/>
  <c r="A64" i="2"/>
  <c r="U67" i="2" l="1"/>
  <c r="R53" i="2"/>
  <c r="O53" i="2" s="1"/>
  <c r="Y23" i="1"/>
  <c r="AB23" i="1"/>
  <c r="E25" i="1"/>
  <c r="J24" i="1"/>
  <c r="U24" i="1" s="1"/>
  <c r="O68" i="2"/>
  <c r="O67" i="2"/>
  <c r="L53" i="2"/>
  <c r="R66" i="2"/>
  <c r="R67" i="2"/>
  <c r="V32" i="1" l="1"/>
  <c r="S25" i="1"/>
  <c r="P24" i="1"/>
  <c r="M24" i="1"/>
  <c r="I25" i="1"/>
  <c r="J25" i="1"/>
  <c r="V29" i="1" l="1"/>
  <c r="V33" i="1" s="1"/>
  <c r="V25" i="1"/>
  <c r="U25" i="1"/>
  <c r="V30" i="1" s="1"/>
  <c r="V31" i="1" s="1"/>
  <c r="Y24" i="1"/>
  <c r="AB24" i="1"/>
  <c r="P25" i="1"/>
  <c r="M25" i="1"/>
  <c r="Y25" i="1" l="1"/>
  <c r="Y30" i="1" s="1"/>
  <c r="AB25" i="1"/>
  <c r="AB29" i="1"/>
  <c r="AB30" i="1"/>
  <c r="P29" i="1"/>
  <c r="A18" i="1" s="1"/>
  <c r="M30" i="1" l="1"/>
  <c r="A20" i="1"/>
  <c r="P6" i="1"/>
  <c r="M29" i="1"/>
  <c r="Y29" i="1" l="1"/>
  <c r="H28" i="10"/>
  <c r="H36" i="10"/>
  <c r="H29" i="10"/>
  <c r="H38" i="10"/>
  <c r="H33" i="10"/>
  <c r="H34" i="10"/>
  <c r="H39" i="10"/>
  <c r="U19" i="10"/>
  <c r="H31" i="10" l="1"/>
  <c r="AA19" i="10"/>
  <c r="AB19" i="10" s="1"/>
  <c r="H40" i="10"/>
  <c r="H30" i="10"/>
  <c r="H24" i="10"/>
  <c r="H21" i="10"/>
  <c r="H22" i="10"/>
  <c r="H26" i="10"/>
  <c r="H25" i="10"/>
  <c r="H32" i="10"/>
  <c r="H37" i="10"/>
  <c r="H35" i="10"/>
  <c r="H23" i="10"/>
  <c r="H20" i="10"/>
  <c r="H27" i="10"/>
  <c r="I20" i="10" l="1"/>
  <c r="J20" i="10"/>
  <c r="N20" i="10" s="1"/>
  <c r="AA20" i="10"/>
  <c r="AB20" i="10" s="1"/>
  <c r="U20" i="10"/>
  <c r="L20" i="10" l="1"/>
  <c r="X20" i="10"/>
  <c r="P20" i="10"/>
  <c r="I21" i="10"/>
  <c r="E21" i="10"/>
  <c r="F21" i="10" s="1"/>
  <c r="J21" i="10" s="1"/>
  <c r="N21" i="10" s="1"/>
  <c r="U21" i="10"/>
  <c r="L21" i="10" l="1"/>
  <c r="P21" i="10"/>
  <c r="X21" i="10"/>
  <c r="AA21" i="10"/>
  <c r="AB21" i="10" s="1"/>
  <c r="I22" i="10"/>
  <c r="E22" i="10"/>
  <c r="F22" i="10" s="1"/>
  <c r="J22" i="10" s="1"/>
  <c r="N22" i="10" s="1"/>
  <c r="AA22" i="10"/>
  <c r="AB22" i="10" s="1"/>
  <c r="L22" i="10" l="1"/>
  <c r="X22" i="10"/>
  <c r="P22" i="10"/>
  <c r="U22" i="10"/>
  <c r="E23" i="10"/>
  <c r="F23" i="10" s="1"/>
  <c r="J23" i="10" s="1"/>
  <c r="I23" i="10"/>
  <c r="AA23" i="10" l="1"/>
  <c r="AB23" i="10" s="1"/>
  <c r="N23" i="10"/>
  <c r="L23" i="10"/>
  <c r="X23" i="10"/>
  <c r="P23" i="10"/>
  <c r="U23" i="10"/>
  <c r="I24" i="10"/>
  <c r="E24" i="10"/>
  <c r="F24" i="10" s="1"/>
  <c r="J24" i="10" s="1"/>
  <c r="U24" i="10" l="1"/>
  <c r="N24" i="10"/>
  <c r="L24" i="10"/>
  <c r="X24" i="10"/>
  <c r="P24" i="10"/>
  <c r="AA24" i="10"/>
  <c r="AB24" i="10" s="1"/>
  <c r="E25" i="10"/>
  <c r="F25" i="10" s="1"/>
  <c r="J25" i="10" s="1"/>
  <c r="N25" i="10" s="1"/>
  <c r="I25" i="10"/>
  <c r="AA25" i="10"/>
  <c r="AB25" i="10" s="1"/>
  <c r="U25" i="10"/>
  <c r="L25" i="10" l="1"/>
  <c r="X25" i="10"/>
  <c r="P25" i="10"/>
  <c r="E26" i="10"/>
  <c r="F26" i="10" s="1"/>
  <c r="J26" i="10" s="1"/>
  <c r="N26" i="10" s="1"/>
  <c r="I26" i="10"/>
  <c r="U26" i="10"/>
  <c r="AA26" i="10"/>
  <c r="AB26" i="10" s="1"/>
  <c r="L26" i="10" l="1"/>
  <c r="P26" i="10"/>
  <c r="X26" i="10"/>
  <c r="E27" i="10"/>
  <c r="F27" i="10" s="1"/>
  <c r="J27" i="10" s="1"/>
  <c r="N27" i="10" s="1"/>
  <c r="I27" i="10"/>
  <c r="AA27" i="10"/>
  <c r="AB27" i="10" s="1"/>
  <c r="U27" i="10"/>
  <c r="L27" i="10" l="1"/>
  <c r="X27" i="10"/>
  <c r="P27" i="10"/>
  <c r="E28" i="10"/>
  <c r="F28" i="10" s="1"/>
  <c r="J28" i="10" s="1"/>
  <c r="N28" i="10" s="1"/>
  <c r="I28" i="10"/>
  <c r="AA28" i="10"/>
  <c r="AB28" i="10" s="1"/>
  <c r="U28" i="10"/>
  <c r="L28" i="10" l="1"/>
  <c r="X28" i="10"/>
  <c r="P28" i="10"/>
  <c r="I29" i="10"/>
  <c r="E29" i="10"/>
  <c r="F29" i="10" s="1"/>
  <c r="J29" i="10" s="1"/>
  <c r="N29" i="10" s="1"/>
  <c r="AA29" i="10"/>
  <c r="AB29" i="10" s="1"/>
  <c r="U29" i="10" l="1"/>
  <c r="L29" i="10"/>
  <c r="P29" i="10"/>
  <c r="X29" i="10"/>
  <c r="I30" i="10"/>
  <c r="E30" i="10"/>
  <c r="F30" i="10" s="1"/>
  <c r="J30" i="10" s="1"/>
  <c r="N30" i="10" s="1"/>
  <c r="L30" i="10" l="1"/>
  <c r="P30" i="10"/>
  <c r="X30" i="10"/>
  <c r="U30" i="10"/>
  <c r="AA30" i="10"/>
  <c r="AB30" i="10" s="1"/>
  <c r="E31" i="10"/>
  <c r="F31" i="10" s="1"/>
  <c r="J31" i="10" s="1"/>
  <c r="N31" i="10" s="1"/>
  <c r="I31" i="10"/>
  <c r="AA31" i="10"/>
  <c r="AB31" i="10" s="1"/>
  <c r="U31" i="10"/>
  <c r="L31" i="10" l="1"/>
  <c r="P31" i="10"/>
  <c r="X31" i="10"/>
  <c r="E32" i="10"/>
  <c r="F32" i="10" s="1"/>
  <c r="J32" i="10" s="1"/>
  <c r="N32" i="10" s="1"/>
  <c r="I32" i="10"/>
  <c r="AA32" i="10"/>
  <c r="AB32" i="10" s="1"/>
  <c r="U32" i="10"/>
  <c r="L32" i="10" l="1"/>
  <c r="X32" i="10"/>
  <c r="P32" i="10"/>
  <c r="I33" i="10"/>
  <c r="E33" i="10"/>
  <c r="F33" i="10" s="1"/>
  <c r="J33" i="10" s="1"/>
  <c r="AA33" i="10" l="1"/>
  <c r="AB33" i="10" s="1"/>
  <c r="N33" i="10"/>
  <c r="U33" i="10"/>
  <c r="L33" i="10"/>
  <c r="P33" i="10"/>
  <c r="X33" i="10"/>
  <c r="E34" i="10"/>
  <c r="F34" i="10" s="1"/>
  <c r="J34" i="10" s="1"/>
  <c r="N34" i="10" s="1"/>
  <c r="I34" i="10"/>
  <c r="L34" i="10" l="1"/>
  <c r="X34" i="10"/>
  <c r="P34" i="10"/>
  <c r="AA34" i="10"/>
  <c r="AB34" i="10" s="1"/>
  <c r="U34" i="10"/>
  <c r="E35" i="10"/>
  <c r="F35" i="10" s="1"/>
  <c r="J35" i="10" s="1"/>
  <c r="N35" i="10" s="1"/>
  <c r="I35" i="10"/>
  <c r="L35" i="10" l="1"/>
  <c r="X35" i="10"/>
  <c r="P35" i="10"/>
  <c r="AA35" i="10"/>
  <c r="AB35" i="10" s="1"/>
  <c r="U35" i="10"/>
  <c r="I36" i="10"/>
  <c r="E36" i="10"/>
  <c r="F36" i="10" s="1"/>
  <c r="J36" i="10" s="1"/>
  <c r="N36" i="10" s="1"/>
  <c r="AA36" i="10" l="1"/>
  <c r="AB36" i="10" s="1"/>
  <c r="L36" i="10"/>
  <c r="X36" i="10"/>
  <c r="P36" i="10"/>
  <c r="U36" i="10"/>
  <c r="I37" i="10"/>
  <c r="E37" i="10"/>
  <c r="F37" i="10" s="1"/>
  <c r="J37" i="10" s="1"/>
  <c r="N37" i="10" s="1"/>
  <c r="L37" i="10" l="1"/>
  <c r="P37" i="10"/>
  <c r="X37" i="10"/>
  <c r="U37" i="10"/>
  <c r="AA37" i="10"/>
  <c r="AB37" i="10" s="1"/>
  <c r="I38" i="10"/>
  <c r="E38" i="10"/>
  <c r="F38" i="10" s="1"/>
  <c r="J38" i="10" s="1"/>
  <c r="N38" i="10" s="1"/>
  <c r="L38" i="10" l="1"/>
  <c r="X38" i="10"/>
  <c r="P38" i="10"/>
  <c r="AA38" i="10"/>
  <c r="AB38" i="10" s="1"/>
  <c r="U38" i="10"/>
  <c r="I39" i="10"/>
  <c r="E39" i="10"/>
  <c r="F39" i="10" s="1"/>
  <c r="J39" i="10" s="1"/>
  <c r="N39" i="10" s="1"/>
  <c r="L39" i="10" l="1"/>
  <c r="P39" i="10"/>
  <c r="X39" i="10"/>
  <c r="U39" i="10"/>
  <c r="AA39" i="10"/>
  <c r="AB39" i="10" s="1"/>
  <c r="I40" i="10"/>
  <c r="E40" i="10"/>
  <c r="F40" i="10" s="1"/>
  <c r="J40" i="10" s="1"/>
  <c r="N40" i="10" s="1"/>
  <c r="U40" i="10" l="1"/>
  <c r="P40" i="10"/>
  <c r="X40" i="10"/>
  <c r="AA40" i="10"/>
  <c r="AB40" i="10" s="1"/>
  <c r="AB43" i="10" s="1"/>
  <c r="L40" i="10"/>
  <c r="L42" i="10" s="1"/>
  <c r="L44" i="10" s="1"/>
  <c r="B18" i="10" s="1"/>
  <c r="B19" i="10" s="1"/>
  <c r="U43" i="10"/>
  <c r="U42" i="10"/>
  <c r="Q19" i="10" l="1"/>
  <c r="R19" i="10" s="1"/>
  <c r="Q12" i="10"/>
  <c r="R12" i="10" s="1"/>
  <c r="Q13" i="10"/>
  <c r="R13" i="10" s="1"/>
  <c r="Q14" i="10"/>
  <c r="R14" i="10" s="1"/>
  <c r="Q16" i="10"/>
  <c r="R16" i="10" s="1"/>
  <c r="Q17" i="10"/>
  <c r="R17" i="10" s="1"/>
  <c r="Q15" i="10"/>
  <c r="R15" i="10" s="1"/>
  <c r="Q18" i="10"/>
  <c r="R18" i="10" s="1"/>
  <c r="Q20" i="10"/>
  <c r="R20" i="10" s="1"/>
  <c r="Q21" i="10"/>
  <c r="R21" i="10" s="1"/>
  <c r="Q22" i="10"/>
  <c r="R22" i="10" s="1"/>
  <c r="Q23" i="10"/>
  <c r="R23" i="10" s="1"/>
  <c r="Q24" i="10"/>
  <c r="R24" i="10" s="1"/>
  <c r="Q25" i="10"/>
  <c r="R25" i="10" s="1"/>
  <c r="Q26" i="10"/>
  <c r="R26" i="10" s="1"/>
  <c r="Q27" i="10"/>
  <c r="R27" i="10" s="1"/>
  <c r="Q28" i="10"/>
  <c r="R28" i="10" s="1"/>
  <c r="Q29" i="10"/>
  <c r="R29" i="10" s="1"/>
  <c r="Q30" i="10"/>
  <c r="R30" i="10" s="1"/>
  <c r="Q31" i="10"/>
  <c r="R31" i="10" s="1"/>
  <c r="Q32" i="10"/>
  <c r="R32" i="10" s="1"/>
  <c r="Q33" i="10"/>
  <c r="R33" i="10" s="1"/>
  <c r="Q34" i="10"/>
  <c r="R34" i="10" s="1"/>
  <c r="Q35" i="10"/>
  <c r="R35" i="10" s="1"/>
  <c r="Q36" i="10"/>
  <c r="R36" i="10" s="1"/>
  <c r="Q37" i="10"/>
  <c r="R37" i="10" s="1"/>
  <c r="Q38" i="10"/>
  <c r="R38" i="10" s="1"/>
  <c r="Q39" i="10"/>
  <c r="R39" i="10" s="1"/>
  <c r="Q40" i="10"/>
  <c r="R40" i="10" s="1"/>
  <c r="Q11" i="10" l="1"/>
  <c r="R11" i="10" s="1"/>
  <c r="P43" i="10"/>
  <c r="X42" i="10"/>
  <c r="Q43" i="10" l="1"/>
  <c r="R43" i="10"/>
</calcChain>
</file>

<file path=xl/sharedStrings.xml><?xml version="1.0" encoding="utf-8"?>
<sst xmlns="http://schemas.openxmlformats.org/spreadsheetml/2006/main" count="1154" uniqueCount="244">
  <si>
    <t>TIR</t>
  </si>
  <si>
    <t>el precio es el valor presente de los flujos(fijos) a una tasa (variable) que es la exigida en el mercado.</t>
  </si>
  <si>
    <t>cuando cambia el precio es que esta cambiando la tir exigida en el mercado de rendimiento de ese bono</t>
  </si>
  <si>
    <t>si llegase a subir la tasa exigida por los agentes, el precio bajaria</t>
  </si>
  <si>
    <t>MEDIDIAS DE RENDIMEINTO</t>
  </si>
  <si>
    <t>-</t>
  </si>
  <si>
    <t>CURRENT YIELD</t>
  </si>
  <si>
    <t>TIR = TASA CUPON</t>
  </si>
  <si>
    <t>PRECIO = VALOR NOMINAL</t>
  </si>
  <si>
    <t>A LA PAR</t>
  </si>
  <si>
    <t>BAJO LA PAR</t>
  </si>
  <si>
    <t>PRECIO &lt; VALOR RESIDUAL</t>
  </si>
  <si>
    <t>TIR &gt; TASA CUPON</t>
  </si>
  <si>
    <t>SOBRE LA PAR</t>
  </si>
  <si>
    <t>PRECIO &gt; VALOR RESIDUAL</t>
  </si>
  <si>
    <t>TIR &lt; TASA CUPON</t>
  </si>
  <si>
    <t>RIESGO PRECIO TASA</t>
  </si>
  <si>
    <t>El k va a ser la TIR del bono</t>
  </si>
  <si>
    <r>
      <t xml:space="preserve">Es el rendimiento de tener el bono </t>
    </r>
    <r>
      <rPr>
        <b/>
        <sz val="12"/>
        <color theme="1"/>
        <rFont val="Calibri"/>
        <family val="2"/>
        <scheme val="minor"/>
      </rPr>
      <t>hasta el vencimiento</t>
    </r>
  </si>
  <si>
    <r>
      <t xml:space="preserve">Se asume que los flujos de fondos se </t>
    </r>
    <r>
      <rPr>
        <b/>
        <sz val="12"/>
        <color theme="1"/>
        <rFont val="Calibri"/>
        <family val="2"/>
        <scheme val="minor"/>
      </rPr>
      <t>reinvierten a la misma tasa</t>
    </r>
  </si>
  <si>
    <t>Obviamente las tasas cambian todo el tiempo, puede no representar el verdadero rendimiento</t>
  </si>
  <si>
    <t>CY = INTERES / PRECIO</t>
  </si>
  <si>
    <r>
      <t xml:space="preserve">Es el rendimeinto en </t>
    </r>
    <r>
      <rPr>
        <b/>
        <sz val="12"/>
        <color theme="1"/>
        <rFont val="Calibri"/>
        <family val="2"/>
        <scheme val="minor"/>
      </rPr>
      <t>un periodo</t>
    </r>
    <r>
      <rPr>
        <sz val="12"/>
        <color theme="1"/>
        <rFont val="Calibri"/>
        <family val="2"/>
        <scheme val="minor"/>
      </rPr>
      <t xml:space="preserve"> - momento dado</t>
    </r>
  </si>
  <si>
    <t>Un precio mas alto implica un CY menor</t>
  </si>
  <si>
    <t>TIR = CY</t>
  </si>
  <si>
    <t>TIR &gt; CY</t>
  </si>
  <si>
    <t>TIR &lt; CY</t>
  </si>
  <si>
    <t>EMISION</t>
  </si>
  <si>
    <t>YIELD-TO-MATURITY</t>
  </si>
  <si>
    <t>CAPITAL GAIN</t>
  </si>
  <si>
    <t>Los bonos tienen dos tipos de rendimiento</t>
  </si>
  <si>
    <t>INTERESES</t>
  </si>
  <si>
    <t>GANANCIA O PERDIDA DE CAPITAL</t>
  </si>
  <si>
    <t>CY</t>
  </si>
  <si>
    <t>CG</t>
  </si>
  <si>
    <r>
      <t xml:space="preserve">El rendimiento total es la suma de </t>
    </r>
    <r>
      <rPr>
        <b/>
        <sz val="12"/>
        <color theme="1"/>
        <rFont val="Calibri"/>
        <family val="2"/>
        <scheme val="minor"/>
      </rPr>
      <t>intereses del cupon</t>
    </r>
    <r>
      <rPr>
        <sz val="12"/>
        <color theme="1"/>
        <rFont val="Calibri"/>
        <family val="2"/>
        <scheme val="minor"/>
      </rPr>
      <t xml:space="preserve"> con </t>
    </r>
    <r>
      <rPr>
        <b/>
        <sz val="12"/>
        <color theme="1"/>
        <rFont val="Calibri"/>
        <family val="2"/>
        <scheme val="minor"/>
      </rPr>
      <t>ganancia posible de capital</t>
    </r>
  </si>
  <si>
    <t>ese rendimiento total es CGY = CAPITAL GAIN YIELD</t>
  </si>
  <si>
    <t>EJEMPLO</t>
  </si>
  <si>
    <t>VENCIMIENTO</t>
  </si>
  <si>
    <t>FREQ</t>
  </si>
  <si>
    <t>SEMESTRAL</t>
  </si>
  <si>
    <t>T-CUPON</t>
  </si>
  <si>
    <t>FECHA</t>
  </si>
  <si>
    <t>VN</t>
  </si>
  <si>
    <t>% CAPITALIZA</t>
  </si>
  <si>
    <t>CAPITALIZADO</t>
  </si>
  <si>
    <t>AMORTIZADO</t>
  </si>
  <si>
    <t>RESIDUAL</t>
  </si>
  <si>
    <t>FLUJO</t>
  </si>
  <si>
    <t>PRECIO</t>
  </si>
  <si>
    <t>CORRIDO</t>
  </si>
  <si>
    <t>FECHA DE HOY</t>
  </si>
  <si>
    <t>RENDIMIENTO TOTAL</t>
  </si>
  <si>
    <t>HORIZONTE DE INVERSION</t>
  </si>
  <si>
    <t>periodo de tiempo durante el cual se quieren obtener rendimientos</t>
  </si>
  <si>
    <t>pero no es necesariamente el vencimiento del bono</t>
  </si>
  <si>
    <t>RENDIMIENTO TOTAL AL VENCIMIENTO</t>
  </si>
  <si>
    <t>Vemos que pasa si reinvertimos los flujos de caja del bono a la misma tir</t>
  </si>
  <si>
    <t>Es el valor futuro de las reinversiones</t>
  </si>
  <si>
    <t>VF = C + C(1+r) + C(1+r)^2 + ... +  C(1+r)^(n+1)</t>
  </si>
  <si>
    <t>SERIE GEOMETRICA</t>
  </si>
  <si>
    <t>DEMOSTRACION</t>
  </si>
  <si>
    <t>OTRA SERIE GEOMETRICA</t>
  </si>
  <si>
    <t xml:space="preserve">                   </t>
  </si>
  <si>
    <t>CON CASHFLOWS</t>
  </si>
  <si>
    <t>ADELANTADOS</t>
  </si>
  <si>
    <t>ENTONCES, EN GENERAL</t>
  </si>
  <si>
    <t>VENCIDOS</t>
  </si>
  <si>
    <t xml:space="preserve">V.P.: </t>
  </si>
  <si>
    <t xml:space="preserve">V.F.: </t>
  </si>
  <si>
    <t>VF</t>
  </si>
  <si>
    <t>RTV = VF - P</t>
  </si>
  <si>
    <t>RTV%</t>
  </si>
  <si>
    <t>RTV% = (RTV$/P)^(1/n) - 1</t>
  </si>
  <si>
    <t>t</t>
  </si>
  <si>
    <t>RTV$</t>
  </si>
  <si>
    <t>XIRR</t>
  </si>
  <si>
    <t>XNPV</t>
  </si>
  <si>
    <t>DESCONTADO</t>
  </si>
  <si>
    <t>3 PARTES IGUALES</t>
  </si>
  <si>
    <t>AMORTIZA</t>
  </si>
  <si>
    <t>DEVENGADOS</t>
  </si>
  <si>
    <t>PERCIBIDOS</t>
  </si>
  <si>
    <t>PRECIO CLEAN</t>
  </si>
  <si>
    <t>PRECIO DIRTY</t>
  </si>
  <si>
    <t>hasta el 27/12/2026</t>
  </si>
  <si>
    <t>SOLVER</t>
  </si>
  <si>
    <t>CHECK</t>
  </si>
  <si>
    <t>SOLVER XNPV</t>
  </si>
  <si>
    <t>A MANO</t>
  </si>
  <si>
    <t>Naturalmente, se verifica la condici6n de la TIR, ya que si se consiguen reinvertir
los flujos de caja a la misma TIR, luego el rendimiento total coincide con ésta.</t>
  </si>
  <si>
    <t>COMPOSICION DEL RTV</t>
  </si>
  <si>
    <t>2- INGRESO POR REINVERSIONES</t>
  </si>
  <si>
    <t>1- FLUJO DE INTERESES</t>
  </si>
  <si>
    <t>3- GANANCIA DE CAPITAL</t>
  </si>
  <si>
    <t>REINVERSIONES</t>
  </si>
  <si>
    <t>GANANCIA DE INTERES COMPUESTO</t>
  </si>
  <si>
    <t>GANANCIA DE CAPITAL</t>
  </si>
  <si>
    <t>hasta el</t>
  </si>
  <si>
    <t>BULLET</t>
  </si>
  <si>
    <t>FLUJOS</t>
  </si>
  <si>
    <t>FLUJO DE CAJA DE INTERESES</t>
  </si>
  <si>
    <t>YPF</t>
  </si>
  <si>
    <t>Este es el flujo de efectivo regular que un inversor recibe por poseer un bono. Para un bono de cupón fijo, este flujo de efectivo es constante durante toda la vida del bono y se calcula multiplicando el valor nominal del bono por la tasa de cupón.</t>
  </si>
  <si>
    <t>Esto se refiere al ingreso que un inversor puede ganar al reinvertir el flujo de intereses recibido de un bono. La cantidad de ingresos por reinversiones que un inversor puede ganar depende de las tasas de interés disponibles en el momento de la reinversión. Si las tasas de interés aumentan, el inversor podrá reinvertir los pagos de intereses a una tasa más alta y ganar más ingresos por reinversiones. Sin embargo, si las tasas de interés disminuyen, el inversor ganará menos ingresos por reinversiones.</t>
  </si>
  <si>
    <t>Esto se refiere a la ganancia que un inversor puede obtener al vender un bono por un precio superior al que pagó originalmente. Si el inversor puede vender el bono por más de lo que pagó, habrá obtenido una ganancia de capital. Sin embargo, si el inversor vende el bono por menos de lo que pagó, habrá incurrido en una pérdida de capital.</t>
  </si>
  <si>
    <t>TASA DE REINVERSION</t>
  </si>
  <si>
    <t>VF TOTAL</t>
  </si>
  <si>
    <t>VF INTERESES</t>
  </si>
  <si>
    <t>Mientras más periodos de renversion, y/o más frecuentes sean,</t>
  </si>
  <si>
    <t>mayor va a ser el rol de la reinversion</t>
  </si>
  <si>
    <t>BONOS CON PREMIO Y CON DESCUENTO</t>
  </si>
  <si>
    <t>Los dos tipos de bonos convergen al valor nominal al vencimiento</t>
  </si>
  <si>
    <t>Usted compró un bono bullet con vencimiento a diez años que piensa vender al final del quinto años. ¿Cuáles son los tres componentes del rendimiento total para el horizonte de inversién? ¿De qué depende?</t>
  </si>
  <si>
    <t>Los componentes del rendimiento del bono de 10 años que se venderá en 5 años son</t>
  </si>
  <si>
    <t>Los intereses, el porcentaje fijo de principal que se cobrará periodicamente</t>
  </si>
  <si>
    <t>Ingreso por reinversiones, cada vez que se cobra un flujo de interés este puede ser reinvertido hasta el horizonte</t>
  </si>
  <si>
    <t>La ganancia de capital, seria en este caso el valor que puede tener el bono dentro de 5 años</t>
  </si>
  <si>
    <t>Todo va a depender de las tasas de interes dentro de 5 años</t>
  </si>
  <si>
    <t>Y para las reinversiones de las tasas a cada momento de reinversion</t>
  </si>
  <si>
    <t>EJERCICIOS</t>
  </si>
  <si>
    <t>Cual da mayor rendimiento depende de como evolucione la tasa de interes hasta el vencimiento</t>
  </si>
  <si>
    <t>SANTA EMILIA</t>
  </si>
  <si>
    <t>DESCUENTO</t>
  </si>
  <si>
    <t>FUNCION TABLA</t>
  </si>
  <si>
    <t>TIR EXIGIDA</t>
  </si>
  <si>
    <t>Considere el momento de emisión de las OBLIGACIONES NEGOCIABLES CLASE XX de YPF (22 de julio de 2021). Ver información en el AVISO DE RESULTADOS ADJUNTO.</t>
  </si>
  <si>
    <r>
      <t>Nota</t>
    </r>
    <r>
      <rPr>
        <sz val="14"/>
        <color theme="1"/>
        <rFont val="Calibri"/>
        <family val="2"/>
      </rPr>
      <t>: según consta en el prospecto inicial de lanzamiento de las ON, la base para el cálculo de intereses será la cantidad real de días transcurridos sobre la base de un año de 365 días (daycout = actual/365).</t>
    </r>
  </si>
  <si>
    <t>La forma de licitación de la ON fue en base a tasa de cupón exigida. Esto significa que cada inversor debía reportar la mínima tasa de cupón que estaba dispuesto a percibir condicional a pagar 100 USD (precio ya establecido por YPF) por la ON cuyo valor nominal era también de 100 USD (valor de paridad). En otras palabras, cada inversor debía revelar su TIR exigida a YPF.</t>
  </si>
  <si>
    <t>La tasa de cupón de corte (o sea la TIR de mercado) terminó siendo de 5.75% anual.</t>
  </si>
  <si>
    <t xml:space="preserve">1. Construya la instancia de clase de bono correspondiente a la obligación negociable clase XX de YPF, e imprima su calendario de pagos </t>
  </si>
  <si>
    <t>2. Encuentre el valor de compra del bono para la tercer fecha de emisión y liquidación (21 de octubre de 2021) – asumiendo que la TIR se mantiene constante en 5.75% --, así como el cupón corrido desde la fecha inicial de emisión (22 de julio de 2021). Justifique en base a ello el precio requerido por YPF para los que ingresen en la tercera emisión de USD de 101.434 USD</t>
  </si>
  <si>
    <t xml:space="preserve">3. Si usted compra el bono en el mercado el 22/7/2022 (fecha de liquidación) , a una TIR de 6% : que precio paga, y como se descompone la rentabilidad del bono en términos de Current Yield y Capital Gain?    </t>
  </si>
  <si>
    <t>SOLVER XIRR</t>
  </si>
  <si>
    <t>TOTAL</t>
  </si>
  <si>
    <t>CAPITAL</t>
  </si>
  <si>
    <t>CALENDARIO</t>
  </si>
  <si>
    <t>fechas</t>
  </si>
  <si>
    <t>|</t>
  </si>
  <si>
    <t>i-dev</t>
  </si>
  <si>
    <t>i-per</t>
  </si>
  <si>
    <t>cap</t>
  </si>
  <si>
    <t>amort</t>
  </si>
  <si>
    <t>residual</t>
  </si>
  <si>
    <t>flujo</t>
  </si>
  <si>
    <t>0.0000</t>
  </si>
  <si>
    <t>0.8214</t>
  </si>
  <si>
    <t>yearfrac</t>
  </si>
  <si>
    <t>INTERPOLACION LINEAL</t>
  </si>
  <si>
    <t>Precio</t>
  </si>
  <si>
    <t>flujo1</t>
  </si>
  <si>
    <t>flujo2</t>
  </si>
  <si>
    <t>Prueba 1</t>
  </si>
  <si>
    <t xml:space="preserve">tasa </t>
  </si>
  <si>
    <t>VAN</t>
  </si>
  <si>
    <t xml:space="preserve">Entonces, </t>
  </si>
  <si>
    <t>devuelvo algo mas</t>
  </si>
  <si>
    <t>alto</t>
  </si>
  <si>
    <t>por lo que probamos otra tasa que de algo mas</t>
  </si>
  <si>
    <t>bajo</t>
  </si>
  <si>
    <t>por ej</t>
  </si>
  <si>
    <t>Ahora calculamos qye</t>
  </si>
  <si>
    <t xml:space="preserve">dif de tasas </t>
  </si>
  <si>
    <t>dif de van</t>
  </si>
  <si>
    <t>dif buscada</t>
  </si>
  <si>
    <t>x</t>
  </si>
  <si>
    <t>CURRENT</t>
  </si>
  <si>
    <t>V UN AN</t>
  </si>
  <si>
    <t>PERFIL</t>
  </si>
  <si>
    <t>Denominación</t>
  </si>
  <si>
    <t>Código ISIN</t>
  </si>
  <si>
    <t>Fecha Emisión</t>
  </si>
  <si>
    <t>Fecha de Vencimiento</t>
  </si>
  <si>
    <t>Fecha Devengan Intereses</t>
  </si>
  <si>
    <t>Monto de Emisión</t>
  </si>
  <si>
    <t>Moneda de Emisión</t>
  </si>
  <si>
    <t>Ley</t>
  </si>
  <si>
    <t>Lámina Mínima</t>
  </si>
  <si>
    <t>Monto Residual</t>
  </si>
  <si>
    <t>Forma Amortización</t>
  </si>
  <si>
    <t>Interés</t>
  </si>
  <si>
    <t>AE38</t>
  </si>
  <si>
    <t>BONOS DE LA REPÚBLICA ARGENTINA EN DÓLARES ESTADOUNIDENSES STEP UP 2038</t>
  </si>
  <si>
    <t>ARARGE3209U2</t>
  </si>
  <si>
    <t>7,231,447,653.00</t>
  </si>
  <si>
    <t>USS</t>
  </si>
  <si>
    <t>Nacional</t>
  </si>
  <si>
    <t>7.231.447.653.00</t>
  </si>
  <si>
    <t>La amortización se efectuará en VEINTIDÓS (22) cuotas semestrales iguales el 9 de enero y el 9 de julio de cada año, con la primera cuota el 9 de julio de 2027 y la última cuota el 9 de enero de 2038. La totalidad de las condiciones definitivas de la presente emisión constan en la Resolución N° 381/2020 del Ministerio de Economía de la</t>
  </si>
  <si>
    <t>Nación publicada el 18.08.2020 en el Boletín Oficial.</t>
  </si>
  <si>
    <t>Devengarán intereses, sobre la base de un año de 360 días integrado por 12 meses de 30 días cada uno, de acuerdo con las siguientes tasas anuales: i. Del 4 de septiembre de 2020 (inclusive) al 9 de julio de 2021 (exclusive): 0,125%. ii. Del 9 de julio de 2021 (inclusive) al 9 de julio de 2022 (exclusive): 2,00%. ii. Del 9 de julio de 2022</t>
  </si>
  <si>
    <t>(inclusive) al 9 de julio de 2023 (exclusive): 3,875%. iv. Del 9 de julio de 2023 (inclusive) al 9 de julio de 2024 (exclusive): 4.25%. v. Del 9 de julio de 2024 (inclusive) al</t>
  </si>
  <si>
    <t>vencimiento 5.00%.</t>
  </si>
  <si>
    <t>2 a) La TIR del Bono es de 0.14018150759510783</t>
  </si>
  <si>
    <t>2 b) El cupon corrido es igual a U$D1.6455479452054795</t>
  </si>
  <si>
    <t>2 c)</t>
  </si>
  <si>
    <t>El capital gain es de 6.06713% El current vield es de 11.57619%</t>
  </si>
  <si>
    <t>CURR YIELD</t>
  </si>
  <si>
    <t>(2,125 + 2,125 ) / 59,96</t>
  </si>
  <si>
    <t>(2,125 + 2,125 ) / x</t>
  </si>
  <si>
    <t>p1 - p0 / p0</t>
  </si>
  <si>
    <t>CP170</t>
  </si>
  <si>
    <t>TC</t>
  </si>
  <si>
    <t>ARS</t>
  </si>
  <si>
    <t>USD</t>
  </si>
  <si>
    <t>VP</t>
  </si>
  <si>
    <t>CAPTIAL GAINS</t>
  </si>
  <si>
    <t>ACCRUED</t>
  </si>
  <si>
    <t>CT + CG</t>
  </si>
  <si>
    <t>TIR PY</t>
  </si>
  <si>
    <t>DURATION</t>
  </si>
  <si>
    <t>VALOR EN UN AÑO</t>
  </si>
  <si>
    <t>DIRTY</t>
  </si>
  <si>
    <t>CLEAN</t>
  </si>
  <si>
    <t>ANUAL</t>
  </si>
  <si>
    <t>TIR SOLVER</t>
  </si>
  <si>
    <t>PRECIO (CLEAN)</t>
  </si>
  <si>
    <t>MODIFIED</t>
  </si>
  <si>
    <t>MOD</t>
  </si>
  <si>
    <t>SEM</t>
  </si>
  <si>
    <t>AN</t>
  </si>
  <si>
    <t>8 de septiembre de 2022.</t>
  </si>
  <si>
    <t>8 de marzo de 2023.</t>
  </si>
  <si>
    <t>8 de septiembre de 2023.</t>
  </si>
  <si>
    <t>8 de marzo de 2024.</t>
  </si>
  <si>
    <t>8 de septiembre de 2024..</t>
  </si>
  <si>
    <t>8 de marzo de 2025</t>
  </si>
  <si>
    <t>RESIDUAL 2</t>
  </si>
  <si>
    <t>AMORT 2</t>
  </si>
  <si>
    <t>TASA</t>
  </si>
  <si>
    <t>TASA 2</t>
  </si>
  <si>
    <t>CP</t>
  </si>
  <si>
    <t>AE</t>
  </si>
  <si>
    <t>SUMA</t>
  </si>
  <si>
    <t>CAP</t>
  </si>
  <si>
    <t>AMORTI</t>
  </si>
  <si>
    <t>from</t>
  </si>
  <si>
    <t>val at</t>
  </si>
  <si>
    <t>REINVERTIDO</t>
  </si>
  <si>
    <t>at =</t>
  </si>
  <si>
    <t>DESCONTADO TIR</t>
  </si>
  <si>
    <t>BONO CON CAPITALIZACIONES</t>
  </si>
  <si>
    <t>CUPON CORRIDO</t>
  </si>
  <si>
    <t>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</si>
</sst>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8" formatCode="&quot;$&quot;\ #,##0.00_);[Red]\(&quot;$&quot;\ #,##0.00\)"/>
    <numFmt numFmtId="43" formatCode="_(* #,##0.00_);_(* \(#,##0.00\);_(* &quot;-&quot;??_);_(@_)"/>
    <numFmt numFmtId="164" formatCode="0.000"/>
    <numFmt numFmtId="165" formatCode="0.0000"/>
    <numFmt numFmtId="166" formatCode="0.00000"/>
    <numFmt numFmtId="167" formatCode="0.000%"/>
    <numFmt numFmtId="168" formatCode="0.0000%"/>
    <numFmt numFmtId="169" formatCode="0.0000000000"/>
    <numFmt numFmtId="170" formatCode="0.000000000000"/>
    <numFmt numFmtId="171" formatCode="0.000000"/>
    <numFmt numFmtId="172" formatCode="0.0000000"/>
    <numFmt numFmtId="173" formatCode="0.00000000"/>
    <numFmt numFmtId="174" formatCode="0.000000000"/>
    <numFmt numFmtId="175" formatCode="0.00000%"/>
    <numFmt numFmtId="176" formatCode="0.000000%"/>
    <numFmt numFmtId="177" formatCode="_(* #,##0.0000_);_(* \(#,##0.0000\);_(* &quot;-&quot;??_);_(@_)"/>
    <numFmt numFmtId="178" formatCode="_(* #,##0.00000_);_(* \(#,##0.00000\);_(* &quot;-&quot;??_);_(@_)"/>
    <numFmt numFmtId="179" formatCode="_(* #,##0.000000000_);_(* \(#,##0.000000000\);_(* &quot;-&quot;??_);_(@_)"/>
    <numFmt numFmtId="180" formatCode="_(* #,##0.000000000_);_(* \(#,##0.000000000\);_(* &quot;-&quot;?????????_);_(@_)"/>
  </numFmts>
  <fonts count="19" x14ac:knownFonts="1">
    <font>
      <sz val="12"/>
      <color theme="1"/>
      <name val="Calibri"/>
      <family val="2"/>
      <scheme val="minor"/>
    </font>
    <font>
      <sz val="12"/>
      <color theme="1"/>
      <name val="Calibri"/>
      <family val="2"/>
      <scheme val="minor"/>
    </font>
    <font>
      <b/>
      <sz val="12"/>
      <color theme="1"/>
      <name val="Calibri"/>
      <family val="2"/>
      <scheme val="minor"/>
    </font>
    <font>
      <b/>
      <sz val="14"/>
      <color rgb="FF2E75B5"/>
      <name val="Helvetica"/>
      <family val="2"/>
    </font>
    <font>
      <b/>
      <u/>
      <sz val="12"/>
      <color theme="1"/>
      <name val="Calibri"/>
      <family val="2"/>
      <scheme val="minor"/>
    </font>
    <font>
      <b/>
      <sz val="20"/>
      <color rgb="FF1E4E79"/>
      <name val="Helvetica"/>
      <family val="2"/>
    </font>
    <font>
      <sz val="14"/>
      <color theme="1"/>
      <name val="Cambria Math"/>
      <family val="1"/>
    </font>
    <font>
      <b/>
      <sz val="14"/>
      <color theme="1"/>
      <name val="Cambria Math"/>
      <family val="1"/>
    </font>
    <font>
      <sz val="20"/>
      <color theme="1"/>
      <name val="Helvetica"/>
      <family val="2"/>
    </font>
    <font>
      <b/>
      <sz val="20"/>
      <color theme="1"/>
      <name val="Helvetica"/>
      <family val="2"/>
    </font>
    <font>
      <sz val="20"/>
      <color theme="1"/>
      <name val="Cambria Math"/>
      <family val="1"/>
    </font>
    <font>
      <b/>
      <sz val="20"/>
      <color rgb="FF2E75B5"/>
      <name val="Helvetica"/>
      <family val="2"/>
    </font>
    <font>
      <sz val="11"/>
      <color theme="1"/>
      <name val="Calibri"/>
      <family val="2"/>
    </font>
    <font>
      <sz val="14"/>
      <color theme="1"/>
      <name val="Calibri Light"/>
      <family val="2"/>
    </font>
    <font>
      <sz val="14"/>
      <color theme="1"/>
      <name val="Calibri"/>
      <family val="2"/>
    </font>
    <font>
      <b/>
      <sz val="14"/>
      <color theme="1"/>
      <name val="Calibri"/>
      <family val="2"/>
    </font>
    <font>
      <b/>
      <sz val="12"/>
      <name val="Calibri"/>
      <family val="2"/>
      <scheme val="minor"/>
    </font>
    <font>
      <sz val="12"/>
      <name val="Calibri"/>
      <family val="2"/>
      <scheme val="minor"/>
    </font>
    <font>
      <sz val="12"/>
      <color theme="1"/>
      <name val="Helvetica"/>
      <family val="2"/>
    </font>
  </fonts>
  <fills count="6">
    <fill>
      <patternFill patternType="none"/>
    </fill>
    <fill>
      <patternFill patternType="gray125"/>
    </fill>
    <fill>
      <patternFill patternType="solid">
        <fgColor rgb="FF00B0F0"/>
        <bgColor indexed="64"/>
      </patternFill>
    </fill>
    <fill>
      <patternFill patternType="solid">
        <fgColor theme="7" tint="0.39997558519241921"/>
        <bgColor indexed="64"/>
      </patternFill>
    </fill>
    <fill>
      <patternFill patternType="solid">
        <fgColor rgb="FFFFFF00"/>
        <bgColor indexed="64"/>
      </patternFill>
    </fill>
    <fill>
      <patternFill patternType="solid">
        <fgColor rgb="FF00B050"/>
        <bgColor indexed="64"/>
      </patternFill>
    </fill>
  </fills>
  <borders count="8">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64">
    <xf numFmtId="0" fontId="0" fillId="0" borderId="0" xfId="0"/>
    <xf numFmtId="0" fontId="0" fillId="0" borderId="0" xfId="0" applyAlignment="1">
      <alignment vertical="center"/>
    </xf>
    <xf numFmtId="0" fontId="2" fillId="0" borderId="0" xfId="0" applyFont="1"/>
    <xf numFmtId="0" fontId="4" fillId="0" borderId="0" xfId="0" applyFont="1"/>
    <xf numFmtId="0" fontId="3" fillId="0" borderId="0" xfId="0" applyFont="1"/>
    <xf numFmtId="14" fontId="0" fillId="0" borderId="0" xfId="0" applyNumberFormat="1"/>
    <xf numFmtId="8" fontId="0" fillId="0" borderId="0" xfId="0" applyNumberFormat="1"/>
    <xf numFmtId="2" fontId="0" fillId="0" borderId="0" xfId="0" applyNumberFormat="1"/>
    <xf numFmtId="165" fontId="0" fillId="0" borderId="0" xfId="0" applyNumberFormat="1"/>
    <xf numFmtId="166" fontId="0" fillId="0" borderId="0" xfId="0" applyNumberFormat="1"/>
    <xf numFmtId="0" fontId="5" fillId="0" borderId="0" xfId="0" applyFont="1" applyAlignment="1">
      <alignment vertical="center"/>
    </xf>
    <xf numFmtId="0" fontId="6" fillId="0" borderId="0" xfId="0" applyFont="1" applyAlignment="1">
      <alignment vertical="center"/>
    </xf>
    <xf numFmtId="0" fontId="0" fillId="0" borderId="0" xfId="0" applyAlignment="1">
      <alignment vertical="center" readingOrder="1"/>
    </xf>
    <xf numFmtId="0" fontId="7"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8" fillId="0" borderId="0" xfId="0" applyFont="1" applyAlignment="1">
      <alignment vertical="center"/>
    </xf>
    <xf numFmtId="0" fontId="11" fillId="0" borderId="0" xfId="0" applyFont="1"/>
    <xf numFmtId="10" fontId="0" fillId="0" borderId="0" xfId="1" applyNumberFormat="1" applyFont="1"/>
    <xf numFmtId="167" fontId="0" fillId="0" borderId="0" xfId="1" applyNumberFormat="1" applyFont="1"/>
    <xf numFmtId="168" fontId="0" fillId="0" borderId="0" xfId="1" applyNumberFormat="1" applyFont="1"/>
    <xf numFmtId="0" fontId="0" fillId="2" borderId="0" xfId="0" applyFill="1"/>
    <xf numFmtId="166" fontId="0" fillId="2" borderId="0" xfId="0" applyNumberFormat="1" applyFill="1"/>
    <xf numFmtId="8" fontId="0" fillId="2" borderId="0" xfId="0" applyNumberFormat="1" applyFill="1"/>
    <xf numFmtId="0" fontId="0" fillId="0" borderId="1" xfId="0" applyBorder="1"/>
    <xf numFmtId="0" fontId="0" fillId="0" borderId="1" xfId="0" applyBorder="1" applyAlignment="1">
      <alignment horizontal="center" vertical="center"/>
    </xf>
    <xf numFmtId="0" fontId="0" fillId="0" borderId="0" xfId="0" applyAlignment="1">
      <alignment horizontal="center" vertical="center"/>
    </xf>
    <xf numFmtId="0" fontId="0" fillId="2" borderId="1" xfId="0" applyFill="1" applyBorder="1" applyAlignment="1">
      <alignment horizontal="center" vertical="center"/>
    </xf>
    <xf numFmtId="0" fontId="2" fillId="2" borderId="0" xfId="0" applyFont="1" applyFill="1"/>
    <xf numFmtId="9" fontId="2" fillId="2" borderId="0" xfId="0" applyNumberFormat="1" applyFont="1" applyFill="1"/>
    <xf numFmtId="0" fontId="0" fillId="3" borderId="0" xfId="0" applyFill="1"/>
    <xf numFmtId="10" fontId="0" fillId="3" borderId="0" xfId="1" applyNumberFormat="1" applyFont="1" applyFill="1"/>
    <xf numFmtId="165" fontId="0" fillId="3" borderId="0" xfId="0" applyNumberFormat="1" applyFill="1"/>
    <xf numFmtId="14" fontId="0" fillId="3" borderId="0" xfId="0" applyNumberFormat="1" applyFill="1"/>
    <xf numFmtId="0" fontId="2" fillId="0" borderId="0" xfId="0" applyFont="1" applyAlignment="1">
      <alignment horizontal="left" wrapText="1"/>
    </xf>
    <xf numFmtId="0" fontId="0" fillId="0" borderId="0" xfId="0" applyAlignment="1">
      <alignment horizontal="right" vertical="center"/>
    </xf>
    <xf numFmtId="14" fontId="0" fillId="0" borderId="0" xfId="0" applyNumberFormat="1" applyAlignment="1">
      <alignment horizontal="left"/>
    </xf>
    <xf numFmtId="0" fontId="2" fillId="0" borderId="1" xfId="0" applyFont="1" applyBorder="1" applyAlignment="1">
      <alignment horizontal="left" wrapText="1"/>
    </xf>
    <xf numFmtId="0" fontId="2" fillId="0" borderId="1" xfId="0" applyFont="1" applyBorder="1"/>
    <xf numFmtId="0" fontId="2" fillId="0" borderId="3" xfId="0" applyFont="1" applyBorder="1" applyAlignment="1">
      <alignment horizontal="left" wrapText="1"/>
    </xf>
    <xf numFmtId="2" fontId="0" fillId="0" borderId="3" xfId="1" applyNumberFormat="1" applyFont="1" applyBorder="1"/>
    <xf numFmtId="168" fontId="0" fillId="0" borderId="1" xfId="1" applyNumberFormat="1" applyFont="1" applyBorder="1"/>
    <xf numFmtId="167" fontId="0" fillId="0" borderId="3" xfId="1" applyNumberFormat="1" applyFont="1" applyBorder="1"/>
    <xf numFmtId="14" fontId="2" fillId="0" borderId="0" xfId="0" applyNumberFormat="1" applyFont="1"/>
    <xf numFmtId="2" fontId="2" fillId="0" borderId="0" xfId="0" applyNumberFormat="1" applyFont="1"/>
    <xf numFmtId="166" fontId="2" fillId="0" borderId="0" xfId="0" applyNumberFormat="1" applyFont="1"/>
    <xf numFmtId="14" fontId="2" fillId="0" borderId="0" xfId="0" applyNumberFormat="1" applyFont="1" applyAlignment="1">
      <alignment horizontal="left"/>
    </xf>
    <xf numFmtId="2" fontId="0" fillId="0" borderId="1" xfId="1" applyNumberFormat="1" applyFont="1" applyBorder="1"/>
    <xf numFmtId="166" fontId="0" fillId="0" borderId="3" xfId="0" applyNumberFormat="1" applyBorder="1"/>
    <xf numFmtId="166" fontId="0" fillId="0" borderId="1" xfId="0" applyNumberFormat="1" applyBorder="1"/>
    <xf numFmtId="0" fontId="0" fillId="0" borderId="4" xfId="0" applyBorder="1"/>
    <xf numFmtId="166" fontId="0" fillId="0" borderId="3" xfId="0" applyNumberFormat="1" applyBorder="1" applyAlignment="1">
      <alignment horizontal="right" vertical="center"/>
    </xf>
    <xf numFmtId="0" fontId="3" fillId="0" borderId="0" xfId="0" applyFont="1" applyAlignment="1">
      <alignment horizontal="center" vertical="center"/>
    </xf>
    <xf numFmtId="14" fontId="0" fillId="0" borderId="0" xfId="0" applyNumberFormat="1" applyAlignment="1">
      <alignment horizontal="center" vertical="center"/>
    </xf>
    <xf numFmtId="8" fontId="0" fillId="2" borderId="0" xfId="0" applyNumberFormat="1" applyFill="1" applyAlignment="1">
      <alignment horizontal="center" vertical="center"/>
    </xf>
    <xf numFmtId="165" fontId="0" fillId="0" borderId="0" xfId="0" applyNumberFormat="1" applyAlignment="1">
      <alignment horizontal="center" vertical="center"/>
    </xf>
    <xf numFmtId="0" fontId="0" fillId="2" borderId="0" xfId="0" applyFill="1" applyAlignment="1">
      <alignment horizontal="center" vertical="center"/>
    </xf>
    <xf numFmtId="2" fontId="0" fillId="0" borderId="0" xfId="0" applyNumberFormat="1" applyAlignment="1">
      <alignment horizontal="center" vertical="center"/>
    </xf>
    <xf numFmtId="0" fontId="0" fillId="3" borderId="0" xfId="0" applyFill="1" applyAlignment="1">
      <alignment horizontal="center" vertical="center"/>
    </xf>
    <xf numFmtId="10" fontId="0" fillId="3" borderId="0" xfId="1" applyNumberFormat="1" applyFont="1" applyFill="1" applyAlignment="1">
      <alignment horizontal="center" vertical="center"/>
    </xf>
    <xf numFmtId="10" fontId="0" fillId="0" borderId="2" xfId="0" applyNumberFormat="1" applyBorder="1" applyAlignment="1">
      <alignment horizontal="center" vertical="center"/>
    </xf>
    <xf numFmtId="8" fontId="0" fillId="0" borderId="2" xfId="0" applyNumberFormat="1" applyBorder="1" applyAlignment="1">
      <alignment horizontal="center" vertical="center"/>
    </xf>
    <xf numFmtId="10" fontId="0" fillId="0" borderId="0" xfId="1" applyNumberFormat="1" applyFont="1" applyAlignment="1">
      <alignment horizontal="center" vertical="center"/>
    </xf>
    <xf numFmtId="0" fontId="2" fillId="2" borderId="0" xfId="0" applyFont="1" applyFill="1" applyAlignment="1">
      <alignment horizontal="center" vertical="center"/>
    </xf>
    <xf numFmtId="166" fontId="0" fillId="2" borderId="0" xfId="0" applyNumberFormat="1" applyFill="1" applyAlignment="1">
      <alignment horizontal="center" vertical="center"/>
    </xf>
    <xf numFmtId="9" fontId="2" fillId="2" borderId="0" xfId="0" applyNumberFormat="1" applyFont="1" applyFill="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3" xfId="0" applyFont="1" applyBorder="1" applyAlignment="1">
      <alignment horizontal="center" vertical="center" wrapText="1"/>
    </xf>
    <xf numFmtId="14" fontId="2" fillId="0" borderId="0" xfId="0" applyNumberFormat="1" applyFont="1" applyAlignment="1">
      <alignment horizontal="center" vertical="center"/>
    </xf>
    <xf numFmtId="166" fontId="2" fillId="0" borderId="0" xfId="0" applyNumberFormat="1" applyFont="1" applyAlignment="1">
      <alignment horizontal="center" vertical="center"/>
    </xf>
    <xf numFmtId="166" fontId="0" fillId="0" borderId="0" xfId="0" applyNumberFormat="1" applyAlignment="1">
      <alignment horizontal="center" vertical="center"/>
    </xf>
    <xf numFmtId="168" fontId="0" fillId="0" borderId="1" xfId="1" applyNumberFormat="1" applyFont="1" applyBorder="1" applyAlignment="1">
      <alignment horizontal="center" vertical="center"/>
    </xf>
    <xf numFmtId="2" fontId="0" fillId="0" borderId="1" xfId="1" applyNumberFormat="1" applyFont="1" applyBorder="1" applyAlignment="1">
      <alignment horizontal="center" vertical="center"/>
    </xf>
    <xf numFmtId="0" fontId="12" fillId="0" borderId="0" xfId="0" applyFont="1" applyAlignment="1">
      <alignment horizontal="left" vertical="top"/>
    </xf>
    <xf numFmtId="0" fontId="13" fillId="0" borderId="0" xfId="0" applyFont="1" applyAlignment="1">
      <alignment horizontal="left" vertical="top"/>
    </xf>
    <xf numFmtId="0" fontId="14" fillId="0" borderId="0" xfId="0" applyFont="1" applyAlignment="1">
      <alignment horizontal="left" vertical="top"/>
    </xf>
    <xf numFmtId="0" fontId="15" fillId="0" borderId="0" xfId="0" applyFont="1" applyAlignment="1">
      <alignment horizontal="left" vertical="top"/>
    </xf>
    <xf numFmtId="0" fontId="0" fillId="0" borderId="0" xfId="0" applyAlignment="1">
      <alignment horizontal="left" vertical="top"/>
    </xf>
    <xf numFmtId="0" fontId="2" fillId="0" borderId="0" xfId="0" applyFont="1" applyAlignment="1">
      <alignment horizontal="center" vertical="center"/>
    </xf>
    <xf numFmtId="166" fontId="0" fillId="0" borderId="3" xfId="0" applyNumberFormat="1" applyBorder="1" applyAlignment="1">
      <alignment horizontal="center" vertical="center"/>
    </xf>
    <xf numFmtId="164" fontId="0" fillId="0" borderId="0" xfId="0" applyNumberFormat="1" applyAlignment="1">
      <alignment horizontal="center" vertical="center"/>
    </xf>
    <xf numFmtId="14" fontId="0" fillId="3" borderId="0" xfId="0" applyNumberFormat="1" applyFill="1" applyAlignment="1">
      <alignment horizontal="center" vertical="center"/>
    </xf>
    <xf numFmtId="164" fontId="2" fillId="0" borderId="0" xfId="0" applyNumberFormat="1" applyFont="1" applyAlignment="1">
      <alignment horizontal="center" vertical="center"/>
    </xf>
    <xf numFmtId="168" fontId="0" fillId="0" borderId="0" xfId="1" applyNumberFormat="1" applyFont="1" applyBorder="1" applyAlignment="1">
      <alignment horizontal="center" vertical="center"/>
    </xf>
    <xf numFmtId="2" fontId="0" fillId="0" borderId="0" xfId="1" applyNumberFormat="1" applyFont="1" applyBorder="1" applyAlignment="1">
      <alignment horizontal="center" vertical="center"/>
    </xf>
    <xf numFmtId="0" fontId="16" fillId="0" borderId="1" xfId="0" applyFont="1" applyBorder="1" applyAlignment="1">
      <alignment horizontal="center" vertical="center"/>
    </xf>
    <xf numFmtId="166" fontId="17" fillId="0" borderId="1" xfId="0" applyNumberFormat="1" applyFont="1" applyBorder="1" applyAlignment="1">
      <alignment horizontal="center" vertical="center"/>
    </xf>
    <xf numFmtId="167" fontId="17" fillId="0" borderId="3" xfId="1" applyNumberFormat="1" applyFont="1" applyBorder="1" applyAlignment="1">
      <alignment horizontal="center" vertical="center"/>
    </xf>
    <xf numFmtId="164" fontId="0" fillId="0" borderId="1" xfId="1" applyNumberFormat="1" applyFont="1" applyBorder="1" applyAlignment="1">
      <alignment horizontal="center" vertical="center"/>
    </xf>
    <xf numFmtId="14" fontId="2" fillId="0" borderId="0" xfId="0" applyNumberFormat="1" applyFont="1" applyAlignment="1">
      <alignment horizontal="left" vertical="center"/>
    </xf>
    <xf numFmtId="14" fontId="0" fillId="0" borderId="0" xfId="0" applyNumberFormat="1" applyAlignment="1">
      <alignment horizontal="left" vertical="center"/>
    </xf>
    <xf numFmtId="170" fontId="0" fillId="0" borderId="0" xfId="0" applyNumberFormat="1" applyAlignment="1">
      <alignment horizontal="center" vertical="center"/>
    </xf>
    <xf numFmtId="171" fontId="0" fillId="0" borderId="0" xfId="0" applyNumberFormat="1" applyAlignment="1">
      <alignment horizontal="center" vertical="center"/>
    </xf>
    <xf numFmtId="174" fontId="0" fillId="0" borderId="0" xfId="0" applyNumberFormat="1" applyAlignment="1">
      <alignment horizontal="center" vertical="center"/>
    </xf>
    <xf numFmtId="3" fontId="0" fillId="0" borderId="0" xfId="0" applyNumberFormat="1"/>
    <xf numFmtId="14" fontId="0" fillId="4" borderId="0" xfId="0" applyNumberFormat="1" applyFill="1"/>
    <xf numFmtId="9" fontId="0" fillId="0" borderId="0" xfId="0" applyNumberFormat="1"/>
    <xf numFmtId="0" fontId="0" fillId="4" borderId="0" xfId="0" applyFill="1"/>
    <xf numFmtId="10" fontId="0" fillId="0" borderId="0" xfId="0" applyNumberFormat="1"/>
    <xf numFmtId="167" fontId="0" fillId="0" borderId="0" xfId="0" applyNumberFormat="1"/>
    <xf numFmtId="168" fontId="0" fillId="0" borderId="0" xfId="0" applyNumberFormat="1"/>
    <xf numFmtId="175" fontId="0" fillId="0" borderId="0" xfId="1" applyNumberFormat="1" applyFont="1"/>
    <xf numFmtId="176" fontId="0" fillId="0" borderId="0" xfId="1" applyNumberFormat="1" applyFont="1"/>
    <xf numFmtId="0" fontId="18" fillId="0" borderId="0" xfId="0" applyFont="1"/>
    <xf numFmtId="14" fontId="18" fillId="0" borderId="0" xfId="0" applyNumberFormat="1" applyFont="1"/>
    <xf numFmtId="14" fontId="0" fillId="5" borderId="0" xfId="0" applyNumberFormat="1" applyFill="1"/>
    <xf numFmtId="178" fontId="0" fillId="0" borderId="0" xfId="2" applyNumberFormat="1" applyFont="1"/>
    <xf numFmtId="179" fontId="0" fillId="0" borderId="0" xfId="2" applyNumberFormat="1" applyFont="1"/>
    <xf numFmtId="169" fontId="0" fillId="0" borderId="0" xfId="0" applyNumberFormat="1"/>
    <xf numFmtId="180" fontId="0" fillId="0" borderId="0" xfId="0" applyNumberFormat="1"/>
    <xf numFmtId="173" fontId="2" fillId="0" borderId="0" xfId="0" applyNumberFormat="1" applyFont="1" applyAlignment="1">
      <alignment horizontal="center" vertical="center"/>
    </xf>
    <xf numFmtId="167" fontId="0" fillId="0" borderId="0" xfId="1" applyNumberFormat="1" applyFont="1" applyAlignment="1">
      <alignment horizontal="center" vertical="center"/>
    </xf>
    <xf numFmtId="2" fontId="2" fillId="0" borderId="0" xfId="0" applyNumberFormat="1" applyFont="1" applyAlignment="1">
      <alignment horizontal="center" vertical="center"/>
    </xf>
    <xf numFmtId="168" fontId="0" fillId="0" borderId="0" xfId="1" applyNumberFormat="1" applyFont="1" applyAlignment="1">
      <alignment horizontal="center" vertical="center"/>
    </xf>
    <xf numFmtId="167" fontId="0" fillId="0" borderId="0" xfId="0" applyNumberFormat="1" applyAlignment="1">
      <alignment horizontal="center" vertical="center"/>
    </xf>
    <xf numFmtId="165" fontId="0" fillId="0" borderId="1" xfId="0" applyNumberFormat="1" applyBorder="1" applyAlignment="1">
      <alignment horizontal="center" vertical="center"/>
    </xf>
    <xf numFmtId="2" fontId="0" fillId="0" borderId="1" xfId="0" applyNumberFormat="1" applyBorder="1" applyAlignment="1">
      <alignment horizontal="center" vertical="center"/>
    </xf>
    <xf numFmtId="172" fontId="0" fillId="0" borderId="1" xfId="1" applyNumberFormat="1" applyFont="1" applyBorder="1" applyAlignment="1">
      <alignment horizontal="center" vertical="center"/>
    </xf>
    <xf numFmtId="167" fontId="0" fillId="0" borderId="1" xfId="1" applyNumberFormat="1" applyFont="1" applyBorder="1" applyAlignment="1">
      <alignment horizontal="center" vertical="center"/>
    </xf>
    <xf numFmtId="177" fontId="0" fillId="0" borderId="0" xfId="2" applyNumberFormat="1" applyFont="1" applyAlignment="1">
      <alignment horizontal="center" vertical="center"/>
    </xf>
    <xf numFmtId="178" fontId="0" fillId="0" borderId="0" xfId="2" applyNumberFormat="1" applyFont="1" applyAlignment="1">
      <alignment horizontal="center" vertical="center"/>
    </xf>
    <xf numFmtId="178" fontId="0" fillId="0" borderId="1" xfId="2" applyNumberFormat="1" applyFont="1" applyBorder="1" applyAlignment="1">
      <alignment horizontal="center" vertical="center"/>
    </xf>
    <xf numFmtId="178" fontId="12" fillId="0" borderId="0" xfId="2" applyNumberFormat="1" applyFont="1" applyAlignment="1">
      <alignment horizontal="left" vertical="top"/>
    </xf>
    <xf numFmtId="178" fontId="3" fillId="0" borderId="0" xfId="2" applyNumberFormat="1" applyFont="1" applyAlignment="1">
      <alignment horizontal="center" vertical="center"/>
    </xf>
    <xf numFmtId="178" fontId="0" fillId="2" borderId="1" xfId="2" applyNumberFormat="1" applyFont="1" applyFill="1" applyBorder="1" applyAlignment="1">
      <alignment horizontal="center" vertical="center"/>
    </xf>
    <xf numFmtId="178" fontId="13" fillId="0" borderId="0" xfId="2" applyNumberFormat="1" applyFont="1" applyAlignment="1">
      <alignment horizontal="left" vertical="top"/>
    </xf>
    <xf numFmtId="178" fontId="0" fillId="2" borderId="0" xfId="2" applyNumberFormat="1" applyFont="1" applyFill="1" applyAlignment="1">
      <alignment horizontal="center" vertical="center"/>
    </xf>
    <xf numFmtId="178" fontId="2" fillId="0" borderId="0" xfId="2" applyNumberFormat="1" applyFont="1" applyAlignment="1">
      <alignment horizontal="center" vertical="center"/>
    </xf>
    <xf numFmtId="178" fontId="14" fillId="0" borderId="0" xfId="2" applyNumberFormat="1" applyFont="1" applyAlignment="1">
      <alignment horizontal="left" vertical="top"/>
    </xf>
    <xf numFmtId="178" fontId="15" fillId="0" borderId="0" xfId="2" applyNumberFormat="1" applyFont="1" applyAlignment="1">
      <alignment horizontal="left" vertical="top"/>
    </xf>
    <xf numFmtId="178" fontId="0" fillId="3" borderId="0" xfId="2" applyNumberFormat="1" applyFont="1" applyFill="1" applyAlignment="1">
      <alignment horizontal="center" vertical="center"/>
    </xf>
    <xf numFmtId="178" fontId="0" fillId="0" borderId="0" xfId="2" applyNumberFormat="1" applyFont="1" applyAlignment="1">
      <alignment horizontal="left" vertical="top"/>
    </xf>
    <xf numFmtId="178" fontId="2" fillId="0" borderId="1" xfId="2" applyNumberFormat="1" applyFont="1" applyBorder="1" applyAlignment="1">
      <alignment horizontal="center" vertical="center"/>
    </xf>
    <xf numFmtId="178" fontId="0" fillId="0" borderId="0" xfId="2" applyNumberFormat="1" applyFont="1" applyBorder="1" applyAlignment="1">
      <alignment horizontal="center" vertical="center"/>
    </xf>
    <xf numFmtId="14" fontId="2" fillId="0" borderId="0" xfId="2" applyNumberFormat="1" applyFont="1" applyAlignment="1">
      <alignment horizontal="center" vertical="center"/>
    </xf>
    <xf numFmtId="14" fontId="0" fillId="0" borderId="0" xfId="2" applyNumberFormat="1" applyFont="1" applyAlignment="1">
      <alignment horizontal="center" vertical="center"/>
    </xf>
    <xf numFmtId="14" fontId="0" fillId="0" borderId="0" xfId="2" applyNumberFormat="1" applyFont="1"/>
    <xf numFmtId="14" fontId="0" fillId="5" borderId="0" xfId="2" applyNumberFormat="1" applyFont="1" applyFill="1"/>
    <xf numFmtId="10" fontId="18" fillId="0" borderId="0" xfId="0" applyNumberFormat="1" applyFont="1"/>
    <xf numFmtId="178" fontId="0" fillId="2" borderId="0" xfId="2" applyNumberFormat="1" applyFont="1" applyFill="1" applyBorder="1" applyAlignment="1">
      <alignment horizontal="center" vertical="center"/>
    </xf>
    <xf numFmtId="178" fontId="0" fillId="5" borderId="0" xfId="2" applyNumberFormat="1" applyFont="1" applyFill="1" applyAlignment="1">
      <alignment horizontal="center" vertical="center"/>
    </xf>
    <xf numFmtId="178" fontId="0" fillId="5" borderId="1" xfId="2" applyNumberFormat="1" applyFont="1" applyFill="1" applyBorder="1" applyAlignment="1">
      <alignment horizontal="center" vertical="center"/>
    </xf>
    <xf numFmtId="173" fontId="0" fillId="0" borderId="0" xfId="0" applyNumberFormat="1" applyAlignment="1">
      <alignment horizontal="center" vertical="center"/>
    </xf>
    <xf numFmtId="178" fontId="0" fillId="0" borderId="1" xfId="2" applyNumberFormat="1" applyFont="1" applyBorder="1" applyAlignment="1">
      <alignment vertical="center"/>
    </xf>
    <xf numFmtId="0" fontId="0" fillId="0" borderId="1" xfId="0" applyBorder="1" applyAlignment="1">
      <alignment horizontal="center" vertical="center"/>
    </xf>
    <xf numFmtId="0" fontId="0" fillId="0" borderId="1" xfId="0" applyBorder="1" applyAlignment="1">
      <alignment horizontal="left" vertical="top" wrapText="1"/>
    </xf>
    <xf numFmtId="0" fontId="0" fillId="0" borderId="3" xfId="0" applyBorder="1" applyAlignment="1">
      <alignment horizontal="left" vertical="top" wrapText="1"/>
    </xf>
    <xf numFmtId="0" fontId="0" fillId="0" borderId="1" xfId="0" applyBorder="1" applyAlignment="1">
      <alignment horizontal="center"/>
    </xf>
    <xf numFmtId="178" fontId="0" fillId="0" borderId="1" xfId="2" applyNumberFormat="1" applyFont="1" applyBorder="1" applyAlignment="1">
      <alignment horizontal="center" vertical="center"/>
    </xf>
    <xf numFmtId="0" fontId="2" fillId="0" borderId="0" xfId="0" applyFont="1" applyBorder="1"/>
    <xf numFmtId="2" fontId="0" fillId="0" borderId="0" xfId="1" applyNumberFormat="1" applyFont="1" applyBorder="1"/>
    <xf numFmtId="0" fontId="0" fillId="2" borderId="0" xfId="0" applyFill="1" applyBorder="1" applyAlignment="1">
      <alignment horizontal="center" vertical="center"/>
    </xf>
    <xf numFmtId="0" fontId="0" fillId="2" borderId="0" xfId="0" applyFill="1" applyBorder="1" applyAlignment="1">
      <alignment horizontal="right" vertical="center"/>
    </xf>
    <xf numFmtId="0" fontId="0" fillId="0" borderId="0" xfId="0" applyBorder="1" applyAlignment="1">
      <alignment horizontal="center" vertical="center"/>
    </xf>
    <xf numFmtId="0" fontId="0" fillId="0" borderId="0" xfId="0" applyBorder="1" applyAlignment="1">
      <alignment horizontal="left" vertical="top"/>
    </xf>
    <xf numFmtId="0" fontId="0" fillId="0" borderId="1" xfId="0" applyBorder="1" applyAlignment="1">
      <alignment horizontal="left" vertical="top"/>
    </xf>
    <xf numFmtId="14" fontId="0" fillId="0" borderId="1" xfId="0" applyNumberFormat="1" applyBorder="1" applyAlignment="1">
      <alignment horizontal="left" vertical="top"/>
    </xf>
    <xf numFmtId="10" fontId="0" fillId="0" borderId="1" xfId="1" applyNumberFormat="1" applyFont="1" applyBorder="1" applyAlignment="1">
      <alignment horizontal="left" vertical="top"/>
    </xf>
    <xf numFmtId="0" fontId="0" fillId="3" borderId="1" xfId="0" applyFill="1" applyBorder="1" applyAlignment="1">
      <alignment horizontal="left" vertical="top"/>
    </xf>
    <xf numFmtId="10" fontId="0" fillId="3" borderId="1" xfId="1" applyNumberFormat="1" applyFont="1" applyFill="1" applyBorder="1" applyAlignment="1">
      <alignment horizontal="left" vertical="top"/>
    </xf>
    <xf numFmtId="0" fontId="3" fillId="0" borderId="5" xfId="0" applyFont="1" applyBorder="1" applyAlignment="1">
      <alignment horizontal="center" vertical="top"/>
    </xf>
    <xf numFmtId="0" fontId="3" fillId="0" borderId="6" xfId="0" applyFont="1" applyBorder="1" applyAlignment="1">
      <alignment horizontal="center" vertical="top"/>
    </xf>
    <xf numFmtId="0" fontId="3" fillId="0" borderId="7" xfId="0" applyFont="1" applyBorder="1" applyAlignment="1">
      <alignment horizontal="center" vertical="top"/>
    </xf>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215900</xdr:rowOff>
    </xdr:from>
    <xdr:to>
      <xdr:col>6</xdr:col>
      <xdr:colOff>749300</xdr:colOff>
      <xdr:row>3</xdr:row>
      <xdr:rowOff>139700</xdr:rowOff>
    </xdr:to>
    <xdr:pic>
      <xdr:nvPicPr>
        <xdr:cNvPr id="32" name="Picture 31">
          <a:extLst>
            <a:ext uri="{FF2B5EF4-FFF2-40B4-BE49-F238E27FC236}">
              <a16:creationId xmlns:a16="http://schemas.microsoft.com/office/drawing/2014/main" id="{9E13EF8E-8BED-A558-9D3D-39B5073AC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6100"/>
          <a:ext cx="57023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114300</xdr:rowOff>
    </xdr:from>
    <xdr:to>
      <xdr:col>4</xdr:col>
      <xdr:colOff>393700</xdr:colOff>
      <xdr:row>6</xdr:row>
      <xdr:rowOff>139700</xdr:rowOff>
    </xdr:to>
    <xdr:pic>
      <xdr:nvPicPr>
        <xdr:cNvPr id="33" name="Picture 32">
          <a:extLst>
            <a:ext uri="{FF2B5EF4-FFF2-40B4-BE49-F238E27FC236}">
              <a16:creationId xmlns:a16="http://schemas.microsoft.com/office/drawing/2014/main" id="{55793BC4-DD36-F8ED-36DA-844CF1207A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60500"/>
          <a:ext cx="36957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114300</xdr:rowOff>
    </xdr:from>
    <xdr:to>
      <xdr:col>9</xdr:col>
      <xdr:colOff>25400</xdr:colOff>
      <xdr:row>8</xdr:row>
      <xdr:rowOff>177800</xdr:rowOff>
    </xdr:to>
    <xdr:pic>
      <xdr:nvPicPr>
        <xdr:cNvPr id="34" name="Picture 33">
          <a:extLst>
            <a:ext uri="{FF2B5EF4-FFF2-40B4-BE49-F238E27FC236}">
              <a16:creationId xmlns:a16="http://schemas.microsoft.com/office/drawing/2014/main" id="{3B81CD41-A394-EF85-98E0-BB45E71C40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89100"/>
          <a:ext cx="7454900" cy="52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215900</xdr:rowOff>
    </xdr:from>
    <xdr:to>
      <xdr:col>9</xdr:col>
      <xdr:colOff>25400</xdr:colOff>
      <xdr:row>11</xdr:row>
      <xdr:rowOff>50800</xdr:rowOff>
    </xdr:to>
    <xdr:pic>
      <xdr:nvPicPr>
        <xdr:cNvPr id="35" name="Picture 34">
          <a:extLst>
            <a:ext uri="{FF2B5EF4-FFF2-40B4-BE49-F238E27FC236}">
              <a16:creationId xmlns:a16="http://schemas.microsoft.com/office/drawing/2014/main" id="{B5B510EF-B28A-60ED-7242-6E5519D5C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247900"/>
          <a:ext cx="7454900" cy="52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139700</xdr:rowOff>
    </xdr:from>
    <xdr:to>
      <xdr:col>3</xdr:col>
      <xdr:colOff>482600</xdr:colOff>
      <xdr:row>12</xdr:row>
      <xdr:rowOff>203200</xdr:rowOff>
    </xdr:to>
    <xdr:pic>
      <xdr:nvPicPr>
        <xdr:cNvPr id="36" name="Picture 35">
          <a:extLst>
            <a:ext uri="{FF2B5EF4-FFF2-40B4-BE49-F238E27FC236}">
              <a16:creationId xmlns:a16="http://schemas.microsoft.com/office/drawing/2014/main" id="{C3C2F854-95CB-7623-1867-F646DF4E4D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857500"/>
          <a:ext cx="29591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215900</xdr:rowOff>
    </xdr:from>
    <xdr:to>
      <xdr:col>4</xdr:col>
      <xdr:colOff>279400</xdr:colOff>
      <xdr:row>15</xdr:row>
      <xdr:rowOff>0</xdr:rowOff>
    </xdr:to>
    <xdr:pic>
      <xdr:nvPicPr>
        <xdr:cNvPr id="37" name="Picture 36">
          <a:extLst>
            <a:ext uri="{FF2B5EF4-FFF2-40B4-BE49-F238E27FC236}">
              <a16:creationId xmlns:a16="http://schemas.microsoft.com/office/drawing/2014/main" id="{BFEFB3B6-6F8E-6939-46BC-60FB154413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136900"/>
          <a:ext cx="3581400" cy="46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5</xdr:col>
      <xdr:colOff>114300</xdr:colOff>
      <xdr:row>21</xdr:row>
      <xdr:rowOff>25400</xdr:rowOff>
    </xdr:to>
    <xdr:pic>
      <xdr:nvPicPr>
        <xdr:cNvPr id="38" name="Picture 37">
          <a:extLst>
            <a:ext uri="{FF2B5EF4-FFF2-40B4-BE49-F238E27FC236}">
              <a16:creationId xmlns:a16="http://schemas.microsoft.com/office/drawing/2014/main" id="{88642041-88E0-99EB-314C-7F513CB58C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18000"/>
          <a:ext cx="42418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4</xdr:col>
      <xdr:colOff>38100</xdr:colOff>
      <xdr:row>22</xdr:row>
      <xdr:rowOff>25400</xdr:rowOff>
    </xdr:to>
    <xdr:pic>
      <xdr:nvPicPr>
        <xdr:cNvPr id="39" name="Picture 38">
          <a:extLst>
            <a:ext uri="{FF2B5EF4-FFF2-40B4-BE49-F238E27FC236}">
              <a16:creationId xmlns:a16="http://schemas.microsoft.com/office/drawing/2014/main" id="{A9241AE3-67B0-1FEA-638B-EE3C721405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775200"/>
          <a:ext cx="33401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7</xdr:col>
      <xdr:colOff>736600</xdr:colOff>
      <xdr:row>24</xdr:row>
      <xdr:rowOff>25400</xdr:rowOff>
    </xdr:to>
    <xdr:pic>
      <xdr:nvPicPr>
        <xdr:cNvPr id="40" name="Picture 39">
          <a:extLst>
            <a:ext uri="{FF2B5EF4-FFF2-40B4-BE49-F238E27FC236}">
              <a16:creationId xmlns:a16="http://schemas.microsoft.com/office/drawing/2014/main" id="{C84346FB-7277-F159-FCD8-F2C9739EDB4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232400"/>
          <a:ext cx="65151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3</xdr:col>
      <xdr:colOff>495300</xdr:colOff>
      <xdr:row>26</xdr:row>
      <xdr:rowOff>25400</xdr:rowOff>
    </xdr:to>
    <xdr:pic>
      <xdr:nvPicPr>
        <xdr:cNvPr id="41" name="Picture 40">
          <a:extLst>
            <a:ext uri="{FF2B5EF4-FFF2-40B4-BE49-F238E27FC236}">
              <a16:creationId xmlns:a16="http://schemas.microsoft.com/office/drawing/2014/main" id="{F41899C2-4E9E-394B-D8E0-F884CAF259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689600"/>
          <a:ext cx="29718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3</xdr:col>
      <xdr:colOff>596900</xdr:colOff>
      <xdr:row>28</xdr:row>
      <xdr:rowOff>38100</xdr:rowOff>
    </xdr:to>
    <xdr:pic>
      <xdr:nvPicPr>
        <xdr:cNvPr id="42" name="Picture 41">
          <a:extLst>
            <a:ext uri="{FF2B5EF4-FFF2-40B4-BE49-F238E27FC236}">
              <a16:creationId xmlns:a16="http://schemas.microsoft.com/office/drawing/2014/main" id="{5C6E55BB-6140-38F4-85C8-C95148B3C41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146800"/>
          <a:ext cx="30734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152400</xdr:rowOff>
    </xdr:from>
    <xdr:to>
      <xdr:col>2</xdr:col>
      <xdr:colOff>749300</xdr:colOff>
      <xdr:row>31</xdr:row>
      <xdr:rowOff>12700</xdr:rowOff>
    </xdr:to>
    <xdr:pic>
      <xdr:nvPicPr>
        <xdr:cNvPr id="43" name="Picture 42">
          <a:extLst>
            <a:ext uri="{FF2B5EF4-FFF2-40B4-BE49-F238E27FC236}">
              <a16:creationId xmlns:a16="http://schemas.microsoft.com/office/drawing/2014/main" id="{4566715C-2E67-2E1F-7326-6D2ED474D76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832600"/>
          <a:ext cx="2400300" cy="52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38100</xdr:rowOff>
    </xdr:from>
    <xdr:to>
      <xdr:col>9</xdr:col>
      <xdr:colOff>25400</xdr:colOff>
      <xdr:row>35</xdr:row>
      <xdr:rowOff>127000</xdr:rowOff>
    </xdr:to>
    <xdr:pic>
      <xdr:nvPicPr>
        <xdr:cNvPr id="44" name="Picture 43">
          <a:extLst>
            <a:ext uri="{FF2B5EF4-FFF2-40B4-BE49-F238E27FC236}">
              <a16:creationId xmlns:a16="http://schemas.microsoft.com/office/drawing/2014/main" id="{C595F512-B9CD-CAFC-11EA-74C7CD500BC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7378700"/>
          <a:ext cx="7454900" cy="97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4</xdr:col>
      <xdr:colOff>444500</xdr:colOff>
      <xdr:row>41</xdr:row>
      <xdr:rowOff>25400</xdr:rowOff>
    </xdr:to>
    <xdr:pic>
      <xdr:nvPicPr>
        <xdr:cNvPr id="45" name="Picture 44">
          <a:extLst>
            <a:ext uri="{FF2B5EF4-FFF2-40B4-BE49-F238E27FC236}">
              <a16:creationId xmlns:a16="http://schemas.microsoft.com/office/drawing/2014/main" id="{71EAF66E-02B3-757A-295A-3C45957696C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8813800"/>
          <a:ext cx="37465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8</xdr:col>
      <xdr:colOff>635000</xdr:colOff>
      <xdr:row>42</xdr:row>
      <xdr:rowOff>25400</xdr:rowOff>
    </xdr:to>
    <xdr:pic>
      <xdr:nvPicPr>
        <xdr:cNvPr id="46" name="Picture 45">
          <a:extLst>
            <a:ext uri="{FF2B5EF4-FFF2-40B4-BE49-F238E27FC236}">
              <a16:creationId xmlns:a16="http://schemas.microsoft.com/office/drawing/2014/main" id="{6435F5F3-BC9D-F04E-779F-B96408B9041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271000"/>
          <a:ext cx="72390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3</xdr:col>
      <xdr:colOff>596900</xdr:colOff>
      <xdr:row>44</xdr:row>
      <xdr:rowOff>25400</xdr:rowOff>
    </xdr:to>
    <xdr:pic>
      <xdr:nvPicPr>
        <xdr:cNvPr id="47" name="Picture 46">
          <a:extLst>
            <a:ext uri="{FF2B5EF4-FFF2-40B4-BE49-F238E27FC236}">
              <a16:creationId xmlns:a16="http://schemas.microsoft.com/office/drawing/2014/main" id="{148B8B50-BF70-DBDA-46A7-C807D2C60C6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9728200"/>
          <a:ext cx="30734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3</xdr:col>
      <xdr:colOff>698500</xdr:colOff>
      <xdr:row>46</xdr:row>
      <xdr:rowOff>38100</xdr:rowOff>
    </xdr:to>
    <xdr:pic>
      <xdr:nvPicPr>
        <xdr:cNvPr id="48" name="Picture 47">
          <a:extLst>
            <a:ext uri="{FF2B5EF4-FFF2-40B4-BE49-F238E27FC236}">
              <a16:creationId xmlns:a16="http://schemas.microsoft.com/office/drawing/2014/main" id="{BC83343A-3837-117B-55E7-FC0C308A9AB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0185400"/>
          <a:ext cx="31750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3</xdr:col>
      <xdr:colOff>12700</xdr:colOff>
      <xdr:row>49</xdr:row>
      <xdr:rowOff>88900</xdr:rowOff>
    </xdr:to>
    <xdr:pic>
      <xdr:nvPicPr>
        <xdr:cNvPr id="49" name="Picture 48">
          <a:extLst>
            <a:ext uri="{FF2B5EF4-FFF2-40B4-BE49-F238E27FC236}">
              <a16:creationId xmlns:a16="http://schemas.microsoft.com/office/drawing/2014/main" id="{E32FA1F4-6E16-C120-87E6-976F682D181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642600"/>
          <a:ext cx="2489200" cy="52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9</xdr:col>
      <xdr:colOff>25400</xdr:colOff>
      <xdr:row>55</xdr:row>
      <xdr:rowOff>114300</xdr:rowOff>
    </xdr:to>
    <xdr:pic>
      <xdr:nvPicPr>
        <xdr:cNvPr id="50" name="Picture 49">
          <a:extLst>
            <a:ext uri="{FF2B5EF4-FFF2-40B4-BE49-F238E27FC236}">
              <a16:creationId xmlns:a16="http://schemas.microsoft.com/office/drawing/2014/main" id="{DE034FA0-9F7A-D757-01C9-DF60831B65E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531600"/>
          <a:ext cx="7454900" cy="97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50800</xdr:colOff>
      <xdr:row>57</xdr:row>
      <xdr:rowOff>101600</xdr:rowOff>
    </xdr:from>
    <xdr:to>
      <xdr:col>6</xdr:col>
      <xdr:colOff>330200</xdr:colOff>
      <xdr:row>61</xdr:row>
      <xdr:rowOff>8816</xdr:rowOff>
    </xdr:to>
    <xdr:pic>
      <xdr:nvPicPr>
        <xdr:cNvPr id="51" name="Picture 50">
          <a:extLst>
            <a:ext uri="{FF2B5EF4-FFF2-40B4-BE49-F238E27FC236}">
              <a16:creationId xmlns:a16="http://schemas.microsoft.com/office/drawing/2014/main" id="{AB476891-CFBF-63A5-4858-8B5439F47DD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0800" y="13436600"/>
          <a:ext cx="5232400" cy="821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88900</xdr:rowOff>
    </xdr:from>
    <xdr:to>
      <xdr:col>7</xdr:col>
      <xdr:colOff>228600</xdr:colOff>
      <xdr:row>65</xdr:row>
      <xdr:rowOff>114300</xdr:rowOff>
    </xdr:to>
    <xdr:pic>
      <xdr:nvPicPr>
        <xdr:cNvPr id="52" name="Picture 51">
          <a:extLst>
            <a:ext uri="{FF2B5EF4-FFF2-40B4-BE49-F238E27FC236}">
              <a16:creationId xmlns:a16="http://schemas.microsoft.com/office/drawing/2014/main" id="{C1B245F9-5F7B-2651-A648-8E88D89AE64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4897100"/>
          <a:ext cx="60071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50800</xdr:rowOff>
    </xdr:from>
    <xdr:to>
      <xdr:col>9</xdr:col>
      <xdr:colOff>25400</xdr:colOff>
      <xdr:row>68</xdr:row>
      <xdr:rowOff>76200</xdr:rowOff>
    </xdr:to>
    <xdr:pic>
      <xdr:nvPicPr>
        <xdr:cNvPr id="53" name="Picture 52">
          <a:extLst>
            <a:ext uri="{FF2B5EF4-FFF2-40B4-BE49-F238E27FC236}">
              <a16:creationId xmlns:a16="http://schemas.microsoft.com/office/drawing/2014/main" id="{0E0463CD-5934-1EAC-0725-4E513BEFD12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5544800"/>
          <a:ext cx="74549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101600</xdr:rowOff>
    </xdr:from>
    <xdr:to>
      <xdr:col>3</xdr:col>
      <xdr:colOff>762000</xdr:colOff>
      <xdr:row>69</xdr:row>
      <xdr:rowOff>127000</xdr:rowOff>
    </xdr:to>
    <xdr:pic>
      <xdr:nvPicPr>
        <xdr:cNvPr id="54" name="Picture 53">
          <a:extLst>
            <a:ext uri="{FF2B5EF4-FFF2-40B4-BE49-F238E27FC236}">
              <a16:creationId xmlns:a16="http://schemas.microsoft.com/office/drawing/2014/main" id="{B082F169-F99B-64A6-6AA4-923B0C01795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6052800"/>
          <a:ext cx="32385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76200</xdr:rowOff>
    </xdr:from>
    <xdr:to>
      <xdr:col>9</xdr:col>
      <xdr:colOff>25400</xdr:colOff>
      <xdr:row>74</xdr:row>
      <xdr:rowOff>152400</xdr:rowOff>
    </xdr:to>
    <xdr:pic>
      <xdr:nvPicPr>
        <xdr:cNvPr id="55" name="Picture 54">
          <a:extLst>
            <a:ext uri="{FF2B5EF4-FFF2-40B4-BE49-F238E27FC236}">
              <a16:creationId xmlns:a16="http://schemas.microsoft.com/office/drawing/2014/main" id="{3BB9B298-2C8D-3424-50DE-3EF7132F0CF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6484600"/>
          <a:ext cx="74549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12700</xdr:rowOff>
    </xdr:from>
    <xdr:to>
      <xdr:col>9</xdr:col>
      <xdr:colOff>25400</xdr:colOff>
      <xdr:row>80</xdr:row>
      <xdr:rowOff>50800</xdr:rowOff>
    </xdr:to>
    <xdr:pic>
      <xdr:nvPicPr>
        <xdr:cNvPr id="56" name="Picture 55">
          <a:extLst>
            <a:ext uri="{FF2B5EF4-FFF2-40B4-BE49-F238E27FC236}">
              <a16:creationId xmlns:a16="http://schemas.microsoft.com/office/drawing/2014/main" id="{F56031B7-3A81-D4F5-FC08-AD84A9B9169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7538700"/>
          <a:ext cx="745490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114300</xdr:rowOff>
    </xdr:from>
    <xdr:to>
      <xdr:col>6</xdr:col>
      <xdr:colOff>812800</xdr:colOff>
      <xdr:row>87</xdr:row>
      <xdr:rowOff>139700</xdr:rowOff>
    </xdr:to>
    <xdr:pic>
      <xdr:nvPicPr>
        <xdr:cNvPr id="57" name="Picture 56">
          <a:extLst>
            <a:ext uri="{FF2B5EF4-FFF2-40B4-BE49-F238E27FC236}">
              <a16:creationId xmlns:a16="http://schemas.microsoft.com/office/drawing/2014/main" id="{EE1878C7-D0D9-D62F-5BEB-E07CC169A66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9824700"/>
          <a:ext cx="57658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165100</xdr:rowOff>
    </xdr:from>
    <xdr:to>
      <xdr:col>9</xdr:col>
      <xdr:colOff>25400</xdr:colOff>
      <xdr:row>89</xdr:row>
      <xdr:rowOff>190500</xdr:rowOff>
    </xdr:to>
    <xdr:pic>
      <xdr:nvPicPr>
        <xdr:cNvPr id="58" name="Picture 57">
          <a:extLst>
            <a:ext uri="{FF2B5EF4-FFF2-40B4-BE49-F238E27FC236}">
              <a16:creationId xmlns:a16="http://schemas.microsoft.com/office/drawing/2014/main" id="{BCE0A62D-A6A3-7EA8-5426-ECF6A949113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20434300"/>
          <a:ext cx="74549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203200</xdr:rowOff>
    </xdr:from>
    <xdr:to>
      <xdr:col>3</xdr:col>
      <xdr:colOff>762000</xdr:colOff>
      <xdr:row>91</xdr:row>
      <xdr:rowOff>0</xdr:rowOff>
    </xdr:to>
    <xdr:pic>
      <xdr:nvPicPr>
        <xdr:cNvPr id="59" name="Picture 58">
          <a:extLst>
            <a:ext uri="{FF2B5EF4-FFF2-40B4-BE49-F238E27FC236}">
              <a16:creationId xmlns:a16="http://schemas.microsoft.com/office/drawing/2014/main" id="{03F34E07-1CC8-A04F-BBD7-59537C3B45F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0929600"/>
          <a:ext cx="32385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25400</xdr:rowOff>
    </xdr:from>
    <xdr:to>
      <xdr:col>9</xdr:col>
      <xdr:colOff>25400</xdr:colOff>
      <xdr:row>95</xdr:row>
      <xdr:rowOff>101600</xdr:rowOff>
    </xdr:to>
    <xdr:pic>
      <xdr:nvPicPr>
        <xdr:cNvPr id="60" name="Picture 59">
          <a:extLst>
            <a:ext uri="{FF2B5EF4-FFF2-40B4-BE49-F238E27FC236}">
              <a16:creationId xmlns:a16="http://schemas.microsoft.com/office/drawing/2014/main" id="{B24E98AC-0874-542E-9427-B6604477A45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1209000"/>
          <a:ext cx="74549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114300</xdr:rowOff>
    </xdr:from>
    <xdr:to>
      <xdr:col>9</xdr:col>
      <xdr:colOff>25400</xdr:colOff>
      <xdr:row>100</xdr:row>
      <xdr:rowOff>88900</xdr:rowOff>
    </xdr:to>
    <xdr:pic>
      <xdr:nvPicPr>
        <xdr:cNvPr id="61" name="Picture 60">
          <a:extLst>
            <a:ext uri="{FF2B5EF4-FFF2-40B4-BE49-F238E27FC236}">
              <a16:creationId xmlns:a16="http://schemas.microsoft.com/office/drawing/2014/main" id="{B6CDD9FB-A1FF-36F4-B5E1-433D342C16C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22212300"/>
          <a:ext cx="74549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111</xdr:row>
      <xdr:rowOff>101601</xdr:rowOff>
    </xdr:from>
    <xdr:to>
      <xdr:col>5</xdr:col>
      <xdr:colOff>165100</xdr:colOff>
      <xdr:row>116</xdr:row>
      <xdr:rowOff>77955</xdr:rowOff>
    </xdr:to>
    <xdr:pic>
      <xdr:nvPicPr>
        <xdr:cNvPr id="62" name="Picture 61">
          <a:extLst>
            <a:ext uri="{FF2B5EF4-FFF2-40B4-BE49-F238E27FC236}">
              <a16:creationId xmlns:a16="http://schemas.microsoft.com/office/drawing/2014/main" id="{93CFAB57-C504-E778-C413-04F326E9DACE}"/>
            </a:ext>
          </a:extLst>
        </xdr:cNvPr>
        <xdr:cNvPicPr>
          <a:picLocks noChangeAspect="1"/>
        </xdr:cNvPicPr>
      </xdr:nvPicPr>
      <xdr:blipFill>
        <a:blip xmlns:r="http://schemas.openxmlformats.org/officeDocument/2006/relationships" r:embed="rId30"/>
        <a:stretch>
          <a:fillRect/>
        </a:stretch>
      </xdr:blipFill>
      <xdr:spPr>
        <a:xfrm>
          <a:off x="76200" y="25831801"/>
          <a:ext cx="4216400" cy="1119354"/>
        </a:xfrm>
        <a:prstGeom prst="rect">
          <a:avLst/>
        </a:prstGeom>
      </xdr:spPr>
    </xdr:pic>
    <xdr:clientData/>
  </xdr:twoCellAnchor>
  <xdr:twoCellAnchor editAs="oneCell">
    <xdr:from>
      <xdr:col>0</xdr:col>
      <xdr:colOff>0</xdr:colOff>
      <xdr:row>129</xdr:row>
      <xdr:rowOff>139700</xdr:rowOff>
    </xdr:from>
    <xdr:to>
      <xdr:col>5</xdr:col>
      <xdr:colOff>266700</xdr:colOff>
      <xdr:row>133</xdr:row>
      <xdr:rowOff>173487</xdr:rowOff>
    </xdr:to>
    <xdr:pic>
      <xdr:nvPicPr>
        <xdr:cNvPr id="63" name="Picture 62">
          <a:extLst>
            <a:ext uri="{FF2B5EF4-FFF2-40B4-BE49-F238E27FC236}">
              <a16:creationId xmlns:a16="http://schemas.microsoft.com/office/drawing/2014/main" id="{EB98DD99-4D18-4B7F-A7EC-0AEB194D9AC5}"/>
            </a:ext>
          </a:extLst>
        </xdr:cNvPr>
        <xdr:cNvPicPr>
          <a:picLocks noChangeAspect="1"/>
        </xdr:cNvPicPr>
      </xdr:nvPicPr>
      <xdr:blipFill>
        <a:blip xmlns:r="http://schemas.openxmlformats.org/officeDocument/2006/relationships" r:embed="rId31"/>
        <a:stretch>
          <a:fillRect/>
        </a:stretch>
      </xdr:blipFill>
      <xdr:spPr>
        <a:xfrm>
          <a:off x="0" y="30187900"/>
          <a:ext cx="4394200" cy="1202187"/>
        </a:xfrm>
        <a:prstGeom prst="rect">
          <a:avLst/>
        </a:prstGeom>
      </xdr:spPr>
    </xdr:pic>
    <xdr:clientData/>
  </xdr:twoCellAnchor>
  <xdr:twoCellAnchor editAs="oneCell">
    <xdr:from>
      <xdr:col>6</xdr:col>
      <xdr:colOff>0</xdr:colOff>
      <xdr:row>110</xdr:row>
      <xdr:rowOff>0</xdr:rowOff>
    </xdr:from>
    <xdr:to>
      <xdr:col>16</xdr:col>
      <xdr:colOff>476956</xdr:colOff>
      <xdr:row>115</xdr:row>
      <xdr:rowOff>12700</xdr:rowOff>
    </xdr:to>
    <xdr:pic>
      <xdr:nvPicPr>
        <xdr:cNvPr id="64" name="Picture 63">
          <a:extLst>
            <a:ext uri="{FF2B5EF4-FFF2-40B4-BE49-F238E27FC236}">
              <a16:creationId xmlns:a16="http://schemas.microsoft.com/office/drawing/2014/main" id="{2F119140-5CE1-09D3-E3B9-922401D92E3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953000" y="25590500"/>
          <a:ext cx="8731956"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8</xdr:col>
      <xdr:colOff>368300</xdr:colOff>
      <xdr:row>118</xdr:row>
      <xdr:rowOff>6844</xdr:rowOff>
    </xdr:to>
    <xdr:pic>
      <xdr:nvPicPr>
        <xdr:cNvPr id="65" name="Picture 64">
          <a:extLst>
            <a:ext uri="{FF2B5EF4-FFF2-40B4-BE49-F238E27FC236}">
              <a16:creationId xmlns:a16="http://schemas.microsoft.com/office/drawing/2014/main" id="{C432E204-5410-BCD2-B1EC-3AAEB04CBA2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953000" y="27381200"/>
          <a:ext cx="2019300" cy="324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14</xdr:col>
      <xdr:colOff>531558</xdr:colOff>
      <xdr:row>120</xdr:row>
      <xdr:rowOff>75674</xdr:rowOff>
    </xdr:to>
    <xdr:pic>
      <xdr:nvPicPr>
        <xdr:cNvPr id="66" name="Picture 65">
          <a:extLst>
            <a:ext uri="{FF2B5EF4-FFF2-40B4-BE49-F238E27FC236}">
              <a16:creationId xmlns:a16="http://schemas.microsoft.com/office/drawing/2014/main" id="{DE6BEB5D-29E2-5F49-98C4-13E0D3F8553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953000" y="27698700"/>
          <a:ext cx="7135558" cy="59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14</xdr:col>
      <xdr:colOff>393700</xdr:colOff>
      <xdr:row>136</xdr:row>
      <xdr:rowOff>58739</xdr:rowOff>
    </xdr:to>
    <xdr:pic>
      <xdr:nvPicPr>
        <xdr:cNvPr id="67" name="Picture 66">
          <a:extLst>
            <a:ext uri="{FF2B5EF4-FFF2-40B4-BE49-F238E27FC236}">
              <a16:creationId xmlns:a16="http://schemas.microsoft.com/office/drawing/2014/main" id="{76EFDE3B-FF41-77AE-CBBB-638F1379AFA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953000" y="30924500"/>
          <a:ext cx="6997700" cy="98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8</xdr:col>
      <xdr:colOff>800100</xdr:colOff>
      <xdr:row>140</xdr:row>
      <xdr:rowOff>76200</xdr:rowOff>
    </xdr:to>
    <xdr:pic>
      <xdr:nvPicPr>
        <xdr:cNvPr id="68" name="Picture 67">
          <a:extLst>
            <a:ext uri="{FF2B5EF4-FFF2-40B4-BE49-F238E27FC236}">
              <a16:creationId xmlns:a16="http://schemas.microsoft.com/office/drawing/2014/main" id="{6D25B4EE-B2C5-0189-1AA1-70F21867DB8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953000" y="32715200"/>
          <a:ext cx="24511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800100</xdr:colOff>
      <xdr:row>140</xdr:row>
      <xdr:rowOff>215900</xdr:rowOff>
    </xdr:from>
    <xdr:to>
      <xdr:col>13</xdr:col>
      <xdr:colOff>774700</xdr:colOff>
      <xdr:row>143</xdr:row>
      <xdr:rowOff>15959</xdr:rowOff>
    </xdr:to>
    <xdr:pic>
      <xdr:nvPicPr>
        <xdr:cNvPr id="69" name="Picture 68">
          <a:extLst>
            <a:ext uri="{FF2B5EF4-FFF2-40B4-BE49-F238E27FC236}">
              <a16:creationId xmlns:a16="http://schemas.microsoft.com/office/drawing/2014/main" id="{6A13684D-92ED-9DEF-EB32-CE998C9EDB8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4927600" y="33248600"/>
          <a:ext cx="6578600" cy="523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33867</xdr:colOff>
      <xdr:row>0</xdr:row>
      <xdr:rowOff>110065</xdr:rowOff>
    </xdr:from>
    <xdr:to>
      <xdr:col>5</xdr:col>
      <xdr:colOff>281221</xdr:colOff>
      <xdr:row>2</xdr:row>
      <xdr:rowOff>122765</xdr:rowOff>
    </xdr:to>
    <xdr:pic>
      <xdr:nvPicPr>
        <xdr:cNvPr id="2" name="Picture 1">
          <a:extLst>
            <a:ext uri="{FF2B5EF4-FFF2-40B4-BE49-F238E27FC236}">
              <a16:creationId xmlns:a16="http://schemas.microsoft.com/office/drawing/2014/main" id="{15C0F708-4996-ABFA-EBE5-275886C89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867" y="110065"/>
          <a:ext cx="53594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702732</xdr:colOff>
      <xdr:row>37</xdr:row>
      <xdr:rowOff>118534</xdr:rowOff>
    </xdr:from>
    <xdr:to>
      <xdr:col>7</xdr:col>
      <xdr:colOff>180975</xdr:colOff>
      <xdr:row>43</xdr:row>
      <xdr:rowOff>33868</xdr:rowOff>
    </xdr:to>
    <xdr:pic>
      <xdr:nvPicPr>
        <xdr:cNvPr id="3" name="Picture 2">
          <a:extLst>
            <a:ext uri="{FF2B5EF4-FFF2-40B4-BE49-F238E27FC236}">
              <a16:creationId xmlns:a16="http://schemas.microsoft.com/office/drawing/2014/main" id="{635FCD0B-B77A-3966-2EF8-2BBEAE561948}"/>
            </a:ext>
          </a:extLst>
        </xdr:cNvPr>
        <xdr:cNvPicPr>
          <a:picLocks noChangeAspect="1"/>
        </xdr:cNvPicPr>
      </xdr:nvPicPr>
      <xdr:blipFill>
        <a:blip xmlns:r="http://schemas.openxmlformats.org/officeDocument/2006/relationships" r:embed="rId2"/>
        <a:stretch>
          <a:fillRect/>
        </a:stretch>
      </xdr:blipFill>
      <xdr:spPr>
        <a:xfrm>
          <a:off x="5791199" y="8068734"/>
          <a:ext cx="1594909" cy="1159934"/>
        </a:xfrm>
        <a:prstGeom prst="rect">
          <a:avLst/>
        </a:prstGeom>
      </xdr:spPr>
    </xdr:pic>
    <xdr:clientData/>
  </xdr:twoCellAnchor>
  <xdr:twoCellAnchor editAs="oneCell">
    <xdr:from>
      <xdr:col>7</xdr:col>
      <xdr:colOff>516466</xdr:colOff>
      <xdr:row>38</xdr:row>
      <xdr:rowOff>101600</xdr:rowOff>
    </xdr:from>
    <xdr:to>
      <xdr:col>9</xdr:col>
      <xdr:colOff>245534</xdr:colOff>
      <xdr:row>42</xdr:row>
      <xdr:rowOff>140278</xdr:rowOff>
    </xdr:to>
    <xdr:pic>
      <xdr:nvPicPr>
        <xdr:cNvPr id="4" name="Picture 3">
          <a:extLst>
            <a:ext uri="{FF2B5EF4-FFF2-40B4-BE49-F238E27FC236}">
              <a16:creationId xmlns:a16="http://schemas.microsoft.com/office/drawing/2014/main" id="{BE91952B-DC66-85F2-4A87-714C5D6D37DD}"/>
            </a:ext>
          </a:extLst>
        </xdr:cNvPr>
        <xdr:cNvPicPr>
          <a:picLocks noChangeAspect="1"/>
        </xdr:cNvPicPr>
      </xdr:nvPicPr>
      <xdr:blipFill>
        <a:blip xmlns:r="http://schemas.openxmlformats.org/officeDocument/2006/relationships" r:embed="rId3"/>
        <a:stretch>
          <a:fillRect/>
        </a:stretch>
      </xdr:blipFill>
      <xdr:spPr>
        <a:xfrm>
          <a:off x="7721599" y="8255000"/>
          <a:ext cx="1837268" cy="8768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38</xdr:col>
      <xdr:colOff>679606</xdr:colOff>
      <xdr:row>17</xdr:row>
      <xdr:rowOff>40640</xdr:rowOff>
    </xdr:from>
    <xdr:to>
      <xdr:col>43</xdr:col>
      <xdr:colOff>1336082</xdr:colOff>
      <xdr:row>46</xdr:row>
      <xdr:rowOff>121704</xdr:rowOff>
    </xdr:to>
    <xdr:pic>
      <xdr:nvPicPr>
        <xdr:cNvPr id="2" name="Picture 1">
          <a:extLst>
            <a:ext uri="{FF2B5EF4-FFF2-40B4-BE49-F238E27FC236}">
              <a16:creationId xmlns:a16="http://schemas.microsoft.com/office/drawing/2014/main" id="{E2F5C014-06CB-2201-0964-0B802988572F}"/>
            </a:ext>
          </a:extLst>
        </xdr:cNvPr>
        <xdr:cNvPicPr>
          <a:picLocks noChangeAspect="1"/>
        </xdr:cNvPicPr>
      </xdr:nvPicPr>
      <xdr:blipFill>
        <a:blip xmlns:r="http://schemas.openxmlformats.org/officeDocument/2006/relationships" r:embed="rId1"/>
        <a:stretch>
          <a:fillRect/>
        </a:stretch>
      </xdr:blipFill>
      <xdr:spPr>
        <a:xfrm>
          <a:off x="34085686" y="3627120"/>
          <a:ext cx="4911407" cy="5973864"/>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67516-2FE1-134C-9084-A7189A8A24E6}">
  <dimension ref="A1:J31"/>
  <sheetViews>
    <sheetView showGridLines="0" zoomScale="125" workbookViewId="0">
      <selection activeCell="E4" sqref="E4"/>
    </sheetView>
  </sheetViews>
  <sheetFormatPr baseColWidth="10" defaultRowHeight="16" x14ac:dyDescent="0.2"/>
  <cols>
    <col min="1" max="1" width="13.33203125" bestFit="1" customWidth="1"/>
    <col min="2" max="2" width="19" customWidth="1"/>
    <col min="3" max="3" width="11.1640625" customWidth="1"/>
    <col min="4" max="4" width="11" bestFit="1" customWidth="1"/>
    <col min="5" max="5" width="13" bestFit="1" customWidth="1"/>
    <col min="6" max="6" width="11.1640625" bestFit="1" customWidth="1"/>
    <col min="7" max="7" width="13.1640625" bestFit="1" customWidth="1"/>
    <col min="8" max="8" width="12.83203125" bestFit="1" customWidth="1"/>
    <col min="9" max="9" width="9.5" bestFit="1" customWidth="1"/>
    <col min="10" max="10" width="7.5" bestFit="1" customWidth="1"/>
  </cols>
  <sheetData>
    <row r="1" spans="1:10" x14ac:dyDescent="0.2">
      <c r="C1" s="26"/>
      <c r="D1" s="26"/>
      <c r="E1" s="145" t="s">
        <v>31</v>
      </c>
      <c r="F1" s="145"/>
      <c r="G1" s="26"/>
      <c r="H1" s="26"/>
      <c r="I1" s="26"/>
      <c r="J1" s="26"/>
    </row>
    <row r="2" spans="1:10" ht="18" x14ac:dyDescent="0.2">
      <c r="A2" s="4" t="s">
        <v>37</v>
      </c>
      <c r="C2" s="25" t="s">
        <v>74</v>
      </c>
      <c r="D2" s="25" t="s">
        <v>42</v>
      </c>
      <c r="E2" s="25" t="s">
        <v>81</v>
      </c>
      <c r="F2" s="25" t="s">
        <v>82</v>
      </c>
      <c r="G2" s="25" t="s">
        <v>45</v>
      </c>
      <c r="H2" s="25" t="s">
        <v>46</v>
      </c>
      <c r="I2" s="25" t="s">
        <v>47</v>
      </c>
      <c r="J2" s="27" t="s">
        <v>48</v>
      </c>
    </row>
    <row r="3" spans="1:10" x14ac:dyDescent="0.2">
      <c r="A3" t="s">
        <v>51</v>
      </c>
      <c r="B3" s="5"/>
      <c r="I3">
        <f>+B8</f>
        <v>0</v>
      </c>
      <c r="J3" s="23"/>
    </row>
    <row r="4" spans="1:10" x14ac:dyDescent="0.2">
      <c r="A4" t="s">
        <v>27</v>
      </c>
      <c r="B4" s="5"/>
      <c r="C4" s="55">
        <f>+YEARFRAC($B$3, D4, 3)*$B$6</f>
        <v>0</v>
      </c>
      <c r="D4" s="5"/>
      <c r="E4" t="e">
        <f>+I3*$B$7/$B$6</f>
        <v>#DIV/0!</v>
      </c>
      <c r="F4" t="e">
        <f>+($B$7/$B$6*I3)*(1-$B$11)</f>
        <v>#DIV/0!</v>
      </c>
      <c r="G4" t="e">
        <f>+E4*$B$11</f>
        <v>#DIV/0!</v>
      </c>
      <c r="H4">
        <v>0</v>
      </c>
      <c r="I4" t="e">
        <f>+I3-H4+G4</f>
        <v>#DIV/0!</v>
      </c>
      <c r="J4" s="21" t="e">
        <f>+H4+F4</f>
        <v>#DIV/0!</v>
      </c>
    </row>
    <row r="5" spans="1:10" x14ac:dyDescent="0.2">
      <c r="A5" t="s">
        <v>38</v>
      </c>
      <c r="B5" s="5"/>
      <c r="C5" s="55">
        <f>+YEARFRAC($B$3, D5, 3)*$B$6</f>
        <v>0</v>
      </c>
      <c r="D5" s="5"/>
      <c r="E5" t="e">
        <f t="shared" ref="E5:E6" si="0">+I4*$B$7/$B$6</f>
        <v>#DIV/0!</v>
      </c>
      <c r="F5" t="e">
        <f t="shared" ref="F5:F6" si="1">+($B$7/$B$6*I4)*(1-$B$11)</f>
        <v>#DIV/0!</v>
      </c>
      <c r="G5" t="e">
        <f t="shared" ref="G5:G6" si="2">+E5*$B$11</f>
        <v>#DIV/0!</v>
      </c>
      <c r="H5">
        <v>0</v>
      </c>
      <c r="I5" t="e">
        <f>+I4-H5+G5</f>
        <v>#DIV/0!</v>
      </c>
      <c r="J5" s="21" t="e">
        <f>+H5+F5</f>
        <v>#DIV/0!</v>
      </c>
    </row>
    <row r="6" spans="1:10" x14ac:dyDescent="0.2">
      <c r="A6" t="s">
        <v>39</v>
      </c>
      <c r="C6" s="55">
        <f>+YEARFRAC($B$3, D6, 3)*$B$6</f>
        <v>0</v>
      </c>
      <c r="D6" s="5"/>
      <c r="E6" t="e">
        <f t="shared" si="0"/>
        <v>#DIV/0!</v>
      </c>
      <c r="F6" t="e">
        <f t="shared" si="1"/>
        <v>#DIV/0!</v>
      </c>
      <c r="G6" t="e">
        <f t="shared" si="2"/>
        <v>#DIV/0!</v>
      </c>
      <c r="H6">
        <v>0</v>
      </c>
      <c r="I6" t="e">
        <f t="shared" ref="I6" si="3">+I5-H6+G6</f>
        <v>#DIV/0!</v>
      </c>
      <c r="J6" s="21" t="e">
        <f>+H6+F6</f>
        <v>#DIV/0!</v>
      </c>
    </row>
    <row r="7" spans="1:10" x14ac:dyDescent="0.2">
      <c r="A7" t="s">
        <v>41</v>
      </c>
    </row>
    <row r="8" spans="1:10" x14ac:dyDescent="0.2">
      <c r="A8" t="s">
        <v>43</v>
      </c>
    </row>
    <row r="9" spans="1:10" x14ac:dyDescent="0.2">
      <c r="A9" t="s">
        <v>80</v>
      </c>
    </row>
    <row r="10" spans="1:10" x14ac:dyDescent="0.2">
      <c r="A10" s="30" t="s">
        <v>0</v>
      </c>
      <c r="B10" s="31"/>
    </row>
    <row r="11" spans="1:10" x14ac:dyDescent="0.2">
      <c r="A11" t="s">
        <v>44</v>
      </c>
    </row>
    <row r="12" spans="1:10" x14ac:dyDescent="0.2">
      <c r="A12" t="s">
        <v>98</v>
      </c>
      <c r="B12" s="18"/>
    </row>
    <row r="15" spans="1:10" x14ac:dyDescent="0.2">
      <c r="A15" s="28" t="s">
        <v>50</v>
      </c>
    </row>
    <row r="16" spans="1:10" x14ac:dyDescent="0.2">
      <c r="A16" s="22">
        <f>+E10/180*DAYS360($D$9, $B$3)</f>
        <v>0</v>
      </c>
    </row>
    <row r="17" spans="1:1" x14ac:dyDescent="0.2">
      <c r="A17" s="29" t="s">
        <v>83</v>
      </c>
    </row>
    <row r="18" spans="1:1" x14ac:dyDescent="0.2">
      <c r="A18" s="22">
        <f>+SUM(O10:O20)</f>
        <v>0</v>
      </c>
    </row>
    <row r="19" spans="1:1" x14ac:dyDescent="0.2">
      <c r="A19" s="28" t="s">
        <v>84</v>
      </c>
    </row>
    <row r="20" spans="1:1" x14ac:dyDescent="0.2">
      <c r="A20" s="22">
        <f>+A18+A16</f>
        <v>0</v>
      </c>
    </row>
    <row r="25" spans="1:1" x14ac:dyDescent="0.2">
      <c r="A25" s="38" t="s">
        <v>108</v>
      </c>
    </row>
    <row r="26" spans="1:1" x14ac:dyDescent="0.2">
      <c r="A26" s="38" t="s">
        <v>107</v>
      </c>
    </row>
    <row r="27" spans="1:1" x14ac:dyDescent="0.2">
      <c r="A27" s="38" t="s">
        <v>75</v>
      </c>
    </row>
    <row r="28" spans="1:1" x14ac:dyDescent="0.2">
      <c r="A28" s="38" t="s">
        <v>72</v>
      </c>
    </row>
    <row r="29" spans="1:1" ht="51" x14ac:dyDescent="0.2">
      <c r="A29" s="37" t="s">
        <v>101</v>
      </c>
    </row>
    <row r="30" spans="1:1" ht="51" x14ac:dyDescent="0.2">
      <c r="A30" s="37" t="s">
        <v>96</v>
      </c>
    </row>
    <row r="31" spans="1:1" ht="34" x14ac:dyDescent="0.2">
      <c r="A31" s="39" t="s">
        <v>97</v>
      </c>
    </row>
  </sheetData>
  <mergeCells count="1">
    <mergeCell ref="E1:F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185EF-AC89-8341-9D30-99DC60ED2103}">
  <dimension ref="A1:G141"/>
  <sheetViews>
    <sheetView topLeftCell="A114" workbookViewId="0">
      <selection activeCell="C148" sqref="C148"/>
    </sheetView>
  </sheetViews>
  <sheetFormatPr baseColWidth="10" defaultRowHeight="16" x14ac:dyDescent="0.2"/>
  <sheetData>
    <row r="1" spans="1:2" ht="26" x14ac:dyDescent="0.2">
      <c r="A1" s="10" t="s">
        <v>60</v>
      </c>
    </row>
    <row r="2" spans="1:2" ht="26" x14ac:dyDescent="0.2">
      <c r="A2" s="10"/>
    </row>
    <row r="3" spans="1:2" ht="18" x14ac:dyDescent="0.2">
      <c r="A3" s="11"/>
    </row>
    <row r="4" spans="1:2" ht="18" x14ac:dyDescent="0.2">
      <c r="A4" s="11"/>
    </row>
    <row r="5" spans="1:2" ht="18" x14ac:dyDescent="0.2">
      <c r="A5" s="4" t="s">
        <v>61</v>
      </c>
      <c r="B5" s="4"/>
    </row>
    <row r="6" spans="1:2" ht="18" x14ac:dyDescent="0.2">
      <c r="A6" s="11"/>
    </row>
    <row r="7" spans="1:2" ht="18" x14ac:dyDescent="0.2">
      <c r="A7" s="11"/>
    </row>
    <row r="8" spans="1:2" ht="18" x14ac:dyDescent="0.2">
      <c r="A8" s="11"/>
    </row>
    <row r="9" spans="1:2" ht="18" x14ac:dyDescent="0.2">
      <c r="A9" s="11"/>
    </row>
    <row r="10" spans="1:2" ht="18" x14ac:dyDescent="0.2">
      <c r="A10" s="11"/>
    </row>
    <row r="11" spans="1:2" ht="18" x14ac:dyDescent="0.2">
      <c r="A11" s="11"/>
    </row>
    <row r="12" spans="1:2" x14ac:dyDescent="0.2">
      <c r="A12" s="12"/>
    </row>
    <row r="13" spans="1:2" ht="18" x14ac:dyDescent="0.2">
      <c r="A13" s="11"/>
    </row>
    <row r="14" spans="1:2" ht="18" x14ac:dyDescent="0.2">
      <c r="A14" s="11"/>
    </row>
    <row r="15" spans="1:2" ht="18" x14ac:dyDescent="0.2">
      <c r="A15" s="11"/>
    </row>
    <row r="16" spans="1:2" ht="18" x14ac:dyDescent="0.2">
      <c r="A16" s="11"/>
    </row>
    <row r="17" spans="1:1" ht="18" x14ac:dyDescent="0.2">
      <c r="A17" s="11"/>
    </row>
    <row r="18" spans="1:1" ht="26" x14ac:dyDescent="0.2">
      <c r="A18" s="10" t="s">
        <v>62</v>
      </c>
    </row>
    <row r="19" spans="1:1" ht="18" x14ac:dyDescent="0.2">
      <c r="A19" s="11"/>
    </row>
    <row r="20" spans="1:1" ht="18" x14ac:dyDescent="0.2">
      <c r="A20" s="11"/>
    </row>
    <row r="21" spans="1:1" ht="18" x14ac:dyDescent="0.2">
      <c r="A21" s="11"/>
    </row>
    <row r="22" spans="1:1" ht="18" x14ac:dyDescent="0.2">
      <c r="A22" s="11"/>
    </row>
    <row r="23" spans="1:1" ht="18" x14ac:dyDescent="0.2">
      <c r="A23" s="11"/>
    </row>
    <row r="24" spans="1:1" ht="18" x14ac:dyDescent="0.2">
      <c r="A24" s="11"/>
    </row>
    <row r="25" spans="1:1" ht="18" x14ac:dyDescent="0.2">
      <c r="A25" s="11"/>
    </row>
    <row r="26" spans="1:1" ht="18" x14ac:dyDescent="0.2">
      <c r="A26" s="11"/>
    </row>
    <row r="27" spans="1:1" ht="18" x14ac:dyDescent="0.2">
      <c r="A27" s="11"/>
    </row>
    <row r="28" spans="1:1" ht="18" x14ac:dyDescent="0.2">
      <c r="A28" s="11"/>
    </row>
    <row r="29" spans="1:1" ht="18" x14ac:dyDescent="0.2">
      <c r="A29" s="11"/>
    </row>
    <row r="30" spans="1:1" ht="18" x14ac:dyDescent="0.2">
      <c r="A30" s="11"/>
    </row>
    <row r="31" spans="1:1" x14ac:dyDescent="0.2">
      <c r="A31" s="12"/>
    </row>
    <row r="32" spans="1:1" ht="18" x14ac:dyDescent="0.2">
      <c r="A32" s="11"/>
    </row>
    <row r="33" spans="1:1" ht="18" x14ac:dyDescent="0.2">
      <c r="A33" s="11"/>
    </row>
    <row r="34" spans="1:1" ht="18" x14ac:dyDescent="0.2">
      <c r="A34" s="11"/>
    </row>
    <row r="35" spans="1:1" x14ac:dyDescent="0.2">
      <c r="A35" s="1"/>
    </row>
    <row r="36" spans="1:1" x14ac:dyDescent="0.2">
      <c r="A36" s="12"/>
    </row>
    <row r="37" spans="1:1" ht="18" x14ac:dyDescent="0.2">
      <c r="A37" s="11"/>
    </row>
    <row r="38" spans="1:1" ht="26" x14ac:dyDescent="0.2">
      <c r="A38" s="10" t="s">
        <v>62</v>
      </c>
    </row>
    <row r="39" spans="1:1" ht="18" x14ac:dyDescent="0.2">
      <c r="A39" s="11"/>
    </row>
    <row r="40" spans="1:1" ht="18" x14ac:dyDescent="0.2">
      <c r="A40" s="11"/>
    </row>
    <row r="41" spans="1:1" ht="18" x14ac:dyDescent="0.2">
      <c r="A41" s="11"/>
    </row>
    <row r="42" spans="1:1" ht="18" x14ac:dyDescent="0.2">
      <c r="A42" s="11"/>
    </row>
    <row r="43" spans="1:1" ht="18" x14ac:dyDescent="0.2">
      <c r="A43" s="11"/>
    </row>
    <row r="44" spans="1:1" ht="18" x14ac:dyDescent="0.2">
      <c r="A44" s="11"/>
    </row>
    <row r="45" spans="1:1" ht="18" x14ac:dyDescent="0.2">
      <c r="A45" s="11"/>
    </row>
    <row r="46" spans="1:1" ht="18" x14ac:dyDescent="0.2">
      <c r="A46" s="11"/>
    </row>
    <row r="47" spans="1:1" ht="18" x14ac:dyDescent="0.2">
      <c r="A47" s="11"/>
    </row>
    <row r="48" spans="1:1" ht="18" x14ac:dyDescent="0.2">
      <c r="A48" s="11"/>
    </row>
    <row r="49" spans="1:1" x14ac:dyDescent="0.2">
      <c r="A49" s="12"/>
    </row>
    <row r="50" spans="1:1" ht="18" x14ac:dyDescent="0.2">
      <c r="A50" s="11"/>
    </row>
    <row r="51" spans="1:1" ht="18" x14ac:dyDescent="0.2">
      <c r="A51" s="11"/>
    </row>
    <row r="52" spans="1:1" ht="18" x14ac:dyDescent="0.2">
      <c r="A52" s="11"/>
    </row>
    <row r="53" spans="1:1" x14ac:dyDescent="0.2">
      <c r="A53" s="1"/>
    </row>
    <row r="54" spans="1:1" x14ac:dyDescent="0.2">
      <c r="A54" s="12"/>
    </row>
    <row r="55" spans="1:1" ht="18" x14ac:dyDescent="0.2">
      <c r="A55" s="11"/>
    </row>
    <row r="57" spans="1:1" ht="26" x14ac:dyDescent="0.2">
      <c r="A57" s="10" t="s">
        <v>66</v>
      </c>
    </row>
    <row r="58" spans="1:1" ht="18" x14ac:dyDescent="0.2">
      <c r="A58" s="11"/>
    </row>
    <row r="59" spans="1:1" ht="18" x14ac:dyDescent="0.2">
      <c r="A59" s="11"/>
    </row>
    <row r="60" spans="1:1" ht="18" x14ac:dyDescent="0.2">
      <c r="A60" s="11"/>
    </row>
    <row r="61" spans="1:1" ht="18" x14ac:dyDescent="0.2">
      <c r="A61" s="11"/>
    </row>
    <row r="62" spans="1:1" ht="18" x14ac:dyDescent="0.2">
      <c r="A62" s="11"/>
    </row>
    <row r="63" spans="1:1" ht="26" x14ac:dyDescent="0.2">
      <c r="A63" s="10" t="s">
        <v>62</v>
      </c>
    </row>
    <row r="64" spans="1:1" ht="18" x14ac:dyDescent="0.2">
      <c r="A64" s="11"/>
    </row>
    <row r="65" spans="1:1" ht="18" x14ac:dyDescent="0.2">
      <c r="A65" s="11"/>
    </row>
    <row r="66" spans="1:1" ht="18" x14ac:dyDescent="0.2">
      <c r="A66" s="11"/>
    </row>
    <row r="67" spans="1:1" ht="18" x14ac:dyDescent="0.2">
      <c r="A67" s="11" t="s">
        <v>63</v>
      </c>
    </row>
    <row r="68" spans="1:1" ht="18" x14ac:dyDescent="0.2">
      <c r="A68" s="11"/>
    </row>
    <row r="69" spans="1:1" ht="18" x14ac:dyDescent="0.2">
      <c r="A69" s="11"/>
    </row>
    <row r="70" spans="1:1" ht="18" x14ac:dyDescent="0.2">
      <c r="A70" s="11"/>
    </row>
    <row r="71" spans="1:1" ht="18" x14ac:dyDescent="0.2">
      <c r="A71" s="11"/>
    </row>
    <row r="72" spans="1:1" ht="18" x14ac:dyDescent="0.2">
      <c r="A72" s="11"/>
    </row>
    <row r="73" spans="1:1" ht="18" x14ac:dyDescent="0.2">
      <c r="A73" s="11"/>
    </row>
    <row r="74" spans="1:1" ht="18" x14ac:dyDescent="0.2">
      <c r="A74" s="11"/>
    </row>
    <row r="75" spans="1:1" x14ac:dyDescent="0.2">
      <c r="A75" s="1"/>
    </row>
    <row r="76" spans="1:1" x14ac:dyDescent="0.2">
      <c r="A76" s="12"/>
    </row>
    <row r="77" spans="1:1" ht="18" x14ac:dyDescent="0.2">
      <c r="A77" s="11"/>
    </row>
    <row r="78" spans="1:1" ht="18" x14ac:dyDescent="0.2">
      <c r="A78" s="11"/>
    </row>
    <row r="79" spans="1:1" ht="18" x14ac:dyDescent="0.2">
      <c r="A79" s="11"/>
    </row>
    <row r="80" spans="1:1" ht="18" x14ac:dyDescent="0.2">
      <c r="A80" s="11"/>
    </row>
    <row r="81" spans="1:1" x14ac:dyDescent="0.2">
      <c r="A81" s="1"/>
    </row>
    <row r="82" spans="1:1" x14ac:dyDescent="0.2">
      <c r="A82" s="1"/>
    </row>
    <row r="83" spans="1:1" x14ac:dyDescent="0.2">
      <c r="A83" s="12"/>
    </row>
    <row r="84" spans="1:1" ht="18" x14ac:dyDescent="0.2">
      <c r="A84" s="11"/>
    </row>
    <row r="85" spans="1:1" ht="26" x14ac:dyDescent="0.2">
      <c r="A85" s="10" t="s">
        <v>62</v>
      </c>
    </row>
    <row r="86" spans="1:1" ht="18" x14ac:dyDescent="0.2">
      <c r="A86" s="11"/>
    </row>
    <row r="87" spans="1:1" ht="18" x14ac:dyDescent="0.2">
      <c r="A87" s="11"/>
    </row>
    <row r="88" spans="1:1" ht="18" x14ac:dyDescent="0.2">
      <c r="A88" s="11"/>
    </row>
    <row r="89" spans="1:1" ht="18" x14ac:dyDescent="0.2">
      <c r="A89" s="11" t="s">
        <v>63</v>
      </c>
    </row>
    <row r="90" spans="1:1" ht="18" x14ac:dyDescent="0.2">
      <c r="A90" s="11"/>
    </row>
    <row r="91" spans="1:1" ht="18" x14ac:dyDescent="0.2">
      <c r="A91" s="11"/>
    </row>
    <row r="92" spans="1:1" ht="18" x14ac:dyDescent="0.2">
      <c r="A92" s="11"/>
    </row>
    <row r="93" spans="1:1" ht="18" x14ac:dyDescent="0.2">
      <c r="A93" s="11"/>
    </row>
    <row r="94" spans="1:1" ht="18" x14ac:dyDescent="0.2">
      <c r="A94" s="11"/>
    </row>
    <row r="95" spans="1:1" ht="18" x14ac:dyDescent="0.2">
      <c r="A95" s="11"/>
    </row>
    <row r="96" spans="1:1" ht="18" x14ac:dyDescent="0.2">
      <c r="A96" s="11"/>
    </row>
    <row r="97" spans="1:7" x14ac:dyDescent="0.2">
      <c r="A97" s="1"/>
    </row>
    <row r="98" spans="1:7" x14ac:dyDescent="0.2">
      <c r="A98" s="12"/>
    </row>
    <row r="99" spans="1:7" ht="18" x14ac:dyDescent="0.2">
      <c r="A99" s="11"/>
    </row>
    <row r="100" spans="1:7" ht="18" x14ac:dyDescent="0.2">
      <c r="A100" s="13"/>
    </row>
    <row r="101" spans="1:7" ht="18" x14ac:dyDescent="0.2">
      <c r="A101" s="13"/>
    </row>
    <row r="102" spans="1:7" ht="18" x14ac:dyDescent="0.2">
      <c r="A102" s="13"/>
    </row>
    <row r="103" spans="1:7" ht="18" x14ac:dyDescent="0.2">
      <c r="A103" s="13"/>
    </row>
    <row r="104" spans="1:7" x14ac:dyDescent="0.2">
      <c r="A104" s="1"/>
    </row>
    <row r="105" spans="1:7" x14ac:dyDescent="0.2">
      <c r="A105" s="1"/>
    </row>
    <row r="106" spans="1:7" x14ac:dyDescent="0.2">
      <c r="A106" s="12"/>
    </row>
    <row r="107" spans="1:7" ht="18" x14ac:dyDescent="0.2">
      <c r="A107" s="11"/>
    </row>
    <row r="108" spans="1:7" ht="18" x14ac:dyDescent="0.2">
      <c r="A108" s="11"/>
    </row>
    <row r="109" spans="1:7" ht="26" x14ac:dyDescent="0.2">
      <c r="A109" s="10" t="s">
        <v>64</v>
      </c>
      <c r="G109" s="14" t="s">
        <v>68</v>
      </c>
    </row>
    <row r="110" spans="1:7" ht="25" x14ac:dyDescent="0.2">
      <c r="A110" s="11"/>
      <c r="G110" s="15"/>
    </row>
    <row r="111" spans="1:7" ht="26" x14ac:dyDescent="0.3">
      <c r="A111" s="17" t="s">
        <v>65</v>
      </c>
      <c r="G111" s="15"/>
    </row>
    <row r="112" spans="1:7" x14ac:dyDescent="0.2">
      <c r="G112" s="1"/>
    </row>
    <row r="113" spans="7:7" x14ac:dyDescent="0.2">
      <c r="G113" s="1"/>
    </row>
    <row r="114" spans="7:7" x14ac:dyDescent="0.2">
      <c r="G114" s="1"/>
    </row>
    <row r="116" spans="7:7" ht="26" x14ac:dyDescent="0.2">
      <c r="G116" s="16"/>
    </row>
    <row r="117" spans="7:7" ht="26" x14ac:dyDescent="0.2">
      <c r="G117" s="14" t="s">
        <v>69</v>
      </c>
    </row>
    <row r="118" spans="7:7" ht="25" x14ac:dyDescent="0.2">
      <c r="G118" s="15"/>
    </row>
    <row r="119" spans="7:7" ht="25" x14ac:dyDescent="0.2">
      <c r="G119" s="15"/>
    </row>
    <row r="129" spans="1:7" ht="26" x14ac:dyDescent="0.3">
      <c r="A129" s="17" t="s">
        <v>67</v>
      </c>
    </row>
    <row r="131" spans="1:7" ht="26" x14ac:dyDescent="0.2">
      <c r="G131" s="14" t="s">
        <v>68</v>
      </c>
    </row>
    <row r="132" spans="1:7" ht="25" x14ac:dyDescent="0.2">
      <c r="G132" s="15"/>
    </row>
    <row r="133" spans="1:7" ht="25" x14ac:dyDescent="0.2">
      <c r="G133" s="15"/>
    </row>
    <row r="134" spans="1:7" x14ac:dyDescent="0.2">
      <c r="G134" s="1"/>
    </row>
    <row r="135" spans="1:7" x14ac:dyDescent="0.2">
      <c r="G135" s="1"/>
    </row>
    <row r="136" spans="1:7" x14ac:dyDescent="0.2">
      <c r="G136" s="1"/>
    </row>
    <row r="138" spans="1:7" ht="26" x14ac:dyDescent="0.2">
      <c r="G138" s="16"/>
    </row>
    <row r="139" spans="1:7" ht="26" x14ac:dyDescent="0.2">
      <c r="G139" s="14" t="s">
        <v>69</v>
      </c>
    </row>
    <row r="140" spans="1:7" ht="25" x14ac:dyDescent="0.2">
      <c r="G140" s="15"/>
    </row>
    <row r="141" spans="1:7" ht="25" x14ac:dyDescent="0.2">
      <c r="G141" s="1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A62D0-ED95-AF41-A127-8C060F07284E}">
  <dimension ref="A4:AO143"/>
  <sheetViews>
    <sheetView showGridLines="0" topLeftCell="A16" zoomScale="150" zoomScaleNormal="100" workbookViewId="0">
      <selection activeCell="H40" sqref="H40"/>
    </sheetView>
  </sheetViews>
  <sheetFormatPr baseColWidth="10" defaultRowHeight="16" x14ac:dyDescent="0.2"/>
  <cols>
    <col min="1" max="1" width="13.6640625" customWidth="1"/>
    <col min="2" max="2" width="15" customWidth="1"/>
    <col min="3" max="3" width="12.1640625" customWidth="1"/>
    <col min="4" max="4" width="11.6640625" bestFit="1" customWidth="1"/>
    <col min="5" max="5" width="14.1640625" customWidth="1"/>
    <col min="6" max="6" width="12.83203125" customWidth="1"/>
    <col min="7" max="7" width="14.83203125" customWidth="1"/>
    <col min="8" max="8" width="13.6640625" customWidth="1"/>
    <col min="9" max="9" width="14" bestFit="1" customWidth="1"/>
    <col min="10" max="10" width="12.83203125" bestFit="1" customWidth="1"/>
    <col min="11" max="11" width="12.5" customWidth="1"/>
    <col min="12" max="12" width="12" customWidth="1"/>
    <col min="13" max="13" width="12.33203125" customWidth="1"/>
    <col min="14" max="14" width="12.1640625" customWidth="1"/>
  </cols>
  <sheetData>
    <row r="4" spans="1:2" x14ac:dyDescent="0.2">
      <c r="A4" t="s">
        <v>17</v>
      </c>
    </row>
    <row r="6" spans="1:2" ht="26" x14ac:dyDescent="0.2">
      <c r="A6" s="10" t="s">
        <v>16</v>
      </c>
    </row>
    <row r="7" spans="1:2" x14ac:dyDescent="0.2">
      <c r="A7" t="s">
        <v>1</v>
      </c>
    </row>
    <row r="8" spans="1:2" x14ac:dyDescent="0.2">
      <c r="A8" t="s">
        <v>2</v>
      </c>
    </row>
    <row r="9" spans="1:2" x14ac:dyDescent="0.2">
      <c r="A9" t="s">
        <v>3</v>
      </c>
    </row>
    <row r="11" spans="1:2" x14ac:dyDescent="0.2">
      <c r="A11" s="3" t="s">
        <v>9</v>
      </c>
      <c r="B11" t="s">
        <v>8</v>
      </c>
    </row>
    <row r="12" spans="1:2" x14ac:dyDescent="0.2">
      <c r="B12" t="s">
        <v>7</v>
      </c>
    </row>
    <row r="14" spans="1:2" x14ac:dyDescent="0.2">
      <c r="A14" s="3" t="s">
        <v>10</v>
      </c>
      <c r="B14" t="s">
        <v>11</v>
      </c>
    </row>
    <row r="15" spans="1:2" x14ac:dyDescent="0.2">
      <c r="B15" t="s">
        <v>12</v>
      </c>
    </row>
    <row r="17" spans="1:40" x14ac:dyDescent="0.2">
      <c r="A17" s="3" t="s">
        <v>13</v>
      </c>
      <c r="B17" t="s">
        <v>14</v>
      </c>
    </row>
    <row r="18" spans="1:40" ht="26" x14ac:dyDescent="0.2">
      <c r="B18" t="s">
        <v>15</v>
      </c>
      <c r="AJ18" s="10" t="s">
        <v>148</v>
      </c>
    </row>
    <row r="20" spans="1:40" ht="26" x14ac:dyDescent="0.2">
      <c r="A20" s="10" t="s">
        <v>4</v>
      </c>
      <c r="AJ20" t="s">
        <v>149</v>
      </c>
      <c r="AK20">
        <v>100</v>
      </c>
      <c r="AL20">
        <f>-AK20</f>
        <v>-100</v>
      </c>
      <c r="AN20" s="100">
        <f>+IRR(AL20:AL22)</f>
        <v>0.13066238629180749</v>
      </c>
    </row>
    <row r="21" spans="1:40" ht="18" x14ac:dyDescent="0.2">
      <c r="A21" s="4" t="s">
        <v>0</v>
      </c>
      <c r="B21" s="4" t="s">
        <v>28</v>
      </c>
      <c r="AJ21" t="s">
        <v>150</v>
      </c>
      <c r="AK21">
        <v>60</v>
      </c>
      <c r="AL21">
        <f>+AK21</f>
        <v>60</v>
      </c>
    </row>
    <row r="22" spans="1:40" x14ac:dyDescent="0.2">
      <c r="A22" t="s">
        <v>18</v>
      </c>
      <c r="AJ22" t="s">
        <v>151</v>
      </c>
      <c r="AK22">
        <v>60</v>
      </c>
      <c r="AL22">
        <f>+AK22</f>
        <v>60</v>
      </c>
    </row>
    <row r="23" spans="1:40" x14ac:dyDescent="0.2">
      <c r="A23" t="s">
        <v>19</v>
      </c>
    </row>
    <row r="24" spans="1:40" x14ac:dyDescent="0.2">
      <c r="A24" t="s">
        <v>20</v>
      </c>
    </row>
    <row r="25" spans="1:40" x14ac:dyDescent="0.2">
      <c r="AJ25" t="s">
        <v>152</v>
      </c>
      <c r="AK25" t="s">
        <v>153</v>
      </c>
      <c r="AL25" s="97">
        <v>0.1</v>
      </c>
    </row>
    <row r="26" spans="1:40" ht="18" x14ac:dyDescent="0.2">
      <c r="A26" s="4" t="s">
        <v>6</v>
      </c>
      <c r="AK26" t="s">
        <v>154</v>
      </c>
      <c r="AL26" s="6">
        <f>+NPV(AL25, AK21:AK22)</f>
        <v>104.13223140495866</v>
      </c>
    </row>
    <row r="27" spans="1:40" x14ac:dyDescent="0.2">
      <c r="A27" t="s">
        <v>21</v>
      </c>
    </row>
    <row r="28" spans="1:40" x14ac:dyDescent="0.2">
      <c r="A28" t="s">
        <v>22</v>
      </c>
      <c r="AJ28" t="s">
        <v>155</v>
      </c>
      <c r="AK28" s="97">
        <f>+AL25</f>
        <v>0.1</v>
      </c>
      <c r="AL28" t="s">
        <v>156</v>
      </c>
      <c r="AN28" t="s">
        <v>157</v>
      </c>
    </row>
    <row r="29" spans="1:40" x14ac:dyDescent="0.2">
      <c r="A29" t="s">
        <v>23</v>
      </c>
      <c r="AJ29" t="s">
        <v>158</v>
      </c>
      <c r="AN29" t="s">
        <v>159</v>
      </c>
    </row>
    <row r="30" spans="1:40" x14ac:dyDescent="0.2">
      <c r="AJ30" t="s">
        <v>160</v>
      </c>
      <c r="AK30" t="s">
        <v>153</v>
      </c>
      <c r="AL30" s="97">
        <v>0.2</v>
      </c>
    </row>
    <row r="31" spans="1:40" x14ac:dyDescent="0.2">
      <c r="A31" s="3" t="s">
        <v>9</v>
      </c>
      <c r="B31" t="s">
        <v>24</v>
      </c>
      <c r="AK31" t="s">
        <v>154</v>
      </c>
      <c r="AL31" s="6">
        <f>+NPV(AL30, AK21:AK22)</f>
        <v>91.666666666666671</v>
      </c>
    </row>
    <row r="33" spans="1:41" x14ac:dyDescent="0.2">
      <c r="AJ33" t="s">
        <v>161</v>
      </c>
    </row>
    <row r="34" spans="1:41" x14ac:dyDescent="0.2">
      <c r="A34" s="3" t="s">
        <v>10</v>
      </c>
      <c r="B34" t="s">
        <v>25</v>
      </c>
    </row>
    <row r="35" spans="1:41" x14ac:dyDescent="0.2">
      <c r="AJ35" t="s">
        <v>162</v>
      </c>
      <c r="AK35" s="97">
        <f>+AL30-AL25</f>
        <v>0.1</v>
      </c>
      <c r="AL35" t="s">
        <v>163</v>
      </c>
      <c r="AM35" s="6">
        <f>+AL26-AL31</f>
        <v>12.465564738291988</v>
      </c>
    </row>
    <row r="36" spans="1:41" x14ac:dyDescent="0.2">
      <c r="AJ36" t="s">
        <v>164</v>
      </c>
      <c r="AK36" t="s">
        <v>165</v>
      </c>
      <c r="AL36" t="s">
        <v>163</v>
      </c>
      <c r="AM36" s="6">
        <f>+AL26-AK20</f>
        <v>4.1322314049586595</v>
      </c>
    </row>
    <row r="37" spans="1:41" x14ac:dyDescent="0.2">
      <c r="A37" s="3" t="s">
        <v>13</v>
      </c>
      <c r="B37" t="s">
        <v>26</v>
      </c>
    </row>
    <row r="38" spans="1:41" x14ac:dyDescent="0.2">
      <c r="AJ38" t="s">
        <v>0</v>
      </c>
      <c r="AK38" s="19">
        <f>+AL25+(AM36*AK35/AM35)</f>
        <v>0.13314917127071815</v>
      </c>
    </row>
    <row r="39" spans="1:41" ht="18" x14ac:dyDescent="0.2">
      <c r="A39" s="4" t="s">
        <v>29</v>
      </c>
      <c r="AJ39" s="98"/>
      <c r="AK39" s="98"/>
      <c r="AL39" s="98"/>
      <c r="AM39" s="98"/>
      <c r="AN39" s="98"/>
      <c r="AO39" s="98"/>
    </row>
    <row r="40" spans="1:41" x14ac:dyDescent="0.2">
      <c r="A40" t="s">
        <v>30</v>
      </c>
      <c r="AJ40" t="s">
        <v>149</v>
      </c>
      <c r="AK40">
        <v>100</v>
      </c>
      <c r="AL40">
        <f>-AK40</f>
        <v>-100</v>
      </c>
      <c r="AN40" s="100">
        <f>+IRR(AL40:AL42)</f>
        <v>6.3941029804984284E-2</v>
      </c>
    </row>
    <row r="41" spans="1:41" x14ac:dyDescent="0.2">
      <c r="A41" t="s">
        <v>33</v>
      </c>
      <c r="B41" t="s">
        <v>31</v>
      </c>
      <c r="AJ41" t="s">
        <v>150</v>
      </c>
      <c r="AK41">
        <v>50</v>
      </c>
      <c r="AL41">
        <f>+AK41</f>
        <v>50</v>
      </c>
    </row>
    <row r="42" spans="1:41" x14ac:dyDescent="0.2">
      <c r="A42" t="s">
        <v>34</v>
      </c>
      <c r="B42" t="s">
        <v>32</v>
      </c>
      <c r="AJ42" t="s">
        <v>151</v>
      </c>
      <c r="AK42">
        <v>60</v>
      </c>
      <c r="AL42">
        <f>+AK42</f>
        <v>60</v>
      </c>
    </row>
    <row r="43" spans="1:41" x14ac:dyDescent="0.2">
      <c r="A43" t="s">
        <v>35</v>
      </c>
    </row>
    <row r="44" spans="1:41" x14ac:dyDescent="0.2">
      <c r="A44" t="s">
        <v>36</v>
      </c>
    </row>
    <row r="45" spans="1:41" x14ac:dyDescent="0.2">
      <c r="C45" s="26"/>
      <c r="D45" s="26"/>
      <c r="E45" s="145" t="s">
        <v>31</v>
      </c>
      <c r="F45" s="145"/>
      <c r="G45" s="26"/>
      <c r="H45" s="26"/>
      <c r="I45" s="26"/>
      <c r="J45" s="26"/>
      <c r="K45" s="26"/>
      <c r="AJ45" t="s">
        <v>152</v>
      </c>
      <c r="AK45" t="s">
        <v>153</v>
      </c>
      <c r="AL45" s="97">
        <v>0.1</v>
      </c>
    </row>
    <row r="46" spans="1:41" ht="18" x14ac:dyDescent="0.2">
      <c r="A46" s="4" t="s">
        <v>37</v>
      </c>
      <c r="C46" s="25" t="s">
        <v>74</v>
      </c>
      <c r="D46" s="25" t="s">
        <v>42</v>
      </c>
      <c r="E46" s="25" t="s">
        <v>81</v>
      </c>
      <c r="F46" s="25" t="s">
        <v>82</v>
      </c>
      <c r="G46" s="25" t="s">
        <v>45</v>
      </c>
      <c r="H46" s="25" t="s">
        <v>46</v>
      </c>
      <c r="I46" s="25" t="s">
        <v>47</v>
      </c>
      <c r="J46" s="27" t="s">
        <v>48</v>
      </c>
      <c r="AK46" t="s">
        <v>154</v>
      </c>
      <c r="AL46" s="6">
        <f>+NPV(AL45, AK41:AK42)</f>
        <v>95.041322314049566</v>
      </c>
    </row>
    <row r="47" spans="1:41" x14ac:dyDescent="0.2">
      <c r="A47" t="s">
        <v>51</v>
      </c>
      <c r="B47" s="5">
        <v>45087</v>
      </c>
      <c r="I47">
        <v>100</v>
      </c>
      <c r="J47" s="23"/>
    </row>
    <row r="48" spans="1:41" x14ac:dyDescent="0.2">
      <c r="A48" t="s">
        <v>27</v>
      </c>
      <c r="B48" s="5">
        <v>44009</v>
      </c>
      <c r="C48" s="7">
        <f>+DAYS360($B$47, D48)/180</f>
        <v>-5.9055555555555559</v>
      </c>
      <c r="D48" s="5">
        <v>44009</v>
      </c>
      <c r="E48">
        <f>+I47*$B$51/2</f>
        <v>5</v>
      </c>
      <c r="F48">
        <f t="shared" ref="F48:F61" si="0">+($B$51/2*I47)*(1-$B$55)</f>
        <v>3.75</v>
      </c>
      <c r="G48">
        <f>+E48*$B$55</f>
        <v>1.25</v>
      </c>
      <c r="H48">
        <v>0</v>
      </c>
      <c r="I48">
        <f>+$I$47-H48+G48</f>
        <v>101.25</v>
      </c>
      <c r="J48" s="21">
        <f t="shared" ref="J48:J64" si="1">+H48+F48</f>
        <v>3.75</v>
      </c>
      <c r="AJ48" t="s">
        <v>155</v>
      </c>
      <c r="AK48" s="97">
        <f>+AL45</f>
        <v>0.1</v>
      </c>
      <c r="AL48" t="s">
        <v>156</v>
      </c>
      <c r="AN48" t="s">
        <v>157</v>
      </c>
    </row>
    <row r="49" spans="1:40" x14ac:dyDescent="0.2">
      <c r="A49" t="s">
        <v>38</v>
      </c>
      <c r="B49" s="5">
        <v>46931</v>
      </c>
      <c r="C49" s="7">
        <f t="shared" ref="C49:C53" si="2">+DAYS360($B$47, D49)/180</f>
        <v>-4.9055555555555559</v>
      </c>
      <c r="D49" s="5">
        <v>44192</v>
      </c>
      <c r="E49">
        <f t="shared" ref="E49:E64" si="3">+I48*$B$51/2</f>
        <v>5.0625</v>
      </c>
      <c r="F49">
        <f t="shared" si="0"/>
        <v>3.796875</v>
      </c>
      <c r="G49">
        <f t="shared" ref="G49:G61" si="4">+E49*$B$55</f>
        <v>1.265625</v>
      </c>
      <c r="H49">
        <v>0</v>
      </c>
      <c r="I49">
        <f>+I48-H49+G49</f>
        <v>102.515625</v>
      </c>
      <c r="J49" s="21">
        <f t="shared" si="1"/>
        <v>3.796875</v>
      </c>
      <c r="AJ49" t="s">
        <v>158</v>
      </c>
      <c r="AN49" t="s">
        <v>159</v>
      </c>
    </row>
    <row r="50" spans="1:40" x14ac:dyDescent="0.2">
      <c r="A50" t="s">
        <v>39</v>
      </c>
      <c r="B50" t="s">
        <v>40</v>
      </c>
      <c r="C50" s="7">
        <f t="shared" si="2"/>
        <v>-3.9055555555555554</v>
      </c>
      <c r="D50" s="5">
        <v>44374</v>
      </c>
      <c r="E50">
        <f t="shared" si="3"/>
        <v>5.1257812500000002</v>
      </c>
      <c r="F50">
        <f t="shared" si="0"/>
        <v>3.8443359375000004</v>
      </c>
      <c r="G50">
        <f t="shared" si="4"/>
        <v>1.2814453125</v>
      </c>
      <c r="H50">
        <v>0</v>
      </c>
      <c r="I50">
        <f t="shared" ref="I50:I64" si="5">+I49-H50+G50</f>
        <v>103.7970703125</v>
      </c>
      <c r="J50" s="21">
        <f t="shared" si="1"/>
        <v>3.8443359375000004</v>
      </c>
      <c r="AJ50" t="s">
        <v>160</v>
      </c>
      <c r="AK50" t="s">
        <v>153</v>
      </c>
      <c r="AL50" s="101">
        <v>1E-3</v>
      </c>
    </row>
    <row r="51" spans="1:40" x14ac:dyDescent="0.2">
      <c r="A51" t="s">
        <v>41</v>
      </c>
      <c r="B51">
        <v>0.1</v>
      </c>
      <c r="C51" s="7">
        <f t="shared" si="2"/>
        <v>-2.9055555555555554</v>
      </c>
      <c r="D51" s="5">
        <v>44557</v>
      </c>
      <c r="E51">
        <f t="shared" si="3"/>
        <v>5.1898535156249999</v>
      </c>
      <c r="F51">
        <f t="shared" si="0"/>
        <v>3.8923901367187499</v>
      </c>
      <c r="G51">
        <f t="shared" si="4"/>
        <v>1.29746337890625</v>
      </c>
      <c r="H51">
        <v>0</v>
      </c>
      <c r="I51">
        <f t="shared" si="5"/>
        <v>105.09453369140624</v>
      </c>
      <c r="J51" s="21">
        <f t="shared" si="1"/>
        <v>3.8923901367187499</v>
      </c>
      <c r="AK51" t="s">
        <v>154</v>
      </c>
      <c r="AL51" s="6">
        <f>+NPV(AL50, AK41:AK42)</f>
        <v>109.8302297103496</v>
      </c>
    </row>
    <row r="52" spans="1:40" x14ac:dyDescent="0.2">
      <c r="A52" t="s">
        <v>43</v>
      </c>
      <c r="B52">
        <v>100</v>
      </c>
      <c r="C52" s="7">
        <f t="shared" si="2"/>
        <v>-1.9055555555555554</v>
      </c>
      <c r="D52" s="5">
        <v>44739</v>
      </c>
      <c r="E52">
        <f t="shared" si="3"/>
        <v>5.2547266845703122</v>
      </c>
      <c r="F52">
        <f t="shared" si="0"/>
        <v>3.9410450134277344</v>
      </c>
      <c r="G52">
        <f t="shared" si="4"/>
        <v>1.3136816711425781</v>
      </c>
      <c r="H52">
        <v>0</v>
      </c>
      <c r="I52">
        <f t="shared" si="5"/>
        <v>106.40821536254882</v>
      </c>
      <c r="J52" s="21">
        <f t="shared" si="1"/>
        <v>3.9410450134277344</v>
      </c>
      <c r="L52" s="25" t="s">
        <v>78</v>
      </c>
      <c r="N52" s="145" t="s">
        <v>95</v>
      </c>
      <c r="O52" s="145"/>
      <c r="Q52" s="145" t="s">
        <v>87</v>
      </c>
      <c r="R52" s="145"/>
      <c r="T52" s="145" t="s">
        <v>88</v>
      </c>
      <c r="U52" s="145"/>
    </row>
    <row r="53" spans="1:40" x14ac:dyDescent="0.2">
      <c r="A53" t="s">
        <v>80</v>
      </c>
      <c r="B53" t="s">
        <v>79</v>
      </c>
      <c r="C53" s="7">
        <f t="shared" si="2"/>
        <v>-0.90555555555555556</v>
      </c>
      <c r="D53" s="5">
        <v>44922</v>
      </c>
      <c r="E53">
        <f t="shared" si="3"/>
        <v>5.3204107681274415</v>
      </c>
      <c r="F53">
        <f t="shared" si="0"/>
        <v>3.9903080760955811</v>
      </c>
      <c r="G53">
        <f t="shared" si="4"/>
        <v>1.3301026920318604</v>
      </c>
      <c r="H53">
        <v>0</v>
      </c>
      <c r="I53">
        <f t="shared" si="5"/>
        <v>107.73831805458067</v>
      </c>
      <c r="J53" s="21">
        <f t="shared" si="1"/>
        <v>3.9903080760955811</v>
      </c>
      <c r="L53" s="9">
        <f>+O53</f>
        <v>-129.59801053992285</v>
      </c>
      <c r="N53" s="5">
        <f>+Q53</f>
        <v>45087</v>
      </c>
      <c r="O53" s="9">
        <f>R53</f>
        <v>-129.59801053992285</v>
      </c>
      <c r="Q53" s="5">
        <f>+B47</f>
        <v>45087</v>
      </c>
      <c r="R53" s="9">
        <f>-B62</f>
        <v>-129.59801053992285</v>
      </c>
      <c r="T53" s="5">
        <f>+Q53</f>
        <v>45087</v>
      </c>
      <c r="U53" s="9">
        <v>-130.31328410069614</v>
      </c>
      <c r="AJ53" t="s">
        <v>161</v>
      </c>
    </row>
    <row r="54" spans="1:40" x14ac:dyDescent="0.2">
      <c r="A54" s="30" t="s">
        <v>0</v>
      </c>
      <c r="B54" s="31">
        <v>0.08</v>
      </c>
      <c r="C54" s="32">
        <f>+_xlfn.DAYS(D54, $B$47)/180</f>
        <v>9.4444444444444442E-2</v>
      </c>
      <c r="D54" s="33">
        <v>45104</v>
      </c>
      <c r="E54">
        <f t="shared" si="3"/>
        <v>5.3869159027290339</v>
      </c>
      <c r="F54">
        <f t="shared" si="0"/>
        <v>4.0401869270467756</v>
      </c>
      <c r="G54">
        <f t="shared" si="4"/>
        <v>1.3467289756822585</v>
      </c>
      <c r="H54">
        <v>0</v>
      </c>
      <c r="I54">
        <f t="shared" si="5"/>
        <v>109.08504703026293</v>
      </c>
      <c r="J54" s="30">
        <f t="shared" si="1"/>
        <v>4.0401869270467756</v>
      </c>
      <c r="L54">
        <f t="shared" ref="L54:L64" si="6">+J54/((1+($B$54/2))^C54)</f>
        <v>4.0252490370245635</v>
      </c>
      <c r="N54" s="5">
        <f t="shared" ref="N54:N64" si="7">+Q54</f>
        <v>45104</v>
      </c>
      <c r="O54">
        <f t="shared" ref="O54:O64" si="8">+J54*(1+$B$54/2)^($C$64-C54)</f>
        <v>5.9804636087627987</v>
      </c>
      <c r="Q54" s="5">
        <f t="shared" ref="Q54:Q64" si="9">+D54</f>
        <v>45104</v>
      </c>
      <c r="R54">
        <f t="shared" ref="R54:R64" si="10">+J54</f>
        <v>4.0401869270467756</v>
      </c>
      <c r="T54" s="5">
        <f t="shared" ref="T54:T64" si="11">+Q54</f>
        <v>45104</v>
      </c>
      <c r="U54">
        <f>+R54</f>
        <v>4.0401869270467756</v>
      </c>
    </row>
    <row r="55" spans="1:40" x14ac:dyDescent="0.2">
      <c r="A55" t="s">
        <v>44</v>
      </c>
      <c r="B55">
        <v>0.25</v>
      </c>
      <c r="C55" s="8">
        <f>+(DAYS360($B$47, D55)/180)</f>
        <v>1.0944444444444446</v>
      </c>
      <c r="D55" s="5">
        <v>45287</v>
      </c>
      <c r="E55">
        <f t="shared" si="3"/>
        <v>5.4542523515131469</v>
      </c>
      <c r="F55">
        <f t="shared" si="0"/>
        <v>4.09068926363486</v>
      </c>
      <c r="G55">
        <f t="shared" si="4"/>
        <v>1.3635630878782867</v>
      </c>
      <c r="H55">
        <v>0</v>
      </c>
      <c r="I55">
        <f t="shared" si="5"/>
        <v>110.44861011814122</v>
      </c>
      <c r="J55" s="21">
        <f t="shared" si="1"/>
        <v>4.09068926363486</v>
      </c>
      <c r="L55">
        <f t="shared" si="6"/>
        <v>3.9188121634493935</v>
      </c>
      <c r="N55" s="5">
        <f t="shared" si="7"/>
        <v>45287</v>
      </c>
      <c r="O55">
        <f t="shared" si="8"/>
        <v>5.8223263498772431</v>
      </c>
      <c r="Q55" s="5">
        <f t="shared" si="9"/>
        <v>45287</v>
      </c>
      <c r="R55">
        <f t="shared" si="10"/>
        <v>4.09068926363486</v>
      </c>
      <c r="T55" s="5">
        <f t="shared" si="11"/>
        <v>45287</v>
      </c>
      <c r="U55">
        <f t="shared" ref="U55:U64" si="12">+R55</f>
        <v>4.09068926363486</v>
      </c>
      <c r="AJ55" t="s">
        <v>162</v>
      </c>
      <c r="AK55" s="97">
        <f>+AL50-AL45</f>
        <v>-9.9000000000000005E-2</v>
      </c>
      <c r="AL55" t="s">
        <v>163</v>
      </c>
      <c r="AM55" s="6">
        <f>+AL46-AL51</f>
        <v>-14.788907396300033</v>
      </c>
    </row>
    <row r="56" spans="1:40" x14ac:dyDescent="0.2">
      <c r="A56" t="s">
        <v>85</v>
      </c>
      <c r="B56" s="18"/>
      <c r="C56" s="8">
        <f t="shared" ref="C56:C64" si="13">+(DAYS360($B$47, D56)/180)</f>
        <v>2.0944444444444446</v>
      </c>
      <c r="D56" s="5">
        <v>45470</v>
      </c>
      <c r="E56">
        <f t="shared" si="3"/>
        <v>5.5224305059070611</v>
      </c>
      <c r="F56">
        <f t="shared" si="0"/>
        <v>4.141822879430296</v>
      </c>
      <c r="G56">
        <f t="shared" si="4"/>
        <v>1.3806076264767653</v>
      </c>
      <c r="H56">
        <v>0</v>
      </c>
      <c r="I56">
        <f t="shared" si="5"/>
        <v>111.82921774461798</v>
      </c>
      <c r="J56" s="21">
        <f t="shared" si="1"/>
        <v>4.141822879430296</v>
      </c>
      <c r="L56">
        <f t="shared" si="6"/>
        <v>3.8151897264351069</v>
      </c>
      <c r="N56" s="5">
        <f t="shared" si="7"/>
        <v>45470</v>
      </c>
      <c r="O56">
        <f t="shared" si="8"/>
        <v>5.6683706050487581</v>
      </c>
      <c r="Q56" s="5">
        <f t="shared" si="9"/>
        <v>45470</v>
      </c>
      <c r="R56">
        <f t="shared" si="10"/>
        <v>4.141822879430296</v>
      </c>
      <c r="T56" s="5">
        <f t="shared" si="11"/>
        <v>45470</v>
      </c>
      <c r="U56">
        <f t="shared" si="12"/>
        <v>4.141822879430296</v>
      </c>
      <c r="AJ56" t="s">
        <v>164</v>
      </c>
      <c r="AK56" t="s">
        <v>165</v>
      </c>
      <c r="AL56" t="s">
        <v>163</v>
      </c>
      <c r="AM56" s="6">
        <f>+AL46-AK40</f>
        <v>-4.958677685950434</v>
      </c>
    </row>
    <row r="57" spans="1:40" x14ac:dyDescent="0.2">
      <c r="C57" s="8">
        <f t="shared" si="13"/>
        <v>3.0944444444444446</v>
      </c>
      <c r="D57" s="5">
        <v>45653</v>
      </c>
      <c r="E57">
        <f t="shared" si="3"/>
        <v>5.5914608872308991</v>
      </c>
      <c r="F57">
        <f t="shared" si="0"/>
        <v>4.1935956654231745</v>
      </c>
      <c r="G57">
        <f t="shared" si="4"/>
        <v>1.3978652218077248</v>
      </c>
      <c r="H57">
        <v>0</v>
      </c>
      <c r="I57">
        <f t="shared" si="5"/>
        <v>113.2270829664257</v>
      </c>
      <c r="J57" s="21">
        <f t="shared" si="1"/>
        <v>4.1935956654231745</v>
      </c>
      <c r="L57">
        <f t="shared" si="6"/>
        <v>3.7143073057841787</v>
      </c>
      <c r="N57" s="5">
        <f t="shared" si="7"/>
        <v>45653</v>
      </c>
      <c r="O57">
        <f t="shared" si="8"/>
        <v>5.5184858053960255</v>
      </c>
      <c r="Q57" s="5">
        <f t="shared" si="9"/>
        <v>45653</v>
      </c>
      <c r="R57">
        <f t="shared" si="10"/>
        <v>4.1935956654231745</v>
      </c>
      <c r="T57" s="5">
        <f t="shared" si="11"/>
        <v>45653</v>
      </c>
      <c r="U57">
        <f t="shared" si="12"/>
        <v>4.1935956654231745</v>
      </c>
    </row>
    <row r="58" spans="1:40" x14ac:dyDescent="0.2">
      <c r="A58" t="s">
        <v>86</v>
      </c>
      <c r="B58" t="s">
        <v>89</v>
      </c>
      <c r="C58" s="8">
        <f t="shared" si="13"/>
        <v>4.0944444444444441</v>
      </c>
      <c r="D58" s="5">
        <v>45835</v>
      </c>
      <c r="E58">
        <f t="shared" si="3"/>
        <v>5.6613541483212853</v>
      </c>
      <c r="F58">
        <f t="shared" si="0"/>
        <v>4.2460156112409635</v>
      </c>
      <c r="G58">
        <f t="shared" si="4"/>
        <v>1.4153385370803213</v>
      </c>
      <c r="H58">
        <v>0</v>
      </c>
      <c r="I58">
        <f t="shared" si="5"/>
        <v>114.64242150350601</v>
      </c>
      <c r="J58" s="21">
        <f t="shared" si="1"/>
        <v>4.2460156112409635</v>
      </c>
      <c r="L58">
        <f t="shared" si="6"/>
        <v>3.6160924491408459</v>
      </c>
      <c r="N58" s="5">
        <f t="shared" si="7"/>
        <v>45835</v>
      </c>
      <c r="O58">
        <f t="shared" si="8"/>
        <v>5.3725643057341106</v>
      </c>
      <c r="Q58" s="5">
        <f t="shared" si="9"/>
        <v>45835</v>
      </c>
      <c r="R58">
        <f t="shared" si="10"/>
        <v>4.2460156112409635</v>
      </c>
      <c r="T58" s="5">
        <f t="shared" si="11"/>
        <v>45835</v>
      </c>
      <c r="U58">
        <f t="shared" si="12"/>
        <v>4.2460156112409635</v>
      </c>
      <c r="AJ58" t="s">
        <v>0</v>
      </c>
      <c r="AK58" s="19">
        <f>+AL45+(AM56*AK55/AM55)</f>
        <v>6.6805587610081929E-2</v>
      </c>
    </row>
    <row r="59" spans="1:40" x14ac:dyDescent="0.2">
      <c r="A59" s="28" t="s">
        <v>50</v>
      </c>
      <c r="B59" s="28" t="s">
        <v>50</v>
      </c>
      <c r="C59" s="8">
        <f t="shared" si="13"/>
        <v>5.0944444444444441</v>
      </c>
      <c r="D59" s="5">
        <v>46018</v>
      </c>
      <c r="E59">
        <f t="shared" si="3"/>
        <v>5.7321210751753009</v>
      </c>
      <c r="F59">
        <f t="shared" si="0"/>
        <v>4.2990908063814759</v>
      </c>
      <c r="G59">
        <f t="shared" si="4"/>
        <v>1.4330302687938252</v>
      </c>
      <c r="H59">
        <v>0</v>
      </c>
      <c r="I59">
        <f t="shared" si="5"/>
        <v>116.07545177229984</v>
      </c>
      <c r="J59" s="21">
        <f t="shared" si="1"/>
        <v>4.2990908063814759</v>
      </c>
      <c r="L59">
        <f t="shared" si="6"/>
        <v>3.5204746199568335</v>
      </c>
      <c r="N59" s="5">
        <f t="shared" si="7"/>
        <v>46018</v>
      </c>
      <c r="O59">
        <f t="shared" si="8"/>
        <v>5.2305013072651807</v>
      </c>
      <c r="Q59" s="5">
        <f t="shared" si="9"/>
        <v>46018</v>
      </c>
      <c r="R59">
        <f t="shared" si="10"/>
        <v>4.2990908063814759</v>
      </c>
      <c r="T59" s="5">
        <f t="shared" si="11"/>
        <v>46018</v>
      </c>
      <c r="U59">
        <f t="shared" si="12"/>
        <v>4.2990908063814759</v>
      </c>
    </row>
    <row r="60" spans="1:40" x14ac:dyDescent="0.2">
      <c r="A60" s="22">
        <f>+$F$54/180*DAYS360($D$53, $B$47)</f>
        <v>3.6586137172701356</v>
      </c>
      <c r="B60" s="22">
        <f>+$F$54/180*DAYS360($D$53, $B$47)</f>
        <v>3.6586137172701356</v>
      </c>
      <c r="C60" s="8">
        <f t="shared" si="13"/>
        <v>6.0944444444444441</v>
      </c>
      <c r="D60" s="5">
        <v>46200</v>
      </c>
      <c r="E60">
        <f t="shared" si="3"/>
        <v>5.8037725886149927</v>
      </c>
      <c r="F60">
        <f t="shared" si="0"/>
        <v>4.3528294414612443</v>
      </c>
      <c r="G60">
        <f t="shared" si="4"/>
        <v>1.4509431471537482</v>
      </c>
      <c r="H60">
        <v>0</v>
      </c>
      <c r="I60">
        <f t="shared" si="5"/>
        <v>117.52639491945359</v>
      </c>
      <c r="J60" s="21">
        <f t="shared" si="1"/>
        <v>4.3528294414612443</v>
      </c>
      <c r="L60">
        <f t="shared" si="6"/>
        <v>3.4273851468329752</v>
      </c>
      <c r="N60" s="5">
        <f t="shared" si="7"/>
        <v>46200</v>
      </c>
      <c r="O60">
        <f t="shared" si="8"/>
        <v>5.0921947823134568</v>
      </c>
      <c r="Q60" s="5">
        <f t="shared" si="9"/>
        <v>46200</v>
      </c>
      <c r="R60">
        <f t="shared" si="10"/>
        <v>4.3528294414612443</v>
      </c>
      <c r="T60" s="5">
        <f t="shared" si="11"/>
        <v>46200</v>
      </c>
      <c r="U60">
        <f t="shared" si="12"/>
        <v>4.3528294414612443</v>
      </c>
    </row>
    <row r="61" spans="1:40" x14ac:dyDescent="0.2">
      <c r="A61" s="29" t="s">
        <v>83</v>
      </c>
      <c r="B61" s="29" t="s">
        <v>83</v>
      </c>
      <c r="C61" s="8">
        <f t="shared" si="13"/>
        <v>7.0944444444444441</v>
      </c>
      <c r="D61" s="5">
        <v>46383</v>
      </c>
      <c r="E61">
        <f t="shared" si="3"/>
        <v>5.8763197459726797</v>
      </c>
      <c r="F61">
        <f t="shared" si="0"/>
        <v>4.4072398094795098</v>
      </c>
      <c r="G61">
        <f t="shared" si="4"/>
        <v>1.4690799364931699</v>
      </c>
      <c r="H61">
        <v>0</v>
      </c>
      <c r="I61">
        <f t="shared" si="5"/>
        <v>118.99547485594677</v>
      </c>
      <c r="J61" s="21">
        <f t="shared" si="1"/>
        <v>4.4072398094795098</v>
      </c>
      <c r="L61">
        <f t="shared" si="6"/>
        <v>3.3367571742003723</v>
      </c>
      <c r="N61" s="5">
        <f t="shared" si="7"/>
        <v>46383</v>
      </c>
      <c r="O61">
        <f t="shared" si="8"/>
        <v>4.9575454010503597</v>
      </c>
      <c r="Q61" s="5">
        <f t="shared" si="9"/>
        <v>46383</v>
      </c>
      <c r="R61">
        <f t="shared" si="10"/>
        <v>4.4072398094795098</v>
      </c>
      <c r="T61" s="5">
        <f t="shared" si="11"/>
        <v>46383</v>
      </c>
      <c r="U61">
        <f t="shared" si="12"/>
        <v>4.4072398094795098</v>
      </c>
    </row>
    <row r="62" spans="1:40" x14ac:dyDescent="0.2">
      <c r="A62" s="22">
        <f>-U53</f>
        <v>130.31328410069614</v>
      </c>
      <c r="B62" s="22">
        <f>SUM(L54:L64)</f>
        <v>129.59801053992285</v>
      </c>
      <c r="C62" s="8">
        <f t="shared" si="13"/>
        <v>8.094444444444445</v>
      </c>
      <c r="D62" s="5">
        <v>46565</v>
      </c>
      <c r="E62">
        <f t="shared" si="3"/>
        <v>5.9497737427973387</v>
      </c>
      <c r="F62">
        <f>+$B$51*I61</f>
        <v>11.899547485594677</v>
      </c>
      <c r="G62">
        <v>0</v>
      </c>
      <c r="H62">
        <f>+$I$61/3</f>
        <v>39.665158285315592</v>
      </c>
      <c r="I62">
        <f t="shared" si="5"/>
        <v>79.330316570631169</v>
      </c>
      <c r="J62" s="21">
        <f t="shared" si="1"/>
        <v>51.564705770910265</v>
      </c>
      <c r="L62">
        <f t="shared" si="6"/>
        <v>37.53851820975418</v>
      </c>
      <c r="N62" s="5">
        <f t="shared" si="7"/>
        <v>46565</v>
      </c>
      <c r="O62">
        <f t="shared" si="8"/>
        <v>55.772385761816551</v>
      </c>
      <c r="Q62" s="5">
        <f t="shared" si="9"/>
        <v>46565</v>
      </c>
      <c r="R62">
        <f t="shared" si="10"/>
        <v>51.564705770910265</v>
      </c>
      <c r="T62" s="5">
        <f t="shared" si="11"/>
        <v>46565</v>
      </c>
      <c r="U62">
        <f t="shared" si="12"/>
        <v>51.564705770910265</v>
      </c>
    </row>
    <row r="63" spans="1:40" x14ac:dyDescent="0.2">
      <c r="A63" s="28" t="s">
        <v>84</v>
      </c>
      <c r="B63" s="28" t="s">
        <v>84</v>
      </c>
      <c r="C63" s="8">
        <f t="shared" si="13"/>
        <v>9.094444444444445</v>
      </c>
      <c r="D63" s="5">
        <v>46748</v>
      </c>
      <c r="E63">
        <f t="shared" si="3"/>
        <v>3.9665158285315587</v>
      </c>
      <c r="F63">
        <f t="shared" ref="F63:F64" si="14">+$B$51*I62</f>
        <v>7.9330316570631174</v>
      </c>
      <c r="G63">
        <v>0</v>
      </c>
      <c r="H63">
        <f>+$I$61/3</f>
        <v>39.665158285315592</v>
      </c>
      <c r="I63">
        <f t="shared" si="5"/>
        <v>39.665158285315577</v>
      </c>
      <c r="J63" s="21">
        <f t="shared" si="1"/>
        <v>47.59818994237871</v>
      </c>
      <c r="L63">
        <f t="shared" si="6"/>
        <v>33.318211428775903</v>
      </c>
      <c r="N63" s="5">
        <f t="shared" si="7"/>
        <v>46748</v>
      </c>
      <c r="O63">
        <f t="shared" si="8"/>
        <v>49.502117540073861</v>
      </c>
      <c r="Q63" s="5">
        <f t="shared" si="9"/>
        <v>46748</v>
      </c>
      <c r="R63">
        <f t="shared" si="10"/>
        <v>47.59818994237871</v>
      </c>
      <c r="T63" s="5">
        <f t="shared" si="11"/>
        <v>46748</v>
      </c>
      <c r="U63">
        <f t="shared" si="12"/>
        <v>47.59818994237871</v>
      </c>
    </row>
    <row r="64" spans="1:40" x14ac:dyDescent="0.2">
      <c r="A64" s="22">
        <f>+A62+A60</f>
        <v>133.97189781796627</v>
      </c>
      <c r="B64" s="22">
        <f>+B62+B60</f>
        <v>133.25662425719298</v>
      </c>
      <c r="C64" s="8">
        <f t="shared" si="13"/>
        <v>10.094444444444445</v>
      </c>
      <c r="D64" s="5">
        <v>46931</v>
      </c>
      <c r="E64">
        <f t="shared" si="3"/>
        <v>1.9832579142657789</v>
      </c>
      <c r="F64">
        <f t="shared" si="14"/>
        <v>3.9665158285315578</v>
      </c>
      <c r="G64">
        <v>0</v>
      </c>
      <c r="H64">
        <f>+$I$61/3</f>
        <v>39.665158285315592</v>
      </c>
      <c r="I64">
        <f t="shared" si="5"/>
        <v>-1.4210854715202004E-14</v>
      </c>
      <c r="J64" s="21">
        <f t="shared" si="1"/>
        <v>43.631674113847147</v>
      </c>
      <c r="L64">
        <f t="shared" si="6"/>
        <v>29.3670132785685</v>
      </c>
      <c r="N64" s="5">
        <f t="shared" si="7"/>
        <v>46931</v>
      </c>
      <c r="O64">
        <f t="shared" si="8"/>
        <v>43.631674113847147</v>
      </c>
      <c r="Q64" s="5">
        <f t="shared" si="9"/>
        <v>46931</v>
      </c>
      <c r="R64">
        <f t="shared" si="10"/>
        <v>43.631674113847147</v>
      </c>
      <c r="T64" s="5">
        <f t="shared" si="11"/>
        <v>46931</v>
      </c>
      <c r="U64">
        <f t="shared" si="12"/>
        <v>43.631674113847147</v>
      </c>
    </row>
    <row r="66" spans="1:21" x14ac:dyDescent="0.2">
      <c r="N66" s="2" t="s">
        <v>70</v>
      </c>
      <c r="O66">
        <f>+SUM(O54:O64)</f>
        <v>192.54862958118548</v>
      </c>
      <c r="Q66" s="2" t="s">
        <v>76</v>
      </c>
      <c r="R66" s="20">
        <f>+XIRR(R53:R64, Q53:Q64, B54)</f>
        <v>8.1533274650573723E-2</v>
      </c>
      <c r="T66" s="2" t="s">
        <v>76</v>
      </c>
      <c r="U66" s="20">
        <f>+XIRR(U53:U64, T53:T64)</f>
        <v>8.0000457167625466E-2</v>
      </c>
    </row>
    <row r="67" spans="1:21" x14ac:dyDescent="0.2">
      <c r="F67">
        <f>+SUM(F54:F64)</f>
        <v>57.57056537528765</v>
      </c>
      <c r="N67" s="2" t="s">
        <v>72</v>
      </c>
      <c r="O67" s="19">
        <f>+((SUM(O54:O64)/(-O53))^(1/10)-1)*2</f>
        <v>8.0770611835988326E-2</v>
      </c>
      <c r="Q67" s="2" t="s">
        <v>77</v>
      </c>
      <c r="R67">
        <f>+XNPV(B54/2, R53:R64, Q53:Q64)</f>
        <v>21.463138275564859</v>
      </c>
      <c r="T67" s="2" t="s">
        <v>77</v>
      </c>
      <c r="U67">
        <f>+XNPV(B54/2, U53:U64, T53:T64)</f>
        <v>20.747864714791575</v>
      </c>
    </row>
    <row r="68" spans="1:21" ht="51" x14ac:dyDescent="0.2">
      <c r="N68" s="34" t="s">
        <v>96</v>
      </c>
      <c r="O68" s="35">
        <f>+O66-F67</f>
        <v>134.97806420589782</v>
      </c>
    </row>
    <row r="69" spans="1:21" ht="34" x14ac:dyDescent="0.2">
      <c r="N69" s="34" t="s">
        <v>97</v>
      </c>
    </row>
    <row r="70" spans="1:21" x14ac:dyDescent="0.2">
      <c r="J70" s="6"/>
    </row>
    <row r="71" spans="1:21" x14ac:dyDescent="0.2">
      <c r="J71" s="6"/>
    </row>
    <row r="72" spans="1:21" x14ac:dyDescent="0.2">
      <c r="J72" s="6"/>
    </row>
    <row r="73" spans="1:21" x14ac:dyDescent="0.2">
      <c r="J73" s="6"/>
    </row>
    <row r="74" spans="1:21" x14ac:dyDescent="0.2">
      <c r="M74" s="19"/>
    </row>
    <row r="75" spans="1:21" ht="26" x14ac:dyDescent="0.2">
      <c r="A75" s="10" t="s">
        <v>52</v>
      </c>
    </row>
    <row r="76" spans="1:21" x14ac:dyDescent="0.2">
      <c r="A76" s="2" t="s">
        <v>53</v>
      </c>
    </row>
    <row r="77" spans="1:21" x14ac:dyDescent="0.2">
      <c r="A77" t="s">
        <v>54</v>
      </c>
    </row>
    <row r="78" spans="1:21" x14ac:dyDescent="0.2">
      <c r="A78" t="s">
        <v>55</v>
      </c>
    </row>
    <row r="79" spans="1:21" ht="18" x14ac:dyDescent="0.2">
      <c r="A79" s="4" t="s">
        <v>56</v>
      </c>
    </row>
    <row r="80" spans="1:21" x14ac:dyDescent="0.2">
      <c r="A80" t="s">
        <v>57</v>
      </c>
    </row>
    <row r="81" spans="1:10" x14ac:dyDescent="0.2">
      <c r="A81" t="s">
        <v>58</v>
      </c>
    </row>
    <row r="82" spans="1:10" x14ac:dyDescent="0.2">
      <c r="A82" t="s">
        <v>59</v>
      </c>
    </row>
    <row r="83" spans="1:10" x14ac:dyDescent="0.2">
      <c r="A83" t="s">
        <v>71</v>
      </c>
    </row>
    <row r="84" spans="1:10" x14ac:dyDescent="0.2">
      <c r="A84" t="s">
        <v>73</v>
      </c>
    </row>
    <row r="85" spans="1:10" x14ac:dyDescent="0.2">
      <c r="A85" t="s">
        <v>90</v>
      </c>
    </row>
    <row r="86" spans="1:10" x14ac:dyDescent="0.2">
      <c r="A86" s="9"/>
    </row>
    <row r="87" spans="1:10" ht="18" x14ac:dyDescent="0.2">
      <c r="A87" s="4" t="s">
        <v>91</v>
      </c>
    </row>
    <row r="88" spans="1:10" ht="40" customHeight="1" x14ac:dyDescent="0.2">
      <c r="A88" s="146" t="s">
        <v>93</v>
      </c>
      <c r="B88" s="146"/>
      <c r="C88" s="146" t="s">
        <v>103</v>
      </c>
      <c r="D88" s="146"/>
      <c r="E88" s="146"/>
      <c r="F88" s="146"/>
      <c r="G88" s="146"/>
      <c r="H88" s="146"/>
      <c r="I88" s="146"/>
      <c r="J88" s="146"/>
    </row>
    <row r="89" spans="1:10" ht="70" customHeight="1" x14ac:dyDescent="0.2">
      <c r="A89" s="147" t="s">
        <v>92</v>
      </c>
      <c r="B89" s="147"/>
      <c r="C89" s="147" t="s">
        <v>104</v>
      </c>
      <c r="D89" s="147"/>
      <c r="E89" s="147"/>
      <c r="F89" s="147"/>
      <c r="G89" s="147"/>
      <c r="H89" s="147"/>
      <c r="I89" s="147"/>
      <c r="J89" s="147"/>
    </row>
    <row r="90" spans="1:10" ht="53" customHeight="1" x14ac:dyDescent="0.2">
      <c r="A90" s="147" t="s">
        <v>94</v>
      </c>
      <c r="B90" s="147"/>
      <c r="C90" s="147" t="s">
        <v>105</v>
      </c>
      <c r="D90" s="147"/>
      <c r="E90" s="147"/>
      <c r="F90" s="147"/>
      <c r="G90" s="147"/>
      <c r="H90" s="147"/>
      <c r="I90" s="147"/>
      <c r="J90" s="147"/>
    </row>
    <row r="105" spans="1:1" ht="18" x14ac:dyDescent="0.2">
      <c r="A105" s="4" t="s">
        <v>106</v>
      </c>
    </row>
    <row r="106" spans="1:1" x14ac:dyDescent="0.2">
      <c r="A106" t="s">
        <v>109</v>
      </c>
    </row>
    <row r="107" spans="1:1" x14ac:dyDescent="0.2">
      <c r="A107" t="s">
        <v>110</v>
      </c>
    </row>
    <row r="114" spans="1:1" ht="18" x14ac:dyDescent="0.2">
      <c r="A114" s="4" t="s">
        <v>111</v>
      </c>
    </row>
    <row r="115" spans="1:1" x14ac:dyDescent="0.2">
      <c r="A115" t="s">
        <v>112</v>
      </c>
    </row>
    <row r="116" spans="1:1" x14ac:dyDescent="0.2">
      <c r="A116" t="s">
        <v>121</v>
      </c>
    </row>
    <row r="136" spans="1:2" ht="18" x14ac:dyDescent="0.2">
      <c r="A136" s="4" t="s">
        <v>120</v>
      </c>
    </row>
    <row r="137" spans="1:2" x14ac:dyDescent="0.2">
      <c r="A137">
        <v>1</v>
      </c>
      <c r="B137" t="s">
        <v>113</v>
      </c>
    </row>
    <row r="138" spans="1:2" x14ac:dyDescent="0.2">
      <c r="B138" t="s">
        <v>114</v>
      </c>
    </row>
    <row r="139" spans="1:2" x14ac:dyDescent="0.2">
      <c r="B139" t="s">
        <v>115</v>
      </c>
    </row>
    <row r="140" spans="1:2" x14ac:dyDescent="0.2">
      <c r="B140" t="s">
        <v>116</v>
      </c>
    </row>
    <row r="141" spans="1:2" x14ac:dyDescent="0.2">
      <c r="B141" t="s">
        <v>117</v>
      </c>
    </row>
    <row r="142" spans="1:2" x14ac:dyDescent="0.2">
      <c r="B142" t="s">
        <v>118</v>
      </c>
    </row>
    <row r="143" spans="1:2" x14ac:dyDescent="0.2">
      <c r="B143" t="s">
        <v>119</v>
      </c>
    </row>
  </sheetData>
  <mergeCells count="10">
    <mergeCell ref="A89:B89"/>
    <mergeCell ref="A88:B88"/>
    <mergeCell ref="C90:J90"/>
    <mergeCell ref="A90:B90"/>
    <mergeCell ref="E45:F45"/>
    <mergeCell ref="Q52:R52"/>
    <mergeCell ref="T52:U52"/>
    <mergeCell ref="N52:O52"/>
    <mergeCell ref="C88:J88"/>
    <mergeCell ref="C89:J8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6E5D7-1F38-E64A-B350-0EAA4A67822C}">
  <dimension ref="A1:L31"/>
  <sheetViews>
    <sheetView showGridLines="0" topLeftCell="F1" zoomScale="156" workbookViewId="0">
      <selection activeCell="L4" sqref="L4"/>
    </sheetView>
  </sheetViews>
  <sheetFormatPr baseColWidth="10" defaultRowHeight="16" x14ac:dyDescent="0.2"/>
  <cols>
    <col min="1" max="1" width="18" style="26" bestFit="1" customWidth="1"/>
    <col min="2" max="2" width="19" style="26" customWidth="1"/>
    <col min="3" max="3" width="11.1640625" style="26" customWidth="1"/>
    <col min="4" max="4" width="11" style="26" bestFit="1" customWidth="1"/>
    <col min="5" max="5" width="12.83203125" style="26" bestFit="1" customWidth="1"/>
    <col min="6" max="6" width="11" style="26" bestFit="1" customWidth="1"/>
    <col min="7" max="7" width="13" style="26" bestFit="1" customWidth="1"/>
    <col min="8" max="8" width="12.6640625" style="26" bestFit="1" customWidth="1"/>
    <col min="9" max="9" width="11" style="26" bestFit="1" customWidth="1"/>
    <col min="10" max="10" width="9" style="26" bestFit="1" customWidth="1"/>
    <col min="11" max="16384" width="10.83203125" style="26"/>
  </cols>
  <sheetData>
    <row r="1" spans="1:12" x14ac:dyDescent="0.2">
      <c r="E1" s="145" t="s">
        <v>31</v>
      </c>
      <c r="F1" s="145"/>
    </row>
    <row r="2" spans="1:12" ht="18" x14ac:dyDescent="0.2">
      <c r="A2" s="52" t="s">
        <v>122</v>
      </c>
      <c r="C2" s="25" t="s">
        <v>74</v>
      </c>
      <c r="D2" s="25" t="s">
        <v>42</v>
      </c>
      <c r="E2" s="25" t="s">
        <v>81</v>
      </c>
      <c r="F2" s="25" t="s">
        <v>82</v>
      </c>
      <c r="G2" s="25" t="s">
        <v>45</v>
      </c>
      <c r="H2" s="25" t="s">
        <v>46</v>
      </c>
      <c r="I2" s="25" t="s">
        <v>47</v>
      </c>
      <c r="J2" s="27" t="s">
        <v>48</v>
      </c>
      <c r="L2" s="25" t="s">
        <v>123</v>
      </c>
    </row>
    <row r="3" spans="1:12" x14ac:dyDescent="0.2">
      <c r="A3" s="26" t="s">
        <v>51</v>
      </c>
      <c r="B3" s="53">
        <v>40543</v>
      </c>
      <c r="I3" s="26">
        <f>+B8</f>
        <v>100</v>
      </c>
      <c r="J3" s="54"/>
    </row>
    <row r="4" spans="1:12" x14ac:dyDescent="0.2">
      <c r="A4" s="26" t="s">
        <v>27</v>
      </c>
      <c r="B4" s="53">
        <v>40543</v>
      </c>
      <c r="C4" s="55">
        <f>+(DAYS360($B$3, D4)/(360/$B$6))</f>
        <v>1</v>
      </c>
      <c r="D4" s="53">
        <v>40908</v>
      </c>
      <c r="E4" s="26">
        <f>+I3*$B$7/$B$6</f>
        <v>10</v>
      </c>
      <c r="F4" s="26">
        <f>+($B$7/$B$6*I3)*(1-$B$11)</f>
        <v>10</v>
      </c>
      <c r="G4" s="26">
        <f>+E4*$B$11</f>
        <v>0</v>
      </c>
      <c r="H4" s="26">
        <v>0</v>
      </c>
      <c r="I4" s="26">
        <f>+I3-H4+G4</f>
        <v>100</v>
      </c>
      <c r="J4" s="56">
        <f>+H4+F4</f>
        <v>10</v>
      </c>
      <c r="L4" s="26">
        <f>+J4/(1+$B$10)^C4</f>
        <v>9.0090090090090076</v>
      </c>
    </row>
    <row r="5" spans="1:12" x14ac:dyDescent="0.2">
      <c r="A5" s="26" t="s">
        <v>38</v>
      </c>
      <c r="B5" s="53">
        <v>42369</v>
      </c>
      <c r="C5" s="55">
        <f t="shared" ref="C5:C8" si="0">+(DAYS360($B$3, D5)/(360/$B$6))</f>
        <v>2</v>
      </c>
      <c r="D5" s="53">
        <v>41274</v>
      </c>
      <c r="E5" s="26">
        <f>+I4*$B$7/$B$6</f>
        <v>10</v>
      </c>
      <c r="F5" s="26">
        <f>+($B$7/$B$6*I4)*(1-$B$11)</f>
        <v>10</v>
      </c>
      <c r="G5" s="26">
        <f t="shared" ref="G5:G6" si="1">+E5*$B$11</f>
        <v>0</v>
      </c>
      <c r="H5" s="26">
        <v>0</v>
      </c>
      <c r="I5" s="26">
        <f>+I4-H5+G5</f>
        <v>100</v>
      </c>
      <c r="J5" s="56">
        <f>+H5+F5</f>
        <v>10</v>
      </c>
      <c r="L5" s="26">
        <f>+J5/(1+$B$10)^C5</f>
        <v>8.116224332440547</v>
      </c>
    </row>
    <row r="6" spans="1:12" x14ac:dyDescent="0.2">
      <c r="A6" s="26" t="s">
        <v>39</v>
      </c>
      <c r="B6" s="26">
        <v>1</v>
      </c>
      <c r="C6" s="55">
        <f t="shared" si="0"/>
        <v>3</v>
      </c>
      <c r="D6" s="53">
        <v>41639</v>
      </c>
      <c r="E6" s="26">
        <f>+I5*$B$7/$B$6</f>
        <v>10</v>
      </c>
      <c r="F6" s="26">
        <f>+($B$7/$B$6*I5)*(1-$B$11)</f>
        <v>10</v>
      </c>
      <c r="G6" s="26">
        <f t="shared" si="1"/>
        <v>0</v>
      </c>
      <c r="H6" s="26">
        <v>0</v>
      </c>
      <c r="I6" s="26">
        <f>+I5-H6+G6</f>
        <v>100</v>
      </c>
      <c r="J6" s="56">
        <f>+H6+F6</f>
        <v>10</v>
      </c>
      <c r="L6" s="26">
        <f t="shared" ref="L6:L8" si="2">+J6/(1+$B$10)^C6</f>
        <v>7.3119138130095021</v>
      </c>
    </row>
    <row r="7" spans="1:12" x14ac:dyDescent="0.2">
      <c r="A7" s="26" t="s">
        <v>41</v>
      </c>
      <c r="B7" s="57">
        <v>0.1</v>
      </c>
      <c r="C7" s="55">
        <f t="shared" si="0"/>
        <v>4</v>
      </c>
      <c r="D7" s="53">
        <v>42004</v>
      </c>
      <c r="E7" s="26">
        <f>+I6*$B$7/$B$6</f>
        <v>10</v>
      </c>
      <c r="F7" s="26">
        <f>+($B$7/$B$6*I6)*(1-$B$11)</f>
        <v>10</v>
      </c>
      <c r="G7" s="26">
        <f>+E7*$B$11</f>
        <v>0</v>
      </c>
      <c r="H7" s="26">
        <v>0</v>
      </c>
      <c r="I7" s="26">
        <f>+I6-H7+G7</f>
        <v>100</v>
      </c>
      <c r="J7" s="56">
        <f t="shared" ref="J7:J8" si="3">+H7+F7</f>
        <v>10</v>
      </c>
      <c r="L7" s="26">
        <f t="shared" si="2"/>
        <v>6.5873097414500013</v>
      </c>
    </row>
    <row r="8" spans="1:12" x14ac:dyDescent="0.2">
      <c r="A8" s="26" t="s">
        <v>43</v>
      </c>
      <c r="B8" s="26">
        <v>100</v>
      </c>
      <c r="C8" s="55">
        <f t="shared" si="0"/>
        <v>5</v>
      </c>
      <c r="D8" s="53">
        <v>42369</v>
      </c>
      <c r="E8" s="26">
        <f t="shared" ref="E8" si="4">+I7*$B$7/$B$6</f>
        <v>10</v>
      </c>
      <c r="F8" s="26">
        <f t="shared" ref="F8" si="5">+($B$7/$B$6*I7)*(1-$B$11)</f>
        <v>10</v>
      </c>
      <c r="G8" s="26">
        <f t="shared" ref="G8" si="6">+E8*$B$11</f>
        <v>0</v>
      </c>
      <c r="H8" s="26">
        <v>100</v>
      </c>
      <c r="I8" s="26">
        <f>+I7-H8+G8</f>
        <v>0</v>
      </c>
      <c r="J8" s="56">
        <f t="shared" si="3"/>
        <v>110</v>
      </c>
      <c r="L8" s="26">
        <f t="shared" si="2"/>
        <v>65.279646086441446</v>
      </c>
    </row>
    <row r="9" spans="1:12" x14ac:dyDescent="0.2">
      <c r="A9" s="26" t="s">
        <v>80</v>
      </c>
      <c r="B9" s="26" t="s">
        <v>99</v>
      </c>
    </row>
    <row r="10" spans="1:12" x14ac:dyDescent="0.2">
      <c r="A10" s="58" t="s">
        <v>0</v>
      </c>
      <c r="B10" s="59">
        <v>0.11</v>
      </c>
    </row>
    <row r="11" spans="1:12" x14ac:dyDescent="0.2">
      <c r="A11" s="26" t="s">
        <v>44</v>
      </c>
      <c r="B11" s="26">
        <v>0</v>
      </c>
    </row>
    <row r="12" spans="1:12" x14ac:dyDescent="0.2">
      <c r="A12" s="26" t="s">
        <v>98</v>
      </c>
      <c r="B12" s="62" t="s">
        <v>5</v>
      </c>
      <c r="F12" s="145" t="s">
        <v>89</v>
      </c>
      <c r="G12" s="145"/>
      <c r="I12" s="145" t="s">
        <v>124</v>
      </c>
      <c r="J12" s="145"/>
    </row>
    <row r="13" spans="1:12" x14ac:dyDescent="0.2">
      <c r="F13" s="26" t="s">
        <v>125</v>
      </c>
      <c r="G13" s="26" t="s">
        <v>49</v>
      </c>
      <c r="I13" s="26" t="s">
        <v>125</v>
      </c>
      <c r="J13" s="26" t="s">
        <v>49</v>
      </c>
    </row>
    <row r="14" spans="1:12" x14ac:dyDescent="0.2">
      <c r="F14" s="60">
        <f>+B10</f>
        <v>0.11</v>
      </c>
      <c r="G14" s="61">
        <f>+NPV(F14, $J$4:$J$8)</f>
        <v>96.3041029823505</v>
      </c>
      <c r="I14" s="60">
        <f>+B10</f>
        <v>0.11</v>
      </c>
      <c r="J14" s="61">
        <f>+NPV(B10, J4:J8)</f>
        <v>96.3041029823505</v>
      </c>
    </row>
    <row r="15" spans="1:12" x14ac:dyDescent="0.2">
      <c r="A15" s="63" t="s">
        <v>50</v>
      </c>
      <c r="F15" s="60">
        <v>0</v>
      </c>
      <c r="G15" s="61">
        <f t="shared" ref="G15:G23" si="7">+NPV(F15, $J$4:$J$8)</f>
        <v>150</v>
      </c>
      <c r="I15" s="60">
        <v>0</v>
      </c>
      <c r="J15" s="61">
        <f t="dataTable" ref="J15:J20" dt2D="0" dtr="0" r1="B10"/>
        <v>150</v>
      </c>
    </row>
    <row r="16" spans="1:12" x14ac:dyDescent="0.2">
      <c r="A16" s="64">
        <f>+E10/180*DAYS360(D4, $B$3)</f>
        <v>0</v>
      </c>
      <c r="F16" s="60">
        <f>+F15+0.05</f>
        <v>0.05</v>
      </c>
      <c r="G16" s="61">
        <f t="shared" si="7"/>
        <v>121.64738335315408</v>
      </c>
      <c r="I16" s="60">
        <f>+I15+0.05</f>
        <v>0.05</v>
      </c>
      <c r="J16" s="61">
        <v>121.64738335315408</v>
      </c>
    </row>
    <row r="17" spans="1:10" x14ac:dyDescent="0.2">
      <c r="A17" s="65" t="s">
        <v>83</v>
      </c>
      <c r="F17" s="60">
        <f>+F16+0.05</f>
        <v>0.1</v>
      </c>
      <c r="G17" s="61">
        <f t="shared" si="7"/>
        <v>99.999999999999957</v>
      </c>
      <c r="I17" s="60">
        <f t="shared" ref="I17:I19" si="8">+I16+0.05</f>
        <v>0.1</v>
      </c>
      <c r="J17" s="61">
        <v>99.999999999999957</v>
      </c>
    </row>
    <row r="18" spans="1:10" x14ac:dyDescent="0.2">
      <c r="A18" s="64">
        <f>+SUM(L4:L9)</f>
        <v>96.3041029823505</v>
      </c>
      <c r="F18" s="60">
        <f>+F17+0.05</f>
        <v>0.15000000000000002</v>
      </c>
      <c r="G18" s="61">
        <f t="shared" si="7"/>
        <v>83.239224509943028</v>
      </c>
      <c r="I18" s="60">
        <f t="shared" si="8"/>
        <v>0.15000000000000002</v>
      </c>
      <c r="J18" s="61">
        <v>83.239224509943028</v>
      </c>
    </row>
    <row r="19" spans="1:10" x14ac:dyDescent="0.2">
      <c r="A19" s="63" t="s">
        <v>84</v>
      </c>
      <c r="F19" s="60">
        <f>+F18+0.05</f>
        <v>0.2</v>
      </c>
      <c r="G19" s="61">
        <f t="shared" si="7"/>
        <v>70.093878600823047</v>
      </c>
      <c r="I19" s="60">
        <f t="shared" si="8"/>
        <v>0.2</v>
      </c>
      <c r="J19" s="61">
        <v>70.093878600823047</v>
      </c>
    </row>
    <row r="20" spans="1:10" x14ac:dyDescent="0.2">
      <c r="A20" s="64">
        <f>+A18+A16</f>
        <v>96.3041029823505</v>
      </c>
      <c r="F20" s="60">
        <v>0.11</v>
      </c>
      <c r="G20" s="61">
        <f t="shared" si="7"/>
        <v>96.3041029823505</v>
      </c>
      <c r="I20" s="60">
        <v>2.5000000000000001E-2</v>
      </c>
      <c r="J20" s="61">
        <v>134.84371371714496</v>
      </c>
    </row>
    <row r="21" spans="1:10" x14ac:dyDescent="0.2">
      <c r="F21" s="60">
        <v>0.1</v>
      </c>
      <c r="G21" s="61">
        <f t="shared" si="7"/>
        <v>99.999999999999957</v>
      </c>
    </row>
    <row r="22" spans="1:10" x14ac:dyDescent="0.2">
      <c r="F22" s="60">
        <v>0.11</v>
      </c>
      <c r="G22" s="61">
        <f t="shared" si="7"/>
        <v>96.3041029823505</v>
      </c>
    </row>
    <row r="23" spans="1:10" x14ac:dyDescent="0.2">
      <c r="F23" s="60">
        <v>0.09</v>
      </c>
      <c r="G23" s="61">
        <f t="shared" si="7"/>
        <v>103.88965126335169</v>
      </c>
    </row>
    <row r="25" spans="1:10" x14ac:dyDescent="0.2">
      <c r="A25" s="66" t="s">
        <v>108</v>
      </c>
    </row>
    <row r="26" spans="1:10" x14ac:dyDescent="0.2">
      <c r="A26" s="66" t="s">
        <v>107</v>
      </c>
    </row>
    <row r="27" spans="1:10" x14ac:dyDescent="0.2">
      <c r="A27" s="66" t="s">
        <v>75</v>
      </c>
    </row>
    <row r="28" spans="1:10" x14ac:dyDescent="0.2">
      <c r="A28" s="66" t="s">
        <v>72</v>
      </c>
    </row>
    <row r="29" spans="1:10" ht="34" x14ac:dyDescent="0.2">
      <c r="A29" s="67" t="s">
        <v>101</v>
      </c>
    </row>
    <row r="30" spans="1:10" ht="51" x14ac:dyDescent="0.2">
      <c r="A30" s="67" t="s">
        <v>96</v>
      </c>
    </row>
    <row r="31" spans="1:10" ht="34" x14ac:dyDescent="0.2">
      <c r="A31" s="68" t="s">
        <v>97</v>
      </c>
    </row>
  </sheetData>
  <mergeCells count="3">
    <mergeCell ref="E1:F1"/>
    <mergeCell ref="I12:J12"/>
    <mergeCell ref="F12:G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993A-DD5A-9142-BECA-3B4516A4E64F}">
  <dimension ref="A1:U28"/>
  <sheetViews>
    <sheetView showGridLines="0" zoomScale="147" zoomScaleNormal="100" workbookViewId="0">
      <selection activeCell="H22" sqref="H22"/>
    </sheetView>
  </sheetViews>
  <sheetFormatPr baseColWidth="10" defaultRowHeight="16" x14ac:dyDescent="0.2"/>
  <cols>
    <col min="1" max="1" width="13.1640625" bestFit="1" customWidth="1"/>
    <col min="2" max="2" width="16.83203125" bestFit="1" customWidth="1"/>
    <col min="3" max="3" width="7.6640625" bestFit="1" customWidth="1"/>
    <col min="4" max="4" width="13.33203125" customWidth="1"/>
    <col min="5" max="5" width="12.83203125" bestFit="1" customWidth="1"/>
    <col min="6" max="6" width="11" bestFit="1" customWidth="1"/>
    <col min="7" max="7" width="13" bestFit="1" customWidth="1"/>
    <col min="8" max="8" width="12.6640625" bestFit="1" customWidth="1"/>
    <col min="9" max="9" width="9.33203125" bestFit="1" customWidth="1"/>
    <col min="10" max="10" width="9.83203125" customWidth="1"/>
    <col min="11" max="12" width="10.83203125" customWidth="1"/>
    <col min="13" max="13" width="10.83203125" bestFit="1" customWidth="1"/>
    <col min="15" max="15" width="14.1640625" customWidth="1"/>
    <col min="16" max="16" width="9.6640625" customWidth="1"/>
    <col min="17" max="17" width="22.5" customWidth="1"/>
  </cols>
  <sheetData>
    <row r="1" spans="1:21" x14ac:dyDescent="0.2">
      <c r="E1" s="148" t="s">
        <v>31</v>
      </c>
      <c r="F1" s="148"/>
    </row>
    <row r="2" spans="1:21" ht="18" x14ac:dyDescent="0.2">
      <c r="A2" s="4" t="s">
        <v>37</v>
      </c>
      <c r="C2" s="25" t="s">
        <v>74</v>
      </c>
      <c r="D2" s="25" t="s">
        <v>42</v>
      </c>
      <c r="E2" s="25" t="s">
        <v>81</v>
      </c>
      <c r="F2" s="25" t="s">
        <v>82</v>
      </c>
      <c r="G2" s="25" t="s">
        <v>45</v>
      </c>
      <c r="H2" s="25" t="s">
        <v>46</v>
      </c>
      <c r="I2" s="25" t="s">
        <v>47</v>
      </c>
      <c r="J2" s="27" t="s">
        <v>48</v>
      </c>
    </row>
    <row r="3" spans="1:21" x14ac:dyDescent="0.2">
      <c r="A3" t="s">
        <v>51</v>
      </c>
      <c r="B3" s="5">
        <v>45087</v>
      </c>
      <c r="I3">
        <f>+B8</f>
        <v>100</v>
      </c>
      <c r="J3" s="23"/>
    </row>
    <row r="4" spans="1:21" x14ac:dyDescent="0.2">
      <c r="A4" t="s">
        <v>27</v>
      </c>
      <c r="B4" s="5">
        <v>44009</v>
      </c>
      <c r="C4" s="8">
        <f>+(DAYS360($B$3, D4)/180)</f>
        <v>-5.9055555555555559</v>
      </c>
      <c r="D4" s="5">
        <v>44009</v>
      </c>
      <c r="E4">
        <f>+I3*$B$7/$B$6</f>
        <v>5</v>
      </c>
      <c r="F4">
        <f>+($B$7/$B$6*I3)*(1-$B$11)</f>
        <v>5</v>
      </c>
      <c r="G4">
        <f>+E4*$B$11</f>
        <v>0</v>
      </c>
      <c r="H4">
        <v>0</v>
      </c>
      <c r="I4">
        <f>+I3-H4+G4</f>
        <v>100</v>
      </c>
      <c r="J4" s="21">
        <f t="shared" ref="J4:J20" si="0">+H4+F4</f>
        <v>5</v>
      </c>
    </row>
    <row r="5" spans="1:21" x14ac:dyDescent="0.2">
      <c r="A5" t="s">
        <v>38</v>
      </c>
      <c r="B5" s="5">
        <v>46931</v>
      </c>
      <c r="C5" s="8">
        <f t="shared" ref="C5:C9" si="1">+(DAYS360($B$3, D5)/180)</f>
        <v>-4.9055555555555559</v>
      </c>
      <c r="D5" s="5">
        <v>44192</v>
      </c>
      <c r="E5">
        <f t="shared" ref="E5:E20" si="2">+I4*$B$7/$B$6</f>
        <v>5</v>
      </c>
      <c r="F5">
        <f t="shared" ref="F5:F20" si="3">+($B$7/$B$6*I4)*(1-$B$11)</f>
        <v>5</v>
      </c>
      <c r="G5">
        <f t="shared" ref="G5:G20" si="4">+E5*$B$11</f>
        <v>0</v>
      </c>
      <c r="H5">
        <v>0</v>
      </c>
      <c r="I5">
        <f>+I4-H5+G5</f>
        <v>100</v>
      </c>
      <c r="J5" s="21">
        <f t="shared" si="0"/>
        <v>5</v>
      </c>
    </row>
    <row r="6" spans="1:21" x14ac:dyDescent="0.2">
      <c r="A6" t="s">
        <v>39</v>
      </c>
      <c r="B6">
        <v>2</v>
      </c>
      <c r="C6" s="8">
        <f t="shared" si="1"/>
        <v>-3.9055555555555554</v>
      </c>
      <c r="D6" s="5">
        <v>44374</v>
      </c>
      <c r="E6">
        <f t="shared" si="2"/>
        <v>5</v>
      </c>
      <c r="F6">
        <f t="shared" si="3"/>
        <v>5</v>
      </c>
      <c r="G6">
        <f t="shared" si="4"/>
        <v>0</v>
      </c>
      <c r="H6">
        <v>0</v>
      </c>
      <c r="I6">
        <f t="shared" ref="I6:I20" si="5">+I5-H6+G6</f>
        <v>100</v>
      </c>
      <c r="J6" s="21">
        <f t="shared" si="0"/>
        <v>5</v>
      </c>
    </row>
    <row r="7" spans="1:21" x14ac:dyDescent="0.2">
      <c r="A7" t="s">
        <v>41</v>
      </c>
      <c r="B7">
        <v>0.1</v>
      </c>
      <c r="C7" s="8">
        <f t="shared" si="1"/>
        <v>-2.9055555555555554</v>
      </c>
      <c r="D7" s="5">
        <v>44557</v>
      </c>
      <c r="E7">
        <f t="shared" si="2"/>
        <v>5</v>
      </c>
      <c r="F7">
        <f t="shared" si="3"/>
        <v>5</v>
      </c>
      <c r="G7">
        <f t="shared" si="4"/>
        <v>0</v>
      </c>
      <c r="H7">
        <v>0</v>
      </c>
      <c r="I7">
        <f t="shared" si="5"/>
        <v>100</v>
      </c>
      <c r="J7" s="21">
        <f t="shared" si="0"/>
        <v>5</v>
      </c>
      <c r="M7" s="7"/>
    </row>
    <row r="8" spans="1:21" x14ac:dyDescent="0.2">
      <c r="A8" t="s">
        <v>43</v>
      </c>
      <c r="B8">
        <v>100</v>
      </c>
      <c r="C8" s="8">
        <f t="shared" si="1"/>
        <v>-1.9055555555555554</v>
      </c>
      <c r="D8" s="5">
        <v>44739</v>
      </c>
      <c r="E8">
        <f t="shared" si="2"/>
        <v>5</v>
      </c>
      <c r="F8">
        <f t="shared" si="3"/>
        <v>5</v>
      </c>
      <c r="G8">
        <f t="shared" si="4"/>
        <v>0</v>
      </c>
      <c r="H8">
        <v>0</v>
      </c>
      <c r="I8">
        <f t="shared" si="5"/>
        <v>100</v>
      </c>
      <c r="J8" s="21">
        <f t="shared" si="0"/>
        <v>5</v>
      </c>
      <c r="K8" s="145" t="s">
        <v>100</v>
      </c>
      <c r="L8" s="145"/>
      <c r="M8" s="7"/>
      <c r="N8" s="145" t="s">
        <v>78</v>
      </c>
      <c r="O8" s="145"/>
      <c r="Q8" s="145" t="s">
        <v>95</v>
      </c>
      <c r="R8" s="145"/>
      <c r="T8" s="145" t="s">
        <v>86</v>
      </c>
      <c r="U8" s="145"/>
    </row>
    <row r="9" spans="1:21" x14ac:dyDescent="0.2">
      <c r="A9" t="s">
        <v>80</v>
      </c>
      <c r="B9" t="s">
        <v>99</v>
      </c>
      <c r="C9" s="8">
        <f t="shared" si="1"/>
        <v>-0.90555555555555556</v>
      </c>
      <c r="D9" s="5">
        <v>44922</v>
      </c>
      <c r="E9">
        <f t="shared" si="2"/>
        <v>5</v>
      </c>
      <c r="F9">
        <f t="shared" si="3"/>
        <v>5</v>
      </c>
      <c r="G9">
        <f t="shared" si="4"/>
        <v>0</v>
      </c>
      <c r="H9">
        <v>0</v>
      </c>
      <c r="I9">
        <f t="shared" si="5"/>
        <v>100</v>
      </c>
      <c r="J9" s="21">
        <f t="shared" si="0"/>
        <v>5</v>
      </c>
      <c r="K9" s="43">
        <f>+B3</f>
        <v>45087</v>
      </c>
      <c r="L9" s="44">
        <v>-112.69268787165777</v>
      </c>
      <c r="N9" s="43">
        <f>+B3</f>
        <v>45087</v>
      </c>
      <c r="O9" s="45">
        <f>-A18</f>
        <v>-112.69268787165777</v>
      </c>
      <c r="Q9" s="46">
        <f>+B3</f>
        <v>45087</v>
      </c>
      <c r="R9" s="45">
        <f>-A18</f>
        <v>-112.69268787165777</v>
      </c>
      <c r="T9" s="43">
        <f>+Q9</f>
        <v>45087</v>
      </c>
      <c r="U9" s="44">
        <v>-113.32250183207353</v>
      </c>
    </row>
    <row r="10" spans="1:21" x14ac:dyDescent="0.2">
      <c r="A10" s="30" t="s">
        <v>0</v>
      </c>
      <c r="B10" s="31">
        <v>0.08</v>
      </c>
      <c r="C10" s="32">
        <f>+_xlfn.DAYS(D10, $B$3)/180</f>
        <v>9.4444444444444442E-2</v>
      </c>
      <c r="D10" s="33">
        <v>45104</v>
      </c>
      <c r="E10" s="30">
        <f t="shared" si="2"/>
        <v>5</v>
      </c>
      <c r="F10" s="30">
        <f t="shared" si="3"/>
        <v>5</v>
      </c>
      <c r="G10" s="30">
        <f t="shared" si="4"/>
        <v>0</v>
      </c>
      <c r="H10" s="30">
        <v>0</v>
      </c>
      <c r="I10" s="30">
        <f t="shared" si="5"/>
        <v>100</v>
      </c>
      <c r="J10" s="30">
        <f t="shared" si="0"/>
        <v>5</v>
      </c>
      <c r="K10" s="5">
        <f>+D10</f>
        <v>45104</v>
      </c>
      <c r="L10" s="7">
        <f t="shared" ref="L10:L20" si="6">+J10</f>
        <v>5</v>
      </c>
      <c r="N10" s="5">
        <f>+D10</f>
        <v>45104</v>
      </c>
      <c r="O10">
        <f t="shared" ref="O10:O20" si="7">+J10/((1+($B$10/$B$6))^C10)</f>
        <v>4.9815133677080494</v>
      </c>
      <c r="Q10" s="36">
        <f>+D10</f>
        <v>45104</v>
      </c>
      <c r="R10" s="9">
        <f>+J10*(1+$B$10/$B$6)^($C$20-C10)</f>
        <v>7.4012214245917232</v>
      </c>
      <c r="T10" s="43">
        <f t="shared" ref="T10:T20" si="8">+Q10</f>
        <v>45104</v>
      </c>
      <c r="U10" s="7">
        <f>+L10</f>
        <v>5</v>
      </c>
    </row>
    <row r="11" spans="1:21" x14ac:dyDescent="0.2">
      <c r="A11" t="s">
        <v>44</v>
      </c>
      <c r="B11">
        <v>0</v>
      </c>
      <c r="C11" s="8">
        <f>+(DAYS360($B$3, D11)/180)</f>
        <v>1.0944444444444446</v>
      </c>
      <c r="D11" s="5">
        <v>45287</v>
      </c>
      <c r="E11">
        <f t="shared" si="2"/>
        <v>5</v>
      </c>
      <c r="F11">
        <f t="shared" si="3"/>
        <v>5</v>
      </c>
      <c r="G11">
        <f t="shared" si="4"/>
        <v>0</v>
      </c>
      <c r="H11">
        <v>0</v>
      </c>
      <c r="I11">
        <f t="shared" si="5"/>
        <v>100</v>
      </c>
      <c r="J11" s="21">
        <f t="shared" si="0"/>
        <v>5</v>
      </c>
      <c r="K11" s="5">
        <f t="shared" ref="K11:K20" si="9">+D11</f>
        <v>45287</v>
      </c>
      <c r="L11" s="7">
        <f t="shared" si="6"/>
        <v>5</v>
      </c>
      <c r="N11" s="5">
        <f t="shared" ref="N11:N20" si="10">+D11</f>
        <v>45287</v>
      </c>
      <c r="O11">
        <f t="shared" si="7"/>
        <v>4.789916699719277</v>
      </c>
      <c r="Q11" s="36">
        <f t="shared" ref="Q11:Q20" si="11">+D11</f>
        <v>45287</v>
      </c>
      <c r="R11" s="9">
        <f t="shared" ref="R11:R20" si="12">+J11*(1+$B$10/$B$6)^($C$20-C11)</f>
        <v>7.1165590621074255</v>
      </c>
      <c r="T11" s="43">
        <f t="shared" si="8"/>
        <v>45287</v>
      </c>
      <c r="U11" s="7">
        <f t="shared" ref="U11:U20" si="13">+L11</f>
        <v>5</v>
      </c>
    </row>
    <row r="12" spans="1:21" x14ac:dyDescent="0.2">
      <c r="A12" t="s">
        <v>98</v>
      </c>
      <c r="B12" s="18" t="s">
        <v>5</v>
      </c>
      <c r="C12" s="8">
        <f t="shared" ref="C12:C20" si="14">+(DAYS360($B$3, D12)/180)</f>
        <v>2.0944444444444446</v>
      </c>
      <c r="D12" s="5">
        <v>45470</v>
      </c>
      <c r="E12">
        <f t="shared" si="2"/>
        <v>5</v>
      </c>
      <c r="F12">
        <f t="shared" si="3"/>
        <v>5</v>
      </c>
      <c r="G12">
        <f t="shared" si="4"/>
        <v>0</v>
      </c>
      <c r="H12">
        <v>0</v>
      </c>
      <c r="I12">
        <f t="shared" si="5"/>
        <v>100</v>
      </c>
      <c r="J12" s="21">
        <f t="shared" si="0"/>
        <v>5</v>
      </c>
      <c r="K12" s="5">
        <f t="shared" si="9"/>
        <v>45470</v>
      </c>
      <c r="L12" s="7">
        <f t="shared" si="6"/>
        <v>5</v>
      </c>
      <c r="N12" s="5">
        <f t="shared" si="10"/>
        <v>45470</v>
      </c>
      <c r="O12">
        <f t="shared" si="7"/>
        <v>4.6056891343454582</v>
      </c>
      <c r="Q12" s="36">
        <f t="shared" si="11"/>
        <v>45470</v>
      </c>
      <c r="R12" s="9">
        <f t="shared" si="12"/>
        <v>6.8428452520263701</v>
      </c>
      <c r="T12" s="43">
        <f t="shared" si="8"/>
        <v>45470</v>
      </c>
      <c r="U12" s="7">
        <f t="shared" si="13"/>
        <v>5</v>
      </c>
    </row>
    <row r="13" spans="1:21" x14ac:dyDescent="0.2">
      <c r="C13" s="8">
        <f t="shared" si="14"/>
        <v>3.0944444444444446</v>
      </c>
      <c r="D13" s="5">
        <v>45653</v>
      </c>
      <c r="E13">
        <f t="shared" si="2"/>
        <v>5</v>
      </c>
      <c r="F13">
        <f t="shared" si="3"/>
        <v>5</v>
      </c>
      <c r="G13">
        <f t="shared" si="4"/>
        <v>0</v>
      </c>
      <c r="H13">
        <v>0</v>
      </c>
      <c r="I13">
        <f t="shared" si="5"/>
        <v>100</v>
      </c>
      <c r="J13" s="21">
        <f t="shared" si="0"/>
        <v>5</v>
      </c>
      <c r="K13" s="5">
        <f t="shared" si="9"/>
        <v>45653</v>
      </c>
      <c r="L13" s="7">
        <f t="shared" si="6"/>
        <v>5</v>
      </c>
      <c r="N13" s="5">
        <f t="shared" si="10"/>
        <v>45653</v>
      </c>
      <c r="O13">
        <f t="shared" si="7"/>
        <v>4.4285472445629415</v>
      </c>
      <c r="Q13" s="36">
        <f t="shared" si="11"/>
        <v>45653</v>
      </c>
      <c r="R13" s="9">
        <f t="shared" si="12"/>
        <v>6.5796588961792013</v>
      </c>
      <c r="T13" s="43">
        <f t="shared" si="8"/>
        <v>45653</v>
      </c>
      <c r="U13" s="7">
        <f t="shared" si="13"/>
        <v>5</v>
      </c>
    </row>
    <row r="14" spans="1:21" x14ac:dyDescent="0.2">
      <c r="C14" s="8">
        <f t="shared" si="14"/>
        <v>4.0944444444444441</v>
      </c>
      <c r="D14" s="5">
        <v>45835</v>
      </c>
      <c r="E14">
        <f>+I13*$B$7/$B$6</f>
        <v>5</v>
      </c>
      <c r="F14">
        <f>+($B$7/$B$6*I13)*(1-$B$11)</f>
        <v>5</v>
      </c>
      <c r="G14">
        <f t="shared" si="4"/>
        <v>0</v>
      </c>
      <c r="H14">
        <v>0</v>
      </c>
      <c r="I14">
        <f>+I13-H14+G14</f>
        <v>100</v>
      </c>
      <c r="J14" s="21">
        <f t="shared" si="0"/>
        <v>5</v>
      </c>
      <c r="K14" s="5">
        <f t="shared" si="9"/>
        <v>45835</v>
      </c>
      <c r="L14" s="7">
        <f t="shared" si="6"/>
        <v>5</v>
      </c>
      <c r="N14" s="5">
        <f t="shared" si="10"/>
        <v>45835</v>
      </c>
      <c r="O14">
        <f t="shared" si="7"/>
        <v>4.2582185043874432</v>
      </c>
      <c r="Q14" s="36">
        <f t="shared" si="11"/>
        <v>45835</v>
      </c>
      <c r="R14" s="9">
        <f t="shared" si="12"/>
        <v>6.3265950924800016</v>
      </c>
      <c r="T14" s="43">
        <f t="shared" si="8"/>
        <v>45835</v>
      </c>
      <c r="U14" s="7">
        <f t="shared" si="13"/>
        <v>5</v>
      </c>
    </row>
    <row r="15" spans="1:21" x14ac:dyDescent="0.2">
      <c r="A15" s="28" t="s">
        <v>50</v>
      </c>
      <c r="C15" s="8">
        <f t="shared" si="14"/>
        <v>5.0944444444444441</v>
      </c>
      <c r="D15" s="5">
        <v>46018</v>
      </c>
      <c r="E15">
        <f t="shared" si="2"/>
        <v>5</v>
      </c>
      <c r="F15">
        <f t="shared" si="3"/>
        <v>5</v>
      </c>
      <c r="G15">
        <f t="shared" si="4"/>
        <v>0</v>
      </c>
      <c r="H15">
        <v>0</v>
      </c>
      <c r="I15">
        <f t="shared" si="5"/>
        <v>100</v>
      </c>
      <c r="J15" s="21">
        <f t="shared" si="0"/>
        <v>5</v>
      </c>
      <c r="K15" s="5">
        <f t="shared" si="9"/>
        <v>46018</v>
      </c>
      <c r="L15" s="7">
        <f t="shared" si="6"/>
        <v>5</v>
      </c>
      <c r="N15" s="5">
        <f t="shared" si="10"/>
        <v>46018</v>
      </c>
      <c r="O15">
        <f t="shared" si="7"/>
        <v>4.0944408696033108</v>
      </c>
      <c r="Q15" s="36">
        <f t="shared" si="11"/>
        <v>46018</v>
      </c>
      <c r="R15" s="9">
        <f t="shared" si="12"/>
        <v>6.0832645120000013</v>
      </c>
      <c r="T15" s="43">
        <f t="shared" si="8"/>
        <v>46018</v>
      </c>
      <c r="U15" s="7">
        <f t="shared" si="13"/>
        <v>5</v>
      </c>
    </row>
    <row r="16" spans="1:21" x14ac:dyDescent="0.2">
      <c r="A16" s="22">
        <f>+E10/180*DAYS360($D$9, $B$3)</f>
        <v>4.5277777777777777</v>
      </c>
      <c r="C16" s="8">
        <f t="shared" si="14"/>
        <v>6.0944444444444441</v>
      </c>
      <c r="D16" s="5">
        <v>46200</v>
      </c>
      <c r="E16">
        <f t="shared" si="2"/>
        <v>5</v>
      </c>
      <c r="F16">
        <f t="shared" si="3"/>
        <v>5</v>
      </c>
      <c r="G16">
        <f t="shared" si="4"/>
        <v>0</v>
      </c>
      <c r="H16">
        <v>0</v>
      </c>
      <c r="I16">
        <f t="shared" si="5"/>
        <v>100</v>
      </c>
      <c r="J16" s="21">
        <f t="shared" si="0"/>
        <v>5</v>
      </c>
      <c r="K16" s="5">
        <f t="shared" si="9"/>
        <v>46200</v>
      </c>
      <c r="L16" s="7">
        <f t="shared" si="6"/>
        <v>5</v>
      </c>
      <c r="N16" s="5">
        <f t="shared" si="10"/>
        <v>46200</v>
      </c>
      <c r="O16">
        <f t="shared" si="7"/>
        <v>3.936962374618568</v>
      </c>
      <c r="Q16" s="36">
        <f t="shared" si="11"/>
        <v>46200</v>
      </c>
      <c r="R16" s="9">
        <f t="shared" si="12"/>
        <v>5.8492928000000006</v>
      </c>
      <c r="T16" s="43">
        <f t="shared" si="8"/>
        <v>46200</v>
      </c>
      <c r="U16" s="7">
        <f t="shared" si="13"/>
        <v>5</v>
      </c>
    </row>
    <row r="17" spans="1:21" x14ac:dyDescent="0.2">
      <c r="A17" s="29" t="s">
        <v>83</v>
      </c>
      <c r="C17" s="8">
        <f t="shared" si="14"/>
        <v>7.0944444444444441</v>
      </c>
      <c r="D17" s="5">
        <v>46383</v>
      </c>
      <c r="E17">
        <f t="shared" si="2"/>
        <v>5</v>
      </c>
      <c r="F17">
        <f t="shared" si="3"/>
        <v>5</v>
      </c>
      <c r="G17">
        <f t="shared" si="4"/>
        <v>0</v>
      </c>
      <c r="H17">
        <v>0</v>
      </c>
      <c r="I17">
        <f t="shared" si="5"/>
        <v>100</v>
      </c>
      <c r="J17" s="21">
        <f t="shared" si="0"/>
        <v>5</v>
      </c>
      <c r="K17" s="5">
        <f t="shared" si="9"/>
        <v>46383</v>
      </c>
      <c r="L17" s="7">
        <f t="shared" si="6"/>
        <v>5</v>
      </c>
      <c r="N17" s="5">
        <f t="shared" si="10"/>
        <v>46383</v>
      </c>
      <c r="O17">
        <f t="shared" si="7"/>
        <v>3.7855407448255463</v>
      </c>
      <c r="Q17" s="36">
        <f t="shared" si="11"/>
        <v>46383</v>
      </c>
      <c r="R17" s="9">
        <f t="shared" si="12"/>
        <v>5.6243200000000009</v>
      </c>
      <c r="T17" s="43">
        <f t="shared" si="8"/>
        <v>46383</v>
      </c>
      <c r="U17" s="7">
        <f t="shared" si="13"/>
        <v>5</v>
      </c>
    </row>
    <row r="18" spans="1:21" x14ac:dyDescent="0.2">
      <c r="A18" s="22">
        <f>+SUM(O10:O20)</f>
        <v>112.69268787165777</v>
      </c>
      <c r="C18" s="8">
        <f t="shared" si="14"/>
        <v>8.094444444444445</v>
      </c>
      <c r="D18" s="5">
        <v>46565</v>
      </c>
      <c r="E18">
        <f t="shared" si="2"/>
        <v>5</v>
      </c>
      <c r="F18">
        <f t="shared" si="3"/>
        <v>5</v>
      </c>
      <c r="G18">
        <f t="shared" si="4"/>
        <v>0</v>
      </c>
      <c r="H18">
        <f>+$I$62/3</f>
        <v>0</v>
      </c>
      <c r="I18">
        <f t="shared" si="5"/>
        <v>100</v>
      </c>
      <c r="J18" s="21">
        <f t="shared" si="0"/>
        <v>5</v>
      </c>
      <c r="K18" s="5">
        <f t="shared" si="9"/>
        <v>46565</v>
      </c>
      <c r="L18" s="7">
        <f t="shared" si="6"/>
        <v>5</v>
      </c>
      <c r="N18" s="5">
        <f t="shared" si="10"/>
        <v>46565</v>
      </c>
      <c r="O18">
        <f t="shared" si="7"/>
        <v>3.6399430238707167</v>
      </c>
      <c r="Q18" s="36">
        <f t="shared" si="11"/>
        <v>46565</v>
      </c>
      <c r="R18" s="9">
        <f t="shared" si="12"/>
        <v>5.4080000000000004</v>
      </c>
      <c r="T18" s="43">
        <f t="shared" si="8"/>
        <v>46565</v>
      </c>
      <c r="U18" s="7">
        <f t="shared" si="13"/>
        <v>5</v>
      </c>
    </row>
    <row r="19" spans="1:21" x14ac:dyDescent="0.2">
      <c r="A19" s="28" t="s">
        <v>84</v>
      </c>
      <c r="C19" s="8">
        <f t="shared" si="14"/>
        <v>9.094444444444445</v>
      </c>
      <c r="D19" s="5">
        <v>46748</v>
      </c>
      <c r="E19">
        <f t="shared" si="2"/>
        <v>5</v>
      </c>
      <c r="F19">
        <f t="shared" si="3"/>
        <v>5</v>
      </c>
      <c r="G19">
        <f t="shared" si="4"/>
        <v>0</v>
      </c>
      <c r="H19">
        <f>+$I$62/3</f>
        <v>0</v>
      </c>
      <c r="I19">
        <f t="shared" si="5"/>
        <v>100</v>
      </c>
      <c r="J19" s="21">
        <f t="shared" si="0"/>
        <v>5</v>
      </c>
      <c r="K19" s="5">
        <f t="shared" si="9"/>
        <v>46748</v>
      </c>
      <c r="L19" s="7">
        <f t="shared" si="6"/>
        <v>5</v>
      </c>
      <c r="N19" s="5">
        <f t="shared" si="10"/>
        <v>46748</v>
      </c>
      <c r="O19">
        <f t="shared" si="7"/>
        <v>3.4999452152603046</v>
      </c>
      <c r="Q19" s="36">
        <f t="shared" si="11"/>
        <v>46748</v>
      </c>
      <c r="R19" s="9">
        <f t="shared" si="12"/>
        <v>5.2</v>
      </c>
      <c r="T19" s="43">
        <f t="shared" si="8"/>
        <v>46748</v>
      </c>
      <c r="U19" s="7">
        <f t="shared" si="13"/>
        <v>5</v>
      </c>
    </row>
    <row r="20" spans="1:21" x14ac:dyDescent="0.2">
      <c r="A20" s="22">
        <f>+A18+A16</f>
        <v>117.22046564943554</v>
      </c>
      <c r="C20" s="8">
        <f t="shared" si="14"/>
        <v>10.094444444444445</v>
      </c>
      <c r="D20" s="5">
        <v>46931</v>
      </c>
      <c r="E20">
        <f t="shared" si="2"/>
        <v>5</v>
      </c>
      <c r="F20">
        <f t="shared" si="3"/>
        <v>5</v>
      </c>
      <c r="G20">
        <f t="shared" si="4"/>
        <v>0</v>
      </c>
      <c r="H20">
        <v>100</v>
      </c>
      <c r="I20">
        <f t="shared" si="5"/>
        <v>0</v>
      </c>
      <c r="J20" s="21">
        <f t="shared" si="0"/>
        <v>105</v>
      </c>
      <c r="K20" s="5">
        <f t="shared" si="9"/>
        <v>46931</v>
      </c>
      <c r="L20" s="7">
        <f t="shared" si="6"/>
        <v>105</v>
      </c>
      <c r="N20" s="5">
        <f t="shared" si="10"/>
        <v>46931</v>
      </c>
      <c r="O20">
        <f t="shared" si="7"/>
        <v>70.671970692756148</v>
      </c>
      <c r="Q20" s="36">
        <f t="shared" si="11"/>
        <v>46931</v>
      </c>
      <c r="R20" s="9">
        <f t="shared" si="12"/>
        <v>105</v>
      </c>
      <c r="T20" s="43">
        <f t="shared" si="8"/>
        <v>46931</v>
      </c>
      <c r="U20" s="7">
        <f t="shared" si="13"/>
        <v>105</v>
      </c>
    </row>
    <row r="21" spans="1:21" x14ac:dyDescent="0.2">
      <c r="K21" s="5"/>
      <c r="M21" s="7"/>
      <c r="T21" s="5"/>
    </row>
    <row r="22" spans="1:21" x14ac:dyDescent="0.2">
      <c r="K22" s="38" t="s">
        <v>76</v>
      </c>
      <c r="L22" s="41">
        <f>+XIRR(L9:L20, K9:K20)</f>
        <v>8.1518194079399128E-2</v>
      </c>
      <c r="M22" s="7"/>
      <c r="Q22" s="38" t="s">
        <v>108</v>
      </c>
      <c r="R22" s="49">
        <f>+SUM(R10:R20)-100</f>
        <v>67.431757039384706</v>
      </c>
      <c r="T22" s="38" t="s">
        <v>76</v>
      </c>
      <c r="U22" s="41">
        <f>+XIRR(U9:U20, T9:T20)</f>
        <v>7.9999998211860726E-2</v>
      </c>
    </row>
    <row r="23" spans="1:21" x14ac:dyDescent="0.2">
      <c r="K23" s="38" t="s">
        <v>77</v>
      </c>
      <c r="L23" s="47">
        <f>+XNPV($B$10, L9:L20, K9:K20)</f>
        <v>0.62981296041576229</v>
      </c>
      <c r="M23" s="7"/>
      <c r="Q23" s="38" t="s">
        <v>107</v>
      </c>
      <c r="R23" s="24">
        <f>+SUM(R10:R20)</f>
        <v>167.43175703938471</v>
      </c>
      <c r="T23" s="38" t="s">
        <v>77</v>
      </c>
      <c r="U23" s="47">
        <f>+XNPV($B$10, U9:U20, T9:T20)</f>
        <v>-9.9999999747524271E-7</v>
      </c>
    </row>
    <row r="24" spans="1:21" x14ac:dyDescent="0.2">
      <c r="M24" s="7"/>
      <c r="Q24" s="38" t="s">
        <v>75</v>
      </c>
      <c r="R24" s="40">
        <f>+R23+R9</f>
        <v>54.739069167726939</v>
      </c>
    </row>
    <row r="25" spans="1:21" x14ac:dyDescent="0.2">
      <c r="Q25" s="38" t="s">
        <v>72</v>
      </c>
      <c r="R25" s="42">
        <f>+( ( (  R23 / (-R9) ) ^ (1/10) )  -1 )*2</f>
        <v>8.0770611835988326E-2</v>
      </c>
    </row>
    <row r="26" spans="1:21" ht="34" x14ac:dyDescent="0.2">
      <c r="P26" s="50"/>
      <c r="Q26" s="37" t="s">
        <v>101</v>
      </c>
      <c r="R26">
        <f>+SUM(F10:F21)</f>
        <v>55</v>
      </c>
    </row>
    <row r="27" spans="1:21" ht="34" x14ac:dyDescent="0.2">
      <c r="P27" s="50"/>
      <c r="Q27" s="37" t="s">
        <v>96</v>
      </c>
      <c r="R27" s="51">
        <f>+R22-R26</f>
        <v>12.431757039384706</v>
      </c>
    </row>
    <row r="28" spans="1:21" ht="17" x14ac:dyDescent="0.2">
      <c r="P28" s="50"/>
      <c r="Q28" s="39" t="s">
        <v>97</v>
      </c>
      <c r="R28" s="48">
        <f>+H20+R9</f>
        <v>-12.692687871657768</v>
      </c>
    </row>
  </sheetData>
  <mergeCells count="5">
    <mergeCell ref="Q8:R8"/>
    <mergeCell ref="E1:F1"/>
    <mergeCell ref="N8:O8"/>
    <mergeCell ref="K8:L8"/>
    <mergeCell ref="T8:U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89652-51EA-F742-BB27-14E56BDBDA78}">
  <dimension ref="A1:T32"/>
  <sheetViews>
    <sheetView showGridLines="0" tabSelected="1" workbookViewId="0">
      <selection activeCell="J4" sqref="J4"/>
    </sheetView>
  </sheetViews>
  <sheetFormatPr baseColWidth="10" defaultRowHeight="16" x14ac:dyDescent="0.2"/>
  <cols>
    <col min="1" max="1" width="7.6640625" bestFit="1" customWidth="1"/>
    <col min="3" max="3" width="12.83203125" bestFit="1" customWidth="1"/>
    <col min="4" max="4" width="12.1640625" bestFit="1" customWidth="1"/>
    <col min="5" max="5" width="13" bestFit="1" customWidth="1"/>
    <col min="6" max="6" width="12.6640625" bestFit="1" customWidth="1"/>
    <col min="7" max="7" width="12.1640625" bestFit="1" customWidth="1"/>
    <col min="8" max="8" width="12.1640625" style="153" bestFit="1" customWidth="1"/>
    <col min="9" max="9" width="5.6640625" customWidth="1"/>
    <col min="11" max="11" width="12.83203125" customWidth="1"/>
    <col min="14" max="14" width="12.1640625" bestFit="1" customWidth="1"/>
    <col min="16" max="16" width="20.33203125" bestFit="1" customWidth="1"/>
    <col min="17" max="17" width="12.1640625" bestFit="1" customWidth="1"/>
    <col min="20" max="20" width="10.5" customWidth="1"/>
  </cols>
  <sheetData>
    <row r="1" spans="1:20" ht="19" thickBot="1" x14ac:dyDescent="0.25">
      <c r="A1" s="161" t="s">
        <v>241</v>
      </c>
      <c r="B1" s="162"/>
      <c r="C1" s="162"/>
      <c r="D1" s="163"/>
      <c r="E1" s="159" t="s">
        <v>0</v>
      </c>
      <c r="F1" s="159"/>
      <c r="G1" s="160">
        <v>0.08</v>
      </c>
      <c r="H1" s="150"/>
      <c r="I1" s="150"/>
      <c r="P1" s="38" t="s">
        <v>108</v>
      </c>
      <c r="Q1" s="49">
        <f>+SUM(Q18:Q28)-100</f>
        <v>81.2561449477856</v>
      </c>
    </row>
    <row r="2" spans="1:20" x14ac:dyDescent="0.2">
      <c r="A2" s="156" t="s">
        <v>51</v>
      </c>
      <c r="B2" s="156"/>
      <c r="C2" s="157">
        <v>45087</v>
      </c>
      <c r="D2" s="155"/>
      <c r="E2" s="156" t="s">
        <v>44</v>
      </c>
      <c r="F2" s="156"/>
      <c r="G2" s="156">
        <v>0.25</v>
      </c>
      <c r="H2" s="150"/>
      <c r="I2" s="150"/>
      <c r="P2" s="38" t="s">
        <v>107</v>
      </c>
      <c r="Q2" s="24">
        <f>+SUM(Q18:Q28)</f>
        <v>181.2561449477856</v>
      </c>
    </row>
    <row r="3" spans="1:20" x14ac:dyDescent="0.2">
      <c r="A3" s="156" t="s">
        <v>27</v>
      </c>
      <c r="B3" s="156"/>
      <c r="C3" s="157">
        <v>44009</v>
      </c>
      <c r="D3" s="155"/>
      <c r="E3" s="156" t="s">
        <v>98</v>
      </c>
      <c r="F3" s="156"/>
      <c r="G3" s="158" t="s">
        <v>5</v>
      </c>
      <c r="H3" s="150"/>
      <c r="I3" s="150"/>
      <c r="J3" s="150"/>
      <c r="K3" s="151"/>
      <c r="P3" s="38" t="s">
        <v>75</v>
      </c>
      <c r="Q3" s="40">
        <f>+Q2+Q17</f>
        <v>59.258726246529761</v>
      </c>
    </row>
    <row r="4" spans="1:20" x14ac:dyDescent="0.2">
      <c r="A4" s="156" t="s">
        <v>38</v>
      </c>
      <c r="B4" s="156"/>
      <c r="C4" s="157">
        <v>46931</v>
      </c>
      <c r="D4" s="155"/>
      <c r="E4" s="156" t="s">
        <v>39</v>
      </c>
      <c r="F4" s="156"/>
      <c r="G4" s="156">
        <v>2</v>
      </c>
      <c r="H4" s="150"/>
      <c r="I4" s="150"/>
      <c r="J4" s="150"/>
      <c r="K4" s="151"/>
      <c r="P4" s="38" t="s">
        <v>72</v>
      </c>
      <c r="Q4" s="42">
        <f>+( ( (  Q2 / (-Q17) ) ^ (1/10) )  -1 )*2</f>
        <v>8.0770611835988326E-2</v>
      </c>
    </row>
    <row r="5" spans="1:20" ht="34" x14ac:dyDescent="0.2">
      <c r="A5" s="156" t="s">
        <v>242</v>
      </c>
      <c r="B5" s="156"/>
      <c r="C5" s="156">
        <f>+C18/180*DAYS360($B$17, $C$2)</f>
        <v>4.8781516230268469</v>
      </c>
      <c r="D5" s="155"/>
      <c r="E5" s="156" t="s">
        <v>41</v>
      </c>
      <c r="F5" s="156"/>
      <c r="G5" s="156">
        <v>0.1</v>
      </c>
      <c r="H5" s="150"/>
      <c r="I5" s="150"/>
      <c r="J5" s="150"/>
      <c r="K5" s="151"/>
      <c r="P5" s="37" t="s">
        <v>101</v>
      </c>
      <c r="Q5">
        <f>+SUM(D18:D29)</f>
        <v>48.851357885647609</v>
      </c>
    </row>
    <row r="6" spans="1:20" ht="34" x14ac:dyDescent="0.2">
      <c r="A6" s="156" t="s">
        <v>83</v>
      </c>
      <c r="B6" s="156"/>
      <c r="C6" s="156">
        <f>+SUM(N18:N28)</f>
        <v>121.99741870125584</v>
      </c>
      <c r="D6" s="155"/>
      <c r="E6" s="156" t="s">
        <v>43</v>
      </c>
      <c r="F6" s="156"/>
      <c r="G6" s="156">
        <v>100</v>
      </c>
      <c r="H6" s="150"/>
      <c r="I6" s="150"/>
      <c r="J6" s="38" t="s">
        <v>76</v>
      </c>
      <c r="K6" s="41">
        <f>+XIRR(K17:K28, J17:J28)</f>
        <v>8.1518456339836134E-2</v>
      </c>
      <c r="P6" s="37" t="s">
        <v>96</v>
      </c>
      <c r="Q6" s="51">
        <f>+Q1-Q5</f>
        <v>32.404787062137991</v>
      </c>
      <c r="S6" s="38" t="s">
        <v>76</v>
      </c>
      <c r="T6" s="41" t="e">
        <f>+XIRR(T17:T28, S17:S28)</f>
        <v>#NUM!</v>
      </c>
    </row>
    <row r="7" spans="1:20" ht="17" x14ac:dyDescent="0.2">
      <c r="A7" s="156" t="s">
        <v>84</v>
      </c>
      <c r="B7" s="156"/>
      <c r="C7" s="156">
        <f>+C6+C5</f>
        <v>126.87557032428269</v>
      </c>
      <c r="D7" s="156"/>
      <c r="E7" s="156" t="s">
        <v>80</v>
      </c>
      <c r="F7" s="156"/>
      <c r="G7" s="156" t="s">
        <v>99</v>
      </c>
      <c r="H7" s="150"/>
      <c r="I7" s="150"/>
      <c r="J7" s="38" t="s">
        <v>77</v>
      </c>
      <c r="K7" s="47">
        <f>+XNPV($G$1, K17:K28, J17:J28)</f>
        <v>0.72441944092084043</v>
      </c>
      <c r="P7" s="39" t="s">
        <v>97</v>
      </c>
      <c r="Q7" s="48">
        <f>+F28+Q17</f>
        <v>-8.4639309641545424E-3</v>
      </c>
      <c r="S7" s="38" t="s">
        <v>77</v>
      </c>
      <c r="T7" s="47" t="e">
        <f>+XNPV($G$1, T17:T28, S17:S28)</f>
        <v>#VALUE!</v>
      </c>
    </row>
    <row r="8" spans="1:20" s="153" customFormat="1" x14ac:dyDescent="0.2"/>
    <row r="9" spans="1:20" x14ac:dyDescent="0.2">
      <c r="C9" s="148" t="s">
        <v>31</v>
      </c>
      <c r="D9" s="148"/>
    </row>
    <row r="10" spans="1:20" x14ac:dyDescent="0.2">
      <c r="A10" s="25" t="s">
        <v>74</v>
      </c>
      <c r="B10" s="25" t="s">
        <v>42</v>
      </c>
      <c r="C10" s="25" t="s">
        <v>81</v>
      </c>
      <c r="D10" s="25" t="s">
        <v>82</v>
      </c>
      <c r="E10" s="25" t="s">
        <v>45</v>
      </c>
      <c r="F10" s="25" t="s">
        <v>46</v>
      </c>
      <c r="G10" s="25" t="s">
        <v>47</v>
      </c>
      <c r="H10" s="152" t="s">
        <v>243</v>
      </c>
    </row>
    <row r="11" spans="1:20" x14ac:dyDescent="0.2">
      <c r="G11">
        <f>+G6</f>
        <v>100</v>
      </c>
    </row>
    <row r="12" spans="1:20" x14ac:dyDescent="0.2">
      <c r="A12" s="8">
        <f>+(DAYS360($C$2, B12)/180)</f>
        <v>-5.9055555555555559</v>
      </c>
      <c r="B12" s="5">
        <v>44009</v>
      </c>
      <c r="C12">
        <f>+G11*$G$5/$G$4</f>
        <v>5</v>
      </c>
      <c r="D12">
        <f>+($G$5/$G$4*G11)*(1-$G$2)</f>
        <v>3.75</v>
      </c>
      <c r="E12">
        <f>+C12*$G$2</f>
        <v>1.25</v>
      </c>
      <c r="F12">
        <v>0</v>
      </c>
      <c r="G12">
        <f>+G11-F12+E12</f>
        <v>101.25</v>
      </c>
      <c r="H12" s="153">
        <f t="shared" ref="H12:H28" si="0">+F12+D12</f>
        <v>3.75</v>
      </c>
    </row>
    <row r="13" spans="1:20" x14ac:dyDescent="0.2">
      <c r="A13" s="8">
        <f>+(DAYS360($C$2, B13)/180)</f>
        <v>-4.9055555555555559</v>
      </c>
      <c r="B13" s="5">
        <v>44192</v>
      </c>
      <c r="C13">
        <f>+G12*$G$5/$G$4</f>
        <v>5.0625</v>
      </c>
      <c r="D13">
        <f>+($G$5/$G$4*G12)*(1-$G$2)</f>
        <v>3.796875</v>
      </c>
      <c r="E13">
        <f>+C13*$G$2</f>
        <v>1.265625</v>
      </c>
      <c r="F13">
        <v>0</v>
      </c>
      <c r="G13">
        <f>+G12-F13+E13</f>
        <v>102.515625</v>
      </c>
      <c r="H13" s="153">
        <f t="shared" si="0"/>
        <v>3.796875</v>
      </c>
    </row>
    <row r="14" spans="1:20" x14ac:dyDescent="0.2">
      <c r="A14" s="8">
        <f>+(DAYS360($C$2, B14)/180)</f>
        <v>-3.9055555555555554</v>
      </c>
      <c r="B14" s="5">
        <v>44374</v>
      </c>
      <c r="C14">
        <f>+G13*$G$5/$G$4</f>
        <v>5.1257812500000002</v>
      </c>
      <c r="D14">
        <f>+($G$5/$G$4*G13)*(1-$G$2)</f>
        <v>3.8443359375000004</v>
      </c>
      <c r="E14">
        <f>+C14*$G$2</f>
        <v>1.2814453125</v>
      </c>
      <c r="F14">
        <v>0</v>
      </c>
      <c r="G14">
        <f t="shared" ref="G14:G28" si="1">+G13-F14+E14</f>
        <v>103.7970703125</v>
      </c>
      <c r="H14" s="153">
        <f t="shared" si="0"/>
        <v>3.8443359375000004</v>
      </c>
    </row>
    <row r="15" spans="1:20" x14ac:dyDescent="0.2">
      <c r="A15" s="8">
        <f>+(DAYS360($C$2, B15)/180)</f>
        <v>-2.9055555555555554</v>
      </c>
      <c r="B15" s="5">
        <v>44557</v>
      </c>
      <c r="C15">
        <f>+G14*$G$5/$G$4</f>
        <v>5.1898535156249999</v>
      </c>
      <c r="D15">
        <f>+($G$5/$G$4*G14)*(1-$G$2)</f>
        <v>3.8923901367187499</v>
      </c>
      <c r="E15">
        <f>+C15*$G$2</f>
        <v>1.29746337890625</v>
      </c>
      <c r="F15">
        <v>0</v>
      </c>
      <c r="G15">
        <f t="shared" si="1"/>
        <v>105.09453369140624</v>
      </c>
      <c r="H15" s="153">
        <f t="shared" si="0"/>
        <v>3.8923901367187499</v>
      </c>
      <c r="L15" s="7"/>
    </row>
    <row r="16" spans="1:20" x14ac:dyDescent="0.2">
      <c r="A16" s="8">
        <f>+(DAYS360($C$2, B16)/180)</f>
        <v>-1.9055555555555554</v>
      </c>
      <c r="B16" s="5">
        <v>44739</v>
      </c>
      <c r="C16">
        <f>+G15*$G$5/$G$4</f>
        <v>5.2547266845703122</v>
      </c>
      <c r="D16">
        <f>+($G$5/$G$4*G15)*(1-$G$2)</f>
        <v>3.9410450134277344</v>
      </c>
      <c r="E16">
        <f>+C16*$G$2</f>
        <v>1.3136816711425781</v>
      </c>
      <c r="F16">
        <v>0</v>
      </c>
      <c r="G16">
        <f t="shared" si="1"/>
        <v>106.40821536254882</v>
      </c>
      <c r="H16" s="153">
        <f t="shared" si="0"/>
        <v>3.9410450134277344</v>
      </c>
      <c r="I16" s="154"/>
      <c r="J16" s="145" t="s">
        <v>243</v>
      </c>
      <c r="K16" s="145"/>
      <c r="L16" s="7"/>
      <c r="M16" s="145" t="s">
        <v>78</v>
      </c>
      <c r="N16" s="145"/>
      <c r="P16" s="145" t="s">
        <v>95</v>
      </c>
      <c r="Q16" s="145"/>
      <c r="S16" s="145" t="s">
        <v>86</v>
      </c>
      <c r="T16" s="145"/>
    </row>
    <row r="17" spans="1:20" x14ac:dyDescent="0.2">
      <c r="A17" s="8">
        <f>+(DAYS360($C$2, B17)/180)</f>
        <v>-0.90555555555555556</v>
      </c>
      <c r="B17" s="5">
        <v>44922</v>
      </c>
      <c r="C17">
        <f>+G16*$G$5/$G$4</f>
        <v>5.3204107681274415</v>
      </c>
      <c r="D17">
        <f>+($G$5/$G$4*G16)*(1-$G$2)</f>
        <v>3.9903080760955811</v>
      </c>
      <c r="E17">
        <f>+C17*$G$2</f>
        <v>1.3301026920318604</v>
      </c>
      <c r="F17">
        <v>0</v>
      </c>
      <c r="G17">
        <f t="shared" si="1"/>
        <v>107.73831805458067</v>
      </c>
      <c r="H17" s="153">
        <f t="shared" si="0"/>
        <v>3.9903080760955811</v>
      </c>
      <c r="I17" s="43"/>
      <c r="J17" s="43">
        <f>+C2</f>
        <v>45087</v>
      </c>
      <c r="K17" s="44">
        <f>-C6</f>
        <v>-121.99741870125584</v>
      </c>
      <c r="M17" s="43">
        <f>+C2</f>
        <v>45087</v>
      </c>
      <c r="N17" s="45">
        <f>-C6</f>
        <v>-121.99741870125584</v>
      </c>
      <c r="P17" s="46">
        <f>+C2</f>
        <v>45087</v>
      </c>
      <c r="Q17" s="45">
        <f>-C6</f>
        <v>-121.99741870125584</v>
      </c>
      <c r="S17" s="43">
        <f>+P17</f>
        <v>45087</v>
      </c>
      <c r="T17" s="44"/>
    </row>
    <row r="18" spans="1:20" x14ac:dyDescent="0.2">
      <c r="A18" s="8">
        <f>+_xlfn.DAYS(B18, $C$2)/180</f>
        <v>9.4444444444444442E-2</v>
      </c>
      <c r="B18" s="43">
        <v>45104</v>
      </c>
      <c r="C18">
        <f>+G17*$G$5/$G$4</f>
        <v>5.3869159027290339</v>
      </c>
      <c r="D18">
        <f>+($G$5/$G$4*G17)*(1-$G$2)</f>
        <v>4.0401869270467756</v>
      </c>
      <c r="E18">
        <f>+C18*$G$2</f>
        <v>1.3467289756822585</v>
      </c>
      <c r="F18">
        <v>0</v>
      </c>
      <c r="G18">
        <f t="shared" si="1"/>
        <v>109.08504703026293</v>
      </c>
      <c r="H18" s="153">
        <f t="shared" si="0"/>
        <v>4.0401869270467756</v>
      </c>
      <c r="I18" s="5"/>
      <c r="J18" s="5">
        <f>+B18</f>
        <v>45104</v>
      </c>
      <c r="K18" s="7">
        <f>+H18</f>
        <v>4.0401869270467756</v>
      </c>
      <c r="M18" s="5">
        <f>+B18</f>
        <v>45104</v>
      </c>
      <c r="N18">
        <f>+H18/((1+($G$1/$G$4))^A18)</f>
        <v>4.0252490370245635</v>
      </c>
      <c r="P18" s="36">
        <f>+B18</f>
        <v>45104</v>
      </c>
      <c r="Q18" s="9">
        <f>+H18*(1+$G$1/$G$4)^($A$28-A18)</f>
        <v>5.9804636087627987</v>
      </c>
      <c r="S18" s="43">
        <f t="shared" ref="S18:S28" si="2">+P18</f>
        <v>45104</v>
      </c>
      <c r="T18" s="7">
        <f>+K18</f>
        <v>4.0401869270467756</v>
      </c>
    </row>
    <row r="19" spans="1:20" x14ac:dyDescent="0.2">
      <c r="A19" s="8">
        <f>+(DAYS360($C$2, B19)/180)</f>
        <v>1.0944444444444446</v>
      </c>
      <c r="B19" s="5">
        <v>45287</v>
      </c>
      <c r="C19">
        <f>+G18*$G$5/$G$4</f>
        <v>5.4542523515131469</v>
      </c>
      <c r="D19">
        <f>+($G$5/$G$4*G18)*(1-$G$2)</f>
        <v>4.09068926363486</v>
      </c>
      <c r="E19">
        <f>+C19*$G$2</f>
        <v>1.3635630878782867</v>
      </c>
      <c r="F19">
        <v>0</v>
      </c>
      <c r="G19">
        <f t="shared" si="1"/>
        <v>110.44861011814122</v>
      </c>
      <c r="H19" s="153">
        <f t="shared" si="0"/>
        <v>4.09068926363486</v>
      </c>
      <c r="I19" s="5"/>
      <c r="J19" s="5">
        <f>+B19</f>
        <v>45287</v>
      </c>
      <c r="K19" s="7">
        <f>+H19</f>
        <v>4.09068926363486</v>
      </c>
      <c r="M19" s="5">
        <f>+B19</f>
        <v>45287</v>
      </c>
      <c r="N19">
        <f>+H19/((1+($G$1/$G$4))^A19)</f>
        <v>3.9188121634493935</v>
      </c>
      <c r="P19" s="36">
        <f>+B19</f>
        <v>45287</v>
      </c>
      <c r="Q19" s="9">
        <f>+H19*(1+$G$1/$G$4)^($A$28-A19)</f>
        <v>5.8223263498772431</v>
      </c>
      <c r="S19" s="43">
        <f t="shared" si="2"/>
        <v>45287</v>
      </c>
      <c r="T19" s="7">
        <f t="shared" ref="T19:T28" si="3">+K19</f>
        <v>4.09068926363486</v>
      </c>
    </row>
    <row r="20" spans="1:20" x14ac:dyDescent="0.2">
      <c r="A20" s="8">
        <f>+(DAYS360($C$2, B20)/180)</f>
        <v>2.0944444444444446</v>
      </c>
      <c r="B20" s="5">
        <v>45470</v>
      </c>
      <c r="C20">
        <f>+G19*$G$5/$G$4</f>
        <v>5.5224305059070611</v>
      </c>
      <c r="D20">
        <f>+($G$5/$G$4*G19)*(1-$G$2)</f>
        <v>4.141822879430296</v>
      </c>
      <c r="E20">
        <f>+C20*$G$2</f>
        <v>1.3806076264767653</v>
      </c>
      <c r="F20">
        <v>0</v>
      </c>
      <c r="G20">
        <f t="shared" si="1"/>
        <v>111.82921774461798</v>
      </c>
      <c r="H20" s="153">
        <f t="shared" si="0"/>
        <v>4.141822879430296</v>
      </c>
      <c r="I20" s="5"/>
      <c r="J20" s="5">
        <f>+B20</f>
        <v>45470</v>
      </c>
      <c r="K20" s="7">
        <f>+H20</f>
        <v>4.141822879430296</v>
      </c>
      <c r="M20" s="5">
        <f>+B20</f>
        <v>45470</v>
      </c>
      <c r="N20">
        <f>+H20/((1+($G$1/$G$4))^A20)</f>
        <v>3.8151897264351069</v>
      </c>
      <c r="P20" s="36">
        <f>+B20</f>
        <v>45470</v>
      </c>
      <c r="Q20" s="9">
        <f>+H20*(1+$G$1/$G$4)^($A$28-A20)</f>
        <v>5.6683706050487581</v>
      </c>
      <c r="S20" s="43">
        <f t="shared" si="2"/>
        <v>45470</v>
      </c>
      <c r="T20" s="7">
        <f t="shared" si="3"/>
        <v>4.141822879430296</v>
      </c>
    </row>
    <row r="21" spans="1:20" x14ac:dyDescent="0.2">
      <c r="A21" s="8">
        <f>+(DAYS360($C$2, B21)/180)</f>
        <v>3.0944444444444446</v>
      </c>
      <c r="B21" s="5">
        <v>45653</v>
      </c>
      <c r="C21">
        <f>+G20*$G$5/$G$4</f>
        <v>5.5914608872308991</v>
      </c>
      <c r="D21">
        <f>+($G$5/$G$4*G20)*(1-$G$2)</f>
        <v>4.1935956654231745</v>
      </c>
      <c r="E21">
        <f>+C21*$G$2</f>
        <v>1.3978652218077248</v>
      </c>
      <c r="F21">
        <v>0</v>
      </c>
      <c r="G21">
        <f t="shared" si="1"/>
        <v>113.2270829664257</v>
      </c>
      <c r="H21" s="153">
        <f t="shared" si="0"/>
        <v>4.1935956654231745</v>
      </c>
      <c r="I21" s="5"/>
      <c r="J21" s="5">
        <f>+B21</f>
        <v>45653</v>
      </c>
      <c r="K21" s="7">
        <f>+H21</f>
        <v>4.1935956654231745</v>
      </c>
      <c r="M21" s="5">
        <f>+B21</f>
        <v>45653</v>
      </c>
      <c r="N21">
        <f>+H21/((1+($G$1/$G$4))^A21)</f>
        <v>3.7143073057841787</v>
      </c>
      <c r="P21" s="36">
        <f>+B21</f>
        <v>45653</v>
      </c>
      <c r="Q21" s="9">
        <f>+H21*(1+$G$1/$G$4)^($A$28-A21)</f>
        <v>5.5184858053960255</v>
      </c>
      <c r="S21" s="43">
        <f t="shared" si="2"/>
        <v>45653</v>
      </c>
      <c r="T21" s="7">
        <f t="shared" si="3"/>
        <v>4.1935956654231745</v>
      </c>
    </row>
    <row r="22" spans="1:20" x14ac:dyDescent="0.2">
      <c r="A22" s="8">
        <f>+(DAYS360($C$2, B22)/180)</f>
        <v>4.0944444444444441</v>
      </c>
      <c r="B22" s="5">
        <v>45835</v>
      </c>
      <c r="C22">
        <f>+G21*$G$5/$G$4</f>
        <v>5.6613541483212853</v>
      </c>
      <c r="D22">
        <f>+($G$5/$G$4*G21)*(1-$G$2)</f>
        <v>4.2460156112409635</v>
      </c>
      <c r="E22">
        <f>+C22*$G$2</f>
        <v>1.4153385370803213</v>
      </c>
      <c r="F22">
        <v>0</v>
      </c>
      <c r="G22">
        <f>+G21-F22+E22</f>
        <v>114.64242150350601</v>
      </c>
      <c r="H22" s="153">
        <f t="shared" si="0"/>
        <v>4.2460156112409635</v>
      </c>
      <c r="I22" s="5"/>
      <c r="J22" s="5">
        <f>+B22</f>
        <v>45835</v>
      </c>
      <c r="K22" s="7">
        <f>+H22</f>
        <v>4.2460156112409635</v>
      </c>
      <c r="M22" s="5">
        <f>+B22</f>
        <v>45835</v>
      </c>
      <c r="N22">
        <f>+H22/((1+($G$1/$G$4))^A22)</f>
        <v>3.6160924491408459</v>
      </c>
      <c r="P22" s="36">
        <f>+B22</f>
        <v>45835</v>
      </c>
      <c r="Q22" s="9">
        <f>+H22*(1+$G$1/$G$4)^($A$28-A22)</f>
        <v>5.3725643057341106</v>
      </c>
      <c r="S22" s="43">
        <f t="shared" si="2"/>
        <v>45835</v>
      </c>
      <c r="T22" s="7">
        <f t="shared" si="3"/>
        <v>4.2460156112409635</v>
      </c>
    </row>
    <row r="23" spans="1:20" x14ac:dyDescent="0.2">
      <c r="A23" s="8">
        <f>+(DAYS360($C$2, B23)/180)</f>
        <v>5.0944444444444441</v>
      </c>
      <c r="B23" s="5">
        <v>46018</v>
      </c>
      <c r="C23">
        <f>+G22*$G$5/$G$4</f>
        <v>5.7321210751753009</v>
      </c>
      <c r="D23">
        <f>+($G$5/$G$4*G22)*(1-$G$2)</f>
        <v>4.2990908063814759</v>
      </c>
      <c r="E23">
        <f>+C23*$G$2</f>
        <v>1.4330302687938252</v>
      </c>
      <c r="F23">
        <v>0</v>
      </c>
      <c r="G23">
        <f t="shared" si="1"/>
        <v>116.07545177229984</v>
      </c>
      <c r="H23" s="153">
        <f t="shared" si="0"/>
        <v>4.2990908063814759</v>
      </c>
      <c r="I23" s="5"/>
      <c r="J23" s="5">
        <f>+B23</f>
        <v>46018</v>
      </c>
      <c r="K23" s="7">
        <f>+H23</f>
        <v>4.2990908063814759</v>
      </c>
      <c r="M23" s="5">
        <f>+B23</f>
        <v>46018</v>
      </c>
      <c r="N23">
        <f>+H23/((1+($G$1/$G$4))^A23)</f>
        <v>3.5204746199568335</v>
      </c>
      <c r="P23" s="36">
        <f>+B23</f>
        <v>46018</v>
      </c>
      <c r="Q23" s="9">
        <f>+H23*(1+$G$1/$G$4)^($A$28-A23)</f>
        <v>5.2305013072651807</v>
      </c>
      <c r="S23" s="43">
        <f t="shared" si="2"/>
        <v>46018</v>
      </c>
      <c r="T23" s="7">
        <f t="shared" si="3"/>
        <v>4.2990908063814759</v>
      </c>
    </row>
    <row r="24" spans="1:20" x14ac:dyDescent="0.2">
      <c r="A24" s="8">
        <f>+(DAYS360($C$2, B24)/180)</f>
        <v>6.0944444444444441</v>
      </c>
      <c r="B24" s="5">
        <v>46200</v>
      </c>
      <c r="C24">
        <f>+G23*$G$5/$G$4</f>
        <v>5.8037725886149927</v>
      </c>
      <c r="D24">
        <f>+($G$5/$G$4*G23)*(1-$G$2)</f>
        <v>4.3528294414612443</v>
      </c>
      <c r="E24">
        <f>+C24*$G$2</f>
        <v>1.4509431471537482</v>
      </c>
      <c r="F24">
        <v>0</v>
      </c>
      <c r="G24">
        <f t="shared" si="1"/>
        <v>117.52639491945359</v>
      </c>
      <c r="H24" s="153">
        <f t="shared" si="0"/>
        <v>4.3528294414612443</v>
      </c>
      <c r="I24" s="5"/>
      <c r="J24" s="5">
        <f>+B24</f>
        <v>46200</v>
      </c>
      <c r="K24" s="7">
        <f>+H24</f>
        <v>4.3528294414612443</v>
      </c>
      <c r="M24" s="5">
        <f>+B24</f>
        <v>46200</v>
      </c>
      <c r="N24">
        <f>+H24/((1+($G$1/$G$4))^A24)</f>
        <v>3.4273851468329752</v>
      </c>
      <c r="P24" s="36">
        <f>+B24</f>
        <v>46200</v>
      </c>
      <c r="Q24" s="9">
        <f>+H24*(1+$G$1/$G$4)^($A$28-A24)</f>
        <v>5.0921947823134568</v>
      </c>
      <c r="S24" s="43">
        <f t="shared" si="2"/>
        <v>46200</v>
      </c>
      <c r="T24" s="7">
        <f t="shared" si="3"/>
        <v>4.3528294414612443</v>
      </c>
    </row>
    <row r="25" spans="1:20" x14ac:dyDescent="0.2">
      <c r="A25" s="8">
        <f>+(DAYS360($C$2, B25)/180)</f>
        <v>7.0944444444444441</v>
      </c>
      <c r="B25" s="5">
        <v>46383</v>
      </c>
      <c r="C25">
        <f>+G24*$G$5/$G$4</f>
        <v>5.8763197459726797</v>
      </c>
      <c r="D25">
        <f>+($G$5/$G$4*G24)*(1-$G$2)</f>
        <v>4.4072398094795098</v>
      </c>
      <c r="E25">
        <f>+C25*$G$2</f>
        <v>1.4690799364931699</v>
      </c>
      <c r="F25">
        <v>0</v>
      </c>
      <c r="G25">
        <f t="shared" si="1"/>
        <v>118.99547485594677</v>
      </c>
      <c r="H25" s="153">
        <f t="shared" si="0"/>
        <v>4.4072398094795098</v>
      </c>
      <c r="I25" s="5"/>
      <c r="J25" s="5">
        <f>+B25</f>
        <v>46383</v>
      </c>
      <c r="K25" s="7">
        <f>+H25</f>
        <v>4.4072398094795098</v>
      </c>
      <c r="M25" s="5">
        <f>+B25</f>
        <v>46383</v>
      </c>
      <c r="N25">
        <f>+H25/((1+($G$1/$G$4))^A25)</f>
        <v>3.3367571742003723</v>
      </c>
      <c r="P25" s="36">
        <f>+B25</f>
        <v>46383</v>
      </c>
      <c r="Q25" s="9">
        <f>+H25*(1+$G$1/$G$4)^($A$28-A25)</f>
        <v>4.9575454010503597</v>
      </c>
      <c r="S25" s="43">
        <f t="shared" si="2"/>
        <v>46383</v>
      </c>
      <c r="T25" s="7">
        <f t="shared" si="3"/>
        <v>4.4072398094795098</v>
      </c>
    </row>
    <row r="26" spans="1:20" x14ac:dyDescent="0.2">
      <c r="A26" s="8">
        <f>+(DAYS360($C$2, B26)/180)</f>
        <v>8.094444444444445</v>
      </c>
      <c r="B26" s="5">
        <v>46565</v>
      </c>
      <c r="C26">
        <f>+G25*$G$5/$G$4</f>
        <v>5.9497737427973387</v>
      </c>
      <c r="D26">
        <f>+($G$5/$G$4*G25)*(1-$G$2)</f>
        <v>4.4623303070980036</v>
      </c>
      <c r="E26">
        <f>+C26*$G$2</f>
        <v>1.4874434356993347</v>
      </c>
      <c r="F26">
        <f>+$G$70/3</f>
        <v>0</v>
      </c>
      <c r="G26">
        <f t="shared" si="1"/>
        <v>120.4829182916461</v>
      </c>
      <c r="H26" s="153">
        <f t="shared" si="0"/>
        <v>4.4623303070980036</v>
      </c>
      <c r="I26" s="5"/>
      <c r="J26" s="5">
        <f>+B26</f>
        <v>46565</v>
      </c>
      <c r="K26" s="7">
        <f>+H26</f>
        <v>4.4623303070980036</v>
      </c>
      <c r="M26" s="5">
        <f>+B26</f>
        <v>46565</v>
      </c>
      <c r="N26">
        <f>+H26/((1+($G$1/$G$4))^A26)</f>
        <v>3.2485256143056502</v>
      </c>
      <c r="P26" s="36">
        <f>+B26</f>
        <v>46565</v>
      </c>
      <c r="Q26" s="9">
        <f>+H26*(1+$G$1/$G$4)^($A$28-A26)</f>
        <v>4.8264564601572015</v>
      </c>
      <c r="S26" s="43">
        <f t="shared" si="2"/>
        <v>46565</v>
      </c>
      <c r="T26" s="7">
        <f t="shared" si="3"/>
        <v>4.4623303070980036</v>
      </c>
    </row>
    <row r="27" spans="1:20" x14ac:dyDescent="0.2">
      <c r="A27" s="8">
        <f>+(DAYS360($C$2, B27)/180)</f>
        <v>9.094444444444445</v>
      </c>
      <c r="B27" s="5">
        <v>46748</v>
      </c>
      <c r="C27">
        <f>+G26*$G$5/$G$4</f>
        <v>6.0241459145823057</v>
      </c>
      <c r="D27">
        <f>+($G$5/$G$4*G26)*(1-$G$2)</f>
        <v>4.5181094359367293</v>
      </c>
      <c r="E27">
        <f>+C27*$G$2</f>
        <v>1.5060364786455764</v>
      </c>
      <c r="F27">
        <f>+$G$70/3</f>
        <v>0</v>
      </c>
      <c r="G27">
        <f t="shared" si="1"/>
        <v>121.98895477029168</v>
      </c>
      <c r="H27" s="153">
        <f t="shared" si="0"/>
        <v>4.5181094359367293</v>
      </c>
      <c r="I27" s="5"/>
      <c r="J27" s="5">
        <f>+B27</f>
        <v>46748</v>
      </c>
      <c r="K27" s="7">
        <f>+H27</f>
        <v>4.5181094359367293</v>
      </c>
      <c r="M27" s="5">
        <f>+B27</f>
        <v>46748</v>
      </c>
      <c r="N27">
        <f>+H27/((1+($G$1/$G$4))^A27)</f>
        <v>3.1626271004658379</v>
      </c>
      <c r="P27" s="36">
        <f>+B27</f>
        <v>46748</v>
      </c>
      <c r="Q27" s="9">
        <f>+H27*(1+$G$1/$G$4)^($A$28-A27)</f>
        <v>4.6988338133741987</v>
      </c>
      <c r="S27" s="43">
        <f t="shared" si="2"/>
        <v>46748</v>
      </c>
      <c r="T27" s="7">
        <f t="shared" si="3"/>
        <v>4.5181094359367293</v>
      </c>
    </row>
    <row r="28" spans="1:20" x14ac:dyDescent="0.2">
      <c r="A28" s="8">
        <f>+(DAYS360($C$2, B28)/180)</f>
        <v>10.094444444444445</v>
      </c>
      <c r="B28" s="5">
        <v>46931</v>
      </c>
      <c r="C28">
        <f>+G27*$G$5/$G$4</f>
        <v>6.0994477385145842</v>
      </c>
      <c r="D28">
        <f>+C28</f>
        <v>6.0994477385145842</v>
      </c>
      <c r="E28">
        <v>0</v>
      </c>
      <c r="F28">
        <f>+G27</f>
        <v>121.98895477029168</v>
      </c>
      <c r="G28">
        <f t="shared" si="1"/>
        <v>0</v>
      </c>
      <c r="H28" s="153">
        <f t="shared" si="0"/>
        <v>128.08840250880627</v>
      </c>
      <c r="I28" s="5"/>
      <c r="J28" s="5">
        <f>+B28</f>
        <v>46931</v>
      </c>
      <c r="K28" s="7">
        <f>+H28</f>
        <v>128.08840250880627</v>
      </c>
      <c r="M28" s="5">
        <f>+B28</f>
        <v>46931</v>
      </c>
      <c r="N28">
        <f>+H28/((1+($G$1/$G$4))^A28)</f>
        <v>86.211998363660086</v>
      </c>
      <c r="P28" s="36">
        <f>+B28</f>
        <v>46931</v>
      </c>
      <c r="Q28" s="9">
        <f>+H28*(1+$G$1/$G$4)^($A$28-A28)</f>
        <v>128.08840250880627</v>
      </c>
      <c r="S28" s="43">
        <f t="shared" si="2"/>
        <v>46931</v>
      </c>
      <c r="T28" s="7">
        <f t="shared" si="3"/>
        <v>128.08840250880627</v>
      </c>
    </row>
    <row r="29" spans="1:20" x14ac:dyDescent="0.2">
      <c r="I29" s="5"/>
      <c r="J29" s="5"/>
      <c r="L29" s="7"/>
      <c r="S29" s="5"/>
    </row>
    <row r="30" spans="1:20" x14ac:dyDescent="0.2">
      <c r="L30" s="7"/>
    </row>
    <row r="31" spans="1:20" x14ac:dyDescent="0.2">
      <c r="L31" s="7"/>
    </row>
    <row r="32" spans="1:20" x14ac:dyDescent="0.2">
      <c r="L32" s="7"/>
    </row>
  </sheetData>
  <mergeCells count="6">
    <mergeCell ref="A1:D1"/>
    <mergeCell ref="C9:D9"/>
    <mergeCell ref="J16:K16"/>
    <mergeCell ref="M16:N16"/>
    <mergeCell ref="P16:Q16"/>
    <mergeCell ref="S16:T1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7F599-7C83-4B4D-83D0-6DC6F7667193}">
  <dimension ref="A1:AG34"/>
  <sheetViews>
    <sheetView showGridLines="0" zoomScale="143" workbookViewId="0">
      <selection activeCell="Y6" sqref="Y6"/>
    </sheetView>
  </sheetViews>
  <sheetFormatPr baseColWidth="10" defaultRowHeight="16" x14ac:dyDescent="0.2"/>
  <cols>
    <col min="1" max="1" width="23.83203125" style="26" customWidth="1"/>
    <col min="2" max="2" width="13" style="26" bestFit="1" customWidth="1"/>
    <col min="3" max="3" width="20.6640625" style="26" customWidth="1"/>
    <col min="4" max="4" width="11.33203125" style="26" bestFit="1" customWidth="1"/>
    <col min="5" max="5" width="12.83203125" style="26" bestFit="1" customWidth="1"/>
    <col min="6" max="6" width="25.33203125" style="26" customWidth="1"/>
    <col min="7" max="7" width="13" style="26" bestFit="1" customWidth="1"/>
    <col min="8" max="10" width="12.83203125" style="26" bestFit="1" customWidth="1"/>
    <col min="11" max="11" width="10.83203125" style="26"/>
    <col min="12" max="12" width="13.5" style="26" customWidth="1"/>
    <col min="13" max="13" width="8.5" style="26" bestFit="1" customWidth="1"/>
    <col min="14" max="14" width="10.83203125" style="26" bestFit="1"/>
    <col min="15" max="15" width="13" style="26" customWidth="1"/>
    <col min="16" max="16" width="12.83203125" style="26" bestFit="1" customWidth="1"/>
    <col min="17" max="17" width="9.6640625" style="26" customWidth="1"/>
    <col min="18" max="18" width="11.83203125" style="26" bestFit="1" customWidth="1"/>
    <col min="19" max="19" width="10.1640625" style="26" bestFit="1" customWidth="1"/>
    <col min="20" max="20" width="9" style="26" bestFit="1" customWidth="1"/>
    <col min="21" max="21" width="10.6640625" style="26" bestFit="1" customWidth="1"/>
    <col min="22" max="22" width="10.1640625" style="26" bestFit="1" customWidth="1"/>
    <col min="23" max="23" width="10.83203125" style="26"/>
    <col min="24" max="24" width="11.33203125" style="26" bestFit="1" customWidth="1"/>
    <col min="25" max="25" width="8.5" style="26" bestFit="1" customWidth="1"/>
    <col min="26" max="26" width="10.83203125" style="26"/>
    <col min="27" max="27" width="11.33203125" style="26" bestFit="1" customWidth="1"/>
    <col min="28" max="28" width="8.5" style="26" bestFit="1" customWidth="1"/>
    <col min="29" max="32" width="10.83203125" style="26"/>
    <col min="33" max="33" width="255.83203125" style="78" bestFit="1" customWidth="1"/>
    <col min="34" max="16384" width="10.83203125" style="26"/>
  </cols>
  <sheetData>
    <row r="1" spans="1:33" x14ac:dyDescent="0.2">
      <c r="E1" s="145" t="s">
        <v>31</v>
      </c>
      <c r="F1" s="145"/>
      <c r="AG1" s="74"/>
    </row>
    <row r="2" spans="1:33" ht="19" x14ac:dyDescent="0.2">
      <c r="A2" s="52" t="s">
        <v>102</v>
      </c>
      <c r="C2" s="25" t="s">
        <v>74</v>
      </c>
      <c r="D2" s="25" t="s">
        <v>42</v>
      </c>
      <c r="E2" s="25" t="s">
        <v>81</v>
      </c>
      <c r="F2" s="25" t="s">
        <v>82</v>
      </c>
      <c r="G2" s="25" t="s">
        <v>45</v>
      </c>
      <c r="H2" s="25" t="s">
        <v>46</v>
      </c>
      <c r="I2" s="25" t="s">
        <v>47</v>
      </c>
      <c r="J2" s="27" t="s">
        <v>136</v>
      </c>
      <c r="AG2" s="75" t="s">
        <v>126</v>
      </c>
    </row>
    <row r="3" spans="1:33" ht="19" x14ac:dyDescent="0.2">
      <c r="A3" s="26" t="s">
        <v>51</v>
      </c>
      <c r="B3" s="53">
        <v>45076</v>
      </c>
      <c r="I3" s="26">
        <f>+B8</f>
        <v>100</v>
      </c>
      <c r="J3" s="54"/>
      <c r="Y3" s="71"/>
      <c r="AG3" s="76"/>
    </row>
    <row r="4" spans="1:33" ht="19" x14ac:dyDescent="0.2">
      <c r="A4" s="26" t="s">
        <v>27</v>
      </c>
      <c r="B4" s="53">
        <v>44399</v>
      </c>
      <c r="C4" s="94">
        <f>-YEARFRAC($B$3, D4, 3)*$B$6</f>
        <v>-2.7013698630136984</v>
      </c>
      <c r="D4" s="53">
        <v>44583</v>
      </c>
      <c r="E4" s="26">
        <f>+I3*$B$7/$B$6</f>
        <v>2.875</v>
      </c>
      <c r="F4" s="26">
        <f>+($B$7/$B$6*I3)*(1-$B$11)</f>
        <v>2.15625</v>
      </c>
      <c r="G4" s="26">
        <f>+E4*$B$11</f>
        <v>0.71875</v>
      </c>
      <c r="H4" s="26">
        <v>0</v>
      </c>
      <c r="I4" s="26">
        <f>+I3-H4+G4</f>
        <v>100.71875</v>
      </c>
      <c r="J4" s="56">
        <f>+H4+F4</f>
        <v>2.15625</v>
      </c>
      <c r="R4" s="145" t="s">
        <v>95</v>
      </c>
      <c r="S4" s="145"/>
      <c r="T4" s="145"/>
      <c r="U4" s="145"/>
      <c r="V4" s="145"/>
      <c r="AG4" s="77" t="s">
        <v>127</v>
      </c>
    </row>
    <row r="5" spans="1:33" ht="19" x14ac:dyDescent="0.2">
      <c r="A5" s="26" t="s">
        <v>38</v>
      </c>
      <c r="B5" s="53">
        <v>48392</v>
      </c>
      <c r="C5" s="94">
        <f t="shared" ref="C5:C6" si="0">-YEARFRAC($B$3, D5, 3)*$B$6</f>
        <v>-1.7095890410958905</v>
      </c>
      <c r="D5" s="53">
        <v>44764</v>
      </c>
      <c r="E5" s="26">
        <f t="shared" ref="E5:E25" si="1">+I4*$B$7/$B$6</f>
        <v>2.8956640625000003</v>
      </c>
      <c r="F5" s="26">
        <f t="shared" ref="F5:F11" si="2">+($B$7/$B$6*I4)*(1-$B$11)</f>
        <v>2.1717480468750003</v>
      </c>
      <c r="G5" s="26">
        <f t="shared" ref="G5:G11" si="3">+E5*$B$11</f>
        <v>0.72391601562500008</v>
      </c>
      <c r="H5" s="26">
        <v>0</v>
      </c>
      <c r="I5" s="26">
        <f>+I4-H5+G5</f>
        <v>101.44266601562499</v>
      </c>
      <c r="J5" s="56">
        <f t="shared" ref="J5:J25" si="4">+H5+F5</f>
        <v>2.1717480468750003</v>
      </c>
      <c r="L5" s="145" t="s">
        <v>100</v>
      </c>
      <c r="M5" s="145"/>
      <c r="O5" s="145" t="s">
        <v>78</v>
      </c>
      <c r="P5" s="145"/>
      <c r="R5" s="25" t="s">
        <v>42</v>
      </c>
      <c r="S5" s="25" t="s">
        <v>31</v>
      </c>
      <c r="T5" s="25" t="s">
        <v>135</v>
      </c>
      <c r="U5" s="25" t="s">
        <v>134</v>
      </c>
      <c r="V5" s="25" t="s">
        <v>87</v>
      </c>
      <c r="X5" s="145" t="s">
        <v>133</v>
      </c>
      <c r="Y5" s="145"/>
      <c r="AA5" s="145" t="s">
        <v>88</v>
      </c>
      <c r="AB5" s="145"/>
      <c r="AG5" s="76" t="s">
        <v>128</v>
      </c>
    </row>
    <row r="6" spans="1:33" ht="19" x14ac:dyDescent="0.2">
      <c r="A6" s="26" t="s">
        <v>39</v>
      </c>
      <c r="B6" s="26">
        <v>2</v>
      </c>
      <c r="C6" s="94">
        <f t="shared" si="0"/>
        <v>-0.70136986301369864</v>
      </c>
      <c r="D6" s="53">
        <v>44948</v>
      </c>
      <c r="E6" s="26">
        <f t="shared" si="1"/>
        <v>2.9164766479492186</v>
      </c>
      <c r="F6" s="26">
        <f t="shared" si="2"/>
        <v>2.1873574859619138</v>
      </c>
      <c r="G6" s="26">
        <f t="shared" si="3"/>
        <v>0.72911916198730464</v>
      </c>
      <c r="H6" s="26">
        <v>0</v>
      </c>
      <c r="I6" s="26">
        <f t="shared" ref="I6:I25" si="5">+I5-H6+G6</f>
        <v>102.17178517761229</v>
      </c>
      <c r="J6" s="56">
        <f t="shared" si="4"/>
        <v>2.1873574859619138</v>
      </c>
      <c r="L6" s="69">
        <f>+B3</f>
        <v>45076</v>
      </c>
      <c r="M6" s="83">
        <f>-B18</f>
        <v>-102.38844494816213</v>
      </c>
      <c r="O6" s="69">
        <f>+B3</f>
        <v>45076</v>
      </c>
      <c r="P6" s="70">
        <f>-A18</f>
        <v>-104.2110256601128</v>
      </c>
      <c r="R6" s="90">
        <f>+B3</f>
        <v>45076</v>
      </c>
      <c r="T6" s="70"/>
      <c r="U6" s="70">
        <f>-B18</f>
        <v>-102.38844494816213</v>
      </c>
      <c r="V6" s="70"/>
      <c r="X6" s="69">
        <f>+R6</f>
        <v>45076</v>
      </c>
      <c r="Y6" s="83">
        <v>-102.38844494816213</v>
      </c>
      <c r="AA6" s="69">
        <f>+X6</f>
        <v>45076</v>
      </c>
      <c r="AB6" s="83">
        <v>-117.48300992667293</v>
      </c>
      <c r="AC6" s="83"/>
      <c r="AD6" s="83"/>
      <c r="AE6" s="83"/>
      <c r="AF6" s="83"/>
      <c r="AG6" s="76" t="s">
        <v>129</v>
      </c>
    </row>
    <row r="7" spans="1:33" ht="19" x14ac:dyDescent="0.2">
      <c r="A7" s="26" t="s">
        <v>41</v>
      </c>
      <c r="B7" s="62">
        <v>5.7500000000000002E-2</v>
      </c>
      <c r="C7" s="94">
        <f>+YEARFRAC($B$3, D7, 3)*$B$6</f>
        <v>0.29041095890410956</v>
      </c>
      <c r="D7" s="82">
        <v>45129</v>
      </c>
      <c r="E7" s="26">
        <f t="shared" si="1"/>
        <v>2.9374388238563536</v>
      </c>
      <c r="F7" s="26">
        <f t="shared" si="2"/>
        <v>2.2030791178922651</v>
      </c>
      <c r="G7" s="26">
        <f t="shared" si="3"/>
        <v>0.73435970596408839</v>
      </c>
      <c r="H7" s="26">
        <v>0</v>
      </c>
      <c r="I7" s="26">
        <f t="shared" si="5"/>
        <v>102.90614488357637</v>
      </c>
      <c r="J7" s="56">
        <f t="shared" si="4"/>
        <v>2.2030791178922651</v>
      </c>
      <c r="L7" s="53">
        <f t="shared" ref="L7:L9" si="6">+D7</f>
        <v>45129</v>
      </c>
      <c r="M7" s="57">
        <f t="shared" ref="M7:M9" si="7">+J7</f>
        <v>2.2030791178922651</v>
      </c>
      <c r="N7" s="57"/>
      <c r="O7" s="53">
        <f t="shared" ref="O7:O9" si="8">+D7</f>
        <v>45129</v>
      </c>
      <c r="P7" s="26">
        <f>+J7/((1+($B$10/$B$6))^C7)</f>
        <v>2.1850188058222981</v>
      </c>
      <c r="R7" s="91">
        <f t="shared" ref="R7:R9" si="9">+D7</f>
        <v>45129</v>
      </c>
      <c r="S7" s="71">
        <f>+F7*(1+$B$10/$B$6)^($C$25-$C7)</f>
        <v>3.6712141249291128</v>
      </c>
      <c r="T7" s="71">
        <f>+H7*(1+$B$10/$B$6)^($C$25-$C7)</f>
        <v>0</v>
      </c>
      <c r="U7" s="71">
        <f t="shared" ref="U7:U25" si="10">+J7*(1+$B$10/$B$6)^($C$25-C7)</f>
        <v>3.6712141249291128</v>
      </c>
      <c r="V7" s="71">
        <f>+T7+S7</f>
        <v>3.6712141249291128</v>
      </c>
      <c r="X7" s="53">
        <f t="shared" ref="X7:X9" si="11">+R7</f>
        <v>45129</v>
      </c>
      <c r="Y7" s="57">
        <f t="shared" ref="Y7:Y9" si="12">+M7</f>
        <v>2.2030791178922651</v>
      </c>
      <c r="AA7" s="53">
        <f t="shared" ref="AA7:AA25" si="13">+X7</f>
        <v>45129</v>
      </c>
      <c r="AB7" s="57">
        <f>+M7</f>
        <v>2.2030791178922651</v>
      </c>
      <c r="AC7" s="57"/>
      <c r="AD7" s="57"/>
      <c r="AE7" s="57"/>
      <c r="AF7" s="57"/>
      <c r="AG7" s="76"/>
    </row>
    <row r="8" spans="1:33" ht="19" x14ac:dyDescent="0.2">
      <c r="A8" s="26" t="s">
        <v>43</v>
      </c>
      <c r="B8" s="26">
        <v>100</v>
      </c>
      <c r="C8" s="94">
        <f t="shared" ref="C8:C25" si="14">+YEARFRAC($B$3, D8, 3)*$B$6</f>
        <v>1.2986301369863014</v>
      </c>
      <c r="D8" s="53">
        <v>45313</v>
      </c>
      <c r="E8" s="26">
        <f>+I7*$B$7/$B$6</f>
        <v>2.9585516654028208</v>
      </c>
      <c r="F8" s="26">
        <f t="shared" si="2"/>
        <v>2.2189137490521156</v>
      </c>
      <c r="G8" s="26">
        <f>+E8*$B$11</f>
        <v>0.73963791635070519</v>
      </c>
      <c r="H8" s="26">
        <v>0</v>
      </c>
      <c r="I8" s="26">
        <f t="shared" si="5"/>
        <v>103.64578279992708</v>
      </c>
      <c r="J8" s="56">
        <f t="shared" si="4"/>
        <v>2.2189137490521156</v>
      </c>
      <c r="L8" s="53">
        <f t="shared" si="6"/>
        <v>45313</v>
      </c>
      <c r="M8" s="57">
        <f t="shared" si="7"/>
        <v>2.2189137490521156</v>
      </c>
      <c r="N8" s="57"/>
      <c r="O8" s="53">
        <f t="shared" si="8"/>
        <v>45313</v>
      </c>
      <c r="P8" s="26">
        <f t="shared" ref="P8:P9" si="15">+J8/((1+($B$10/$B$6))^C8)</f>
        <v>2.1387227114716172</v>
      </c>
      <c r="R8" s="91">
        <f t="shared" si="9"/>
        <v>45313</v>
      </c>
      <c r="S8" s="71">
        <f t="shared" ref="S8:S25" si="16">+F8*(1+$B$10/$B$6)^($C$25-$C8)</f>
        <v>3.593428581364738</v>
      </c>
      <c r="T8" s="71">
        <f t="shared" ref="T8:T25" si="17">+H8*(1+$B$10/$B$6)^($C$25-$C8)</f>
        <v>0</v>
      </c>
      <c r="U8" s="71">
        <f t="shared" si="10"/>
        <v>3.593428581364738</v>
      </c>
      <c r="V8" s="71">
        <f t="shared" ref="V8:V25" si="18">+T8+S8</f>
        <v>3.593428581364738</v>
      </c>
      <c r="X8" s="53">
        <f t="shared" si="11"/>
        <v>45313</v>
      </c>
      <c r="Y8" s="57">
        <f t="shared" si="12"/>
        <v>2.2189137490521156</v>
      </c>
      <c r="AA8" s="53">
        <f t="shared" si="13"/>
        <v>45313</v>
      </c>
      <c r="AB8" s="57">
        <f t="shared" ref="AB8:AB25" si="19">+M8</f>
        <v>2.2189137490521156</v>
      </c>
      <c r="AC8" s="57"/>
      <c r="AD8" s="57"/>
      <c r="AE8" s="57"/>
      <c r="AF8" s="57"/>
      <c r="AG8" s="76" t="s">
        <v>130</v>
      </c>
    </row>
    <row r="9" spans="1:33" ht="19" x14ac:dyDescent="0.2">
      <c r="A9" s="26" t="s">
        <v>80</v>
      </c>
      <c r="B9" s="26">
        <v>14</v>
      </c>
      <c r="C9" s="94">
        <f t="shared" si="14"/>
        <v>2.2958904109589042</v>
      </c>
      <c r="D9" s="53">
        <v>45495</v>
      </c>
      <c r="E9" s="26">
        <f t="shared" si="1"/>
        <v>2.9798162554979037</v>
      </c>
      <c r="F9" s="26">
        <f t="shared" si="2"/>
        <v>2.2348621916234279</v>
      </c>
      <c r="G9" s="26">
        <f t="shared" si="3"/>
        <v>0.74495406387447594</v>
      </c>
      <c r="H9" s="26">
        <v>0</v>
      </c>
      <c r="I9" s="26">
        <f t="shared" si="5"/>
        <v>104.39073686380155</v>
      </c>
      <c r="J9" s="56">
        <f t="shared" si="4"/>
        <v>2.2348621916234279</v>
      </c>
      <c r="K9" s="69"/>
      <c r="L9" s="53">
        <f t="shared" si="6"/>
        <v>45495</v>
      </c>
      <c r="M9" s="57">
        <f t="shared" si="7"/>
        <v>2.2348621916234279</v>
      </c>
      <c r="O9" s="53">
        <f t="shared" si="8"/>
        <v>45495</v>
      </c>
      <c r="P9" s="26">
        <f t="shared" si="15"/>
        <v>2.0940579013703098</v>
      </c>
      <c r="R9" s="91">
        <f t="shared" si="9"/>
        <v>45495</v>
      </c>
      <c r="S9" s="71">
        <f t="shared" si="16"/>
        <v>3.5183838809281718</v>
      </c>
      <c r="T9" s="71">
        <f t="shared" si="17"/>
        <v>0</v>
      </c>
      <c r="U9" s="71">
        <f t="shared" si="10"/>
        <v>3.5183838809281718</v>
      </c>
      <c r="V9" s="71">
        <f t="shared" si="18"/>
        <v>3.5183838809281718</v>
      </c>
      <c r="X9" s="53">
        <f t="shared" si="11"/>
        <v>45495</v>
      </c>
      <c r="Y9" s="57">
        <f t="shared" si="12"/>
        <v>2.2348621916234279</v>
      </c>
      <c r="AA9" s="53">
        <f t="shared" si="13"/>
        <v>45495</v>
      </c>
      <c r="AB9" s="57">
        <f t="shared" si="19"/>
        <v>2.2348621916234279</v>
      </c>
      <c r="AC9" s="57"/>
      <c r="AD9" s="57"/>
      <c r="AE9" s="57"/>
      <c r="AF9" s="57"/>
      <c r="AG9" s="76" t="s">
        <v>131</v>
      </c>
    </row>
    <row r="10" spans="1:33" ht="19" x14ac:dyDescent="0.2">
      <c r="A10" s="58" t="s">
        <v>0</v>
      </c>
      <c r="B10" s="59">
        <f>+B7</f>
        <v>5.7500000000000002E-2</v>
      </c>
      <c r="C10" s="94">
        <f t="shared" si="14"/>
        <v>3.3041095890410959</v>
      </c>
      <c r="D10" s="53">
        <v>45679</v>
      </c>
      <c r="E10" s="26">
        <f t="shared" si="1"/>
        <v>3.0012336848342946</v>
      </c>
      <c r="F10" s="26">
        <f t="shared" si="2"/>
        <v>2.2509252636257209</v>
      </c>
      <c r="G10" s="26">
        <f t="shared" si="3"/>
        <v>0.75030842120857366</v>
      </c>
      <c r="H10" s="26">
        <v>0</v>
      </c>
      <c r="I10" s="26">
        <f t="shared" si="5"/>
        <v>105.14104528501012</v>
      </c>
      <c r="J10" s="56">
        <f t="shared" si="4"/>
        <v>2.2509252636257209</v>
      </c>
      <c r="K10" s="53"/>
      <c r="L10" s="53">
        <f t="shared" ref="L10:L25" si="20">+D10</f>
        <v>45679</v>
      </c>
      <c r="M10" s="57">
        <f t="shared" ref="M10:M25" si="21">+J10</f>
        <v>2.2509252636257209</v>
      </c>
      <c r="O10" s="53">
        <f t="shared" ref="O10:O25" si="22">+D10</f>
        <v>45679</v>
      </c>
      <c r="P10" s="26">
        <f t="shared" ref="P10:P25" si="23">+J10/((1+($B$10/$B$6))^C10)</f>
        <v>2.0496890831618351</v>
      </c>
      <c r="R10" s="91">
        <f t="shared" ref="R10:R25" si="24">+D10</f>
        <v>45679</v>
      </c>
      <c r="S10" s="71">
        <f t="shared" si="16"/>
        <v>3.4438364986908527</v>
      </c>
      <c r="T10" s="71">
        <f t="shared" si="17"/>
        <v>0</v>
      </c>
      <c r="U10" s="71">
        <f t="shared" si="10"/>
        <v>3.4438364986908527</v>
      </c>
      <c r="V10" s="71">
        <f t="shared" si="18"/>
        <v>3.4438364986908527</v>
      </c>
      <c r="X10" s="53">
        <f t="shared" ref="X10:X20" si="25">+R10</f>
        <v>45679</v>
      </c>
      <c r="Y10" s="57">
        <f>+M10</f>
        <v>2.2509252636257209</v>
      </c>
      <c r="AA10" s="53">
        <f t="shared" si="13"/>
        <v>45679</v>
      </c>
      <c r="AB10" s="57">
        <f t="shared" si="19"/>
        <v>2.2509252636257209</v>
      </c>
      <c r="AC10" s="57"/>
      <c r="AD10" s="57"/>
      <c r="AE10" s="57"/>
      <c r="AF10" s="57"/>
      <c r="AG10" s="76" t="s">
        <v>132</v>
      </c>
    </row>
    <row r="11" spans="1:33" x14ac:dyDescent="0.2">
      <c r="A11" s="26" t="s">
        <v>44</v>
      </c>
      <c r="B11" s="26">
        <v>0.25</v>
      </c>
      <c r="C11" s="94">
        <f t="shared" si="14"/>
        <v>4.2958904109589042</v>
      </c>
      <c r="D11" s="53">
        <v>45860</v>
      </c>
      <c r="E11" s="26">
        <f t="shared" si="1"/>
        <v>3.022805051944041</v>
      </c>
      <c r="F11" s="26">
        <f t="shared" si="2"/>
        <v>2.267103788958031</v>
      </c>
      <c r="G11" s="26">
        <f t="shared" si="3"/>
        <v>0.75570126298601026</v>
      </c>
      <c r="H11" s="26">
        <v>0</v>
      </c>
      <c r="I11" s="26">
        <f t="shared" si="5"/>
        <v>105.89674654799613</v>
      </c>
      <c r="J11" s="56">
        <f t="shared" si="4"/>
        <v>2.267103788958031</v>
      </c>
      <c r="K11" s="53"/>
      <c r="L11" s="53">
        <f t="shared" si="20"/>
        <v>45860</v>
      </c>
      <c r="M11" s="57">
        <f t="shared" si="21"/>
        <v>2.267103788958031</v>
      </c>
      <c r="O11" s="53">
        <f t="shared" si="22"/>
        <v>45860</v>
      </c>
      <c r="P11" s="26">
        <f t="shared" si="23"/>
        <v>2.0071953575868875</v>
      </c>
      <c r="R11" s="91">
        <f t="shared" si="24"/>
        <v>45860</v>
      </c>
      <c r="S11" s="71">
        <f t="shared" si="16"/>
        <v>3.3724396003502464</v>
      </c>
      <c r="T11" s="71">
        <f t="shared" si="17"/>
        <v>0</v>
      </c>
      <c r="U11" s="71">
        <f t="shared" si="10"/>
        <v>3.3724396003502464</v>
      </c>
      <c r="V11" s="71">
        <f t="shared" si="18"/>
        <v>3.3724396003502464</v>
      </c>
      <c r="X11" s="53">
        <f t="shared" si="25"/>
        <v>45860</v>
      </c>
      <c r="Y11" s="57">
        <f t="shared" ref="Y11:Y20" si="26">+M11</f>
        <v>2.267103788958031</v>
      </c>
      <c r="AA11" s="53">
        <f t="shared" si="13"/>
        <v>45860</v>
      </c>
      <c r="AB11" s="57">
        <f t="shared" si="19"/>
        <v>2.267103788958031</v>
      </c>
      <c r="AC11" s="57"/>
      <c r="AD11" s="57"/>
      <c r="AE11" s="57"/>
      <c r="AF11" s="57"/>
    </row>
    <row r="12" spans="1:33" x14ac:dyDescent="0.2">
      <c r="A12" s="26" t="s">
        <v>98</v>
      </c>
      <c r="B12" s="62" t="s">
        <v>5</v>
      </c>
      <c r="C12" s="94">
        <f t="shared" si="14"/>
        <v>5.3041095890410963</v>
      </c>
      <c r="D12" s="53">
        <v>46044</v>
      </c>
      <c r="E12" s="26">
        <f t="shared" si="1"/>
        <v>3.0445314632548888</v>
      </c>
      <c r="F12" s="26">
        <f>+E12</f>
        <v>3.0445314632548888</v>
      </c>
      <c r="G12" s="26">
        <v>0</v>
      </c>
      <c r="H12" s="26">
        <f>+$I$11/14</f>
        <v>7.5640533248568662</v>
      </c>
      <c r="I12" s="26">
        <f t="shared" si="5"/>
        <v>98.332693223139259</v>
      </c>
      <c r="J12" s="56">
        <f t="shared" si="4"/>
        <v>10.608584788111756</v>
      </c>
      <c r="K12" s="53"/>
      <c r="L12" s="53">
        <f t="shared" si="20"/>
        <v>46044</v>
      </c>
      <c r="M12" s="57">
        <f t="shared" si="21"/>
        <v>10.608584788111756</v>
      </c>
      <c r="O12" s="53">
        <f t="shared" si="22"/>
        <v>46044</v>
      </c>
      <c r="P12" s="26">
        <f t="shared" si="23"/>
        <v>9.1277695698768468</v>
      </c>
      <c r="R12" s="91">
        <f t="shared" si="24"/>
        <v>46044</v>
      </c>
      <c r="S12" s="71">
        <f t="shared" si="16"/>
        <v>4.4013126398827147</v>
      </c>
      <c r="T12" s="71">
        <f t="shared" si="17"/>
        <v>10.934938235733453</v>
      </c>
      <c r="U12" s="71">
        <f t="shared" si="10"/>
        <v>15.336250875616168</v>
      </c>
      <c r="V12" s="71">
        <f t="shared" si="18"/>
        <v>15.336250875616168</v>
      </c>
      <c r="X12" s="53">
        <f t="shared" si="25"/>
        <v>46044</v>
      </c>
      <c r="Y12" s="57">
        <f t="shared" si="26"/>
        <v>10.608584788111756</v>
      </c>
      <c r="AA12" s="53">
        <f t="shared" si="13"/>
        <v>46044</v>
      </c>
      <c r="AB12" s="57">
        <f t="shared" si="19"/>
        <v>10.608584788111756</v>
      </c>
      <c r="AC12" s="57"/>
      <c r="AD12" s="57"/>
      <c r="AE12" s="57"/>
      <c r="AF12" s="57"/>
    </row>
    <row r="13" spans="1:33" x14ac:dyDescent="0.2">
      <c r="C13" s="94">
        <f t="shared" si="14"/>
        <v>6.2958904109589042</v>
      </c>
      <c r="D13" s="53">
        <v>46225</v>
      </c>
      <c r="E13" s="26">
        <f t="shared" si="1"/>
        <v>2.8270649301652537</v>
      </c>
      <c r="F13" s="26">
        <f t="shared" ref="F13:F25" si="27">+E13</f>
        <v>2.8270649301652537</v>
      </c>
      <c r="G13" s="26">
        <v>0</v>
      </c>
      <c r="H13" s="26">
        <f t="shared" ref="H13:H25" si="28">+$I$11/14</f>
        <v>7.5640533248568662</v>
      </c>
      <c r="I13" s="26">
        <f t="shared" si="5"/>
        <v>90.768639898282387</v>
      </c>
      <c r="J13" s="56">
        <f t="shared" si="4"/>
        <v>10.391118255022119</v>
      </c>
      <c r="K13" s="53"/>
      <c r="L13" s="53">
        <f t="shared" si="20"/>
        <v>46225</v>
      </c>
      <c r="M13" s="57">
        <f t="shared" si="21"/>
        <v>10.391118255022119</v>
      </c>
      <c r="O13" s="53">
        <f t="shared" si="22"/>
        <v>46225</v>
      </c>
      <c r="P13" s="26">
        <f t="shared" si="23"/>
        <v>8.6928229028844406</v>
      </c>
      <c r="R13" s="91">
        <f t="shared" si="24"/>
        <v>46225</v>
      </c>
      <c r="S13" s="71">
        <f t="shared" si="16"/>
        <v>3.9736431613862249</v>
      </c>
      <c r="T13" s="71">
        <f t="shared" si="17"/>
        <v>10.631821167588562</v>
      </c>
      <c r="U13" s="71">
        <f t="shared" si="10"/>
        <v>14.605464328974785</v>
      </c>
      <c r="V13" s="71">
        <f t="shared" si="18"/>
        <v>14.605464328974787</v>
      </c>
      <c r="X13" s="53">
        <f t="shared" si="25"/>
        <v>46225</v>
      </c>
      <c r="Y13" s="57">
        <f t="shared" si="26"/>
        <v>10.391118255022119</v>
      </c>
      <c r="AA13" s="53">
        <f t="shared" si="13"/>
        <v>46225</v>
      </c>
      <c r="AB13" s="57">
        <f t="shared" si="19"/>
        <v>10.391118255022119</v>
      </c>
      <c r="AC13" s="57"/>
      <c r="AD13" s="57"/>
      <c r="AE13" s="57"/>
      <c r="AF13" s="57"/>
    </row>
    <row r="14" spans="1:33" x14ac:dyDescent="0.2">
      <c r="A14" s="26" t="s">
        <v>89</v>
      </c>
      <c r="B14" s="26" t="s">
        <v>86</v>
      </c>
      <c r="C14" s="94">
        <f t="shared" si="14"/>
        <v>7.3041095890410963</v>
      </c>
      <c r="D14" s="53">
        <v>46409</v>
      </c>
      <c r="E14" s="26">
        <f>+I13*$B$7/$B$6</f>
        <v>2.6095983970756187</v>
      </c>
      <c r="F14" s="26">
        <f t="shared" si="27"/>
        <v>2.6095983970756187</v>
      </c>
      <c r="G14" s="26">
        <v>0</v>
      </c>
      <c r="H14" s="26">
        <f t="shared" si="28"/>
        <v>7.5640533248568662</v>
      </c>
      <c r="I14" s="26">
        <f>+I13-H14+G14</f>
        <v>83.204586573425516</v>
      </c>
      <c r="J14" s="56">
        <f t="shared" si="4"/>
        <v>10.173651721932485</v>
      </c>
      <c r="K14" s="53"/>
      <c r="L14" s="53">
        <f t="shared" si="20"/>
        <v>46409</v>
      </c>
      <c r="M14" s="57">
        <f t="shared" si="21"/>
        <v>10.173651721932485</v>
      </c>
      <c r="O14" s="53">
        <f t="shared" si="22"/>
        <v>46409</v>
      </c>
      <c r="P14" s="26">
        <f t="shared" si="23"/>
        <v>8.2711212193031258</v>
      </c>
      <c r="R14" s="91">
        <f t="shared" si="24"/>
        <v>46409</v>
      </c>
      <c r="S14" s="71">
        <f t="shared" si="16"/>
        <v>3.564640466375935</v>
      </c>
      <c r="T14" s="71">
        <f t="shared" si="17"/>
        <v>10.332291206886769</v>
      </c>
      <c r="U14" s="71">
        <f t="shared" si="10"/>
        <v>13.896931673262703</v>
      </c>
      <c r="V14" s="71">
        <f t="shared" si="18"/>
        <v>13.896931673262703</v>
      </c>
      <c r="X14" s="53">
        <f t="shared" si="25"/>
        <v>46409</v>
      </c>
      <c r="Y14" s="57">
        <f t="shared" si="26"/>
        <v>10.173651721932485</v>
      </c>
      <c r="AA14" s="53">
        <f t="shared" si="13"/>
        <v>46409</v>
      </c>
      <c r="AB14" s="57">
        <f t="shared" si="19"/>
        <v>10.173651721932485</v>
      </c>
      <c r="AC14" s="57"/>
      <c r="AD14" s="57"/>
      <c r="AE14" s="57"/>
      <c r="AF14" s="57"/>
    </row>
    <row r="15" spans="1:33" x14ac:dyDescent="0.2">
      <c r="A15" s="63" t="s">
        <v>50</v>
      </c>
      <c r="B15" s="63" t="s">
        <v>50</v>
      </c>
      <c r="C15" s="94">
        <f t="shared" si="14"/>
        <v>8.2958904109589042</v>
      </c>
      <c r="D15" s="53">
        <v>46590</v>
      </c>
      <c r="E15" s="26">
        <f t="shared" si="1"/>
        <v>2.3921318639859837</v>
      </c>
      <c r="F15" s="26">
        <f t="shared" si="27"/>
        <v>2.3921318639859837</v>
      </c>
      <c r="G15" s="26">
        <v>0</v>
      </c>
      <c r="H15" s="26">
        <f t="shared" si="28"/>
        <v>7.5640533248568662</v>
      </c>
      <c r="I15" s="26">
        <f t="shared" si="5"/>
        <v>75.640533248568644</v>
      </c>
      <c r="J15" s="56">
        <f t="shared" si="4"/>
        <v>9.9561851888428503</v>
      </c>
      <c r="K15" s="53"/>
      <c r="L15" s="53">
        <f t="shared" si="20"/>
        <v>46590</v>
      </c>
      <c r="M15" s="57">
        <f t="shared" si="21"/>
        <v>9.9561851888428503</v>
      </c>
      <c r="O15" s="53">
        <f t="shared" si="22"/>
        <v>46590</v>
      </c>
      <c r="P15" s="26">
        <f t="shared" si="23"/>
        <v>7.8699471199973097</v>
      </c>
      <c r="R15" s="91">
        <f t="shared" si="24"/>
        <v>46590</v>
      </c>
      <c r="S15" s="71">
        <f t="shared" si="16"/>
        <v>3.1770094065364458</v>
      </c>
      <c r="T15" s="71">
        <f t="shared" si="17"/>
        <v>10.045879546360304</v>
      </c>
      <c r="U15" s="71">
        <f t="shared" si="10"/>
        <v>13.222888952896751</v>
      </c>
      <c r="V15" s="71">
        <f t="shared" si="18"/>
        <v>13.222888952896749</v>
      </c>
      <c r="X15" s="53">
        <f t="shared" si="25"/>
        <v>46590</v>
      </c>
      <c r="Y15" s="57">
        <f t="shared" si="26"/>
        <v>9.9561851888428503</v>
      </c>
      <c r="AA15" s="53">
        <f t="shared" si="13"/>
        <v>46590</v>
      </c>
      <c r="AB15" s="57">
        <f t="shared" si="19"/>
        <v>9.9561851888428503</v>
      </c>
      <c r="AC15" s="57"/>
      <c r="AD15" s="57"/>
      <c r="AE15" s="57"/>
      <c r="AF15" s="57"/>
    </row>
    <row r="16" spans="1:33" x14ac:dyDescent="0.2">
      <c r="A16" s="64">
        <f>+E7/180*DAYS360($D$6, $B$3)</f>
        <v>2.0888453858534071</v>
      </c>
      <c r="B16" s="64">
        <f>+F7/180*DAYS360($D$6, $B$3)</f>
        <v>1.5666340393900551</v>
      </c>
      <c r="C16" s="94">
        <f t="shared" si="14"/>
        <v>9.3041095890410954</v>
      </c>
      <c r="D16" s="53">
        <v>46774</v>
      </c>
      <c r="E16" s="26">
        <f t="shared" si="1"/>
        <v>2.1746653308963486</v>
      </c>
      <c r="F16" s="26">
        <f t="shared" si="27"/>
        <v>2.1746653308963486</v>
      </c>
      <c r="G16" s="26">
        <v>0</v>
      </c>
      <c r="H16" s="26">
        <f t="shared" si="28"/>
        <v>7.5640533248568662</v>
      </c>
      <c r="I16" s="26">
        <f t="shared" si="5"/>
        <v>68.076479923711773</v>
      </c>
      <c r="J16" s="56">
        <f t="shared" si="4"/>
        <v>9.7387186557532139</v>
      </c>
      <c r="K16" s="53"/>
      <c r="L16" s="53">
        <f t="shared" si="20"/>
        <v>46774</v>
      </c>
      <c r="M16" s="57">
        <f t="shared" si="21"/>
        <v>9.7387186557532139</v>
      </c>
      <c r="O16" s="53">
        <f t="shared" si="22"/>
        <v>46774</v>
      </c>
      <c r="P16" s="26">
        <f t="shared" si="23"/>
        <v>7.4811720510532735</v>
      </c>
      <c r="R16" s="91">
        <f t="shared" si="24"/>
        <v>46774</v>
      </c>
      <c r="S16" s="71">
        <f t="shared" si="16"/>
        <v>2.8068214738585904</v>
      </c>
      <c r="T16" s="71">
        <f t="shared" si="17"/>
        <v>9.762857300377707</v>
      </c>
      <c r="U16" s="71">
        <f t="shared" si="10"/>
        <v>12.569678774236296</v>
      </c>
      <c r="V16" s="71">
        <f t="shared" si="18"/>
        <v>12.569678774236298</v>
      </c>
      <c r="X16" s="53">
        <f t="shared" si="25"/>
        <v>46774</v>
      </c>
      <c r="Y16" s="57">
        <f t="shared" si="26"/>
        <v>9.7387186557532139</v>
      </c>
      <c r="AA16" s="53">
        <f t="shared" si="13"/>
        <v>46774</v>
      </c>
      <c r="AB16" s="57">
        <f t="shared" si="19"/>
        <v>9.7387186557532139</v>
      </c>
      <c r="AC16" s="57"/>
      <c r="AD16" s="57"/>
      <c r="AE16" s="57"/>
      <c r="AF16" s="57"/>
    </row>
    <row r="17" spans="1:32" x14ac:dyDescent="0.2">
      <c r="A17" s="65" t="s">
        <v>83</v>
      </c>
      <c r="B17" s="65" t="s">
        <v>83</v>
      </c>
      <c r="C17" s="94">
        <f t="shared" si="14"/>
        <v>10.301369863013699</v>
      </c>
      <c r="D17" s="53">
        <v>46956</v>
      </c>
      <c r="E17" s="26">
        <f t="shared" si="1"/>
        <v>1.9571987978067136</v>
      </c>
      <c r="F17" s="26">
        <f t="shared" si="27"/>
        <v>1.9571987978067136</v>
      </c>
      <c r="G17" s="26">
        <v>0</v>
      </c>
      <c r="H17" s="26">
        <f t="shared" si="28"/>
        <v>7.5640533248568662</v>
      </c>
      <c r="I17" s="26">
        <f t="shared" si="5"/>
        <v>60.512426598854908</v>
      </c>
      <c r="J17" s="56">
        <f t="shared" si="4"/>
        <v>9.5212521226635793</v>
      </c>
      <c r="K17" s="53"/>
      <c r="L17" s="53">
        <f t="shared" si="20"/>
        <v>46956</v>
      </c>
      <c r="M17" s="57">
        <f t="shared" si="21"/>
        <v>9.5212521226635793</v>
      </c>
      <c r="O17" s="53">
        <f t="shared" si="22"/>
        <v>46956</v>
      </c>
      <c r="P17" s="26">
        <f t="shared" si="23"/>
        <v>7.1102646518515007</v>
      </c>
      <c r="R17" s="91">
        <f t="shared" si="24"/>
        <v>46956</v>
      </c>
      <c r="S17" s="71">
        <f t="shared" si="16"/>
        <v>2.4557331754010399</v>
      </c>
      <c r="T17" s="71">
        <f t="shared" si="17"/>
        <v>9.4907562334339737</v>
      </c>
      <c r="U17" s="71">
        <f t="shared" si="10"/>
        <v>11.946489408835014</v>
      </c>
      <c r="V17" s="71">
        <f t="shared" si="18"/>
        <v>11.946489408835014</v>
      </c>
      <c r="X17" s="53">
        <f t="shared" si="25"/>
        <v>46956</v>
      </c>
      <c r="Y17" s="57">
        <f t="shared" si="26"/>
        <v>9.5212521226635793</v>
      </c>
      <c r="AA17" s="53">
        <f t="shared" si="13"/>
        <v>46956</v>
      </c>
      <c r="AB17" s="57">
        <f t="shared" si="19"/>
        <v>9.5212521226635793</v>
      </c>
      <c r="AC17" s="57"/>
      <c r="AD17" s="57"/>
      <c r="AE17" s="57"/>
      <c r="AF17" s="57"/>
    </row>
    <row r="18" spans="1:32" x14ac:dyDescent="0.2">
      <c r="A18" s="64">
        <f>+P29</f>
        <v>104.2110256601128</v>
      </c>
      <c r="B18" s="64">
        <f>-Y6</f>
        <v>102.38844494816213</v>
      </c>
      <c r="C18" s="94">
        <f t="shared" si="14"/>
        <v>11.30958904109589</v>
      </c>
      <c r="D18" s="53">
        <v>47140</v>
      </c>
      <c r="E18" s="26">
        <f t="shared" si="1"/>
        <v>1.7397322647170788</v>
      </c>
      <c r="F18" s="26">
        <f t="shared" si="27"/>
        <v>1.7397322647170788</v>
      </c>
      <c r="G18" s="26">
        <v>0</v>
      </c>
      <c r="H18" s="26">
        <f t="shared" si="28"/>
        <v>7.5640533248568662</v>
      </c>
      <c r="I18" s="26">
        <f t="shared" si="5"/>
        <v>52.948373273998044</v>
      </c>
      <c r="J18" s="56">
        <f t="shared" si="4"/>
        <v>9.3037855895739447</v>
      </c>
      <c r="K18" s="53"/>
      <c r="L18" s="53">
        <f t="shared" si="20"/>
        <v>47140</v>
      </c>
      <c r="M18" s="57">
        <f t="shared" si="21"/>
        <v>9.3037855895739447</v>
      </c>
      <c r="O18" s="53">
        <f t="shared" si="22"/>
        <v>47140</v>
      </c>
      <c r="P18" s="26">
        <f t="shared" si="23"/>
        <v>6.7521233693810077</v>
      </c>
      <c r="R18" s="91">
        <f t="shared" si="24"/>
        <v>47140</v>
      </c>
      <c r="S18" s="71">
        <f t="shared" si="16"/>
        <v>2.1213758955579913</v>
      </c>
      <c r="T18" s="71">
        <f t="shared" si="17"/>
        <v>9.2233734589477905</v>
      </c>
      <c r="U18" s="71">
        <f t="shared" si="10"/>
        <v>11.344749354505781</v>
      </c>
      <c r="V18" s="71">
        <f t="shared" si="18"/>
        <v>11.344749354505781</v>
      </c>
      <c r="X18" s="53">
        <f t="shared" si="25"/>
        <v>47140</v>
      </c>
      <c r="Y18" s="57">
        <f t="shared" si="26"/>
        <v>9.3037855895739447</v>
      </c>
      <c r="AA18" s="53">
        <f t="shared" si="13"/>
        <v>47140</v>
      </c>
      <c r="AB18" s="57">
        <f t="shared" si="19"/>
        <v>9.3037855895739447</v>
      </c>
      <c r="AC18" s="57"/>
      <c r="AD18" s="57"/>
      <c r="AE18" s="57"/>
      <c r="AF18" s="57"/>
    </row>
    <row r="19" spans="1:32" x14ac:dyDescent="0.2">
      <c r="A19" s="63" t="s">
        <v>84</v>
      </c>
      <c r="B19" s="63" t="s">
        <v>84</v>
      </c>
      <c r="C19" s="94">
        <f t="shared" si="14"/>
        <v>12.301369863013699</v>
      </c>
      <c r="D19" s="53">
        <v>47321</v>
      </c>
      <c r="E19" s="26">
        <f t="shared" si="1"/>
        <v>1.5222657316274437</v>
      </c>
      <c r="F19" s="26">
        <f t="shared" si="27"/>
        <v>1.5222657316274437</v>
      </c>
      <c r="G19" s="26">
        <v>0</v>
      </c>
      <c r="H19" s="26">
        <f t="shared" si="28"/>
        <v>7.5640533248568662</v>
      </c>
      <c r="I19" s="26">
        <f t="shared" si="5"/>
        <v>45.38431994914118</v>
      </c>
      <c r="J19" s="56">
        <f t="shared" si="4"/>
        <v>9.0863190564843102</v>
      </c>
      <c r="K19" s="53"/>
      <c r="L19" s="53">
        <f t="shared" si="20"/>
        <v>47321</v>
      </c>
      <c r="M19" s="57">
        <f t="shared" si="21"/>
        <v>9.0863190564843102</v>
      </c>
      <c r="O19" s="53">
        <f t="shared" si="22"/>
        <v>47321</v>
      </c>
      <c r="P19" s="26">
        <f t="shared" si="23"/>
        <v>6.4115050197028545</v>
      </c>
      <c r="R19" s="91">
        <f t="shared" si="24"/>
        <v>47321</v>
      </c>
      <c r="S19" s="71">
        <f t="shared" si="16"/>
        <v>1.8047498377690832</v>
      </c>
      <c r="T19" s="71">
        <f t="shared" si="17"/>
        <v>8.967701057237683</v>
      </c>
      <c r="U19" s="71">
        <f t="shared" si="10"/>
        <v>10.772450895006767</v>
      </c>
      <c r="V19" s="71">
        <f t="shared" si="18"/>
        <v>10.772450895006767</v>
      </c>
      <c r="X19" s="53">
        <f t="shared" si="25"/>
        <v>47321</v>
      </c>
      <c r="Y19" s="57">
        <f t="shared" si="26"/>
        <v>9.0863190564843102</v>
      </c>
      <c r="AA19" s="53">
        <f t="shared" si="13"/>
        <v>47321</v>
      </c>
      <c r="AB19" s="57">
        <f t="shared" si="19"/>
        <v>9.0863190564843102</v>
      </c>
      <c r="AC19" s="57"/>
      <c r="AD19" s="57"/>
      <c r="AE19" s="57"/>
      <c r="AF19" s="57"/>
    </row>
    <row r="20" spans="1:32" x14ac:dyDescent="0.2">
      <c r="A20" s="64">
        <f>+A18+A16</f>
        <v>106.2998710459662</v>
      </c>
      <c r="B20" s="64">
        <f>+B18+B16</f>
        <v>103.95507898755218</v>
      </c>
      <c r="C20" s="94">
        <f t="shared" si="14"/>
        <v>13.30958904109589</v>
      </c>
      <c r="D20" s="53">
        <v>47505</v>
      </c>
      <c r="E20" s="26">
        <f t="shared" si="1"/>
        <v>1.3047991985378089</v>
      </c>
      <c r="F20" s="26">
        <f t="shared" si="27"/>
        <v>1.3047991985378089</v>
      </c>
      <c r="G20" s="26">
        <v>0</v>
      </c>
      <c r="H20" s="26">
        <f t="shared" si="28"/>
        <v>7.5640533248568662</v>
      </c>
      <c r="I20" s="26">
        <f t="shared" si="5"/>
        <v>37.820266624284315</v>
      </c>
      <c r="J20" s="56">
        <f t="shared" si="4"/>
        <v>8.8688525233946756</v>
      </c>
      <c r="K20" s="53"/>
      <c r="L20" s="53">
        <f t="shared" si="20"/>
        <v>47505</v>
      </c>
      <c r="M20" s="57">
        <f t="shared" si="21"/>
        <v>8.8688525233946756</v>
      </c>
      <c r="O20" s="53">
        <f t="shared" si="22"/>
        <v>47505</v>
      </c>
      <c r="P20" s="26">
        <f t="shared" si="23"/>
        <v>6.0817478779763992</v>
      </c>
      <c r="R20" s="91">
        <f t="shared" si="24"/>
        <v>47505</v>
      </c>
      <c r="S20" s="71">
        <f t="shared" si="16"/>
        <v>1.5033468666893572</v>
      </c>
      <c r="T20" s="71">
        <f t="shared" si="17"/>
        <v>8.7150542996484504</v>
      </c>
      <c r="U20" s="71">
        <f t="shared" si="10"/>
        <v>10.218401166337808</v>
      </c>
      <c r="V20" s="71">
        <f t="shared" si="18"/>
        <v>10.218401166337808</v>
      </c>
      <c r="X20" s="53">
        <f t="shared" si="25"/>
        <v>47505</v>
      </c>
      <c r="Y20" s="57">
        <f t="shared" si="26"/>
        <v>8.8688525233946756</v>
      </c>
      <c r="AA20" s="53">
        <f t="shared" si="13"/>
        <v>47505</v>
      </c>
      <c r="AB20" s="57">
        <f t="shared" si="19"/>
        <v>8.8688525233946756</v>
      </c>
      <c r="AC20" s="57"/>
      <c r="AD20" s="57"/>
      <c r="AE20" s="57"/>
      <c r="AF20" s="57"/>
    </row>
    <row r="21" spans="1:32" x14ac:dyDescent="0.2">
      <c r="C21" s="94">
        <f t="shared" si="14"/>
        <v>14.301369863013699</v>
      </c>
      <c r="D21" s="53">
        <v>47686</v>
      </c>
      <c r="E21" s="26">
        <f t="shared" si="1"/>
        <v>1.0873326654481741</v>
      </c>
      <c r="F21" s="26">
        <f t="shared" si="27"/>
        <v>1.0873326654481741</v>
      </c>
      <c r="G21" s="26">
        <v>0</v>
      </c>
      <c r="H21" s="26">
        <f t="shared" si="28"/>
        <v>7.5640533248568662</v>
      </c>
      <c r="I21" s="26">
        <f t="shared" si="5"/>
        <v>30.256213299427451</v>
      </c>
      <c r="J21" s="56">
        <f t="shared" si="4"/>
        <v>8.651385990305041</v>
      </c>
      <c r="K21" s="53"/>
      <c r="L21" s="53">
        <f t="shared" si="20"/>
        <v>47686</v>
      </c>
      <c r="M21" s="57">
        <f t="shared" si="21"/>
        <v>8.651385990305041</v>
      </c>
      <c r="N21" s="57"/>
      <c r="O21" s="53">
        <f t="shared" si="22"/>
        <v>47686</v>
      </c>
      <c r="P21" s="26">
        <f t="shared" si="23"/>
        <v>5.7681692710352763</v>
      </c>
      <c r="R21" s="91">
        <f t="shared" si="24"/>
        <v>47686</v>
      </c>
      <c r="S21" s="71">
        <f t="shared" si="16"/>
        <v>1.2180616764760797</v>
      </c>
      <c r="T21" s="71">
        <f t="shared" si="17"/>
        <v>8.4734725320075128</v>
      </c>
      <c r="U21" s="71">
        <f t="shared" si="10"/>
        <v>9.6915342084835938</v>
      </c>
      <c r="V21" s="71">
        <f t="shared" si="18"/>
        <v>9.691534208483592</v>
      </c>
      <c r="X21" s="53">
        <f t="shared" ref="X21:X25" si="29">+R21</f>
        <v>47686</v>
      </c>
      <c r="Y21" s="57">
        <f t="shared" ref="Y21:Y25" si="30">+M21</f>
        <v>8.651385990305041</v>
      </c>
      <c r="AA21" s="53">
        <f t="shared" si="13"/>
        <v>47686</v>
      </c>
      <c r="AB21" s="57">
        <f t="shared" si="19"/>
        <v>8.651385990305041</v>
      </c>
      <c r="AC21" s="57"/>
      <c r="AD21" s="57"/>
      <c r="AE21" s="57"/>
      <c r="AF21" s="57"/>
    </row>
    <row r="22" spans="1:32" x14ac:dyDescent="0.2">
      <c r="A22" s="71"/>
      <c r="B22" s="81"/>
      <c r="C22" s="94">
        <f t="shared" si="14"/>
        <v>15.30958904109589</v>
      </c>
      <c r="D22" s="53">
        <v>47870</v>
      </c>
      <c r="E22" s="26">
        <f t="shared" si="1"/>
        <v>0.86986613235853927</v>
      </c>
      <c r="F22" s="26">
        <f t="shared" si="27"/>
        <v>0.86986613235853927</v>
      </c>
      <c r="G22" s="26">
        <v>0</v>
      </c>
      <c r="H22" s="26">
        <f t="shared" si="28"/>
        <v>7.5640533248568662</v>
      </c>
      <c r="I22" s="26">
        <f t="shared" si="5"/>
        <v>22.692159974570586</v>
      </c>
      <c r="J22" s="56">
        <f t="shared" si="4"/>
        <v>8.4339194572154064</v>
      </c>
      <c r="K22" s="53"/>
      <c r="L22" s="53">
        <f t="shared" si="20"/>
        <v>47870</v>
      </c>
      <c r="M22" s="57">
        <f t="shared" si="21"/>
        <v>8.4339194572154064</v>
      </c>
      <c r="N22" s="57"/>
      <c r="O22" s="53">
        <f t="shared" si="22"/>
        <v>47870</v>
      </c>
      <c r="P22" s="26">
        <f t="shared" si="23"/>
        <v>5.4647554495688659</v>
      </c>
      <c r="R22" s="91">
        <f t="shared" si="24"/>
        <v>47870</v>
      </c>
      <c r="S22" s="71">
        <f t="shared" si="16"/>
        <v>0.94699621078401419</v>
      </c>
      <c r="T22" s="71">
        <f t="shared" si="17"/>
        <v>8.2347496589914311</v>
      </c>
      <c r="U22" s="71">
        <f t="shared" si="10"/>
        <v>9.1817458697754475</v>
      </c>
      <c r="V22" s="71">
        <f t="shared" si="18"/>
        <v>9.1817458697754457</v>
      </c>
      <c r="X22" s="53">
        <f t="shared" si="29"/>
        <v>47870</v>
      </c>
      <c r="Y22" s="57">
        <f t="shared" si="30"/>
        <v>8.4339194572154064</v>
      </c>
      <c r="AA22" s="53">
        <f t="shared" si="13"/>
        <v>47870</v>
      </c>
      <c r="AB22" s="57">
        <f t="shared" si="19"/>
        <v>8.4339194572154064</v>
      </c>
      <c r="AC22" s="57"/>
      <c r="AD22" s="57"/>
      <c r="AE22" s="57"/>
      <c r="AF22" s="57"/>
    </row>
    <row r="23" spans="1:32" x14ac:dyDescent="0.2">
      <c r="A23" s="93">
        <f>+E7/180*DAYS360($D$6, $B$3)</f>
        <v>2.0888453858534071</v>
      </c>
      <c r="C23" s="94">
        <f t="shared" si="14"/>
        <v>16.301369863013697</v>
      </c>
      <c r="D23" s="53">
        <v>48051</v>
      </c>
      <c r="E23" s="26">
        <f t="shared" si="1"/>
        <v>0.65239959926890434</v>
      </c>
      <c r="F23" s="26">
        <f t="shared" si="27"/>
        <v>0.65239959926890434</v>
      </c>
      <c r="G23" s="26">
        <v>0</v>
      </c>
      <c r="H23" s="26">
        <f t="shared" si="28"/>
        <v>7.5640533248568662</v>
      </c>
      <c r="I23" s="26">
        <f>+I22-H23+G23</f>
        <v>15.12810664971372</v>
      </c>
      <c r="J23" s="56">
        <f t="shared" si="4"/>
        <v>8.21645292412577</v>
      </c>
      <c r="K23" s="53"/>
      <c r="L23" s="53">
        <f t="shared" si="20"/>
        <v>48051</v>
      </c>
      <c r="M23" s="57">
        <f t="shared" si="21"/>
        <v>8.21645292412577</v>
      </c>
      <c r="N23" s="57"/>
      <c r="O23" s="53">
        <f t="shared" si="22"/>
        <v>48051</v>
      </c>
      <c r="P23" s="26">
        <f t="shared" si="23"/>
        <v>5.176270726882036</v>
      </c>
      <c r="R23" s="91">
        <f t="shared" si="24"/>
        <v>48051</v>
      </c>
      <c r="S23" s="71">
        <f t="shared" si="16"/>
        <v>0.69055906917733401</v>
      </c>
      <c r="T23" s="71">
        <f t="shared" si="17"/>
        <v>8.0064819614763412</v>
      </c>
      <c r="U23" s="71">
        <f t="shared" si="10"/>
        <v>8.6970410306536738</v>
      </c>
      <c r="V23" s="71">
        <f t="shared" si="18"/>
        <v>8.6970410306536756</v>
      </c>
      <c r="X23" s="53">
        <f t="shared" si="29"/>
        <v>48051</v>
      </c>
      <c r="Y23" s="57">
        <f t="shared" si="30"/>
        <v>8.21645292412577</v>
      </c>
      <c r="AA23" s="53">
        <f t="shared" si="13"/>
        <v>48051</v>
      </c>
      <c r="AB23" s="57">
        <f t="shared" si="19"/>
        <v>8.21645292412577</v>
      </c>
      <c r="AC23" s="57"/>
      <c r="AD23" s="57"/>
      <c r="AE23" s="57"/>
      <c r="AF23" s="57"/>
    </row>
    <row r="24" spans="1:32" x14ac:dyDescent="0.2">
      <c r="A24" s="71">
        <f>+E7*YEARFRAC($D$6, $B$3, 2)*2</f>
        <v>2.0888453858534071</v>
      </c>
      <c r="C24" s="94">
        <f t="shared" si="14"/>
        <v>17.30958904109589</v>
      </c>
      <c r="D24" s="53">
        <v>48235</v>
      </c>
      <c r="E24" s="26">
        <f t="shared" si="1"/>
        <v>0.43493306617926947</v>
      </c>
      <c r="F24" s="26">
        <f t="shared" si="27"/>
        <v>0.43493306617926947</v>
      </c>
      <c r="G24" s="26">
        <v>0</v>
      </c>
      <c r="H24" s="26">
        <f t="shared" si="28"/>
        <v>7.5640533248568662</v>
      </c>
      <c r="I24" s="26">
        <f t="shared" si="5"/>
        <v>7.5640533248568538</v>
      </c>
      <c r="J24" s="56">
        <f t="shared" si="4"/>
        <v>7.9989863910361354</v>
      </c>
      <c r="K24" s="53"/>
      <c r="L24" s="53">
        <f t="shared" si="20"/>
        <v>48235</v>
      </c>
      <c r="M24" s="57">
        <f t="shared" si="21"/>
        <v>7.9989863910361354</v>
      </c>
      <c r="N24" s="57"/>
      <c r="O24" s="53">
        <f t="shared" si="22"/>
        <v>48235</v>
      </c>
      <c r="P24" s="26">
        <f t="shared" si="23"/>
        <v>4.8972981405764147</v>
      </c>
      <c r="R24" s="91">
        <f t="shared" si="24"/>
        <v>48235</v>
      </c>
      <c r="S24" s="71">
        <f t="shared" si="16"/>
        <v>0.44740264694245258</v>
      </c>
      <c r="T24" s="71">
        <f t="shared" si="17"/>
        <v>7.7809155989991812</v>
      </c>
      <c r="U24" s="71">
        <f t="shared" si="10"/>
        <v>8.2283182459416331</v>
      </c>
      <c r="V24" s="71">
        <f t="shared" si="18"/>
        <v>8.2283182459416331</v>
      </c>
      <c r="X24" s="53">
        <f t="shared" si="29"/>
        <v>48235</v>
      </c>
      <c r="Y24" s="57">
        <f t="shared" si="30"/>
        <v>7.9989863910361354</v>
      </c>
      <c r="AA24" s="53">
        <f t="shared" si="13"/>
        <v>48235</v>
      </c>
      <c r="AB24" s="57">
        <f t="shared" si="19"/>
        <v>7.9989863910361354</v>
      </c>
      <c r="AC24" s="57"/>
      <c r="AD24" s="57"/>
      <c r="AE24" s="57"/>
      <c r="AF24" s="57"/>
    </row>
    <row r="25" spans="1:32" x14ac:dyDescent="0.2">
      <c r="A25" s="92"/>
      <c r="C25" s="94">
        <f t="shared" si="14"/>
        <v>18.306849315068494</v>
      </c>
      <c r="D25" s="53">
        <v>48417</v>
      </c>
      <c r="E25" s="26">
        <f t="shared" si="1"/>
        <v>0.21746653308963457</v>
      </c>
      <c r="F25" s="26">
        <f t="shared" si="27"/>
        <v>0.21746653308963457</v>
      </c>
      <c r="G25" s="26">
        <v>0</v>
      </c>
      <c r="H25" s="26">
        <f t="shared" si="28"/>
        <v>7.5640533248568662</v>
      </c>
      <c r="I25" s="26">
        <f t="shared" si="5"/>
        <v>-1.2434497875801753E-14</v>
      </c>
      <c r="J25" s="56">
        <f t="shared" si="4"/>
        <v>7.7815198579465008</v>
      </c>
      <c r="K25" s="53"/>
      <c r="L25" s="53">
        <f t="shared" si="20"/>
        <v>48417</v>
      </c>
      <c r="M25" s="57">
        <f t="shared" si="21"/>
        <v>7.7815198579465008</v>
      </c>
      <c r="O25" s="53">
        <f t="shared" si="22"/>
        <v>48417</v>
      </c>
      <c r="P25" s="26">
        <f t="shared" si="23"/>
        <v>4.6313744306104905</v>
      </c>
      <c r="R25" s="91">
        <f t="shared" si="24"/>
        <v>48417</v>
      </c>
      <c r="S25" s="71">
        <f t="shared" si="16"/>
        <v>0.21746653308963457</v>
      </c>
      <c r="T25" s="71">
        <f t="shared" si="17"/>
        <v>7.5640533248568662</v>
      </c>
      <c r="U25" s="71">
        <f t="shared" si="10"/>
        <v>7.7815198579465008</v>
      </c>
      <c r="V25" s="71">
        <f t="shared" si="18"/>
        <v>7.7815198579465008</v>
      </c>
      <c r="X25" s="53">
        <f t="shared" si="29"/>
        <v>48417</v>
      </c>
      <c r="Y25" s="57">
        <f t="shared" si="30"/>
        <v>7.7815198579465008</v>
      </c>
      <c r="AA25" s="53">
        <f t="shared" si="13"/>
        <v>48417</v>
      </c>
      <c r="AB25" s="57">
        <f t="shared" si="19"/>
        <v>7.7815198579465008</v>
      </c>
      <c r="AC25" s="57"/>
      <c r="AD25" s="57"/>
      <c r="AE25" s="57"/>
      <c r="AF25" s="57"/>
    </row>
    <row r="26" spans="1:32" x14ac:dyDescent="0.2">
      <c r="R26" s="53"/>
      <c r="S26" s="71"/>
      <c r="T26" s="71"/>
      <c r="U26" s="71"/>
      <c r="V26" s="71"/>
      <c r="X26" s="69"/>
      <c r="Y26" s="57"/>
      <c r="AA26" s="69"/>
      <c r="AB26" s="57"/>
      <c r="AC26" s="57"/>
      <c r="AD26" s="57"/>
      <c r="AE26" s="57"/>
      <c r="AF26" s="57"/>
    </row>
    <row r="29" spans="1:32" x14ac:dyDescent="0.2">
      <c r="K29" s="79"/>
      <c r="L29" s="66" t="s">
        <v>76</v>
      </c>
      <c r="M29" s="72">
        <f>+XIRR(M6:M25, L6:L25)</f>
        <v>6.2040904164314278E-2</v>
      </c>
      <c r="O29" s="66" t="s">
        <v>49</v>
      </c>
      <c r="P29" s="89">
        <f>+SUM(P7:P25)</f>
        <v>104.2110256601128</v>
      </c>
      <c r="R29" s="86" t="s">
        <v>70</v>
      </c>
      <c r="S29" s="86"/>
      <c r="T29" s="86"/>
      <c r="U29" s="86"/>
      <c r="V29" s="87">
        <f>+SUM(S7:S25)</f>
        <v>46.928421746190011</v>
      </c>
      <c r="X29" s="66" t="s">
        <v>76</v>
      </c>
      <c r="Y29" s="72">
        <f>+XIRR(Y6:Y25, X6:X25)</f>
        <v>6.2040904164314278E-2</v>
      </c>
      <c r="AA29" s="66" t="s">
        <v>76</v>
      </c>
      <c r="AB29" s="72">
        <f>+XIRR(AB6:AB25, AA6:AA25)</f>
        <v>3.3777770400047299E-2</v>
      </c>
      <c r="AC29" s="84"/>
      <c r="AD29" s="84"/>
      <c r="AE29" s="84"/>
      <c r="AF29" s="84"/>
    </row>
    <row r="30" spans="1:32" x14ac:dyDescent="0.2">
      <c r="K30" s="79"/>
      <c r="L30" s="66" t="s">
        <v>77</v>
      </c>
      <c r="M30" s="73">
        <f>+XNPV($B$10/2, M6:M25, L6:L25)</f>
        <v>18.101109128110831</v>
      </c>
      <c r="R30" s="86" t="s">
        <v>107</v>
      </c>
      <c r="S30" s="86"/>
      <c r="T30" s="86"/>
      <c r="U30" s="86"/>
      <c r="V30" s="87">
        <f>+SUM(U7:U25)</f>
        <v>175.09276732873607</v>
      </c>
      <c r="X30" s="66" t="s">
        <v>77</v>
      </c>
      <c r="Y30" s="73">
        <f>+XNPV($B$10/2, Y6:Y25, X6:X25)</f>
        <v>18.101109128110831</v>
      </c>
      <c r="AA30" s="66" t="s">
        <v>77</v>
      </c>
      <c r="AB30" s="73">
        <f>+XNPV($B$10/2, AB6:AB25, AA6:AA25)</f>
        <v>3.0065441496000167</v>
      </c>
      <c r="AC30" s="85"/>
      <c r="AD30" s="85"/>
      <c r="AE30" s="85"/>
      <c r="AF30" s="85"/>
    </row>
    <row r="31" spans="1:32" x14ac:dyDescent="0.2">
      <c r="R31" s="86" t="s">
        <v>72</v>
      </c>
      <c r="S31" s="86"/>
      <c r="T31" s="86"/>
      <c r="U31" s="86"/>
      <c r="V31" s="88">
        <f>+( ( (  V30 / (-U6) ) ^ (1/(C25-C7)) )  -1 )*2</f>
        <v>6.0457151273329846E-2</v>
      </c>
    </row>
    <row r="32" spans="1:32" ht="51" x14ac:dyDescent="0.2">
      <c r="R32" s="67" t="s">
        <v>101</v>
      </c>
      <c r="S32" s="86"/>
      <c r="T32" s="86"/>
      <c r="U32" s="86"/>
      <c r="V32" s="26">
        <f>+SUM(F7:F25)</f>
        <v>34.008870085563217</v>
      </c>
    </row>
    <row r="33" spans="18:22" ht="51" x14ac:dyDescent="0.2">
      <c r="R33" s="67" t="s">
        <v>96</v>
      </c>
      <c r="S33" s="86"/>
      <c r="T33" s="86"/>
      <c r="U33" s="86"/>
      <c r="V33" s="80">
        <f>+V29-V32</f>
        <v>12.919551660626794</v>
      </c>
    </row>
    <row r="34" spans="18:22" ht="34" x14ac:dyDescent="0.2">
      <c r="R34" s="68" t="s">
        <v>97</v>
      </c>
      <c r="S34" s="86"/>
      <c r="T34" s="86"/>
      <c r="U34" s="86"/>
      <c r="V34" s="80">
        <f>+SUM(H9:H25)+U6</f>
        <v>3.508301599834013</v>
      </c>
    </row>
  </sheetData>
  <mergeCells count="6">
    <mergeCell ref="E1:F1"/>
    <mergeCell ref="L5:M5"/>
    <mergeCell ref="O5:P5"/>
    <mergeCell ref="X5:Y5"/>
    <mergeCell ref="AA5:AB5"/>
    <mergeCell ref="R4:V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B509A-478C-1C4D-A2D1-108C6760F621}">
  <dimension ref="A1:BC206"/>
  <sheetViews>
    <sheetView topLeftCell="N1" workbookViewId="0">
      <selection activeCell="AT17" sqref="AT17"/>
    </sheetView>
  </sheetViews>
  <sheetFormatPr baseColWidth="10" defaultRowHeight="16" x14ac:dyDescent="0.2"/>
  <cols>
    <col min="1" max="2" width="18" customWidth="1"/>
    <col min="14" max="14" width="16.5" style="5" customWidth="1"/>
    <col min="17" max="17" width="13" customWidth="1"/>
    <col min="28" max="28" width="14.83203125" customWidth="1"/>
    <col min="29" max="29" width="12.33203125" bestFit="1" customWidth="1"/>
    <col min="40" max="40" width="12.33203125" bestFit="1" customWidth="1"/>
    <col min="43" max="43" width="11" bestFit="1" customWidth="1"/>
    <col min="44" max="45" width="20.83203125" bestFit="1" customWidth="1"/>
    <col min="46" max="46" width="12.6640625" customWidth="1"/>
    <col min="48" max="48" width="13.83203125" customWidth="1"/>
  </cols>
  <sheetData>
    <row r="1" spans="1:53" ht="26" x14ac:dyDescent="0.2">
      <c r="A1" t="s">
        <v>137</v>
      </c>
      <c r="B1" t="s">
        <v>138</v>
      </c>
      <c r="C1" t="s">
        <v>139</v>
      </c>
      <c r="D1" t="s">
        <v>138</v>
      </c>
      <c r="E1" t="s">
        <v>140</v>
      </c>
      <c r="F1" t="s">
        <v>138</v>
      </c>
      <c r="G1" t="s">
        <v>141</v>
      </c>
      <c r="H1" t="s">
        <v>138</v>
      </c>
      <c r="I1" t="s">
        <v>142</v>
      </c>
      <c r="J1" t="s">
        <v>138</v>
      </c>
      <c r="K1" t="s">
        <v>143</v>
      </c>
      <c r="L1" t="s">
        <v>138</v>
      </c>
      <c r="M1" t="s">
        <v>144</v>
      </c>
      <c r="O1" t="s">
        <v>147</v>
      </c>
      <c r="Q1">
        <v>4.2790043903925698E-2</v>
      </c>
      <c r="T1" s="10" t="s">
        <v>148</v>
      </c>
    </row>
    <row r="2" spans="1:53" x14ac:dyDescent="0.2">
      <c r="A2" s="5">
        <v>44218</v>
      </c>
      <c r="B2" t="s">
        <v>138</v>
      </c>
      <c r="C2">
        <v>0</v>
      </c>
      <c r="D2" t="s">
        <v>138</v>
      </c>
      <c r="E2">
        <v>0</v>
      </c>
      <c r="F2" t="s">
        <v>138</v>
      </c>
      <c r="G2" t="s">
        <v>145</v>
      </c>
      <c r="H2" t="s">
        <v>138</v>
      </c>
      <c r="I2">
        <v>0</v>
      </c>
      <c r="J2" t="s">
        <v>138</v>
      </c>
      <c r="K2" s="95">
        <v>1000000</v>
      </c>
      <c r="L2" t="s">
        <v>138</v>
      </c>
      <c r="M2">
        <v>-106</v>
      </c>
      <c r="N2" s="5">
        <v>45076</v>
      </c>
      <c r="O2">
        <f>+YEARFRAC($N$2,N2, 3)</f>
        <v>0</v>
      </c>
      <c r="P2">
        <f>+M2/(1+$Q$1)^O2</f>
        <v>-106</v>
      </c>
      <c r="X2" t="s">
        <v>147</v>
      </c>
      <c r="AA2" t="s">
        <v>144</v>
      </c>
      <c r="AB2" s="5">
        <v>45442</v>
      </c>
      <c r="AC2" t="s">
        <v>147</v>
      </c>
      <c r="AD2">
        <f>+AA3</f>
        <v>-106</v>
      </c>
    </row>
    <row r="3" spans="1:53" x14ac:dyDescent="0.2">
      <c r="A3" s="5">
        <v>44583</v>
      </c>
      <c r="B3" t="s">
        <v>138</v>
      </c>
      <c r="C3" s="95">
        <v>57500</v>
      </c>
      <c r="D3" t="s">
        <v>138</v>
      </c>
      <c r="E3" s="95">
        <v>57500</v>
      </c>
      <c r="F3" t="s">
        <v>138</v>
      </c>
      <c r="G3" s="95" t="s">
        <v>145</v>
      </c>
      <c r="H3" t="s">
        <v>138</v>
      </c>
      <c r="I3">
        <v>0</v>
      </c>
      <c r="J3" t="s">
        <v>138</v>
      </c>
      <c r="K3" s="95">
        <v>1000000</v>
      </c>
      <c r="L3" t="s">
        <v>138</v>
      </c>
      <c r="M3" s="8">
        <v>5.75</v>
      </c>
      <c r="N3" s="96">
        <v>45313</v>
      </c>
      <c r="O3">
        <f t="shared" ref="O3:O11" si="0">+YEARFRAC($N$2,N3, 3)</f>
        <v>0.64931506849315068</v>
      </c>
      <c r="P3">
        <f t="shared" ref="P3:P11" si="1">+M3/(1+$Q$1)^O3</f>
        <v>5.5956731495284968</v>
      </c>
      <c r="T3" t="s">
        <v>149</v>
      </c>
      <c r="U3">
        <v>100</v>
      </c>
      <c r="V3">
        <f>-U3</f>
        <v>-100</v>
      </c>
      <c r="W3" s="100">
        <f>+IRR(V3:V5)</f>
        <v>0.13066238629180749</v>
      </c>
      <c r="AA3">
        <v>-106</v>
      </c>
      <c r="AB3" s="5">
        <v>45076</v>
      </c>
      <c r="AD3">
        <f>+AD2</f>
        <v>-106</v>
      </c>
      <c r="AE3">
        <f>+AD3</f>
        <v>-106</v>
      </c>
    </row>
    <row r="4" spans="1:53" x14ac:dyDescent="0.2">
      <c r="A4" s="5">
        <v>44948</v>
      </c>
      <c r="B4" t="s">
        <v>138</v>
      </c>
      <c r="C4" s="95">
        <v>57500</v>
      </c>
      <c r="D4" t="s">
        <v>138</v>
      </c>
      <c r="E4" s="95">
        <v>57500</v>
      </c>
      <c r="F4" t="s">
        <v>138</v>
      </c>
      <c r="G4" s="95" t="s">
        <v>145</v>
      </c>
      <c r="H4" t="s">
        <v>138</v>
      </c>
      <c r="I4">
        <v>0</v>
      </c>
      <c r="J4" t="s">
        <v>138</v>
      </c>
      <c r="K4" s="95">
        <v>1000000</v>
      </c>
      <c r="L4" t="s">
        <v>138</v>
      </c>
      <c r="M4" s="8">
        <v>5.75</v>
      </c>
      <c r="N4" s="5">
        <v>45679</v>
      </c>
      <c r="O4">
        <f t="shared" si="0"/>
        <v>1.6520547945205479</v>
      </c>
      <c r="P4">
        <f t="shared" si="1"/>
        <v>5.3654432823770764</v>
      </c>
      <c r="T4" t="s">
        <v>150</v>
      </c>
      <c r="U4">
        <v>60</v>
      </c>
      <c r="V4">
        <f>+U4</f>
        <v>60</v>
      </c>
      <c r="Y4">
        <f>+AA4/(1+$AB$14)^AC4</f>
        <v>5.574049010839631</v>
      </c>
      <c r="Z4">
        <f>+AA4/(1+$AB$14)^AC4</f>
        <v>5.574049010839631</v>
      </c>
      <c r="AA4" s="8">
        <v>5.75</v>
      </c>
      <c r="AB4" s="96">
        <v>45313</v>
      </c>
      <c r="AC4">
        <f t="shared" ref="AC4:AC12" si="2">+YEARFRAC($N$2,AB4, 3)</f>
        <v>0.64931506849315068</v>
      </c>
      <c r="AD4">
        <f>+AA4/(1+$AC$19)^AC4</f>
        <v>5.605415896551305</v>
      </c>
      <c r="AE4">
        <f>+AA4/(1+$AC$24)^AC4</f>
        <v>5.5744867895125765</v>
      </c>
      <c r="AF4">
        <f>+Z4*AC4/(106)</f>
        <v>3.4144471842052014E-2</v>
      </c>
      <c r="AG4" t="s">
        <v>166</v>
      </c>
      <c r="AH4">
        <f>+AA4/106</f>
        <v>5.4245283018867926E-2</v>
      </c>
    </row>
    <row r="5" spans="1:53" x14ac:dyDescent="0.2">
      <c r="A5" s="5">
        <v>45313</v>
      </c>
      <c r="B5" t="s">
        <v>138</v>
      </c>
      <c r="C5" s="95">
        <v>57500</v>
      </c>
      <c r="D5" t="s">
        <v>138</v>
      </c>
      <c r="E5" s="95">
        <v>57500</v>
      </c>
      <c r="F5" t="s">
        <v>138</v>
      </c>
      <c r="G5" s="95" t="s">
        <v>145</v>
      </c>
      <c r="H5" t="s">
        <v>138</v>
      </c>
      <c r="I5">
        <v>0</v>
      </c>
      <c r="J5" t="s">
        <v>138</v>
      </c>
      <c r="K5" s="95">
        <v>1000000</v>
      </c>
      <c r="L5" t="s">
        <v>138</v>
      </c>
      <c r="M5" s="8">
        <v>20.035699999999999</v>
      </c>
      <c r="N5" s="5">
        <v>46044</v>
      </c>
      <c r="O5">
        <f t="shared" si="0"/>
        <v>2.6520547945205482</v>
      </c>
      <c r="P5">
        <f t="shared" si="1"/>
        <v>17.928559953786344</v>
      </c>
      <c r="T5" t="s">
        <v>151</v>
      </c>
      <c r="U5">
        <v>60</v>
      </c>
      <c r="V5">
        <f>+U5</f>
        <v>60</v>
      </c>
      <c r="X5">
        <f t="shared" ref="X5:X12" si="3">+YEARFRAC($AB$2,AB5, 3)</f>
        <v>0.64931506849315068</v>
      </c>
      <c r="Y5">
        <f>+AA5/(1+$AB$14)^X5</f>
        <v>5.574049010839631</v>
      </c>
      <c r="Z5">
        <f t="shared" ref="Z5:Z12" si="4">+AA5/(1+$AB$14)^AC5</f>
        <v>5.3128459010955966</v>
      </c>
      <c r="AA5" s="8">
        <v>5.75</v>
      </c>
      <c r="AB5" s="5">
        <v>45679</v>
      </c>
      <c r="AC5">
        <f t="shared" si="2"/>
        <v>1.6520547945205479</v>
      </c>
      <c r="AD5">
        <f t="shared" ref="AD5:AD12" si="5">+AA5/(1+$AC$19)^AC5</f>
        <v>5.3892438504837097</v>
      </c>
      <c r="AE5">
        <f t="shared" ref="AE5:AE12" si="6">+AA5/(1+$AC$24)^AC5</f>
        <v>5.3139076121514712</v>
      </c>
      <c r="AF5">
        <f t="shared" ref="AF5:AF12" si="7">+Z5*AC5/(106)</f>
        <v>8.2802948523149261E-2</v>
      </c>
      <c r="AG5" t="s">
        <v>167</v>
      </c>
      <c r="AH5">
        <f>+(Y14-106)/106</f>
        <v>-6.0062574109009401E-3</v>
      </c>
    </row>
    <row r="6" spans="1:53" x14ac:dyDescent="0.2">
      <c r="A6" s="5">
        <v>45679</v>
      </c>
      <c r="B6" t="s">
        <v>138</v>
      </c>
      <c r="C6" s="95">
        <v>57500</v>
      </c>
      <c r="D6" t="s">
        <v>138</v>
      </c>
      <c r="E6" s="95">
        <v>57500</v>
      </c>
      <c r="F6" t="s">
        <v>138</v>
      </c>
      <c r="G6" s="95" t="s">
        <v>145</v>
      </c>
      <c r="H6" t="s">
        <v>138</v>
      </c>
      <c r="I6">
        <v>0</v>
      </c>
      <c r="J6" t="s">
        <v>138</v>
      </c>
      <c r="K6" s="95">
        <v>1000000</v>
      </c>
      <c r="L6" t="s">
        <v>138</v>
      </c>
      <c r="M6" s="8">
        <v>19.214300000000001</v>
      </c>
      <c r="N6" s="5">
        <v>46409</v>
      </c>
      <c r="O6">
        <f t="shared" si="0"/>
        <v>3.6520547945205482</v>
      </c>
      <c r="P6">
        <f t="shared" si="1"/>
        <v>16.488022777845348</v>
      </c>
      <c r="X6">
        <f t="shared" si="3"/>
        <v>1.6493150684931508</v>
      </c>
      <c r="Y6">
        <f t="shared" ref="Y6:Y12" si="8">+AA6/(1+$AB$14)^X6</f>
        <v>18.514877569010093</v>
      </c>
      <c r="Z6">
        <f t="shared" si="4"/>
        <v>17.647259866304065</v>
      </c>
      <c r="AA6" s="8">
        <v>20.035699999999999</v>
      </c>
      <c r="AB6" s="5">
        <v>46044</v>
      </c>
      <c r="AC6">
        <f t="shared" si="2"/>
        <v>2.6520547945205482</v>
      </c>
      <c r="AD6">
        <f t="shared" si="5"/>
        <v>18.056400169755257</v>
      </c>
      <c r="AE6">
        <f t="shared" si="6"/>
        <v>17.652921486241606</v>
      </c>
      <c r="AF6">
        <f t="shared" si="7"/>
        <v>0.44152358621303534</v>
      </c>
      <c r="AH6">
        <f>+AH5+AH4</f>
        <v>4.8239025607966987E-2</v>
      </c>
    </row>
    <row r="7" spans="1:53" x14ac:dyDescent="0.2">
      <c r="A7" s="5">
        <v>46044</v>
      </c>
      <c r="B7" t="s">
        <v>138</v>
      </c>
      <c r="C7" s="95">
        <v>57500</v>
      </c>
      <c r="D7" t="s">
        <v>138</v>
      </c>
      <c r="E7" s="95">
        <v>57500</v>
      </c>
      <c r="F7" t="s">
        <v>138</v>
      </c>
      <c r="G7">
        <v>0</v>
      </c>
      <c r="H7" t="s">
        <v>138</v>
      </c>
      <c r="I7" s="95">
        <v>142857</v>
      </c>
      <c r="J7" t="s">
        <v>138</v>
      </c>
      <c r="K7" s="95">
        <v>857143</v>
      </c>
      <c r="L7" t="s">
        <v>138</v>
      </c>
      <c r="M7" s="8">
        <v>18.392900000000001</v>
      </c>
      <c r="N7" s="5">
        <v>46774</v>
      </c>
      <c r="O7">
        <f t="shared" si="0"/>
        <v>4.6520547945205477</v>
      </c>
      <c r="P7">
        <f t="shared" si="1"/>
        <v>15.135519958671377</v>
      </c>
      <c r="X7">
        <f t="shared" si="3"/>
        <v>2.6493150684931508</v>
      </c>
      <c r="Y7">
        <f t="shared" si="8"/>
        <v>16.925997701788447</v>
      </c>
      <c r="Z7">
        <f t="shared" si="4"/>
        <v>16.132835814149864</v>
      </c>
      <c r="AA7" s="8">
        <v>19.214300000000001</v>
      </c>
      <c r="AB7" s="5">
        <v>46409</v>
      </c>
      <c r="AC7">
        <f t="shared" si="2"/>
        <v>3.6520547945205482</v>
      </c>
      <c r="AD7">
        <f t="shared" si="5"/>
        <v>16.650139586498124</v>
      </c>
      <c r="AE7">
        <f t="shared" si="6"/>
        <v>16.139963609189277</v>
      </c>
      <c r="AF7">
        <f t="shared" si="7"/>
        <v>0.55583019230451713</v>
      </c>
    </row>
    <row r="8" spans="1:53" x14ac:dyDescent="0.2">
      <c r="A8" s="5">
        <v>46409</v>
      </c>
      <c r="B8" t="s">
        <v>138</v>
      </c>
      <c r="C8" s="95">
        <v>49286</v>
      </c>
      <c r="D8" t="s">
        <v>138</v>
      </c>
      <c r="E8" s="95">
        <v>49286</v>
      </c>
      <c r="F8" t="s">
        <v>138</v>
      </c>
      <c r="G8">
        <v>0</v>
      </c>
      <c r="H8" t="s">
        <v>138</v>
      </c>
      <c r="I8" s="95">
        <v>142857</v>
      </c>
      <c r="J8" t="s">
        <v>138</v>
      </c>
      <c r="K8" s="95">
        <v>714286</v>
      </c>
      <c r="L8" t="s">
        <v>138</v>
      </c>
      <c r="M8" s="8">
        <v>17.571400000000001</v>
      </c>
      <c r="N8" s="5">
        <v>47140</v>
      </c>
      <c r="O8">
        <f t="shared" si="0"/>
        <v>5.6547945205479451</v>
      </c>
      <c r="P8">
        <f t="shared" si="1"/>
        <v>13.864581665423849</v>
      </c>
      <c r="T8" t="s">
        <v>152</v>
      </c>
      <c r="U8" t="s">
        <v>153</v>
      </c>
      <c r="V8" s="97">
        <v>0.1</v>
      </c>
      <c r="X8">
        <f t="shared" si="3"/>
        <v>3.6493150684931508</v>
      </c>
      <c r="Y8">
        <f t="shared" si="8"/>
        <v>15.445191808131156</v>
      </c>
      <c r="Z8">
        <f t="shared" si="4"/>
        <v>14.72142132763636</v>
      </c>
      <c r="AA8" s="8">
        <v>18.392900000000001</v>
      </c>
      <c r="AB8" s="5">
        <v>46774</v>
      </c>
      <c r="AC8">
        <f t="shared" si="2"/>
        <v>4.6520547945205477</v>
      </c>
      <c r="AD8">
        <f t="shared" si="5"/>
        <v>15.325342243122076</v>
      </c>
      <c r="AE8">
        <f t="shared" si="6"/>
        <v>14.729707005308336</v>
      </c>
      <c r="AF8">
        <f t="shared" si="7"/>
        <v>0.64608357235271485</v>
      </c>
    </row>
    <row r="9" spans="1:53" x14ac:dyDescent="0.2">
      <c r="A9" s="5">
        <v>46774</v>
      </c>
      <c r="B9" t="s">
        <v>138</v>
      </c>
      <c r="C9" s="95">
        <v>41071</v>
      </c>
      <c r="D9" t="s">
        <v>138</v>
      </c>
      <c r="E9" s="95">
        <v>41071</v>
      </c>
      <c r="F9" t="s">
        <v>138</v>
      </c>
      <c r="G9">
        <v>0</v>
      </c>
      <c r="H9" t="s">
        <v>138</v>
      </c>
      <c r="I9" s="95">
        <v>142857</v>
      </c>
      <c r="J9" t="s">
        <v>138</v>
      </c>
      <c r="K9" s="95">
        <v>571429</v>
      </c>
      <c r="L9" t="s">
        <v>138</v>
      </c>
      <c r="M9" s="8">
        <v>16.75</v>
      </c>
      <c r="N9" s="5">
        <v>47505</v>
      </c>
      <c r="O9">
        <f t="shared" si="0"/>
        <v>6.6547945205479451</v>
      </c>
      <c r="P9">
        <f t="shared" si="1"/>
        <v>12.674135335347833</v>
      </c>
      <c r="U9" t="s">
        <v>154</v>
      </c>
      <c r="V9" s="6">
        <f>+NPV(V8, U4:U5)</f>
        <v>104.13223140495866</v>
      </c>
      <c r="X9">
        <f t="shared" si="3"/>
        <v>4.6520547945205477</v>
      </c>
      <c r="Y9">
        <f t="shared" si="8"/>
        <v>14.063904154126295</v>
      </c>
      <c r="Z9">
        <f t="shared" si="4"/>
        <v>13.404861599413184</v>
      </c>
      <c r="AA9" s="8">
        <v>17.571400000000001</v>
      </c>
      <c r="AB9" s="5">
        <v>47140</v>
      </c>
      <c r="AC9">
        <f t="shared" si="2"/>
        <v>5.6547945205479451</v>
      </c>
      <c r="AD9">
        <f t="shared" si="5"/>
        <v>14.076229257805998</v>
      </c>
      <c r="AE9">
        <f t="shared" si="6"/>
        <v>13.414033069891472</v>
      </c>
      <c r="AF9">
        <f t="shared" si="7"/>
        <v>0.71511073510438905</v>
      </c>
      <c r="AR9">
        <f>+AS14*AP12</f>
        <v>17.561949528936744</v>
      </c>
    </row>
    <row r="10" spans="1:53" x14ac:dyDescent="0.2">
      <c r="A10" s="5">
        <v>47140</v>
      </c>
      <c r="B10" t="s">
        <v>138</v>
      </c>
      <c r="C10" s="95">
        <v>32857</v>
      </c>
      <c r="D10" t="s">
        <v>138</v>
      </c>
      <c r="E10" s="95">
        <v>32857</v>
      </c>
      <c r="F10" t="s">
        <v>138</v>
      </c>
      <c r="G10">
        <v>0</v>
      </c>
      <c r="H10" t="s">
        <v>138</v>
      </c>
      <c r="I10" s="95">
        <v>142857</v>
      </c>
      <c r="J10" t="s">
        <v>138</v>
      </c>
      <c r="K10" s="95">
        <v>428571</v>
      </c>
      <c r="L10" t="s">
        <v>138</v>
      </c>
      <c r="M10" s="8">
        <v>15.928599999999999</v>
      </c>
      <c r="N10" s="5">
        <v>47870</v>
      </c>
      <c r="O10">
        <f t="shared" si="0"/>
        <v>7.6547945205479451</v>
      </c>
      <c r="P10">
        <f t="shared" si="1"/>
        <v>11.558041757549354</v>
      </c>
      <c r="X10">
        <f t="shared" si="3"/>
        <v>5.6520547945205477</v>
      </c>
      <c r="Y10">
        <f t="shared" si="8"/>
        <v>12.77990807980002</v>
      </c>
      <c r="Z10">
        <f t="shared" si="4"/>
        <v>12.181034312060428</v>
      </c>
      <c r="AA10" s="8">
        <v>16.75</v>
      </c>
      <c r="AB10" s="5">
        <v>47505</v>
      </c>
      <c r="AC10">
        <f t="shared" si="2"/>
        <v>6.6547945205479451</v>
      </c>
      <c r="AD10">
        <f t="shared" si="5"/>
        <v>12.902130738906713</v>
      </c>
      <c r="AE10">
        <f t="shared" si="6"/>
        <v>12.190842863951094</v>
      </c>
      <c r="AF10">
        <f t="shared" si="7"/>
        <v>0.76473849428779472</v>
      </c>
      <c r="AV10" s="5">
        <v>43839</v>
      </c>
      <c r="BA10">
        <v>0.115761</v>
      </c>
    </row>
    <row r="11" spans="1:53" x14ac:dyDescent="0.2">
      <c r="A11" s="5">
        <v>47505</v>
      </c>
      <c r="B11" t="s">
        <v>138</v>
      </c>
      <c r="C11" s="95">
        <v>24643</v>
      </c>
      <c r="D11" t="s">
        <v>138</v>
      </c>
      <c r="E11" s="95">
        <v>24643</v>
      </c>
      <c r="F11" t="s">
        <v>138</v>
      </c>
      <c r="G11">
        <v>0</v>
      </c>
      <c r="H11" t="s">
        <v>138</v>
      </c>
      <c r="I11" s="95">
        <v>142857</v>
      </c>
      <c r="J11" t="s">
        <v>138</v>
      </c>
      <c r="K11" s="95">
        <v>285714</v>
      </c>
      <c r="L11" t="s">
        <v>138</v>
      </c>
      <c r="M11" s="8">
        <v>15.107100000000001</v>
      </c>
      <c r="N11" s="5">
        <v>48235</v>
      </c>
      <c r="O11">
        <f t="shared" si="0"/>
        <v>8.6547945205479451</v>
      </c>
      <c r="P11">
        <f t="shared" si="1"/>
        <v>10.512133817265923</v>
      </c>
      <c r="T11" t="s">
        <v>155</v>
      </c>
      <c r="U11" s="97">
        <f>+V8</f>
        <v>0.1</v>
      </c>
      <c r="V11" t="s">
        <v>156</v>
      </c>
      <c r="X11">
        <f t="shared" si="3"/>
        <v>6.6520547945205477</v>
      </c>
      <c r="Y11">
        <f t="shared" si="8"/>
        <v>11.585210018693854</v>
      </c>
      <c r="Z11">
        <f t="shared" si="4"/>
        <v>11.04232048219429</v>
      </c>
      <c r="AA11" s="8">
        <v>15.928599999999999</v>
      </c>
      <c r="AB11" s="5">
        <v>47870</v>
      </c>
      <c r="AC11">
        <f t="shared" si="2"/>
        <v>7.6547945205479451</v>
      </c>
      <c r="AD11">
        <f t="shared" si="5"/>
        <v>11.797524666346122</v>
      </c>
      <c r="AE11">
        <f t="shared" si="6"/>
        <v>11.052548847490913</v>
      </c>
      <c r="AF11">
        <f t="shared" si="7"/>
        <v>0.79742164453995468</v>
      </c>
      <c r="AO11" t="s">
        <v>203</v>
      </c>
      <c r="AP11" s="95">
        <v>14860</v>
      </c>
      <c r="AS11">
        <v>14860</v>
      </c>
      <c r="AV11" s="5">
        <v>44021</v>
      </c>
      <c r="BA11" t="s">
        <v>199</v>
      </c>
    </row>
    <row r="12" spans="1:53" x14ac:dyDescent="0.2">
      <c r="A12" s="5">
        <v>47870</v>
      </c>
      <c r="B12" t="s">
        <v>138</v>
      </c>
      <c r="C12" s="95">
        <v>16429</v>
      </c>
      <c r="D12" t="s">
        <v>138</v>
      </c>
      <c r="E12" s="95">
        <v>16429</v>
      </c>
      <c r="F12" t="s">
        <v>138</v>
      </c>
      <c r="G12">
        <v>0</v>
      </c>
      <c r="H12" t="s">
        <v>138</v>
      </c>
      <c r="I12" s="95">
        <v>142857</v>
      </c>
      <c r="J12" t="s">
        <v>138</v>
      </c>
      <c r="K12" s="95">
        <v>142857</v>
      </c>
      <c r="L12" t="s">
        <v>138</v>
      </c>
      <c r="T12" t="s">
        <v>158</v>
      </c>
      <c r="X12">
        <f t="shared" si="3"/>
        <v>7.6520547945205477</v>
      </c>
      <c r="Y12">
        <f t="shared" si="8"/>
        <v>10.474198372054998</v>
      </c>
      <c r="Z12">
        <f t="shared" si="4"/>
        <v>9.9833714737740031</v>
      </c>
      <c r="AA12" s="8">
        <v>15.107100000000001</v>
      </c>
      <c r="AB12" s="5">
        <v>48235</v>
      </c>
      <c r="AC12">
        <f t="shared" si="2"/>
        <v>8.6547945205479451</v>
      </c>
      <c r="AD12">
        <f t="shared" si="5"/>
        <v>10.758731083068623</v>
      </c>
      <c r="AE12">
        <f t="shared" si="6"/>
        <v>9.9938276430729864</v>
      </c>
      <c r="AF12">
        <f t="shared" si="7"/>
        <v>0.8151323464888105</v>
      </c>
      <c r="AO12" t="s">
        <v>202</v>
      </c>
      <c r="AP12">
        <v>247.8</v>
      </c>
      <c r="AS12">
        <f>14860/247.8</f>
        <v>59.967715899919284</v>
      </c>
      <c r="AV12" s="5">
        <v>44205</v>
      </c>
      <c r="BA12">
        <f>+(AX17+AX18)/BA10</f>
        <v>36.71357365606724</v>
      </c>
    </row>
    <row r="13" spans="1:53" x14ac:dyDescent="0.2">
      <c r="A13" s="5">
        <v>48235</v>
      </c>
      <c r="B13" t="s">
        <v>138</v>
      </c>
      <c r="C13" t="s">
        <v>146</v>
      </c>
      <c r="D13" t="s">
        <v>138</v>
      </c>
      <c r="E13" t="s">
        <v>146</v>
      </c>
      <c r="F13" t="s">
        <v>138</v>
      </c>
      <c r="G13">
        <v>0</v>
      </c>
      <c r="H13" t="s">
        <v>138</v>
      </c>
      <c r="I13" s="95">
        <v>142857</v>
      </c>
      <c r="J13" t="s">
        <v>138</v>
      </c>
      <c r="K13" t="s">
        <v>145</v>
      </c>
      <c r="L13" t="s">
        <v>138</v>
      </c>
      <c r="N13" s="9">
        <f>+XIRR(M2:M11, N2:N11)</f>
        <v>4.9026873707771298E-2</v>
      </c>
      <c r="P13">
        <f>+SUM(P2:P11)+106</f>
        <v>109.1221116977956</v>
      </c>
      <c r="T13" t="s">
        <v>160</v>
      </c>
      <c r="U13" t="s">
        <v>153</v>
      </c>
      <c r="V13" s="97">
        <v>0.2</v>
      </c>
      <c r="AB13" s="5"/>
      <c r="AO13" t="s">
        <v>204</v>
      </c>
      <c r="AP13">
        <f>+AP11/AP12</f>
        <v>59.967715899919284</v>
      </c>
      <c r="AS13" t="s">
        <v>197</v>
      </c>
      <c r="AV13" s="5">
        <v>44386</v>
      </c>
    </row>
    <row r="14" spans="1:53" x14ac:dyDescent="0.2">
      <c r="U14" t="s">
        <v>154</v>
      </c>
      <c r="V14" s="6">
        <f>+NPV(V13, U4:U5)</f>
        <v>91.666666666666671</v>
      </c>
      <c r="Y14">
        <f>+SUM(Y5:Y12)</f>
        <v>105.3633367144445</v>
      </c>
      <c r="AA14" t="s">
        <v>0</v>
      </c>
      <c r="AB14" s="103">
        <f>+XIRR(AA3:AA12, AB3:AB12)</f>
        <v>4.9026873707771298E-2</v>
      </c>
      <c r="AD14">
        <f>+SUM(AD3:AD12)+106</f>
        <v>110.56115749253794</v>
      </c>
      <c r="AE14">
        <f>+SUM(AE3:AE12)+106</f>
        <v>106.06223892680974</v>
      </c>
      <c r="AF14">
        <f>+SUM(AF4:AF12)</f>
        <v>4.8527879916564176</v>
      </c>
      <c r="AS14" s="20">
        <f>+(AX17+AX18)/AS12</f>
        <v>7.087146702557201E-2</v>
      </c>
      <c r="AV14" s="5">
        <v>44570</v>
      </c>
      <c r="AX14" t="s">
        <v>198</v>
      </c>
    </row>
    <row r="15" spans="1:53" x14ac:dyDescent="0.2">
      <c r="AR15">
        <f>+YEARFRAC(AT17, AV16)*AX17*2</f>
        <v>1.8298611111111112</v>
      </c>
      <c r="AV15" s="5">
        <v>44751</v>
      </c>
      <c r="AX15" s="102">
        <f>+(AX17+AX18)/AS11</f>
        <v>2.8600269179004039E-4</v>
      </c>
    </row>
    <row r="16" spans="1:53" x14ac:dyDescent="0.2">
      <c r="T16" t="s">
        <v>161</v>
      </c>
      <c r="AV16" s="5">
        <v>44935</v>
      </c>
      <c r="AZ16">
        <v>100</v>
      </c>
      <c r="BA16">
        <f>-AS12</f>
        <v>-59.967715899919284</v>
      </c>
    </row>
    <row r="17" spans="1:55" x14ac:dyDescent="0.2">
      <c r="AS17">
        <f t="shared" ref="AS17:AS47" si="9">+YEARFRAC($AT$19, AV17,0)*2</f>
        <v>1.8611111111111112</v>
      </c>
      <c r="AT17" s="5">
        <v>45091</v>
      </c>
      <c r="AU17">
        <f>+YEARFRAC($AT$17, AV17,0)*2</f>
        <v>0.1388888888888889</v>
      </c>
      <c r="AV17" s="106">
        <v>45116</v>
      </c>
      <c r="AW17">
        <v>2.1250000000000002E-2</v>
      </c>
      <c r="AX17">
        <f>+AW17*AZ16</f>
        <v>2.125</v>
      </c>
      <c r="AY17">
        <v>0</v>
      </c>
      <c r="AZ17">
        <v>100</v>
      </c>
      <c r="BA17">
        <f>+AX17+AY17</f>
        <v>2.125</v>
      </c>
      <c r="BB17">
        <v>0.14000000000000001</v>
      </c>
      <c r="BC17">
        <v>0.1205</v>
      </c>
    </row>
    <row r="18" spans="1:55" x14ac:dyDescent="0.2">
      <c r="T18" t="s">
        <v>162</v>
      </c>
      <c r="U18" s="97">
        <f>+V13-V8</f>
        <v>0.1</v>
      </c>
      <c r="V18" t="s">
        <v>163</v>
      </c>
      <c r="W18" s="6">
        <f>+V9-V14</f>
        <v>12.465564738291988</v>
      </c>
      <c r="AQ18" s="5"/>
      <c r="AR18" s="95"/>
      <c r="AS18">
        <f t="shared" si="9"/>
        <v>0.86111111111111116</v>
      </c>
      <c r="AU18">
        <f t="shared" ref="AU18:AU47" si="10">+YEARFRAC($AT$17, AV18,0)*2</f>
        <v>1.1388888888888888</v>
      </c>
      <c r="AV18" s="5">
        <v>45300</v>
      </c>
      <c r="AW18">
        <v>2.1250000000000002E-2</v>
      </c>
      <c r="AX18">
        <f t="shared" ref="AX18:AX47" si="11">+AW18*100</f>
        <v>2.125</v>
      </c>
      <c r="AY18">
        <v>0</v>
      </c>
      <c r="AZ18">
        <v>100</v>
      </c>
      <c r="BA18">
        <f t="shared" ref="BA18:BA47" si="12">+AX18+AY18</f>
        <v>2.125</v>
      </c>
      <c r="BB18">
        <f>+BA18/(1+0.14)^AS18</f>
        <v>1.8982680346706853</v>
      </c>
      <c r="BC18">
        <f>+BA18/(1+0.1)^AS18</f>
        <v>1.9575606808214838</v>
      </c>
    </row>
    <row r="19" spans="1:55" x14ac:dyDescent="0.2">
      <c r="T19" t="s">
        <v>164</v>
      </c>
      <c r="U19" t="s">
        <v>165</v>
      </c>
      <c r="V19" t="s">
        <v>163</v>
      </c>
      <c r="W19" s="6">
        <f>+V9-U3</f>
        <v>4.1322314049586595</v>
      </c>
      <c r="AA19" t="s">
        <v>152</v>
      </c>
      <c r="AB19" t="s">
        <v>153</v>
      </c>
      <c r="AC19" s="97">
        <v>0.04</v>
      </c>
      <c r="AS19">
        <f t="shared" si="9"/>
        <v>0.1388888888888889</v>
      </c>
      <c r="AT19" s="5">
        <v>45457</v>
      </c>
      <c r="AU19">
        <f t="shared" si="10"/>
        <v>2.1388888888888888</v>
      </c>
      <c r="AV19" s="5">
        <v>45482</v>
      </c>
      <c r="AW19">
        <v>2.5000000000000001E-2</v>
      </c>
      <c r="AX19">
        <f t="shared" si="11"/>
        <v>2.5</v>
      </c>
      <c r="AY19">
        <v>0</v>
      </c>
      <c r="AZ19">
        <v>100</v>
      </c>
      <c r="BA19">
        <f t="shared" si="12"/>
        <v>2.5</v>
      </c>
      <c r="BB19">
        <f>+BA19/(1+0.14)^AS19</f>
        <v>2.4549155515367906</v>
      </c>
      <c r="BC19">
        <f>+BA19/(1+0.1)^AS19</f>
        <v>2.4671242643261264</v>
      </c>
    </row>
    <row r="20" spans="1:55" x14ac:dyDescent="0.2">
      <c r="AB20" t="s">
        <v>154</v>
      </c>
      <c r="AC20" s="6">
        <f>+AD14</f>
        <v>110.56115749253794</v>
      </c>
      <c r="AS20">
        <f t="shared" si="9"/>
        <v>1.1388888888888888</v>
      </c>
      <c r="AU20">
        <f t="shared" si="10"/>
        <v>3.1388888888888888</v>
      </c>
      <c r="AV20" s="5">
        <v>45666</v>
      </c>
      <c r="AW20">
        <v>2.5000000000000001E-2</v>
      </c>
      <c r="AX20">
        <f t="shared" si="11"/>
        <v>2.5</v>
      </c>
      <c r="AY20">
        <v>0</v>
      </c>
      <c r="AZ20">
        <v>100</v>
      </c>
      <c r="BA20">
        <f t="shared" si="12"/>
        <v>2.5</v>
      </c>
      <c r="BB20">
        <f t="shared" ref="BB20:BB47" si="13">+BA20/(1+0.14)^AS20</f>
        <v>2.1534346943305178</v>
      </c>
      <c r="BC20">
        <f t="shared" ref="BC20:BC47" si="14">+BA20/(1+0.1)^AS20</f>
        <v>2.2428402402964784</v>
      </c>
    </row>
    <row r="21" spans="1:55" x14ac:dyDescent="0.2">
      <c r="T21" t="s">
        <v>0</v>
      </c>
      <c r="U21" s="19">
        <f>+V8+(W19*U18/W18)</f>
        <v>0.13314917127071815</v>
      </c>
      <c r="AR21" s="95"/>
      <c r="AS21">
        <f t="shared" si="9"/>
        <v>2.1388888888888888</v>
      </c>
      <c r="AU21">
        <f t="shared" si="10"/>
        <v>4.1388888888888893</v>
      </c>
      <c r="AV21" s="5">
        <v>45847</v>
      </c>
      <c r="AW21">
        <v>2.5000000000000001E-2</v>
      </c>
      <c r="AX21">
        <f t="shared" si="11"/>
        <v>2.5</v>
      </c>
      <c r="AY21">
        <v>0</v>
      </c>
      <c r="AZ21">
        <v>100</v>
      </c>
      <c r="BA21">
        <f t="shared" si="12"/>
        <v>2.5</v>
      </c>
      <c r="BB21">
        <f t="shared" si="13"/>
        <v>1.8889778020443138</v>
      </c>
      <c r="BC21">
        <f t="shared" si="14"/>
        <v>2.0389456729967983</v>
      </c>
    </row>
    <row r="22" spans="1:55" x14ac:dyDescent="0.2">
      <c r="A22" t="s">
        <v>137</v>
      </c>
      <c r="B22" t="s">
        <v>138</v>
      </c>
      <c r="C22" t="s">
        <v>139</v>
      </c>
      <c r="D22" t="s">
        <v>138</v>
      </c>
      <c r="E22" t="s">
        <v>140</v>
      </c>
      <c r="F22" t="s">
        <v>138</v>
      </c>
      <c r="G22" t="s">
        <v>141</v>
      </c>
      <c r="H22" t="s">
        <v>138</v>
      </c>
      <c r="I22" t="s">
        <v>142</v>
      </c>
      <c r="J22" t="s">
        <v>138</v>
      </c>
      <c r="K22" t="s">
        <v>143</v>
      </c>
      <c r="L22" t="s">
        <v>138</v>
      </c>
      <c r="M22" t="s">
        <v>144</v>
      </c>
      <c r="N22" s="7">
        <f>0.1*2</f>
        <v>0.2</v>
      </c>
      <c r="T22" s="98"/>
      <c r="U22" s="98"/>
      <c r="V22" s="98"/>
      <c r="W22" s="98"/>
      <c r="X22" s="98"/>
      <c r="Y22" s="98"/>
      <c r="AA22" t="s">
        <v>155</v>
      </c>
      <c r="AB22" s="97">
        <f>+AC19</f>
        <v>0.04</v>
      </c>
      <c r="AC22" t="s">
        <v>156</v>
      </c>
      <c r="AE22" t="s">
        <v>159</v>
      </c>
      <c r="AS22">
        <f t="shared" si="9"/>
        <v>3.1388888888888888</v>
      </c>
      <c r="AU22">
        <f t="shared" si="10"/>
        <v>5.1388888888888893</v>
      </c>
      <c r="AV22" s="5">
        <v>46031</v>
      </c>
      <c r="AW22">
        <v>2.5000000000000001E-2</v>
      </c>
      <c r="AX22">
        <f t="shared" si="11"/>
        <v>2.5</v>
      </c>
      <c r="AY22">
        <v>0</v>
      </c>
      <c r="AZ22">
        <v>100</v>
      </c>
      <c r="BA22">
        <f t="shared" si="12"/>
        <v>2.5</v>
      </c>
      <c r="BB22">
        <f t="shared" si="13"/>
        <v>1.6569980719686961</v>
      </c>
      <c r="BC22">
        <f t="shared" si="14"/>
        <v>1.8535869754516345</v>
      </c>
    </row>
    <row r="23" spans="1:55" x14ac:dyDescent="0.2">
      <c r="A23" s="5">
        <v>44218</v>
      </c>
      <c r="B23" t="s">
        <v>138</v>
      </c>
      <c r="C23">
        <v>0</v>
      </c>
      <c r="D23" t="s">
        <v>138</v>
      </c>
      <c r="E23">
        <v>0</v>
      </c>
      <c r="F23" t="s">
        <v>138</v>
      </c>
      <c r="G23" t="s">
        <v>145</v>
      </c>
      <c r="H23" t="s">
        <v>138</v>
      </c>
      <c r="I23">
        <v>0</v>
      </c>
      <c r="J23" t="s">
        <v>138</v>
      </c>
      <c r="K23" s="95">
        <v>1000000</v>
      </c>
      <c r="L23" t="s">
        <v>138</v>
      </c>
      <c r="M23" s="8">
        <v>0</v>
      </c>
      <c r="T23" t="s">
        <v>149</v>
      </c>
      <c r="U23">
        <v>100</v>
      </c>
      <c r="V23">
        <f>-U23</f>
        <v>-100</v>
      </c>
      <c r="X23" s="100">
        <f>+IRR(V23:V25)</f>
        <v>6.3941029804984284E-2</v>
      </c>
      <c r="AA23" t="s">
        <v>158</v>
      </c>
      <c r="AE23" t="s">
        <v>157</v>
      </c>
      <c r="AR23" s="95"/>
      <c r="AS23">
        <f t="shared" si="9"/>
        <v>4.1388888888888893</v>
      </c>
      <c r="AU23">
        <f t="shared" si="10"/>
        <v>6.1388888888888893</v>
      </c>
      <c r="AV23" s="5">
        <v>46212</v>
      </c>
      <c r="AW23">
        <v>2.5000000000000001E-2</v>
      </c>
      <c r="AX23">
        <f t="shared" si="11"/>
        <v>2.5</v>
      </c>
      <c r="AY23">
        <v>0</v>
      </c>
      <c r="AZ23">
        <v>100</v>
      </c>
      <c r="BA23">
        <f t="shared" si="12"/>
        <v>2.5</v>
      </c>
      <c r="BB23">
        <f t="shared" si="13"/>
        <v>1.4535070806742947</v>
      </c>
      <c r="BC23">
        <f t="shared" si="14"/>
        <v>1.6850790685923949</v>
      </c>
    </row>
    <row r="24" spans="1:55" x14ac:dyDescent="0.2">
      <c r="A24" s="5">
        <v>44583</v>
      </c>
      <c r="B24" t="s">
        <v>138</v>
      </c>
      <c r="C24" s="95">
        <v>57500</v>
      </c>
      <c r="D24" t="s">
        <v>138</v>
      </c>
      <c r="E24" s="95">
        <v>57500</v>
      </c>
      <c r="F24" t="s">
        <v>138</v>
      </c>
      <c r="G24" t="s">
        <v>145</v>
      </c>
      <c r="H24" t="s">
        <v>138</v>
      </c>
      <c r="I24">
        <v>0</v>
      </c>
      <c r="J24" t="s">
        <v>138</v>
      </c>
      <c r="K24" s="95">
        <v>1000000</v>
      </c>
      <c r="L24" t="s">
        <v>138</v>
      </c>
      <c r="M24" s="8">
        <v>5.75</v>
      </c>
      <c r="T24" t="s">
        <v>150</v>
      </c>
      <c r="U24">
        <v>50</v>
      </c>
      <c r="V24">
        <f>+U24</f>
        <v>50</v>
      </c>
      <c r="AA24" t="s">
        <v>160</v>
      </c>
      <c r="AB24" t="s">
        <v>153</v>
      </c>
      <c r="AC24" s="100">
        <v>4.8899999999999999E-2</v>
      </c>
      <c r="AS24">
        <f t="shared" si="9"/>
        <v>5.1388888888888893</v>
      </c>
      <c r="AU24">
        <f t="shared" si="10"/>
        <v>7.1388888888888893</v>
      </c>
      <c r="AV24" s="5">
        <v>46396</v>
      </c>
      <c r="AW24">
        <v>2.5000000000000001E-2</v>
      </c>
      <c r="AX24">
        <f t="shared" si="11"/>
        <v>2.5</v>
      </c>
      <c r="AY24">
        <v>0</v>
      </c>
      <c r="AZ24">
        <v>100</v>
      </c>
      <c r="BA24">
        <f t="shared" si="12"/>
        <v>2.5</v>
      </c>
      <c r="BB24">
        <f t="shared" si="13"/>
        <v>1.2750062111178022</v>
      </c>
      <c r="BC24">
        <f t="shared" si="14"/>
        <v>1.5318900623567224</v>
      </c>
    </row>
    <row r="25" spans="1:55" x14ac:dyDescent="0.2">
      <c r="A25" s="5">
        <v>44948</v>
      </c>
      <c r="B25" t="s">
        <v>138</v>
      </c>
      <c r="C25" s="95">
        <v>57500</v>
      </c>
      <c r="D25" t="s">
        <v>138</v>
      </c>
      <c r="E25" s="95">
        <v>57500</v>
      </c>
      <c r="F25" t="s">
        <v>138</v>
      </c>
      <c r="G25" t="s">
        <v>145</v>
      </c>
      <c r="H25" t="s">
        <v>138</v>
      </c>
      <c r="I25">
        <v>0</v>
      </c>
      <c r="J25" t="s">
        <v>138</v>
      </c>
      <c r="K25" s="95">
        <v>1000000</v>
      </c>
      <c r="L25" t="s">
        <v>138</v>
      </c>
      <c r="M25" s="8">
        <v>5.75</v>
      </c>
      <c r="T25" t="s">
        <v>151</v>
      </c>
      <c r="U25">
        <v>60</v>
      </c>
      <c r="V25">
        <f>+U25</f>
        <v>60</v>
      </c>
      <c r="AB25" t="s">
        <v>154</v>
      </c>
      <c r="AC25" s="6">
        <f>+AE14</f>
        <v>106.06223892680974</v>
      </c>
      <c r="AS25">
        <f t="shared" si="9"/>
        <v>6.1388888888888893</v>
      </c>
      <c r="AU25">
        <f t="shared" si="10"/>
        <v>8.1388888888888893</v>
      </c>
      <c r="AV25" s="5">
        <v>46577</v>
      </c>
      <c r="AW25">
        <v>2.5000000000000001E-2</v>
      </c>
      <c r="AX25">
        <f t="shared" si="11"/>
        <v>2.5</v>
      </c>
      <c r="AY25" s="9">
        <f>+$AZ$24/22</f>
        <v>4.5454545454545459</v>
      </c>
      <c r="AZ25">
        <v>100</v>
      </c>
      <c r="BA25">
        <f t="shared" si="12"/>
        <v>7.0454545454545459</v>
      </c>
      <c r="BB25">
        <f t="shared" si="13"/>
        <v>3.1519292300360342</v>
      </c>
      <c r="BC25">
        <f t="shared" si="14"/>
        <v>3.9246770192610243</v>
      </c>
    </row>
    <row r="26" spans="1:55" x14ac:dyDescent="0.2">
      <c r="A26" s="5">
        <v>45313</v>
      </c>
      <c r="B26" t="s">
        <v>138</v>
      </c>
      <c r="C26" s="95">
        <v>57500</v>
      </c>
      <c r="D26" t="s">
        <v>138</v>
      </c>
      <c r="E26" s="95">
        <v>57500</v>
      </c>
      <c r="F26" t="s">
        <v>138</v>
      </c>
      <c r="G26" t="s">
        <v>145</v>
      </c>
      <c r="H26" t="s">
        <v>138</v>
      </c>
      <c r="I26">
        <v>0</v>
      </c>
      <c r="J26" t="s">
        <v>138</v>
      </c>
      <c r="K26" s="95">
        <v>1000000</v>
      </c>
      <c r="L26" t="s">
        <v>138</v>
      </c>
      <c r="M26" s="8">
        <v>5.75</v>
      </c>
      <c r="AR26" s="95"/>
      <c r="AS26">
        <f t="shared" si="9"/>
        <v>7.1388888888888893</v>
      </c>
      <c r="AU26">
        <f t="shared" si="10"/>
        <v>9.1388888888888893</v>
      </c>
      <c r="AV26" s="5">
        <v>46761</v>
      </c>
      <c r="AW26">
        <v>2.5000000000000001E-2</v>
      </c>
      <c r="AX26">
        <f t="shared" si="11"/>
        <v>2.5</v>
      </c>
      <c r="AY26" s="9">
        <f t="shared" ref="AY26:AY47" si="15">+$AZ$24/22</f>
        <v>4.5454545454545459</v>
      </c>
      <c r="AZ26" s="9">
        <f t="shared" ref="AZ26:AZ47" si="16">+AZ25-AY26</f>
        <v>95.454545454545453</v>
      </c>
      <c r="BA26">
        <f t="shared" si="12"/>
        <v>7.0454545454545459</v>
      </c>
      <c r="BB26">
        <f t="shared" si="13"/>
        <v>2.7648502017859942</v>
      </c>
      <c r="BC26">
        <f t="shared" si="14"/>
        <v>3.5678881993282037</v>
      </c>
    </row>
    <row r="27" spans="1:55" x14ac:dyDescent="0.2">
      <c r="A27" s="5">
        <v>45679</v>
      </c>
      <c r="B27" t="s">
        <v>138</v>
      </c>
      <c r="C27" s="95">
        <v>57500</v>
      </c>
      <c r="D27" t="s">
        <v>138</v>
      </c>
      <c r="E27" s="95">
        <v>57500</v>
      </c>
      <c r="F27" t="s">
        <v>138</v>
      </c>
      <c r="G27" t="s">
        <v>145</v>
      </c>
      <c r="H27" t="s">
        <v>138</v>
      </c>
      <c r="I27">
        <v>0</v>
      </c>
      <c r="J27" t="s">
        <v>138</v>
      </c>
      <c r="K27" s="95">
        <v>1000000</v>
      </c>
      <c r="L27" t="s">
        <v>138</v>
      </c>
      <c r="M27" s="8">
        <v>5.75</v>
      </c>
      <c r="AA27" t="s">
        <v>161</v>
      </c>
      <c r="AS27">
        <f t="shared" si="9"/>
        <v>8.1388888888888893</v>
      </c>
      <c r="AU27">
        <f t="shared" si="10"/>
        <v>10.138888888888889</v>
      </c>
      <c r="AV27" s="5">
        <v>46943</v>
      </c>
      <c r="AW27">
        <v>2.5000000000000001E-2</v>
      </c>
      <c r="AX27">
        <f t="shared" si="11"/>
        <v>2.5</v>
      </c>
      <c r="AY27" s="9">
        <f t="shared" si="15"/>
        <v>4.5454545454545459</v>
      </c>
      <c r="AZ27" s="9">
        <f t="shared" si="16"/>
        <v>90.909090909090907</v>
      </c>
      <c r="BA27">
        <f t="shared" si="12"/>
        <v>7.0454545454545459</v>
      </c>
      <c r="BB27">
        <f t="shared" si="13"/>
        <v>2.4253071945491174</v>
      </c>
      <c r="BC27">
        <f t="shared" si="14"/>
        <v>3.2435347266620034</v>
      </c>
    </row>
    <row r="28" spans="1:55" x14ac:dyDescent="0.2">
      <c r="A28" s="5">
        <v>46044</v>
      </c>
      <c r="B28" t="s">
        <v>138</v>
      </c>
      <c r="C28" s="95">
        <v>57500</v>
      </c>
      <c r="D28" t="s">
        <v>138</v>
      </c>
      <c r="E28" s="95">
        <v>57500</v>
      </c>
      <c r="F28" t="s">
        <v>138</v>
      </c>
      <c r="G28">
        <v>0</v>
      </c>
      <c r="H28" t="s">
        <v>138</v>
      </c>
      <c r="I28" s="95">
        <v>142857</v>
      </c>
      <c r="J28" t="s">
        <v>138</v>
      </c>
      <c r="K28" s="95">
        <v>857143</v>
      </c>
      <c r="L28" t="s">
        <v>138</v>
      </c>
      <c r="M28" s="8">
        <v>20.035699999999999</v>
      </c>
      <c r="T28" t="s">
        <v>152</v>
      </c>
      <c r="U28" t="s">
        <v>153</v>
      </c>
      <c r="V28" s="97">
        <v>0.1</v>
      </c>
      <c r="AS28">
        <f t="shared" si="9"/>
        <v>9.1388888888888893</v>
      </c>
      <c r="AU28">
        <f t="shared" si="10"/>
        <v>11.138888888888889</v>
      </c>
      <c r="AV28" s="5">
        <v>47127</v>
      </c>
      <c r="AW28">
        <v>2.5000000000000001E-2</v>
      </c>
      <c r="AX28">
        <f t="shared" si="11"/>
        <v>2.5</v>
      </c>
      <c r="AY28" s="9">
        <f t="shared" si="15"/>
        <v>4.5454545454545459</v>
      </c>
      <c r="AZ28" s="9">
        <f t="shared" si="16"/>
        <v>86.36363636363636</v>
      </c>
      <c r="BA28">
        <f t="shared" si="12"/>
        <v>7.0454545454545459</v>
      </c>
      <c r="BB28">
        <f t="shared" si="13"/>
        <v>2.1274624513588751</v>
      </c>
      <c r="BC28">
        <f t="shared" si="14"/>
        <v>2.9486679333290939</v>
      </c>
    </row>
    <row r="29" spans="1:55" x14ac:dyDescent="0.2">
      <c r="A29" s="5">
        <v>46409</v>
      </c>
      <c r="B29" t="s">
        <v>138</v>
      </c>
      <c r="C29" s="95">
        <v>49286</v>
      </c>
      <c r="D29" t="s">
        <v>138</v>
      </c>
      <c r="E29" s="95">
        <v>49286</v>
      </c>
      <c r="F29" t="s">
        <v>138</v>
      </c>
      <c r="G29">
        <v>0</v>
      </c>
      <c r="H29" t="s">
        <v>138</v>
      </c>
      <c r="I29" s="95">
        <v>142857</v>
      </c>
      <c r="J29" t="s">
        <v>138</v>
      </c>
      <c r="K29" s="95">
        <v>714286</v>
      </c>
      <c r="L29" t="s">
        <v>138</v>
      </c>
      <c r="M29" s="8">
        <v>19.214300000000001</v>
      </c>
      <c r="U29" t="s">
        <v>154</v>
      </c>
      <c r="V29" s="6">
        <f>+NPV(V28, U24:U25)</f>
        <v>95.041322314049566</v>
      </c>
      <c r="AA29" t="s">
        <v>162</v>
      </c>
      <c r="AB29" s="99">
        <f>+AC24-AC19</f>
        <v>8.8999999999999982E-3</v>
      </c>
      <c r="AC29" t="s">
        <v>163</v>
      </c>
      <c r="AD29" s="6">
        <f>+AC20-AC25</f>
        <v>4.4989185657282036</v>
      </c>
      <c r="AS29">
        <f t="shared" si="9"/>
        <v>10.138888888888889</v>
      </c>
      <c r="AU29">
        <f t="shared" si="10"/>
        <v>12.138888888888889</v>
      </c>
      <c r="AV29" s="5">
        <v>47308</v>
      </c>
      <c r="AW29">
        <v>2.5000000000000001E-2</v>
      </c>
      <c r="AX29">
        <f t="shared" si="11"/>
        <v>2.5</v>
      </c>
      <c r="AY29" s="9">
        <f t="shared" si="15"/>
        <v>4.5454545454545459</v>
      </c>
      <c r="AZ29" s="9">
        <f t="shared" si="16"/>
        <v>81.818181818181813</v>
      </c>
      <c r="BA29">
        <f t="shared" si="12"/>
        <v>7.0454545454545459</v>
      </c>
      <c r="BB29">
        <f t="shared" si="13"/>
        <v>1.8661951327709425</v>
      </c>
      <c r="BC29">
        <f t="shared" si="14"/>
        <v>2.6806072121173576</v>
      </c>
    </row>
    <row r="30" spans="1:55" x14ac:dyDescent="0.2">
      <c r="A30" s="5">
        <v>46774</v>
      </c>
      <c r="B30" t="s">
        <v>138</v>
      </c>
      <c r="C30" s="95">
        <v>41071</v>
      </c>
      <c r="D30" t="s">
        <v>138</v>
      </c>
      <c r="E30" s="95">
        <v>41071</v>
      </c>
      <c r="F30" t="s">
        <v>138</v>
      </c>
      <c r="G30">
        <v>0</v>
      </c>
      <c r="H30" t="s">
        <v>138</v>
      </c>
      <c r="I30" s="95">
        <v>142857</v>
      </c>
      <c r="J30" t="s">
        <v>138</v>
      </c>
      <c r="K30" s="95">
        <v>571429</v>
      </c>
      <c r="L30" t="s">
        <v>138</v>
      </c>
      <c r="M30" s="8">
        <v>18.392900000000001</v>
      </c>
      <c r="AA30" t="s">
        <v>164</v>
      </c>
      <c r="AB30" t="s">
        <v>165</v>
      </c>
      <c r="AC30" t="s">
        <v>163</v>
      </c>
      <c r="AD30" s="6">
        <f>AC20-106</f>
        <v>4.5611574925379443</v>
      </c>
      <c r="AS30">
        <f t="shared" si="9"/>
        <v>11.138888888888889</v>
      </c>
      <c r="AU30">
        <f t="shared" si="10"/>
        <v>13.138888888888889</v>
      </c>
      <c r="AV30" s="5">
        <v>47492</v>
      </c>
      <c r="AW30">
        <v>2.5000000000000001E-2</v>
      </c>
      <c r="AX30">
        <f t="shared" si="11"/>
        <v>2.5</v>
      </c>
      <c r="AY30" s="9">
        <f t="shared" si="15"/>
        <v>4.5454545454545459</v>
      </c>
      <c r="AZ30" s="9">
        <f t="shared" si="16"/>
        <v>77.272727272727266</v>
      </c>
      <c r="BA30">
        <f t="shared" si="12"/>
        <v>7.0454545454545459</v>
      </c>
      <c r="BB30">
        <f t="shared" si="13"/>
        <v>1.6370132743604759</v>
      </c>
      <c r="BC30">
        <f t="shared" si="14"/>
        <v>2.4369156473794162</v>
      </c>
    </row>
    <row r="31" spans="1:55" x14ac:dyDescent="0.2">
      <c r="A31" s="5">
        <v>47140</v>
      </c>
      <c r="B31" t="s">
        <v>138</v>
      </c>
      <c r="C31" s="95">
        <v>32857</v>
      </c>
      <c r="D31" t="s">
        <v>138</v>
      </c>
      <c r="E31" s="95">
        <v>32857</v>
      </c>
      <c r="F31" t="s">
        <v>138</v>
      </c>
      <c r="G31">
        <v>0</v>
      </c>
      <c r="H31" t="s">
        <v>138</v>
      </c>
      <c r="I31" s="95">
        <v>142857</v>
      </c>
      <c r="J31" t="s">
        <v>138</v>
      </c>
      <c r="K31" s="95">
        <v>428571</v>
      </c>
      <c r="L31" t="s">
        <v>138</v>
      </c>
      <c r="M31" s="8">
        <v>17.571400000000001</v>
      </c>
      <c r="T31" t="s">
        <v>155</v>
      </c>
      <c r="U31" s="97">
        <f>+V28</f>
        <v>0.1</v>
      </c>
      <c r="V31" t="s">
        <v>156</v>
      </c>
      <c r="X31" t="s">
        <v>157</v>
      </c>
      <c r="AS31">
        <f t="shared" si="9"/>
        <v>12.138888888888889</v>
      </c>
      <c r="AU31">
        <f t="shared" si="10"/>
        <v>14.138888888888889</v>
      </c>
      <c r="AV31" s="5">
        <v>47673</v>
      </c>
      <c r="AW31">
        <v>2.5000000000000001E-2</v>
      </c>
      <c r="AX31">
        <f t="shared" si="11"/>
        <v>2.5</v>
      </c>
      <c r="AY31" s="9">
        <f t="shared" si="15"/>
        <v>4.5454545454545459</v>
      </c>
      <c r="AZ31" s="9">
        <f t="shared" si="16"/>
        <v>72.72727272727272</v>
      </c>
      <c r="BA31">
        <f t="shared" si="12"/>
        <v>7.0454545454545459</v>
      </c>
      <c r="BB31">
        <f t="shared" si="13"/>
        <v>1.4359765564565576</v>
      </c>
      <c r="BC31">
        <f t="shared" si="14"/>
        <v>2.215377861254014</v>
      </c>
    </row>
    <row r="32" spans="1:55" x14ac:dyDescent="0.2">
      <c r="A32" s="5">
        <v>47505</v>
      </c>
      <c r="B32" t="s">
        <v>138</v>
      </c>
      <c r="C32" s="95">
        <v>24643</v>
      </c>
      <c r="D32" t="s">
        <v>138</v>
      </c>
      <c r="E32" s="95">
        <v>24643</v>
      </c>
      <c r="F32" t="s">
        <v>138</v>
      </c>
      <c r="G32">
        <v>0</v>
      </c>
      <c r="H32" t="s">
        <v>138</v>
      </c>
      <c r="I32" s="95">
        <v>142857</v>
      </c>
      <c r="J32" t="s">
        <v>138</v>
      </c>
      <c r="K32" s="95">
        <v>285714</v>
      </c>
      <c r="L32" t="s">
        <v>138</v>
      </c>
      <c r="M32" s="8">
        <v>16.75</v>
      </c>
      <c r="T32" t="s">
        <v>158</v>
      </c>
      <c r="X32" t="s">
        <v>159</v>
      </c>
      <c r="AA32" t="s">
        <v>0</v>
      </c>
      <c r="AB32" s="19">
        <f>+AC19+(AD30*AB29/AD29)</f>
        <v>4.902312435544541E-2</v>
      </c>
      <c r="AS32">
        <f t="shared" si="9"/>
        <v>13.138888888888889</v>
      </c>
      <c r="AU32">
        <f t="shared" si="10"/>
        <v>15.138888888888889</v>
      </c>
      <c r="AV32" s="5">
        <v>47857</v>
      </c>
      <c r="AW32">
        <v>2.5000000000000001E-2</v>
      </c>
      <c r="AX32">
        <f t="shared" si="11"/>
        <v>2.5</v>
      </c>
      <c r="AY32" s="9">
        <f t="shared" si="15"/>
        <v>4.5454545454545459</v>
      </c>
      <c r="AZ32" s="9">
        <f t="shared" si="16"/>
        <v>68.181818181818173</v>
      </c>
      <c r="BA32">
        <f t="shared" si="12"/>
        <v>7.0454545454545459</v>
      </c>
      <c r="BB32">
        <f t="shared" si="13"/>
        <v>1.259628558295226</v>
      </c>
      <c r="BC32">
        <f t="shared" si="14"/>
        <v>2.0139798738672856</v>
      </c>
    </row>
    <row r="33" spans="1:55" x14ac:dyDescent="0.2">
      <c r="A33" s="5">
        <v>47870</v>
      </c>
      <c r="B33" t="s">
        <v>138</v>
      </c>
      <c r="C33" s="95">
        <v>16429</v>
      </c>
      <c r="D33" t="s">
        <v>138</v>
      </c>
      <c r="E33" s="95">
        <v>16429</v>
      </c>
      <c r="F33" t="s">
        <v>138</v>
      </c>
      <c r="G33">
        <v>0</v>
      </c>
      <c r="H33" t="s">
        <v>138</v>
      </c>
      <c r="I33" s="95">
        <v>142857</v>
      </c>
      <c r="J33" t="s">
        <v>138</v>
      </c>
      <c r="K33" s="95">
        <v>142857</v>
      </c>
      <c r="L33" t="s">
        <v>138</v>
      </c>
      <c r="M33" s="8">
        <v>15.928599999999999</v>
      </c>
      <c r="T33" t="s">
        <v>160</v>
      </c>
      <c r="U33" t="s">
        <v>153</v>
      </c>
      <c r="V33" s="101">
        <v>1E-3</v>
      </c>
      <c r="AS33">
        <f t="shared" si="9"/>
        <v>14.138888888888889</v>
      </c>
      <c r="AU33">
        <f t="shared" si="10"/>
        <v>16.138888888888889</v>
      </c>
      <c r="AV33" s="5">
        <v>48038</v>
      </c>
      <c r="AW33">
        <v>2.5000000000000001E-2</v>
      </c>
      <c r="AX33">
        <f t="shared" si="11"/>
        <v>2.5</v>
      </c>
      <c r="AY33" s="9">
        <f t="shared" si="15"/>
        <v>4.5454545454545459</v>
      </c>
      <c r="AZ33" s="9">
        <f t="shared" si="16"/>
        <v>63.636363636363626</v>
      </c>
      <c r="BA33">
        <f t="shared" si="12"/>
        <v>7.0454545454545459</v>
      </c>
      <c r="BB33">
        <f t="shared" si="13"/>
        <v>1.1049373318379172</v>
      </c>
      <c r="BC33">
        <f t="shared" si="14"/>
        <v>1.8308907944248047</v>
      </c>
    </row>
    <row r="34" spans="1:55" x14ac:dyDescent="0.2">
      <c r="A34" s="5">
        <v>48235</v>
      </c>
      <c r="B34" t="s">
        <v>138</v>
      </c>
      <c r="C34" t="s">
        <v>146</v>
      </c>
      <c r="D34" t="s">
        <v>138</v>
      </c>
      <c r="E34" t="s">
        <v>146</v>
      </c>
      <c r="F34" t="s">
        <v>138</v>
      </c>
      <c r="G34">
        <v>0</v>
      </c>
      <c r="H34" t="s">
        <v>138</v>
      </c>
      <c r="I34" s="95">
        <v>142857</v>
      </c>
      <c r="J34" t="s">
        <v>138</v>
      </c>
      <c r="K34" t="s">
        <v>145</v>
      </c>
      <c r="L34" t="s">
        <v>138</v>
      </c>
      <c r="M34" s="8">
        <v>15.107100000000001</v>
      </c>
      <c r="U34" t="s">
        <v>154</v>
      </c>
      <c r="V34" s="6">
        <f>+NPV(V33, U24:U25)</f>
        <v>109.8302297103496</v>
      </c>
      <c r="AS34">
        <f t="shared" si="9"/>
        <v>15.138888888888889</v>
      </c>
      <c r="AU34">
        <f t="shared" si="10"/>
        <v>17.138888888888889</v>
      </c>
      <c r="AV34" s="5">
        <v>48222</v>
      </c>
      <c r="AW34">
        <v>2.5000000000000001E-2</v>
      </c>
      <c r="AX34">
        <f t="shared" si="11"/>
        <v>2.5</v>
      </c>
      <c r="AY34" s="9">
        <f t="shared" si="15"/>
        <v>4.5454545454545459</v>
      </c>
      <c r="AZ34" s="9">
        <f t="shared" si="16"/>
        <v>59.090909090909079</v>
      </c>
      <c r="BA34">
        <f t="shared" si="12"/>
        <v>7.0454545454545459</v>
      </c>
      <c r="BB34">
        <f t="shared" si="13"/>
        <v>0.96924327354203266</v>
      </c>
      <c r="BC34">
        <f t="shared" si="14"/>
        <v>1.6644461767498224</v>
      </c>
    </row>
    <row r="35" spans="1:55" x14ac:dyDescent="0.2">
      <c r="AS35">
        <f t="shared" si="9"/>
        <v>16.138888888888889</v>
      </c>
      <c r="AU35">
        <f t="shared" si="10"/>
        <v>18.138888888888889</v>
      </c>
      <c r="AV35" s="5">
        <v>48404</v>
      </c>
      <c r="AW35">
        <v>2.5000000000000001E-2</v>
      </c>
      <c r="AX35">
        <f t="shared" si="11"/>
        <v>2.5</v>
      </c>
      <c r="AY35" s="9">
        <f t="shared" si="15"/>
        <v>4.5454545454545459</v>
      </c>
      <c r="AZ35" s="9">
        <f t="shared" si="16"/>
        <v>54.545454545454533</v>
      </c>
      <c r="BA35">
        <f t="shared" si="12"/>
        <v>7.0454545454545459</v>
      </c>
      <c r="BB35">
        <f t="shared" si="13"/>
        <v>0.85021339784388839</v>
      </c>
      <c r="BC35">
        <f t="shared" si="14"/>
        <v>1.5131328879543839</v>
      </c>
    </row>
    <row r="36" spans="1:55" x14ac:dyDescent="0.2">
      <c r="T36" t="s">
        <v>161</v>
      </c>
      <c r="AS36">
        <f t="shared" si="9"/>
        <v>17.138888888888889</v>
      </c>
      <c r="AU36">
        <f t="shared" si="10"/>
        <v>19.138888888888889</v>
      </c>
      <c r="AV36" s="5">
        <v>48588</v>
      </c>
      <c r="AW36">
        <v>2.5000000000000001E-2</v>
      </c>
      <c r="AX36">
        <f t="shared" si="11"/>
        <v>2.5</v>
      </c>
      <c r="AY36" s="9">
        <f t="shared" si="15"/>
        <v>4.5454545454545459</v>
      </c>
      <c r="AZ36" s="9">
        <f t="shared" si="16"/>
        <v>49.999999999999986</v>
      </c>
      <c r="BA36">
        <f t="shared" si="12"/>
        <v>7.0454545454545459</v>
      </c>
      <c r="BB36">
        <f t="shared" si="13"/>
        <v>0.74580122617884925</v>
      </c>
      <c r="BC36">
        <f t="shared" si="14"/>
        <v>1.3755753526858037</v>
      </c>
    </row>
    <row r="37" spans="1:55" x14ac:dyDescent="0.2">
      <c r="AS37">
        <f t="shared" si="9"/>
        <v>18.138888888888889</v>
      </c>
      <c r="AU37">
        <f t="shared" si="10"/>
        <v>20.138888888888889</v>
      </c>
      <c r="AV37" s="5">
        <v>48769</v>
      </c>
      <c r="AW37">
        <v>2.5000000000000001E-2</v>
      </c>
      <c r="AX37">
        <f t="shared" si="11"/>
        <v>2.5</v>
      </c>
      <c r="AY37" s="9">
        <f t="shared" si="15"/>
        <v>4.5454545454545459</v>
      </c>
      <c r="AZ37" s="9">
        <f t="shared" si="16"/>
        <v>45.454545454545439</v>
      </c>
      <c r="BA37">
        <f t="shared" si="12"/>
        <v>7.0454545454545459</v>
      </c>
      <c r="BB37">
        <f t="shared" si="13"/>
        <v>0.65421160191127115</v>
      </c>
      <c r="BC37">
        <f t="shared" si="14"/>
        <v>1.2505230478961848</v>
      </c>
    </row>
    <row r="38" spans="1:55" x14ac:dyDescent="0.2">
      <c r="T38" t="s">
        <v>162</v>
      </c>
      <c r="U38" s="97">
        <f>+V33-V28</f>
        <v>-9.9000000000000005E-2</v>
      </c>
      <c r="V38" t="s">
        <v>163</v>
      </c>
      <c r="W38" s="6">
        <f>+V29-V34</f>
        <v>-14.788907396300033</v>
      </c>
      <c r="AS38">
        <f t="shared" si="9"/>
        <v>19.138888888888889</v>
      </c>
      <c r="AU38">
        <f t="shared" si="10"/>
        <v>21.138888888888889</v>
      </c>
      <c r="AV38" s="5">
        <v>48953</v>
      </c>
      <c r="AW38">
        <v>2.5000000000000001E-2</v>
      </c>
      <c r="AX38">
        <f t="shared" si="11"/>
        <v>2.5</v>
      </c>
      <c r="AY38" s="9">
        <f t="shared" si="15"/>
        <v>4.5454545454545459</v>
      </c>
      <c r="AZ38" s="9">
        <f t="shared" si="16"/>
        <v>40.909090909090892</v>
      </c>
      <c r="BA38">
        <f t="shared" si="12"/>
        <v>7.0454545454545459</v>
      </c>
      <c r="BB38">
        <f t="shared" si="13"/>
        <v>0.57386982623795701</v>
      </c>
      <c r="BC38">
        <f t="shared" si="14"/>
        <v>1.1368391344510773</v>
      </c>
    </row>
    <row r="39" spans="1:55" x14ac:dyDescent="0.2">
      <c r="T39" t="s">
        <v>164</v>
      </c>
      <c r="U39" t="s">
        <v>165</v>
      </c>
      <c r="V39" t="s">
        <v>163</v>
      </c>
      <c r="W39" s="6">
        <f>+V29-U23</f>
        <v>-4.958677685950434</v>
      </c>
      <c r="AS39">
        <f t="shared" si="9"/>
        <v>20.138888888888889</v>
      </c>
      <c r="AU39">
        <f t="shared" si="10"/>
        <v>22.138888888888889</v>
      </c>
      <c r="AV39" s="5">
        <v>49134</v>
      </c>
      <c r="AW39">
        <v>2.5000000000000001E-2</v>
      </c>
      <c r="AX39">
        <f t="shared" si="11"/>
        <v>2.5</v>
      </c>
      <c r="AY39" s="9">
        <f t="shared" si="15"/>
        <v>4.5454545454545459</v>
      </c>
      <c r="AZ39" s="9">
        <f t="shared" si="16"/>
        <v>36.363636363636346</v>
      </c>
      <c r="BA39">
        <f t="shared" si="12"/>
        <v>7.0454545454545459</v>
      </c>
      <c r="BB39">
        <f t="shared" si="13"/>
        <v>0.50339458441926066</v>
      </c>
      <c r="BC39">
        <f t="shared" si="14"/>
        <v>1.033490122228252</v>
      </c>
    </row>
    <row r="40" spans="1:55" x14ac:dyDescent="0.2">
      <c r="A40" s="5">
        <v>44078</v>
      </c>
      <c r="D40" s="5">
        <v>43839</v>
      </c>
      <c r="AS40">
        <f t="shared" si="9"/>
        <v>21.138888888888889</v>
      </c>
      <c r="AU40">
        <f t="shared" si="10"/>
        <v>23.138888888888889</v>
      </c>
      <c r="AV40" s="5">
        <v>49318</v>
      </c>
      <c r="AW40">
        <v>2.5000000000000001E-2</v>
      </c>
      <c r="AX40">
        <f t="shared" si="11"/>
        <v>2.5</v>
      </c>
      <c r="AY40" s="9">
        <f t="shared" si="15"/>
        <v>4.5454545454545459</v>
      </c>
      <c r="AZ40" s="9">
        <f t="shared" si="16"/>
        <v>31.818181818181799</v>
      </c>
      <c r="BA40">
        <f t="shared" si="12"/>
        <v>7.0454545454545459</v>
      </c>
      <c r="BB40">
        <f t="shared" si="13"/>
        <v>0.44157419685900046</v>
      </c>
      <c r="BC40">
        <f t="shared" si="14"/>
        <v>0.93953647475295643</v>
      </c>
    </row>
    <row r="41" spans="1:55" x14ac:dyDescent="0.2">
      <c r="T41" t="s">
        <v>0</v>
      </c>
      <c r="U41" s="19">
        <f>+V28+(W39*U38/W38)</f>
        <v>6.6805587610081929E-2</v>
      </c>
      <c r="AS41">
        <f t="shared" si="9"/>
        <v>22.138888888888889</v>
      </c>
      <c r="AU41">
        <f t="shared" si="10"/>
        <v>24.138888888888889</v>
      </c>
      <c r="AV41" s="5">
        <v>49499</v>
      </c>
      <c r="AW41">
        <v>2.5000000000000001E-2</v>
      </c>
      <c r="AX41">
        <f t="shared" si="11"/>
        <v>2.5</v>
      </c>
      <c r="AY41" s="9">
        <f t="shared" si="15"/>
        <v>4.5454545454545459</v>
      </c>
      <c r="AZ41" s="9">
        <f t="shared" si="16"/>
        <v>27.272727272727252</v>
      </c>
      <c r="BA41">
        <f t="shared" si="12"/>
        <v>7.0454545454545459</v>
      </c>
      <c r="BB41">
        <f t="shared" si="13"/>
        <v>0.3873457867184214</v>
      </c>
      <c r="BC41">
        <f t="shared" si="14"/>
        <v>0.85412406795723272</v>
      </c>
    </row>
    <row r="42" spans="1:55" x14ac:dyDescent="0.2">
      <c r="AS42">
        <f t="shared" si="9"/>
        <v>23.138888888888889</v>
      </c>
      <c r="AU42">
        <f t="shared" si="10"/>
        <v>25.138888888888889</v>
      </c>
      <c r="AV42" s="5">
        <v>49683</v>
      </c>
      <c r="AW42">
        <v>2.5000000000000001E-2</v>
      </c>
      <c r="AX42">
        <f t="shared" si="11"/>
        <v>2.5</v>
      </c>
      <c r="AY42" s="9">
        <f t="shared" si="15"/>
        <v>4.5454545454545459</v>
      </c>
      <c r="AZ42" s="9">
        <f t="shared" si="16"/>
        <v>22.727272727272705</v>
      </c>
      <c r="BA42">
        <f t="shared" si="12"/>
        <v>7.0454545454545459</v>
      </c>
      <c r="BB42">
        <f t="shared" si="13"/>
        <v>0.33977700589335202</v>
      </c>
      <c r="BC42">
        <f t="shared" si="14"/>
        <v>0.77647642541566619</v>
      </c>
    </row>
    <row r="43" spans="1:55" x14ac:dyDescent="0.2">
      <c r="AS43">
        <f t="shared" si="9"/>
        <v>24.138888888888889</v>
      </c>
      <c r="AU43">
        <f t="shared" si="10"/>
        <v>26.138888888888889</v>
      </c>
      <c r="AV43" s="5">
        <v>49865</v>
      </c>
      <c r="AW43">
        <v>2.5000000000000001E-2</v>
      </c>
      <c r="AX43">
        <f t="shared" si="11"/>
        <v>2.5</v>
      </c>
      <c r="AY43" s="9">
        <f t="shared" si="15"/>
        <v>4.5454545454545459</v>
      </c>
      <c r="AZ43" s="9">
        <f t="shared" si="16"/>
        <v>18.181818181818159</v>
      </c>
      <c r="BA43">
        <f t="shared" si="12"/>
        <v>7.0454545454545459</v>
      </c>
      <c r="BB43">
        <f t="shared" si="13"/>
        <v>0.29805000516960711</v>
      </c>
      <c r="BC43">
        <f t="shared" si="14"/>
        <v>0.70588765946878729</v>
      </c>
    </row>
    <row r="44" spans="1:55" x14ac:dyDescent="0.2">
      <c r="AS44">
        <f t="shared" si="9"/>
        <v>25.138888888888889</v>
      </c>
      <c r="AU44">
        <f t="shared" si="10"/>
        <v>27.138888888888889</v>
      </c>
      <c r="AV44" s="5">
        <v>50049</v>
      </c>
      <c r="AW44">
        <v>2.5000000000000001E-2</v>
      </c>
      <c r="AX44">
        <f t="shared" si="11"/>
        <v>2.5</v>
      </c>
      <c r="AY44" s="9">
        <f t="shared" si="15"/>
        <v>4.5454545454545459</v>
      </c>
      <c r="AZ44" s="9">
        <f t="shared" si="16"/>
        <v>13.636363636363612</v>
      </c>
      <c r="BA44">
        <f t="shared" si="12"/>
        <v>7.0454545454545459</v>
      </c>
      <c r="BB44">
        <f t="shared" si="13"/>
        <v>0.26144737295579562</v>
      </c>
      <c r="BC44">
        <f t="shared" si="14"/>
        <v>0.64171605406253385</v>
      </c>
    </row>
    <row r="45" spans="1:55" x14ac:dyDescent="0.2">
      <c r="AS45">
        <f t="shared" si="9"/>
        <v>26.138888888888889</v>
      </c>
      <c r="AU45">
        <f t="shared" si="10"/>
        <v>28.138888888888889</v>
      </c>
      <c r="AV45" s="5">
        <v>50230</v>
      </c>
      <c r="AW45">
        <v>2.5000000000000001E-2</v>
      </c>
      <c r="AX45">
        <f t="shared" si="11"/>
        <v>2.5</v>
      </c>
      <c r="AY45" s="9">
        <f t="shared" si="15"/>
        <v>4.5454545454545459</v>
      </c>
      <c r="AZ45" s="9">
        <f t="shared" si="16"/>
        <v>9.0909090909090651</v>
      </c>
      <c r="BA45">
        <f t="shared" si="12"/>
        <v>7.0454545454545459</v>
      </c>
      <c r="BB45">
        <f t="shared" si="13"/>
        <v>0.22933980083841721</v>
      </c>
      <c r="BC45">
        <f t="shared" si="14"/>
        <v>0.58337823096593988</v>
      </c>
    </row>
    <row r="46" spans="1:55" x14ac:dyDescent="0.2">
      <c r="AS46">
        <f t="shared" si="9"/>
        <v>27.138888888888889</v>
      </c>
      <c r="AU46">
        <f t="shared" si="10"/>
        <v>29.138888888888889</v>
      </c>
      <c r="AV46" s="5">
        <v>50414</v>
      </c>
      <c r="AW46">
        <v>2.5000000000000001E-2</v>
      </c>
      <c r="AX46">
        <f t="shared" si="11"/>
        <v>2.5</v>
      </c>
      <c r="AY46" s="9">
        <f t="shared" si="15"/>
        <v>4.5454545454545459</v>
      </c>
      <c r="AZ46" s="9">
        <f t="shared" si="16"/>
        <v>4.5454545454545192</v>
      </c>
      <c r="BA46">
        <f t="shared" si="12"/>
        <v>7.0454545454545459</v>
      </c>
      <c r="BB46">
        <f t="shared" si="13"/>
        <v>0.20117526389334836</v>
      </c>
      <c r="BC46">
        <f t="shared" si="14"/>
        <v>0.53034384633267251</v>
      </c>
    </row>
    <row r="47" spans="1:55" x14ac:dyDescent="0.2">
      <c r="AS47">
        <f t="shared" si="9"/>
        <v>28.138888888888889</v>
      </c>
      <c r="AU47">
        <f t="shared" si="10"/>
        <v>30.138888888888889</v>
      </c>
      <c r="AV47" s="5">
        <v>50595</v>
      </c>
      <c r="AW47">
        <v>2.5000000000000001E-2</v>
      </c>
      <c r="AX47">
        <f t="shared" si="11"/>
        <v>2.5</v>
      </c>
      <c r="AY47" s="9">
        <f t="shared" si="15"/>
        <v>4.5454545454545459</v>
      </c>
      <c r="AZ47" s="9">
        <f t="shared" si="16"/>
        <v>-2.6645352591003757E-14</v>
      </c>
      <c r="BA47">
        <f t="shared" si="12"/>
        <v>7.0454545454545459</v>
      </c>
      <c r="BB47">
        <f t="shared" si="13"/>
        <v>0.17646952973100735</v>
      </c>
      <c r="BC47">
        <f t="shared" si="14"/>
        <v>0.48213076939333865</v>
      </c>
    </row>
    <row r="48" spans="1:55" x14ac:dyDescent="0.2">
      <c r="AN48">
        <v>7.0871467025571996E-2</v>
      </c>
      <c r="AV48" s="5"/>
      <c r="BB48">
        <f>+SUM(BB18:BB47)</f>
        <v>37.186320249986458</v>
      </c>
      <c r="BC48">
        <f>+SUM(BC18:BC47)</f>
        <v>52.127166482779487</v>
      </c>
    </row>
    <row r="49" spans="40:55" x14ac:dyDescent="0.2">
      <c r="AN49">
        <v>8.7960491939631597E-2</v>
      </c>
      <c r="AS49" s="109">
        <f>+YEARFRAC(AV16, AT17,)</f>
        <v>0.43055555555555558</v>
      </c>
      <c r="BB49">
        <f>+(BB48-BA12)/BA12</f>
        <v>1.2876616107925332E-2</v>
      </c>
      <c r="BC49">
        <f>+(BC48-AS12)/AS12</f>
        <v>-0.13074617399510377</v>
      </c>
    </row>
    <row r="50" spans="40:55" x14ac:dyDescent="0.2">
      <c r="AN50">
        <f>+AN49+AN48</f>
        <v>0.15883195896520358</v>
      </c>
      <c r="AS50" s="108">
        <f>+AW18*AS49*2</f>
        <v>1.8298611111111113E-2</v>
      </c>
    </row>
    <row r="51" spans="40:55" x14ac:dyDescent="0.2">
      <c r="AS51">
        <f>+DAYS360(AV16, AT17)</f>
        <v>155</v>
      </c>
      <c r="BB51" s="101">
        <f>+BB49+AS14</f>
        <v>8.3748083133497339E-2</v>
      </c>
      <c r="BC51" s="101">
        <f>+BC49+AS14</f>
        <v>-5.987470696953176E-2</v>
      </c>
    </row>
    <row r="52" spans="40:55" x14ac:dyDescent="0.2">
      <c r="AS52">
        <f>+AS51/180</f>
        <v>0.86111111111111116</v>
      </c>
    </row>
    <row r="53" spans="40:55" x14ac:dyDescent="0.2">
      <c r="AS53" s="110">
        <f>+AS52*AS50</f>
        <v>1.5757137345679014E-2</v>
      </c>
      <c r="BA53">
        <f>+XIRR(BA16:BA47, AV16:AV47)</f>
        <v>0.14619156718254089</v>
      </c>
    </row>
    <row r="54" spans="40:55" x14ac:dyDescent="0.2">
      <c r="BA54">
        <f>0.0602866726381645*2</f>
        <v>0.120573345276329</v>
      </c>
    </row>
    <row r="56" spans="40:55" x14ac:dyDescent="0.2">
      <c r="BB56" t="s">
        <v>200</v>
      </c>
    </row>
    <row r="77" spans="1:43" x14ac:dyDescent="0.2">
      <c r="A77" s="104" t="s">
        <v>168</v>
      </c>
      <c r="B77" s="104" t="s">
        <v>181</v>
      </c>
    </row>
    <row r="78" spans="1:43" x14ac:dyDescent="0.2">
      <c r="A78" s="104" t="s">
        <v>169</v>
      </c>
      <c r="B78" s="104" t="s">
        <v>182</v>
      </c>
    </row>
    <row r="79" spans="1:43" x14ac:dyDescent="0.2">
      <c r="A79" s="104" t="s">
        <v>170</v>
      </c>
      <c r="B79" s="104" t="s">
        <v>183</v>
      </c>
      <c r="AP79">
        <v>5000</v>
      </c>
      <c r="AQ79" t="s">
        <v>181</v>
      </c>
    </row>
    <row r="80" spans="1:43" x14ac:dyDescent="0.2">
      <c r="A80" s="104" t="s">
        <v>171</v>
      </c>
      <c r="B80" s="105">
        <v>44078</v>
      </c>
      <c r="AP80">
        <v>2000</v>
      </c>
      <c r="AQ80" t="s">
        <v>201</v>
      </c>
    </row>
    <row r="81" spans="1:2" x14ac:dyDescent="0.2">
      <c r="A81" s="104" t="s">
        <v>172</v>
      </c>
      <c r="B81" s="105">
        <v>50414</v>
      </c>
    </row>
    <row r="82" spans="1:2" x14ac:dyDescent="0.2">
      <c r="A82" s="104" t="s">
        <v>173</v>
      </c>
      <c r="B82" s="105">
        <v>44386</v>
      </c>
    </row>
    <row r="83" spans="1:2" x14ac:dyDescent="0.2">
      <c r="A83" s="104" t="s">
        <v>174</v>
      </c>
      <c r="B83" s="104" t="s">
        <v>184</v>
      </c>
    </row>
    <row r="84" spans="1:2" x14ac:dyDescent="0.2">
      <c r="A84" s="104" t="s">
        <v>175</v>
      </c>
      <c r="B84" s="104" t="s">
        <v>185</v>
      </c>
    </row>
    <row r="85" spans="1:2" x14ac:dyDescent="0.2">
      <c r="A85" s="104" t="s">
        <v>176</v>
      </c>
      <c r="B85" s="104" t="s">
        <v>186</v>
      </c>
    </row>
    <row r="86" spans="1:2" x14ac:dyDescent="0.2">
      <c r="A86" s="104" t="s">
        <v>177</v>
      </c>
      <c r="B86">
        <v>1</v>
      </c>
    </row>
    <row r="87" spans="1:2" x14ac:dyDescent="0.2">
      <c r="A87" s="104" t="s">
        <v>178</v>
      </c>
      <c r="B87" s="104" t="s">
        <v>187</v>
      </c>
    </row>
    <row r="88" spans="1:2" x14ac:dyDescent="0.2">
      <c r="A88" s="104" t="s">
        <v>179</v>
      </c>
      <c r="B88" s="104" t="s">
        <v>188</v>
      </c>
    </row>
    <row r="89" spans="1:2" x14ac:dyDescent="0.2">
      <c r="B89" s="104" t="s">
        <v>189</v>
      </c>
    </row>
    <row r="90" spans="1:2" x14ac:dyDescent="0.2">
      <c r="A90" s="104" t="s">
        <v>180</v>
      </c>
      <c r="B90" s="104" t="s">
        <v>190</v>
      </c>
    </row>
    <row r="91" spans="1:2" x14ac:dyDescent="0.2">
      <c r="B91" s="104" t="s">
        <v>191</v>
      </c>
    </row>
    <row r="92" spans="1:2" x14ac:dyDescent="0.2">
      <c r="B92" s="104" t="s">
        <v>192</v>
      </c>
    </row>
    <row r="121" spans="1:13" x14ac:dyDescent="0.2">
      <c r="A121" t="s">
        <v>137</v>
      </c>
      <c r="B121" t="s">
        <v>138</v>
      </c>
      <c r="C121" t="s">
        <v>139</v>
      </c>
      <c r="D121" t="s">
        <v>138</v>
      </c>
      <c r="E121" t="s">
        <v>140</v>
      </c>
      <c r="F121" t="s">
        <v>138</v>
      </c>
      <c r="G121" t="s">
        <v>141</v>
      </c>
      <c r="H121" t="s">
        <v>138</v>
      </c>
      <c r="I121" t="s">
        <v>142</v>
      </c>
      <c r="J121" t="s">
        <v>138</v>
      </c>
      <c r="K121" t="s">
        <v>143</v>
      </c>
      <c r="L121" t="s">
        <v>138</v>
      </c>
      <c r="M121" t="s">
        <v>144</v>
      </c>
    </row>
    <row r="122" spans="1:13" x14ac:dyDescent="0.2">
      <c r="A122" s="5">
        <v>44021</v>
      </c>
      <c r="B122" t="s">
        <v>138</v>
      </c>
      <c r="C122">
        <v>6.25E-2</v>
      </c>
      <c r="D122" t="s">
        <v>138</v>
      </c>
      <c r="E122">
        <v>6.25E-2</v>
      </c>
      <c r="F122" t="s">
        <v>138</v>
      </c>
      <c r="G122">
        <v>0</v>
      </c>
      <c r="H122" t="s">
        <v>138</v>
      </c>
      <c r="I122">
        <v>0</v>
      </c>
      <c r="J122" t="s">
        <v>138</v>
      </c>
      <c r="K122" s="95">
        <v>1000000</v>
      </c>
      <c r="L122" t="s">
        <v>138</v>
      </c>
      <c r="M122">
        <v>6.25E-2</v>
      </c>
    </row>
    <row r="123" spans="1:13" x14ac:dyDescent="0.2">
      <c r="A123" s="5">
        <v>44386</v>
      </c>
      <c r="B123" t="s">
        <v>138</v>
      </c>
      <c r="C123" s="95">
        <v>10000</v>
      </c>
      <c r="D123" t="s">
        <v>138</v>
      </c>
      <c r="E123" s="95">
        <v>10000</v>
      </c>
      <c r="F123" t="s">
        <v>138</v>
      </c>
      <c r="G123">
        <v>0</v>
      </c>
      <c r="H123" t="s">
        <v>138</v>
      </c>
      <c r="I123">
        <v>0</v>
      </c>
      <c r="J123" t="s">
        <v>138</v>
      </c>
      <c r="K123" s="95">
        <v>1000000</v>
      </c>
      <c r="L123" t="s">
        <v>138</v>
      </c>
      <c r="M123" s="95">
        <v>10000</v>
      </c>
    </row>
    <row r="124" spans="1:13" x14ac:dyDescent="0.2">
      <c r="A124" s="5">
        <v>44753</v>
      </c>
      <c r="B124" t="s">
        <v>138</v>
      </c>
      <c r="C124" s="95">
        <v>19375</v>
      </c>
      <c r="D124" t="s">
        <v>138</v>
      </c>
      <c r="E124" s="95">
        <v>19375</v>
      </c>
      <c r="F124" t="s">
        <v>138</v>
      </c>
      <c r="G124">
        <v>0</v>
      </c>
      <c r="H124" t="s">
        <v>138</v>
      </c>
      <c r="I124">
        <v>0</v>
      </c>
      <c r="J124" t="s">
        <v>138</v>
      </c>
      <c r="K124" s="95">
        <v>1000000</v>
      </c>
      <c r="L124" t="s">
        <v>138</v>
      </c>
      <c r="M124" s="95">
        <v>19375</v>
      </c>
    </row>
    <row r="125" spans="1:13" x14ac:dyDescent="0.2">
      <c r="A125" s="5">
        <v>45117</v>
      </c>
      <c r="B125" t="s">
        <v>138</v>
      </c>
      <c r="C125" s="95">
        <v>21250</v>
      </c>
      <c r="D125" t="s">
        <v>138</v>
      </c>
      <c r="E125" s="95">
        <v>21250</v>
      </c>
      <c r="F125" t="s">
        <v>138</v>
      </c>
      <c r="G125">
        <v>0</v>
      </c>
      <c r="H125" t="s">
        <v>138</v>
      </c>
      <c r="I125">
        <v>0</v>
      </c>
      <c r="J125" t="s">
        <v>138</v>
      </c>
      <c r="K125" s="95">
        <v>1000000</v>
      </c>
      <c r="L125" t="s">
        <v>138</v>
      </c>
      <c r="M125" s="95">
        <v>21250</v>
      </c>
    </row>
    <row r="126" spans="1:13" x14ac:dyDescent="0.2">
      <c r="A126" s="5">
        <v>45482</v>
      </c>
      <c r="B126" t="s">
        <v>138</v>
      </c>
      <c r="C126" s="95">
        <v>25000</v>
      </c>
      <c r="D126" t="s">
        <v>138</v>
      </c>
      <c r="E126" s="95">
        <v>25000</v>
      </c>
      <c r="F126" t="s">
        <v>138</v>
      </c>
      <c r="G126">
        <v>0</v>
      </c>
      <c r="H126" t="s">
        <v>138</v>
      </c>
      <c r="I126">
        <v>0</v>
      </c>
      <c r="J126" t="s">
        <v>138</v>
      </c>
      <c r="K126" s="95">
        <v>1000000</v>
      </c>
      <c r="L126" t="s">
        <v>138</v>
      </c>
      <c r="M126" s="95">
        <v>25000</v>
      </c>
    </row>
    <row r="127" spans="1:13" x14ac:dyDescent="0.2">
      <c r="A127" s="5">
        <v>45666</v>
      </c>
      <c r="B127" t="s">
        <v>138</v>
      </c>
      <c r="C127" s="95">
        <v>25000</v>
      </c>
      <c r="D127" t="s">
        <v>138</v>
      </c>
      <c r="E127" s="95">
        <v>25000</v>
      </c>
      <c r="F127" t="s">
        <v>138</v>
      </c>
      <c r="G127">
        <v>0</v>
      </c>
      <c r="H127" t="s">
        <v>138</v>
      </c>
      <c r="I127">
        <v>0</v>
      </c>
      <c r="J127" t="s">
        <v>138</v>
      </c>
      <c r="K127" s="95">
        <v>1000000</v>
      </c>
      <c r="L127" t="s">
        <v>138</v>
      </c>
      <c r="M127" s="95">
        <v>25000</v>
      </c>
    </row>
    <row r="128" spans="1:13" x14ac:dyDescent="0.2">
      <c r="A128" s="5">
        <v>45847</v>
      </c>
      <c r="B128" t="s">
        <v>138</v>
      </c>
      <c r="C128" s="95">
        <v>25000</v>
      </c>
      <c r="D128" t="s">
        <v>138</v>
      </c>
      <c r="E128" s="95">
        <v>25000</v>
      </c>
      <c r="F128" t="s">
        <v>138</v>
      </c>
      <c r="G128">
        <v>0</v>
      </c>
      <c r="H128" t="s">
        <v>138</v>
      </c>
      <c r="I128">
        <v>0</v>
      </c>
      <c r="J128" t="s">
        <v>138</v>
      </c>
      <c r="K128" s="95">
        <v>1000000</v>
      </c>
      <c r="L128" t="s">
        <v>138</v>
      </c>
      <c r="M128" s="95">
        <v>25000</v>
      </c>
    </row>
    <row r="129" spans="1:13" x14ac:dyDescent="0.2">
      <c r="A129" s="5">
        <v>46031</v>
      </c>
      <c r="B129" t="s">
        <v>138</v>
      </c>
      <c r="C129" s="95">
        <v>25000</v>
      </c>
      <c r="D129" t="s">
        <v>138</v>
      </c>
      <c r="E129" s="95">
        <v>25000</v>
      </c>
      <c r="F129" t="s">
        <v>138</v>
      </c>
      <c r="G129">
        <v>0</v>
      </c>
      <c r="H129" t="s">
        <v>138</v>
      </c>
      <c r="I129">
        <v>0</v>
      </c>
      <c r="J129" t="s">
        <v>138</v>
      </c>
      <c r="K129" s="95">
        <v>1000000</v>
      </c>
      <c r="L129" t="s">
        <v>138</v>
      </c>
      <c r="M129" s="95">
        <v>25000</v>
      </c>
    </row>
    <row r="130" spans="1:13" x14ac:dyDescent="0.2">
      <c r="A130" s="5">
        <v>46212</v>
      </c>
      <c r="B130" t="s">
        <v>138</v>
      </c>
      <c r="C130" s="95">
        <v>25000</v>
      </c>
      <c r="D130" t="s">
        <v>138</v>
      </c>
      <c r="E130" s="95">
        <v>25000</v>
      </c>
      <c r="F130" t="s">
        <v>138</v>
      </c>
      <c r="G130">
        <v>0</v>
      </c>
      <c r="H130" t="s">
        <v>138</v>
      </c>
      <c r="I130">
        <v>0</v>
      </c>
      <c r="J130" t="s">
        <v>138</v>
      </c>
      <c r="K130" s="95">
        <v>1000000</v>
      </c>
      <c r="L130" t="s">
        <v>138</v>
      </c>
      <c r="M130" s="95">
        <v>25000</v>
      </c>
    </row>
    <row r="131" spans="1:13" x14ac:dyDescent="0.2">
      <c r="A131" s="5">
        <v>46398</v>
      </c>
      <c r="B131" t="s">
        <v>138</v>
      </c>
      <c r="C131" s="95">
        <v>25000</v>
      </c>
      <c r="D131" t="s">
        <v>138</v>
      </c>
      <c r="E131" s="95">
        <v>25000</v>
      </c>
      <c r="F131" t="s">
        <v>138</v>
      </c>
      <c r="G131">
        <v>0</v>
      </c>
      <c r="H131" t="s">
        <v>138</v>
      </c>
      <c r="I131">
        <v>0</v>
      </c>
      <c r="J131" t="s">
        <v>138</v>
      </c>
      <c r="K131" s="95">
        <v>1000000</v>
      </c>
      <c r="L131" t="s">
        <v>138</v>
      </c>
      <c r="M131" s="95">
        <v>25000</v>
      </c>
    </row>
    <row r="132" spans="1:13" x14ac:dyDescent="0.2">
      <c r="A132" s="5">
        <v>46577</v>
      </c>
      <c r="B132" t="s">
        <v>138</v>
      </c>
      <c r="C132" s="95">
        <v>25000</v>
      </c>
      <c r="D132" t="s">
        <v>138</v>
      </c>
      <c r="E132" s="95">
        <v>25000</v>
      </c>
      <c r="F132" t="s">
        <v>138</v>
      </c>
      <c r="G132">
        <v>0</v>
      </c>
      <c r="H132" t="s">
        <v>138</v>
      </c>
      <c r="I132">
        <v>0</v>
      </c>
      <c r="J132" t="s">
        <v>138</v>
      </c>
      <c r="K132" s="95">
        <v>1000000</v>
      </c>
      <c r="L132" t="s">
        <v>138</v>
      </c>
      <c r="M132" s="95">
        <v>25000</v>
      </c>
    </row>
    <row r="133" spans="1:13" x14ac:dyDescent="0.2">
      <c r="A133" s="5">
        <v>46762</v>
      </c>
      <c r="B133" t="s">
        <v>138</v>
      </c>
      <c r="C133" s="95">
        <v>25000</v>
      </c>
      <c r="D133" t="s">
        <v>138</v>
      </c>
      <c r="E133" s="95">
        <v>25000</v>
      </c>
      <c r="F133" t="s">
        <v>138</v>
      </c>
      <c r="G133">
        <v>0</v>
      </c>
      <c r="H133" t="s">
        <v>138</v>
      </c>
      <c r="I133" s="95">
        <v>45455</v>
      </c>
      <c r="J133" t="s">
        <v>138</v>
      </c>
      <c r="K133" s="95">
        <v>954545</v>
      </c>
      <c r="L133" t="s">
        <v>138</v>
      </c>
      <c r="M133" s="95">
        <v>70455</v>
      </c>
    </row>
    <row r="134" spans="1:13" x14ac:dyDescent="0.2">
      <c r="A134" s="5">
        <v>46944</v>
      </c>
      <c r="B134" t="s">
        <v>138</v>
      </c>
      <c r="C134" s="95">
        <v>23864</v>
      </c>
      <c r="D134" t="s">
        <v>138</v>
      </c>
      <c r="E134" s="95">
        <v>23864</v>
      </c>
      <c r="F134" t="s">
        <v>138</v>
      </c>
      <c r="G134">
        <v>0</v>
      </c>
      <c r="H134" t="s">
        <v>138</v>
      </c>
      <c r="I134" s="95">
        <v>45455</v>
      </c>
      <c r="J134" t="s">
        <v>138</v>
      </c>
      <c r="K134" s="95">
        <v>909091</v>
      </c>
      <c r="L134" t="s">
        <v>138</v>
      </c>
      <c r="M134" s="95">
        <v>69318</v>
      </c>
    </row>
    <row r="135" spans="1:13" x14ac:dyDescent="0.2">
      <c r="A135" s="5">
        <v>47127</v>
      </c>
      <c r="B135" t="s">
        <v>138</v>
      </c>
      <c r="C135" s="95">
        <v>22727</v>
      </c>
      <c r="D135" t="s">
        <v>138</v>
      </c>
      <c r="E135" s="95">
        <v>22727</v>
      </c>
      <c r="F135" t="s">
        <v>138</v>
      </c>
      <c r="G135">
        <v>0</v>
      </c>
      <c r="H135" t="s">
        <v>138</v>
      </c>
      <c r="I135" s="95">
        <v>45455</v>
      </c>
      <c r="J135" t="s">
        <v>138</v>
      </c>
      <c r="K135" s="95">
        <v>863636</v>
      </c>
      <c r="L135" t="s">
        <v>138</v>
      </c>
      <c r="M135" s="95">
        <v>68182</v>
      </c>
    </row>
    <row r="136" spans="1:13" x14ac:dyDescent="0.2">
      <c r="A136" s="5">
        <v>47308</v>
      </c>
      <c r="B136" t="s">
        <v>138</v>
      </c>
      <c r="C136" s="95">
        <v>21591</v>
      </c>
      <c r="D136" t="s">
        <v>138</v>
      </c>
      <c r="E136" s="95">
        <v>21591</v>
      </c>
      <c r="F136" t="s">
        <v>138</v>
      </c>
      <c r="G136">
        <v>0</v>
      </c>
      <c r="H136" t="s">
        <v>138</v>
      </c>
      <c r="I136" s="95">
        <v>45455</v>
      </c>
      <c r="J136" t="s">
        <v>138</v>
      </c>
      <c r="K136" s="95">
        <v>818182</v>
      </c>
      <c r="L136" t="s">
        <v>138</v>
      </c>
      <c r="M136" s="95">
        <v>67045</v>
      </c>
    </row>
    <row r="137" spans="1:13" x14ac:dyDescent="0.2">
      <c r="A137" s="5">
        <v>47492</v>
      </c>
      <c r="B137" t="s">
        <v>138</v>
      </c>
      <c r="C137" s="95">
        <v>20455</v>
      </c>
      <c r="D137" t="s">
        <v>138</v>
      </c>
      <c r="E137" s="95">
        <v>20455</v>
      </c>
      <c r="F137" t="s">
        <v>138</v>
      </c>
      <c r="G137">
        <v>0</v>
      </c>
      <c r="H137" t="s">
        <v>138</v>
      </c>
      <c r="I137" s="95">
        <v>45455</v>
      </c>
      <c r="J137" t="s">
        <v>138</v>
      </c>
      <c r="K137" s="95">
        <v>772727</v>
      </c>
      <c r="L137" t="s">
        <v>138</v>
      </c>
      <c r="M137" s="95">
        <v>65909</v>
      </c>
    </row>
    <row r="138" spans="1:13" x14ac:dyDescent="0.2">
      <c r="A138" s="5">
        <v>47673</v>
      </c>
      <c r="B138" t="s">
        <v>138</v>
      </c>
      <c r="C138" s="95">
        <v>19318</v>
      </c>
      <c r="D138" t="s">
        <v>138</v>
      </c>
      <c r="E138" s="95">
        <v>19318</v>
      </c>
      <c r="F138" t="s">
        <v>138</v>
      </c>
      <c r="G138">
        <v>0</v>
      </c>
      <c r="H138" t="s">
        <v>138</v>
      </c>
      <c r="I138" s="95">
        <v>45455</v>
      </c>
      <c r="J138" t="s">
        <v>138</v>
      </c>
      <c r="K138" s="95">
        <v>727273</v>
      </c>
      <c r="L138" t="s">
        <v>138</v>
      </c>
      <c r="M138" s="95">
        <v>64773</v>
      </c>
    </row>
    <row r="139" spans="1:13" x14ac:dyDescent="0.2">
      <c r="A139" s="5">
        <v>47857</v>
      </c>
      <c r="B139" t="s">
        <v>138</v>
      </c>
      <c r="C139" s="95">
        <v>18182</v>
      </c>
      <c r="D139" t="s">
        <v>138</v>
      </c>
      <c r="E139" s="95">
        <v>18182</v>
      </c>
      <c r="F139" t="s">
        <v>138</v>
      </c>
      <c r="G139">
        <v>0</v>
      </c>
      <c r="H139" t="s">
        <v>138</v>
      </c>
      <c r="I139" s="95">
        <v>45455</v>
      </c>
      <c r="J139" t="s">
        <v>138</v>
      </c>
      <c r="K139" s="95">
        <v>681818</v>
      </c>
      <c r="L139" t="s">
        <v>138</v>
      </c>
      <c r="M139" s="95">
        <v>63636</v>
      </c>
    </row>
    <row r="140" spans="1:13" x14ac:dyDescent="0.2">
      <c r="A140" s="5">
        <v>48038</v>
      </c>
      <c r="B140" t="s">
        <v>138</v>
      </c>
      <c r="C140" s="95">
        <v>17045</v>
      </c>
      <c r="D140" t="s">
        <v>138</v>
      </c>
      <c r="E140" s="95">
        <v>17045</v>
      </c>
      <c r="F140" t="s">
        <v>138</v>
      </c>
      <c r="G140">
        <v>0</v>
      </c>
      <c r="H140" t="s">
        <v>138</v>
      </c>
      <c r="I140" s="95">
        <v>45455</v>
      </c>
      <c r="J140" t="s">
        <v>138</v>
      </c>
      <c r="K140" s="95">
        <v>636364</v>
      </c>
      <c r="L140" t="s">
        <v>138</v>
      </c>
      <c r="M140" s="95">
        <v>62500</v>
      </c>
    </row>
    <row r="141" spans="1:13" x14ac:dyDescent="0.2">
      <c r="A141" s="5">
        <v>48222</v>
      </c>
      <c r="B141" t="s">
        <v>138</v>
      </c>
      <c r="C141" s="95">
        <v>15909</v>
      </c>
      <c r="D141" t="s">
        <v>138</v>
      </c>
      <c r="E141" s="95">
        <v>15909</v>
      </c>
      <c r="F141" t="s">
        <v>138</v>
      </c>
      <c r="G141">
        <v>0</v>
      </c>
      <c r="H141" t="s">
        <v>138</v>
      </c>
      <c r="I141" s="95">
        <v>45455</v>
      </c>
      <c r="J141" t="s">
        <v>138</v>
      </c>
      <c r="K141" s="95">
        <v>590909</v>
      </c>
      <c r="L141" t="s">
        <v>138</v>
      </c>
      <c r="M141" s="95">
        <v>61364</v>
      </c>
    </row>
    <row r="142" spans="1:13" x14ac:dyDescent="0.2">
      <c r="A142" s="5">
        <v>48404</v>
      </c>
      <c r="B142" t="s">
        <v>138</v>
      </c>
      <c r="C142" s="95">
        <v>14773</v>
      </c>
      <c r="D142" t="s">
        <v>138</v>
      </c>
      <c r="E142" s="95">
        <v>14773</v>
      </c>
      <c r="F142" t="s">
        <v>138</v>
      </c>
      <c r="G142">
        <v>0</v>
      </c>
      <c r="H142" t="s">
        <v>138</v>
      </c>
      <c r="I142" s="95">
        <v>45455</v>
      </c>
      <c r="J142" t="s">
        <v>138</v>
      </c>
      <c r="K142" s="95">
        <v>545455</v>
      </c>
      <c r="L142" t="s">
        <v>138</v>
      </c>
      <c r="M142" s="95">
        <v>60227</v>
      </c>
    </row>
    <row r="143" spans="1:13" x14ac:dyDescent="0.2">
      <c r="A143" s="5">
        <v>48589</v>
      </c>
      <c r="B143" t="s">
        <v>138</v>
      </c>
      <c r="C143" s="95">
        <v>13636</v>
      </c>
      <c r="D143" t="s">
        <v>138</v>
      </c>
      <c r="E143" s="95">
        <v>13636</v>
      </c>
      <c r="F143" t="s">
        <v>138</v>
      </c>
      <c r="G143">
        <v>0</v>
      </c>
      <c r="H143" t="s">
        <v>138</v>
      </c>
      <c r="I143" s="95">
        <v>45455</v>
      </c>
      <c r="J143" t="s">
        <v>138</v>
      </c>
      <c r="K143" s="95">
        <v>500000</v>
      </c>
      <c r="L143" t="s">
        <v>138</v>
      </c>
      <c r="M143" s="95">
        <v>59091</v>
      </c>
    </row>
    <row r="144" spans="1:13" x14ac:dyDescent="0.2">
      <c r="A144" s="5">
        <v>48771</v>
      </c>
      <c r="B144" t="s">
        <v>138</v>
      </c>
      <c r="C144" s="95">
        <v>12500</v>
      </c>
      <c r="D144" t="s">
        <v>138</v>
      </c>
      <c r="E144" s="95">
        <v>12500</v>
      </c>
      <c r="F144" t="s">
        <v>138</v>
      </c>
      <c r="G144">
        <v>0</v>
      </c>
      <c r="H144" t="s">
        <v>138</v>
      </c>
      <c r="I144" s="95">
        <v>45455</v>
      </c>
      <c r="J144" t="s">
        <v>138</v>
      </c>
      <c r="K144" s="95">
        <v>454545</v>
      </c>
      <c r="L144" t="s">
        <v>138</v>
      </c>
      <c r="M144" s="95">
        <v>57955</v>
      </c>
    </row>
    <row r="145" spans="1:13" x14ac:dyDescent="0.2">
      <c r="A145" s="5">
        <v>48953</v>
      </c>
      <c r="B145" t="s">
        <v>138</v>
      </c>
      <c r="C145" s="95">
        <v>11364</v>
      </c>
      <c r="D145" t="s">
        <v>138</v>
      </c>
      <c r="E145" s="95">
        <v>11364</v>
      </c>
      <c r="F145" t="s">
        <v>138</v>
      </c>
      <c r="G145">
        <v>0</v>
      </c>
      <c r="H145" t="s">
        <v>138</v>
      </c>
      <c r="I145" s="95">
        <v>45455</v>
      </c>
      <c r="J145" t="s">
        <v>138</v>
      </c>
      <c r="K145" s="95">
        <v>409091</v>
      </c>
      <c r="L145" t="s">
        <v>138</v>
      </c>
      <c r="M145" s="95">
        <v>56818</v>
      </c>
    </row>
    <row r="146" spans="1:13" x14ac:dyDescent="0.2">
      <c r="A146" s="5">
        <v>49135</v>
      </c>
      <c r="B146" t="s">
        <v>138</v>
      </c>
      <c r="C146" s="95">
        <v>10227</v>
      </c>
      <c r="D146" t="s">
        <v>138</v>
      </c>
      <c r="E146" s="95">
        <v>10227</v>
      </c>
      <c r="F146" t="s">
        <v>138</v>
      </c>
      <c r="G146">
        <v>0</v>
      </c>
      <c r="H146" t="s">
        <v>138</v>
      </c>
      <c r="I146" s="95">
        <v>45455</v>
      </c>
      <c r="J146" t="s">
        <v>138</v>
      </c>
      <c r="K146" s="95">
        <v>363636</v>
      </c>
      <c r="L146" t="s">
        <v>138</v>
      </c>
      <c r="M146" s="95">
        <v>55682</v>
      </c>
    </row>
    <row r="147" spans="1:13" x14ac:dyDescent="0.2">
      <c r="A147" s="5">
        <v>49318</v>
      </c>
      <c r="B147" t="s">
        <v>138</v>
      </c>
      <c r="C147">
        <v>0.90910000000000002</v>
      </c>
      <c r="D147" t="s">
        <v>138</v>
      </c>
      <c r="E147">
        <v>0.90910000000000002</v>
      </c>
      <c r="F147" t="s">
        <v>138</v>
      </c>
      <c r="G147">
        <v>0</v>
      </c>
      <c r="H147" t="s">
        <v>138</v>
      </c>
      <c r="I147" s="95">
        <v>45455</v>
      </c>
      <c r="J147" t="s">
        <v>138</v>
      </c>
      <c r="K147" s="95">
        <v>318182</v>
      </c>
      <c r="L147" t="s">
        <v>138</v>
      </c>
      <c r="M147" s="95">
        <v>54545</v>
      </c>
    </row>
    <row r="148" spans="1:13" x14ac:dyDescent="0.2">
      <c r="A148" s="5">
        <v>49499</v>
      </c>
      <c r="B148" t="s">
        <v>138</v>
      </c>
      <c r="C148">
        <v>0.79549999999999998</v>
      </c>
      <c r="D148" t="s">
        <v>138</v>
      </c>
      <c r="E148">
        <v>0.79549999999999998</v>
      </c>
      <c r="F148" t="s">
        <v>138</v>
      </c>
      <c r="G148">
        <v>0</v>
      </c>
      <c r="H148" t="s">
        <v>138</v>
      </c>
      <c r="I148" s="95">
        <v>45455</v>
      </c>
      <c r="J148" t="s">
        <v>138</v>
      </c>
      <c r="K148" s="95">
        <v>272727</v>
      </c>
      <c r="L148" t="s">
        <v>138</v>
      </c>
      <c r="M148" s="95">
        <v>53409</v>
      </c>
    </row>
    <row r="149" spans="1:13" x14ac:dyDescent="0.2">
      <c r="A149" s="5">
        <v>49683</v>
      </c>
      <c r="B149" t="s">
        <v>138</v>
      </c>
      <c r="C149">
        <v>0.68179999999999996</v>
      </c>
      <c r="D149" t="s">
        <v>138</v>
      </c>
      <c r="E149">
        <v>0.68179999999999996</v>
      </c>
      <c r="F149" t="s">
        <v>138</v>
      </c>
      <c r="G149">
        <v>0</v>
      </c>
      <c r="H149" t="s">
        <v>138</v>
      </c>
      <c r="I149" s="95">
        <v>45455</v>
      </c>
      <c r="J149" t="s">
        <v>138</v>
      </c>
      <c r="K149" s="95">
        <v>227273</v>
      </c>
      <c r="L149" t="s">
        <v>138</v>
      </c>
      <c r="M149" s="95">
        <v>52273</v>
      </c>
    </row>
    <row r="150" spans="1:13" x14ac:dyDescent="0.2">
      <c r="A150" s="5">
        <v>49865</v>
      </c>
      <c r="B150" t="s">
        <v>138</v>
      </c>
      <c r="C150">
        <v>0.56820000000000004</v>
      </c>
      <c r="D150" t="s">
        <v>138</v>
      </c>
      <c r="E150">
        <v>0.56820000000000004</v>
      </c>
      <c r="F150" t="s">
        <v>138</v>
      </c>
      <c r="G150">
        <v>0</v>
      </c>
      <c r="H150" t="s">
        <v>138</v>
      </c>
      <c r="I150" s="95">
        <v>45455</v>
      </c>
      <c r="J150" t="s">
        <v>138</v>
      </c>
      <c r="K150" s="95">
        <v>181818</v>
      </c>
      <c r="L150" t="s">
        <v>138</v>
      </c>
      <c r="M150" s="95">
        <v>51136</v>
      </c>
    </row>
    <row r="151" spans="1:13" x14ac:dyDescent="0.2">
      <c r="A151" s="5">
        <v>50049</v>
      </c>
      <c r="B151" t="s">
        <v>138</v>
      </c>
      <c r="C151">
        <v>0.45450000000000002</v>
      </c>
      <c r="D151" t="s">
        <v>138</v>
      </c>
      <c r="E151">
        <v>0.45450000000000002</v>
      </c>
      <c r="F151" t="s">
        <v>138</v>
      </c>
      <c r="G151">
        <v>0</v>
      </c>
      <c r="H151" t="s">
        <v>138</v>
      </c>
      <c r="I151" s="95">
        <v>45455</v>
      </c>
      <c r="J151" t="s">
        <v>138</v>
      </c>
      <c r="K151" s="95">
        <v>136364</v>
      </c>
      <c r="L151" t="s">
        <v>138</v>
      </c>
      <c r="M151" s="95">
        <v>50000</v>
      </c>
    </row>
    <row r="152" spans="1:13" x14ac:dyDescent="0.2">
      <c r="A152" s="5">
        <v>50230</v>
      </c>
      <c r="B152" t="s">
        <v>138</v>
      </c>
      <c r="C152">
        <v>0.34089999999999998</v>
      </c>
      <c r="D152" t="s">
        <v>138</v>
      </c>
      <c r="E152">
        <v>0.34089999999999998</v>
      </c>
      <c r="F152" t="s">
        <v>138</v>
      </c>
      <c r="G152">
        <v>0</v>
      </c>
      <c r="H152" t="s">
        <v>138</v>
      </c>
      <c r="I152" s="95">
        <v>45455</v>
      </c>
      <c r="J152" t="s">
        <v>138</v>
      </c>
      <c r="K152" s="95">
        <v>90909</v>
      </c>
      <c r="L152" t="s">
        <v>138</v>
      </c>
      <c r="M152" s="95">
        <v>48864</v>
      </c>
    </row>
    <row r="153" spans="1:13" x14ac:dyDescent="0.2">
      <c r="A153" s="5">
        <v>50416</v>
      </c>
      <c r="B153" t="s">
        <v>138</v>
      </c>
      <c r="C153">
        <v>0.2273</v>
      </c>
      <c r="D153" t="s">
        <v>138</v>
      </c>
      <c r="E153">
        <v>0.2273</v>
      </c>
      <c r="F153" t="s">
        <v>138</v>
      </c>
      <c r="G153">
        <v>0</v>
      </c>
      <c r="H153" t="s">
        <v>138</v>
      </c>
      <c r="I153" s="95">
        <v>45455</v>
      </c>
      <c r="J153" t="s">
        <v>138</v>
      </c>
      <c r="K153" s="95">
        <v>45455</v>
      </c>
      <c r="L153" t="s">
        <v>138</v>
      </c>
      <c r="M153" s="95">
        <v>47727</v>
      </c>
    </row>
    <row r="154" spans="1:13" x14ac:dyDescent="0.2">
      <c r="A154" s="5">
        <v>50595</v>
      </c>
      <c r="B154" t="s">
        <v>138</v>
      </c>
      <c r="C154">
        <v>0.11360000000000001</v>
      </c>
      <c r="D154" t="s">
        <v>138</v>
      </c>
      <c r="E154">
        <v>0.11360000000000001</v>
      </c>
      <c r="F154" t="s">
        <v>138</v>
      </c>
      <c r="G154">
        <v>0</v>
      </c>
      <c r="H154" t="s">
        <v>138</v>
      </c>
      <c r="I154" s="95">
        <v>45455</v>
      </c>
      <c r="J154" t="s">
        <v>138</v>
      </c>
      <c r="K154">
        <v>0</v>
      </c>
      <c r="L154" t="s">
        <v>138</v>
      </c>
      <c r="M154" s="95">
        <v>46591</v>
      </c>
    </row>
    <row r="157" spans="1:13" x14ac:dyDescent="0.2">
      <c r="C157">
        <f>+C122/1000</f>
        <v>6.2500000000000001E-5</v>
      </c>
    </row>
    <row r="158" spans="1:13" x14ac:dyDescent="0.2">
      <c r="C158">
        <f t="shared" ref="C158:C182" si="17">+C123/1000</f>
        <v>10</v>
      </c>
    </row>
    <row r="159" spans="1:13" x14ac:dyDescent="0.2">
      <c r="C159">
        <f t="shared" si="17"/>
        <v>19.375</v>
      </c>
    </row>
    <row r="160" spans="1:13" x14ac:dyDescent="0.2">
      <c r="C160">
        <f t="shared" si="17"/>
        <v>21.25</v>
      </c>
    </row>
    <row r="161" spans="3:3" x14ac:dyDescent="0.2">
      <c r="C161">
        <f t="shared" si="17"/>
        <v>25</v>
      </c>
    </row>
    <row r="162" spans="3:3" x14ac:dyDescent="0.2">
      <c r="C162">
        <f t="shared" si="17"/>
        <v>25</v>
      </c>
    </row>
    <row r="163" spans="3:3" x14ac:dyDescent="0.2">
      <c r="C163">
        <f t="shared" si="17"/>
        <v>25</v>
      </c>
    </row>
    <row r="164" spans="3:3" x14ac:dyDescent="0.2">
      <c r="C164">
        <f t="shared" si="17"/>
        <v>25</v>
      </c>
    </row>
    <row r="165" spans="3:3" x14ac:dyDescent="0.2">
      <c r="C165">
        <f t="shared" si="17"/>
        <v>25</v>
      </c>
    </row>
    <row r="166" spans="3:3" x14ac:dyDescent="0.2">
      <c r="C166">
        <f t="shared" si="17"/>
        <v>25</v>
      </c>
    </row>
    <row r="167" spans="3:3" x14ac:dyDescent="0.2">
      <c r="C167">
        <f t="shared" si="17"/>
        <v>25</v>
      </c>
    </row>
    <row r="168" spans="3:3" x14ac:dyDescent="0.2">
      <c r="C168">
        <f t="shared" si="17"/>
        <v>25</v>
      </c>
    </row>
    <row r="169" spans="3:3" x14ac:dyDescent="0.2">
      <c r="C169">
        <f t="shared" si="17"/>
        <v>23.864000000000001</v>
      </c>
    </row>
    <row r="170" spans="3:3" x14ac:dyDescent="0.2">
      <c r="C170">
        <f t="shared" si="17"/>
        <v>22.727</v>
      </c>
    </row>
    <row r="171" spans="3:3" x14ac:dyDescent="0.2">
      <c r="C171">
        <f t="shared" si="17"/>
        <v>21.591000000000001</v>
      </c>
    </row>
    <row r="172" spans="3:3" x14ac:dyDescent="0.2">
      <c r="C172">
        <f t="shared" si="17"/>
        <v>20.454999999999998</v>
      </c>
    </row>
    <row r="173" spans="3:3" x14ac:dyDescent="0.2">
      <c r="C173">
        <f t="shared" si="17"/>
        <v>19.318000000000001</v>
      </c>
    </row>
    <row r="174" spans="3:3" x14ac:dyDescent="0.2">
      <c r="C174">
        <f t="shared" si="17"/>
        <v>18.181999999999999</v>
      </c>
    </row>
    <row r="175" spans="3:3" x14ac:dyDescent="0.2">
      <c r="C175">
        <f t="shared" si="17"/>
        <v>17.045000000000002</v>
      </c>
    </row>
    <row r="176" spans="3:3" x14ac:dyDescent="0.2">
      <c r="C176">
        <f t="shared" si="17"/>
        <v>15.909000000000001</v>
      </c>
    </row>
    <row r="177" spans="3:3" x14ac:dyDescent="0.2">
      <c r="C177">
        <f t="shared" si="17"/>
        <v>14.773</v>
      </c>
    </row>
    <row r="178" spans="3:3" x14ac:dyDescent="0.2">
      <c r="C178">
        <f t="shared" si="17"/>
        <v>13.635999999999999</v>
      </c>
    </row>
    <row r="179" spans="3:3" x14ac:dyDescent="0.2">
      <c r="C179">
        <f t="shared" si="17"/>
        <v>12.5</v>
      </c>
    </row>
    <row r="180" spans="3:3" x14ac:dyDescent="0.2">
      <c r="C180">
        <f t="shared" si="17"/>
        <v>11.364000000000001</v>
      </c>
    </row>
    <row r="181" spans="3:3" x14ac:dyDescent="0.2">
      <c r="C181">
        <f t="shared" si="17"/>
        <v>10.227</v>
      </c>
    </row>
    <row r="182" spans="3:3" x14ac:dyDescent="0.2">
      <c r="C182">
        <f t="shared" si="17"/>
        <v>9.0910000000000003E-4</v>
      </c>
    </row>
    <row r="203" spans="5:5" x14ac:dyDescent="0.2">
      <c r="E203" s="104" t="s">
        <v>193</v>
      </c>
    </row>
    <row r="204" spans="5:5" x14ac:dyDescent="0.2">
      <c r="E204" s="104" t="s">
        <v>194</v>
      </c>
    </row>
    <row r="205" spans="5:5" x14ac:dyDescent="0.2">
      <c r="E205" s="104" t="s">
        <v>195</v>
      </c>
    </row>
    <row r="206" spans="5:5" x14ac:dyDescent="0.2">
      <c r="E206" s="104" t="s">
        <v>196</v>
      </c>
    </row>
  </sheetData>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D8F89-6876-3E45-B378-2ECAE786DE74}">
  <dimension ref="A1:AG70"/>
  <sheetViews>
    <sheetView showGridLines="0" zoomScale="107" workbookViewId="0">
      <selection activeCell="L61" sqref="L61"/>
    </sheetView>
  </sheetViews>
  <sheetFormatPr baseColWidth="10" defaultRowHeight="16" x14ac:dyDescent="0.2"/>
  <cols>
    <col min="1" max="1" width="23.83203125" style="26" customWidth="1"/>
    <col min="2" max="2" width="13" style="26" bestFit="1" customWidth="1"/>
    <col min="3" max="3" width="20.6640625" style="26" customWidth="1"/>
    <col min="4" max="4" width="11.33203125" style="26" bestFit="1" customWidth="1"/>
    <col min="5" max="5" width="12.83203125" style="26" bestFit="1" customWidth="1"/>
    <col min="6" max="6" width="25.33203125" style="26" customWidth="1"/>
    <col min="7" max="7" width="13" style="26" bestFit="1" customWidth="1"/>
    <col min="8" max="8" width="19.6640625" style="26" customWidth="1"/>
    <col min="9" max="9" width="19.33203125" style="26" customWidth="1"/>
    <col min="10" max="10" width="12.83203125" style="26" bestFit="1" customWidth="1"/>
    <col min="11" max="11" width="17" style="26" customWidth="1"/>
    <col min="12" max="13" width="18.1640625" style="57" customWidth="1"/>
    <col min="14" max="15" width="12.5" style="57" customWidth="1"/>
    <col min="16" max="16" width="12.6640625" style="57" customWidth="1"/>
    <col min="17" max="19" width="10.83203125" style="57"/>
    <col min="20" max="20" width="13.5" style="26" customWidth="1"/>
    <col min="21" max="21" width="9.83203125" style="26" bestFit="1" customWidth="1"/>
    <col min="22" max="22" width="10.83203125" style="26"/>
    <col min="23" max="23" width="14.33203125" style="26" bestFit="1" customWidth="1"/>
    <col min="24" max="24" width="12.83203125" style="26" bestFit="1" customWidth="1"/>
    <col min="25" max="25" width="9.6640625" style="26" customWidth="1"/>
    <col min="26" max="26" width="12.6640625" style="26" customWidth="1"/>
    <col min="27" max="27" width="13.1640625" style="26" customWidth="1"/>
    <col min="28" max="28" width="13.1640625" style="26" bestFit="1" customWidth="1"/>
    <col min="29" max="32" width="10.83203125" style="26"/>
    <col min="33" max="33" width="255.83203125" style="78" bestFit="1" customWidth="1"/>
    <col min="34" max="16384" width="10.83203125" style="26"/>
  </cols>
  <sheetData>
    <row r="1" spans="1:33" x14ac:dyDescent="0.2">
      <c r="E1" s="145" t="s">
        <v>31</v>
      </c>
      <c r="F1" s="145"/>
      <c r="L1" s="26"/>
      <c r="M1" s="26"/>
      <c r="AG1" s="74"/>
    </row>
    <row r="2" spans="1:33" ht="19" x14ac:dyDescent="0.2">
      <c r="A2" s="52" t="s">
        <v>181</v>
      </c>
      <c r="B2" s="53">
        <v>45457</v>
      </c>
      <c r="C2" s="25" t="s">
        <v>74</v>
      </c>
      <c r="D2" s="25" t="s">
        <v>42</v>
      </c>
      <c r="E2" s="25" t="s">
        <v>81</v>
      </c>
      <c r="F2" s="25" t="s">
        <v>82</v>
      </c>
      <c r="G2" s="25" t="s">
        <v>45</v>
      </c>
      <c r="H2" s="25" t="s">
        <v>46</v>
      </c>
      <c r="I2" s="25" t="s">
        <v>47</v>
      </c>
      <c r="J2" s="27" t="s">
        <v>136</v>
      </c>
      <c r="N2" s="113" t="s">
        <v>209</v>
      </c>
      <c r="O2" s="113"/>
      <c r="AG2" s="75"/>
    </row>
    <row r="3" spans="1:33" ht="19" x14ac:dyDescent="0.2">
      <c r="A3" s="26" t="s">
        <v>51</v>
      </c>
      <c r="B3" s="53">
        <v>45091</v>
      </c>
      <c r="I3" s="26">
        <f>+B8</f>
        <v>100</v>
      </c>
      <c r="J3" s="54"/>
      <c r="L3" s="26"/>
      <c r="M3" s="26"/>
      <c r="N3" s="79">
        <v>0.13676166481326901</v>
      </c>
      <c r="AG3" s="76"/>
    </row>
    <row r="4" spans="1:33" ht="19" x14ac:dyDescent="0.2">
      <c r="A4" s="26" t="s">
        <v>27</v>
      </c>
      <c r="B4" s="53">
        <v>44399</v>
      </c>
      <c r="C4" s="94">
        <f>-YEARFRAC($B$3, D4)*$B$6</f>
        <v>-6.8611111111111107</v>
      </c>
      <c r="D4" s="5">
        <v>43839</v>
      </c>
      <c r="E4" s="26">
        <f>+I3*0.0425/$B$6</f>
        <v>2.125</v>
      </c>
      <c r="F4" s="26">
        <f>+($B$7/$B$6*I3)*(1-$B$11)</f>
        <v>2.5</v>
      </c>
      <c r="G4" s="26">
        <f>+E4*$B$11</f>
        <v>0</v>
      </c>
      <c r="H4" s="26">
        <v>0</v>
      </c>
      <c r="I4" s="26">
        <f>+I3-H4+G4</f>
        <v>100</v>
      </c>
      <c r="J4" s="56">
        <f>+H4+F4</f>
        <v>2.5</v>
      </c>
      <c r="L4" s="26"/>
      <c r="M4" s="26"/>
      <c r="AG4" s="77"/>
    </row>
    <row r="5" spans="1:33" ht="19" x14ac:dyDescent="0.2">
      <c r="A5" s="26" t="s">
        <v>38</v>
      </c>
      <c r="B5" s="53">
        <v>48392</v>
      </c>
      <c r="C5" s="94">
        <f t="shared" ref="C5:C10" si="0">-YEARFRAC($B$3, D5)*$B$6</f>
        <v>-5.8611111111111107</v>
      </c>
      <c r="D5" s="5">
        <v>44021</v>
      </c>
      <c r="E5" s="26">
        <f>+I4*0.0425/$B$6</f>
        <v>2.125</v>
      </c>
      <c r="F5" s="26">
        <f t="shared" ref="F5:F10" si="1">+($B$7/$B$6*I4)*(1-$B$11)</f>
        <v>2.5</v>
      </c>
      <c r="G5" s="26">
        <f t="shared" ref="G5:G11" si="2">+E5*$B$11</f>
        <v>0</v>
      </c>
      <c r="H5" s="26">
        <v>0</v>
      </c>
      <c r="I5" s="26">
        <f>+I4-H5+G5</f>
        <v>100</v>
      </c>
      <c r="J5" s="56">
        <f t="shared" ref="J5:J40" si="3">+H5+F5</f>
        <v>2.5</v>
      </c>
      <c r="L5" s="26"/>
      <c r="M5" s="26"/>
      <c r="AG5" s="76"/>
    </row>
    <row r="6" spans="1:33" ht="19" x14ac:dyDescent="0.2">
      <c r="A6" s="26" t="s">
        <v>39</v>
      </c>
      <c r="B6" s="26">
        <v>2</v>
      </c>
      <c r="C6" s="94">
        <f t="shared" si="0"/>
        <v>-4.8611111111111107</v>
      </c>
      <c r="D6" s="5">
        <v>44205</v>
      </c>
      <c r="E6" s="26">
        <f t="shared" ref="E6:E15" si="4">+I5*$B$7/$B$6</f>
        <v>2.5</v>
      </c>
      <c r="F6" s="26">
        <f t="shared" si="1"/>
        <v>2.5</v>
      </c>
      <c r="G6" s="26">
        <f t="shared" si="2"/>
        <v>0</v>
      </c>
      <c r="H6" s="26">
        <v>0</v>
      </c>
      <c r="I6" s="26">
        <f t="shared" ref="I6:I17" si="5">+I5-H6+G6</f>
        <v>100</v>
      </c>
      <c r="J6" s="56">
        <f t="shared" si="3"/>
        <v>2.5</v>
      </c>
      <c r="L6" s="26"/>
      <c r="M6" s="26"/>
      <c r="AC6" s="83"/>
      <c r="AD6" s="83"/>
      <c r="AE6" s="83"/>
      <c r="AF6" s="83"/>
      <c r="AG6" s="76"/>
    </row>
    <row r="7" spans="1:33" ht="19" x14ac:dyDescent="0.2">
      <c r="A7" s="26" t="s">
        <v>41</v>
      </c>
      <c r="B7" s="62">
        <v>0.05</v>
      </c>
      <c r="C7" s="94">
        <f t="shared" si="0"/>
        <v>-3.8611111111111112</v>
      </c>
      <c r="D7" s="5">
        <v>44386</v>
      </c>
      <c r="E7" s="26">
        <f t="shared" si="4"/>
        <v>2.5</v>
      </c>
      <c r="F7" s="26">
        <f t="shared" si="1"/>
        <v>2.5</v>
      </c>
      <c r="G7" s="26">
        <f t="shared" si="2"/>
        <v>0</v>
      </c>
      <c r="H7" s="26">
        <v>0</v>
      </c>
      <c r="I7" s="26">
        <f t="shared" si="5"/>
        <v>100</v>
      </c>
      <c r="J7" s="56">
        <f t="shared" si="3"/>
        <v>2.5</v>
      </c>
      <c r="V7" s="57"/>
      <c r="AC7" s="57"/>
      <c r="AD7" s="57"/>
      <c r="AE7" s="57"/>
      <c r="AF7" s="57"/>
      <c r="AG7" s="76"/>
    </row>
    <row r="8" spans="1:33" ht="19" x14ac:dyDescent="0.2">
      <c r="A8" s="26" t="s">
        <v>43</v>
      </c>
      <c r="B8" s="26">
        <v>100</v>
      </c>
      <c r="C8" s="94">
        <f t="shared" si="0"/>
        <v>-2.8611111111111112</v>
      </c>
      <c r="D8" s="5">
        <v>44570</v>
      </c>
      <c r="E8" s="26">
        <f>+I7*$B$7/$B$6</f>
        <v>2.5</v>
      </c>
      <c r="F8" s="26">
        <f t="shared" si="1"/>
        <v>2.5</v>
      </c>
      <c r="G8" s="26">
        <f>+E8*$B$11</f>
        <v>0</v>
      </c>
      <c r="H8" s="26">
        <v>0</v>
      </c>
      <c r="I8" s="26">
        <f t="shared" si="5"/>
        <v>100</v>
      </c>
      <c r="J8" s="56">
        <f t="shared" si="3"/>
        <v>2.5</v>
      </c>
      <c r="L8" s="26"/>
      <c r="M8" s="26"/>
      <c r="P8" s="145" t="s">
        <v>210</v>
      </c>
      <c r="Q8" s="145"/>
      <c r="R8" s="145"/>
      <c r="V8" s="57"/>
      <c r="AC8" s="57"/>
      <c r="AD8" s="57"/>
      <c r="AE8" s="57"/>
      <c r="AF8" s="57"/>
      <c r="AG8" s="76"/>
    </row>
    <row r="9" spans="1:33" ht="19" x14ac:dyDescent="0.2">
      <c r="A9" s="26" t="s">
        <v>80</v>
      </c>
      <c r="B9" s="26">
        <v>22</v>
      </c>
      <c r="C9" s="94">
        <f t="shared" si="0"/>
        <v>-1.8611111111111112</v>
      </c>
      <c r="D9" s="5">
        <v>44751</v>
      </c>
      <c r="E9" s="26">
        <f t="shared" si="4"/>
        <v>2.5</v>
      </c>
      <c r="F9" s="26">
        <f t="shared" si="1"/>
        <v>2.5</v>
      </c>
      <c r="G9" s="26">
        <f t="shared" si="2"/>
        <v>0</v>
      </c>
      <c r="H9" s="26">
        <v>0</v>
      </c>
      <c r="I9" s="26">
        <f t="shared" si="5"/>
        <v>100</v>
      </c>
      <c r="J9" s="56">
        <f t="shared" si="3"/>
        <v>2.5</v>
      </c>
      <c r="K9" s="145" t="s">
        <v>211</v>
      </c>
      <c r="L9" s="145"/>
      <c r="M9" s="26"/>
      <c r="N9" s="113"/>
      <c r="O9" s="113"/>
      <c r="P9" s="25" t="s">
        <v>220</v>
      </c>
      <c r="Q9" s="25" t="s">
        <v>219</v>
      </c>
      <c r="R9" s="25" t="s">
        <v>217</v>
      </c>
      <c r="S9" s="113"/>
      <c r="T9" s="145" t="s">
        <v>76</v>
      </c>
      <c r="U9" s="145"/>
      <c r="W9" s="145" t="s">
        <v>78</v>
      </c>
      <c r="X9" s="145"/>
      <c r="Z9" s="145" t="s">
        <v>215</v>
      </c>
      <c r="AA9" s="145"/>
      <c r="AB9" s="145"/>
      <c r="AC9" s="57"/>
      <c r="AD9" s="57"/>
      <c r="AE9" s="57"/>
      <c r="AF9" s="57"/>
      <c r="AG9" s="76"/>
    </row>
    <row r="10" spans="1:33" ht="19" x14ac:dyDescent="0.2">
      <c r="A10" s="58" t="s">
        <v>0</v>
      </c>
      <c r="B10" s="59">
        <f>+B7</f>
        <v>0.05</v>
      </c>
      <c r="C10" s="94">
        <f t="shared" si="0"/>
        <v>-0.86111111111111116</v>
      </c>
      <c r="D10" s="5">
        <v>44935</v>
      </c>
      <c r="E10" s="26">
        <f t="shared" si="4"/>
        <v>2.5</v>
      </c>
      <c r="F10" s="26">
        <f t="shared" si="1"/>
        <v>2.5</v>
      </c>
      <c r="G10" s="26">
        <f t="shared" si="2"/>
        <v>0</v>
      </c>
      <c r="H10" s="26">
        <v>0</v>
      </c>
      <c r="I10" s="26">
        <f t="shared" si="5"/>
        <v>100</v>
      </c>
      <c r="J10" s="56">
        <f t="shared" si="3"/>
        <v>2.5</v>
      </c>
      <c r="T10" s="69">
        <f>+B3</f>
        <v>45091</v>
      </c>
      <c r="U10" s="83">
        <f>-B13</f>
        <v>-59.967715899919284</v>
      </c>
      <c r="W10" s="69">
        <f>+B3</f>
        <v>45091</v>
      </c>
      <c r="X10" s="70">
        <f>-B13</f>
        <v>-59.967715899919284</v>
      </c>
      <c r="Z10" s="69">
        <f>+B3</f>
        <v>45091</v>
      </c>
      <c r="AA10" s="111">
        <f>-B13</f>
        <v>-59.967715899919284</v>
      </c>
      <c r="AC10" s="57"/>
      <c r="AD10" s="57"/>
      <c r="AE10" s="57"/>
      <c r="AF10" s="57"/>
      <c r="AG10" s="76"/>
    </row>
    <row r="11" spans="1:33" x14ac:dyDescent="0.2">
      <c r="A11" s="26" t="s">
        <v>44</v>
      </c>
      <c r="B11" s="26">
        <v>0</v>
      </c>
      <c r="C11" s="94">
        <f>YEARFRAC($B$3, D11)*$B$6</f>
        <v>0.14444444444444443</v>
      </c>
      <c r="D11" s="106">
        <v>45117</v>
      </c>
      <c r="E11" s="26">
        <f>+I10*0.0425/$B$6</f>
        <v>2.125</v>
      </c>
      <c r="F11" s="26">
        <f>+E11</f>
        <v>2.125</v>
      </c>
      <c r="G11" s="26">
        <f t="shared" si="2"/>
        <v>0</v>
      </c>
      <c r="H11" s="26">
        <v>0</v>
      </c>
      <c r="I11" s="26">
        <f t="shared" si="5"/>
        <v>100</v>
      </c>
      <c r="J11" s="56">
        <f t="shared" si="3"/>
        <v>2.125</v>
      </c>
      <c r="L11" s="53"/>
      <c r="M11" s="53"/>
      <c r="N11" s="57">
        <f t="shared" ref="N11:N40" si="6">+J11/(1+$N$3/$B$6)^C11</f>
        <v>2.1047940655426638</v>
      </c>
      <c r="P11" s="93">
        <f>+N11*C11/$B$13</f>
        <v>5.0698247366076999E-3</v>
      </c>
      <c r="Q11" s="71">
        <f>+P11/2</f>
        <v>2.5349123683038499E-3</v>
      </c>
      <c r="R11" s="71">
        <f t="shared" ref="R11:R40" si="7">+Q11/(1+$N$3/$B$6)</f>
        <v>2.3726673966938425E-3</v>
      </c>
      <c r="S11" s="71"/>
      <c r="T11" s="53">
        <f>+D11</f>
        <v>45117</v>
      </c>
      <c r="U11" s="57">
        <f>+J11</f>
        <v>2.125</v>
      </c>
      <c r="W11" s="53">
        <f>+D11</f>
        <v>45117</v>
      </c>
      <c r="X11" s="26">
        <f t="shared" ref="X11:X40" si="8">+J11/((1+($N$3/$B$6))^C11)</f>
        <v>2.1047940655426638</v>
      </c>
      <c r="Z11" s="53">
        <f>+D11</f>
        <v>45117</v>
      </c>
      <c r="AA11" s="57">
        <f>+J11</f>
        <v>2.125</v>
      </c>
      <c r="AB11" s="26">
        <f t="shared" ref="AB11:AB40" si="9">+AA11/(1+$AB$42/$B$6)^C11</f>
        <v>2.1047913272590018</v>
      </c>
      <c r="AC11" s="57"/>
      <c r="AD11" s="57"/>
      <c r="AE11" s="57"/>
      <c r="AF11" s="57"/>
    </row>
    <row r="12" spans="1:33" x14ac:dyDescent="0.2">
      <c r="A12" s="26" t="s">
        <v>98</v>
      </c>
      <c r="B12" s="62" t="s">
        <v>5</v>
      </c>
      <c r="C12" s="94">
        <f t="shared" ref="C12:C40" si="10">YEARFRAC($B$3, D12)*$B$6</f>
        <v>1.1388888888888888</v>
      </c>
      <c r="D12" s="5">
        <v>45300</v>
      </c>
      <c r="E12" s="26">
        <f>+I11*0.0425/$B$6</f>
        <v>2.125</v>
      </c>
      <c r="F12" s="26">
        <f t="shared" ref="F12:F40" si="11">+E12</f>
        <v>2.125</v>
      </c>
      <c r="G12" s="26">
        <v>0</v>
      </c>
      <c r="H12" s="26">
        <v>0</v>
      </c>
      <c r="I12" s="26">
        <f t="shared" si="5"/>
        <v>100</v>
      </c>
      <c r="J12" s="56">
        <f t="shared" si="3"/>
        <v>2.125</v>
      </c>
      <c r="N12" s="57">
        <f t="shared" si="6"/>
        <v>1.9708025345641773</v>
      </c>
      <c r="P12" s="93">
        <f t="shared" ref="P12:P40" si="12">+N12*C12/$B$13</f>
        <v>3.7428891114597601E-2</v>
      </c>
      <c r="Q12" s="71">
        <f t="shared" ref="Q12:Q40" si="13">+P12/2</f>
        <v>1.8714445557298801E-2</v>
      </c>
      <c r="R12" s="71">
        <f t="shared" si="7"/>
        <v>1.751664293259796E-2</v>
      </c>
      <c r="S12" s="71"/>
      <c r="T12" s="53">
        <f t="shared" ref="T12:T40" si="14">+D12</f>
        <v>45300</v>
      </c>
      <c r="U12" s="57">
        <f t="shared" ref="U12:U40" si="15">+J12</f>
        <v>2.125</v>
      </c>
      <c r="W12" s="53">
        <f t="shared" ref="W12:W40" si="16">+D12</f>
        <v>45300</v>
      </c>
      <c r="X12" s="26">
        <f t="shared" si="8"/>
        <v>1.9708025345641773</v>
      </c>
      <c r="Z12" s="53">
        <f t="shared" ref="Z12:Z40" si="17">+D12</f>
        <v>45300</v>
      </c>
      <c r="AA12" s="57">
        <f t="shared" ref="AA12:AA40" si="18">+J12</f>
        <v>2.125</v>
      </c>
      <c r="AB12" s="26">
        <f t="shared" si="9"/>
        <v>1.9707823187840721</v>
      </c>
      <c r="AC12" s="57"/>
      <c r="AD12" s="57"/>
      <c r="AE12" s="57"/>
      <c r="AF12" s="57"/>
    </row>
    <row r="13" spans="1:33" x14ac:dyDescent="0.2">
      <c r="A13" s="26" t="s">
        <v>84</v>
      </c>
      <c r="B13" s="26">
        <f>14860/247.8</f>
        <v>59.967715899919284</v>
      </c>
      <c r="C13" s="94">
        <f t="shared" si="10"/>
        <v>2.1388888888888888</v>
      </c>
      <c r="D13" s="5">
        <v>45482</v>
      </c>
      <c r="E13" s="26">
        <f t="shared" si="4"/>
        <v>2.5</v>
      </c>
      <c r="F13" s="26">
        <f t="shared" si="11"/>
        <v>2.5</v>
      </c>
      <c r="G13" s="26">
        <v>0</v>
      </c>
      <c r="H13" s="26">
        <v>0</v>
      </c>
      <c r="I13" s="26">
        <f t="shared" si="5"/>
        <v>100</v>
      </c>
      <c r="J13" s="56">
        <f t="shared" si="3"/>
        <v>2.5</v>
      </c>
      <c r="K13" s="94">
        <f t="shared" ref="K13:K40" si="19">YEARFRAC($B$2, D13)*$B$6</f>
        <v>0.1388888888888889</v>
      </c>
      <c r="L13" s="57">
        <f t="shared" ref="L13:L40" si="20">+J13/(1+$N$3/2)^K13</f>
        <v>2.4771384145726838</v>
      </c>
      <c r="M13" s="57">
        <f>+SUM(M16:M20)</f>
        <v>60.915740364922989</v>
      </c>
      <c r="N13" s="57">
        <f t="shared" si="6"/>
        <v>2.1701917020651411</v>
      </c>
      <c r="P13" s="93">
        <f t="shared" si="12"/>
        <v>7.7404964465425705E-2</v>
      </c>
      <c r="Q13" s="71">
        <f t="shared" si="13"/>
        <v>3.8702482232712852E-2</v>
      </c>
      <c r="R13" s="71">
        <f t="shared" si="7"/>
        <v>3.6225361836126957E-2</v>
      </c>
      <c r="S13" s="71"/>
      <c r="T13" s="53">
        <f t="shared" si="14"/>
        <v>45482</v>
      </c>
      <c r="U13" s="57">
        <f t="shared" si="15"/>
        <v>2.5</v>
      </c>
      <c r="W13" s="53">
        <f t="shared" si="16"/>
        <v>45482</v>
      </c>
      <c r="X13" s="26">
        <f t="shared" si="8"/>
        <v>2.1701917020651411</v>
      </c>
      <c r="Z13" s="53">
        <f t="shared" si="17"/>
        <v>45482</v>
      </c>
      <c r="AA13" s="57">
        <f t="shared" si="18"/>
        <v>2.5</v>
      </c>
      <c r="AB13" s="26">
        <f t="shared" si="9"/>
        <v>2.1701498949304052</v>
      </c>
      <c r="AC13" s="57"/>
      <c r="AD13" s="57"/>
      <c r="AE13" s="57"/>
      <c r="AF13" s="57"/>
    </row>
    <row r="14" spans="1:33" x14ac:dyDescent="0.2">
      <c r="A14" s="26" t="s">
        <v>83</v>
      </c>
      <c r="B14" s="26">
        <f>+B13-B15</f>
        <v>58.13785478880817</v>
      </c>
      <c r="C14" s="94">
        <f t="shared" si="10"/>
        <v>3.1388888888888888</v>
      </c>
      <c r="D14" s="5">
        <v>45666</v>
      </c>
      <c r="E14" s="26">
        <f>+I13*$B$7/$B$6</f>
        <v>2.5</v>
      </c>
      <c r="F14" s="26">
        <f t="shared" si="11"/>
        <v>2.5</v>
      </c>
      <c r="G14" s="26">
        <v>0</v>
      </c>
      <c r="H14" s="26">
        <v>0</v>
      </c>
      <c r="I14" s="26">
        <f>+I13-H14+G14</f>
        <v>100</v>
      </c>
      <c r="J14" s="56">
        <f t="shared" si="3"/>
        <v>2.5</v>
      </c>
      <c r="K14" s="94">
        <f t="shared" si="19"/>
        <v>1.1388888888888888</v>
      </c>
      <c r="L14" s="57">
        <f t="shared" si="20"/>
        <v>2.3185912171343261</v>
      </c>
      <c r="N14" s="57">
        <f t="shared" si="6"/>
        <v>2.0312903753398186</v>
      </c>
      <c r="P14" s="93">
        <f t="shared" si="12"/>
        <v>0.10632378928525572</v>
      </c>
      <c r="Q14" s="71">
        <f t="shared" si="13"/>
        <v>5.3161894642627862E-2</v>
      </c>
      <c r="R14" s="71">
        <f t="shared" si="7"/>
        <v>4.9759311502131108E-2</v>
      </c>
      <c r="S14" s="71"/>
      <c r="T14" s="53">
        <f t="shared" si="14"/>
        <v>45666</v>
      </c>
      <c r="U14" s="57">
        <f t="shared" si="15"/>
        <v>2.5</v>
      </c>
      <c r="W14" s="53">
        <f t="shared" si="16"/>
        <v>45666</v>
      </c>
      <c r="X14" s="26">
        <f t="shared" si="8"/>
        <v>2.0312903753398186</v>
      </c>
      <c r="Z14" s="53">
        <f t="shared" si="17"/>
        <v>45666</v>
      </c>
      <c r="AA14" s="57">
        <f t="shared" si="18"/>
        <v>2.5</v>
      </c>
      <c r="AB14" s="26">
        <f t="shared" si="9"/>
        <v>2.03123294913987</v>
      </c>
      <c r="AC14" s="57"/>
      <c r="AD14" s="57"/>
      <c r="AE14" s="57"/>
      <c r="AF14" s="57"/>
    </row>
    <row r="15" spans="1:33" x14ac:dyDescent="0.2">
      <c r="A15" s="26" t="s">
        <v>207</v>
      </c>
      <c r="B15" s="26">
        <f>+YEARFRAC(D10, B3)*2*E11</f>
        <v>1.8298611111111112</v>
      </c>
      <c r="C15" s="94">
        <f t="shared" si="10"/>
        <v>4.1388888888888893</v>
      </c>
      <c r="D15" s="5">
        <v>45847</v>
      </c>
      <c r="E15" s="26">
        <f t="shared" si="4"/>
        <v>2.5</v>
      </c>
      <c r="F15" s="26">
        <f t="shared" si="11"/>
        <v>2.5</v>
      </c>
      <c r="G15" s="26">
        <v>0</v>
      </c>
      <c r="H15" s="26">
        <v>0</v>
      </c>
      <c r="I15" s="26">
        <f t="shared" si="5"/>
        <v>100</v>
      </c>
      <c r="J15" s="56">
        <f t="shared" si="3"/>
        <v>2.5</v>
      </c>
      <c r="K15" s="94">
        <f t="shared" si="19"/>
        <v>2.1388888888888888</v>
      </c>
      <c r="L15" s="57">
        <f t="shared" si="20"/>
        <v>2.1701917020651411</v>
      </c>
      <c r="N15" s="57">
        <f t="shared" si="6"/>
        <v>1.9012793132614838</v>
      </c>
      <c r="P15" s="93">
        <f t="shared" si="12"/>
        <v>0.13122367104101834</v>
      </c>
      <c r="Q15" s="71">
        <f t="shared" si="13"/>
        <v>6.5611835520509171E-2</v>
      </c>
      <c r="R15" s="71">
        <f t="shared" si="7"/>
        <v>6.141240420114235E-2</v>
      </c>
      <c r="S15" s="71"/>
      <c r="T15" s="53">
        <f t="shared" si="14"/>
        <v>45847</v>
      </c>
      <c r="U15" s="57">
        <f t="shared" si="15"/>
        <v>2.5</v>
      </c>
      <c r="W15" s="53">
        <f t="shared" si="16"/>
        <v>45847</v>
      </c>
      <c r="X15" s="26">
        <f t="shared" si="8"/>
        <v>1.9012793132614838</v>
      </c>
      <c r="Z15" s="53">
        <f t="shared" si="17"/>
        <v>45847</v>
      </c>
      <c r="AA15" s="57">
        <f t="shared" si="18"/>
        <v>2.5</v>
      </c>
      <c r="AB15" s="26">
        <f t="shared" si="9"/>
        <v>1.9012084387856381</v>
      </c>
      <c r="AC15" s="57"/>
      <c r="AD15" s="57"/>
      <c r="AE15" s="57"/>
      <c r="AF15" s="57"/>
    </row>
    <row r="16" spans="1:33" x14ac:dyDescent="0.2">
      <c r="C16" s="94">
        <f t="shared" si="10"/>
        <v>5.1388888888888893</v>
      </c>
      <c r="D16" s="5">
        <v>46031</v>
      </c>
      <c r="E16" s="26">
        <f>+I15*$B$7/$B$6</f>
        <v>2.5</v>
      </c>
      <c r="F16" s="26">
        <f t="shared" si="11"/>
        <v>2.5</v>
      </c>
      <c r="G16" s="26">
        <v>0</v>
      </c>
      <c r="H16" s="26">
        <v>0</v>
      </c>
      <c r="I16" s="26">
        <f>+I15-H16+G16</f>
        <v>100</v>
      </c>
      <c r="J16" s="56">
        <f t="shared" si="3"/>
        <v>2.5</v>
      </c>
      <c r="K16" s="94">
        <f t="shared" si="19"/>
        <v>3.1388888888888888</v>
      </c>
      <c r="L16" s="57">
        <f t="shared" si="20"/>
        <v>2.0312903753398186</v>
      </c>
      <c r="M16" s="57">
        <f>+J17*(1+0.13)^C17</f>
        <v>5.2939846242687105</v>
      </c>
      <c r="N16" s="57">
        <f t="shared" si="6"/>
        <v>1.779589501787169</v>
      </c>
      <c r="P16" s="93">
        <f t="shared" si="12"/>
        <v>0.15250060103639376</v>
      </c>
      <c r="Q16" s="71">
        <f t="shared" si="13"/>
        <v>7.6250300518196881E-2</v>
      </c>
      <c r="R16" s="71">
        <f t="shared" si="7"/>
        <v>7.1369963036902725E-2</v>
      </c>
      <c r="S16" s="71"/>
      <c r="T16" s="53">
        <f t="shared" si="14"/>
        <v>46031</v>
      </c>
      <c r="U16" s="57">
        <f t="shared" si="15"/>
        <v>2.5</v>
      </c>
      <c r="W16" s="53">
        <f t="shared" si="16"/>
        <v>46031</v>
      </c>
      <c r="X16" s="26">
        <f t="shared" si="8"/>
        <v>1.779589501787169</v>
      </c>
      <c r="Z16" s="53">
        <f t="shared" si="17"/>
        <v>46031</v>
      </c>
      <c r="AA16" s="57">
        <f t="shared" si="18"/>
        <v>2.5</v>
      </c>
      <c r="AB16" s="26">
        <f t="shared" si="9"/>
        <v>1.7795071359197536</v>
      </c>
      <c r="AC16" s="57"/>
      <c r="AD16" s="57"/>
      <c r="AE16" s="57"/>
      <c r="AF16" s="57"/>
    </row>
    <row r="17" spans="1:32" x14ac:dyDescent="0.2">
      <c r="A17" s="26" t="s">
        <v>6</v>
      </c>
      <c r="B17" s="112">
        <f>+(E11+E12)/B13</f>
        <v>7.087146702557201E-2</v>
      </c>
      <c r="C17" s="94">
        <f t="shared" si="10"/>
        <v>6.1388888888888893</v>
      </c>
      <c r="D17" s="5">
        <v>46212</v>
      </c>
      <c r="E17" s="26">
        <f t="shared" ref="E17:E40" si="21">+I16*$B$7/$B$6</f>
        <v>2.5</v>
      </c>
      <c r="F17" s="26">
        <f t="shared" si="11"/>
        <v>2.5</v>
      </c>
      <c r="G17" s="26">
        <v>0</v>
      </c>
      <c r="H17" s="26">
        <v>0</v>
      </c>
      <c r="I17" s="26">
        <f t="shared" si="5"/>
        <v>100</v>
      </c>
      <c r="J17" s="56">
        <f t="shared" si="3"/>
        <v>2.5</v>
      </c>
      <c r="K17" s="94">
        <f t="shared" si="19"/>
        <v>4.1388888888888893</v>
      </c>
      <c r="L17" s="57">
        <f t="shared" si="20"/>
        <v>1.9012793132614838</v>
      </c>
      <c r="M17" s="57">
        <f t="shared" ref="M17:M19" si="22">+J18*(1+0.13)^C18</f>
        <v>5.9822026254236418</v>
      </c>
      <c r="N17" s="57">
        <f t="shared" si="6"/>
        <v>1.6656883461475678</v>
      </c>
      <c r="P17" s="93">
        <f t="shared" si="12"/>
        <v>0.17051634412060004</v>
      </c>
      <c r="Q17" s="71">
        <f t="shared" si="13"/>
        <v>8.5258172060300022E-2</v>
      </c>
      <c r="R17" s="71">
        <f t="shared" si="7"/>
        <v>7.9801293203891968E-2</v>
      </c>
      <c r="S17" s="71"/>
      <c r="T17" s="53">
        <f t="shared" si="14"/>
        <v>46212</v>
      </c>
      <c r="U17" s="57">
        <f t="shared" si="15"/>
        <v>2.5</v>
      </c>
      <c r="W17" s="53">
        <f t="shared" si="16"/>
        <v>46212</v>
      </c>
      <c r="X17" s="26">
        <f t="shared" si="8"/>
        <v>1.6656883461475678</v>
      </c>
      <c r="Z17" s="53">
        <f t="shared" si="17"/>
        <v>46212</v>
      </c>
      <c r="AA17" s="57">
        <f t="shared" si="18"/>
        <v>2.5</v>
      </c>
      <c r="AB17" s="26">
        <f t="shared" si="9"/>
        <v>1.6655962503574624</v>
      </c>
      <c r="AC17" s="57"/>
      <c r="AD17" s="57"/>
      <c r="AE17" s="57"/>
      <c r="AF17" s="57"/>
    </row>
    <row r="18" spans="1:32" x14ac:dyDescent="0.2">
      <c r="A18" s="26" t="s">
        <v>206</v>
      </c>
      <c r="B18" s="114">
        <f>+(L44-B13)/B13</f>
        <v>6.5052829398949602E-2</v>
      </c>
      <c r="C18" s="94">
        <f t="shared" si="10"/>
        <v>7.1388888888888893</v>
      </c>
      <c r="D18" s="5">
        <v>46396</v>
      </c>
      <c r="E18" s="26">
        <f t="shared" si="21"/>
        <v>2.5</v>
      </c>
      <c r="F18" s="26">
        <f t="shared" si="11"/>
        <v>2.5</v>
      </c>
      <c r="G18" s="26">
        <v>0</v>
      </c>
      <c r="H18" s="26">
        <v>0</v>
      </c>
      <c r="I18" s="26">
        <v>100</v>
      </c>
      <c r="J18" s="56">
        <f t="shared" si="3"/>
        <v>2.5</v>
      </c>
      <c r="K18" s="94">
        <f t="shared" si="19"/>
        <v>5.1388888888888893</v>
      </c>
      <c r="L18" s="57">
        <f t="shared" si="20"/>
        <v>1.779589501787169</v>
      </c>
      <c r="M18" s="57">
        <f t="shared" si="22"/>
        <v>19.050596178962742</v>
      </c>
      <c r="N18" s="57">
        <f t="shared" si="6"/>
        <v>1.5590773398615156</v>
      </c>
      <c r="P18" s="93">
        <f t="shared" si="12"/>
        <v>0.1856011977683279</v>
      </c>
      <c r="Q18" s="71">
        <f t="shared" si="13"/>
        <v>9.2800598884163948E-2</v>
      </c>
      <c r="R18" s="71">
        <f t="shared" si="7"/>
        <v>8.6860973230979188E-2</v>
      </c>
      <c r="S18" s="71"/>
      <c r="T18" s="53">
        <f t="shared" si="14"/>
        <v>46396</v>
      </c>
      <c r="U18" s="57">
        <f t="shared" si="15"/>
        <v>2.5</v>
      </c>
      <c r="W18" s="53">
        <f t="shared" si="16"/>
        <v>46396</v>
      </c>
      <c r="X18" s="26">
        <f t="shared" si="8"/>
        <v>1.5590773398615156</v>
      </c>
      <c r="Z18" s="53">
        <f t="shared" si="17"/>
        <v>46396</v>
      </c>
      <c r="AA18" s="57">
        <f t="shared" si="18"/>
        <v>2.5</v>
      </c>
      <c r="AB18" s="26">
        <f t="shared" si="9"/>
        <v>1.5589770972011099</v>
      </c>
      <c r="AC18" s="57"/>
      <c r="AD18" s="57"/>
      <c r="AE18" s="57"/>
      <c r="AF18" s="57"/>
    </row>
    <row r="19" spans="1:32" x14ac:dyDescent="0.2">
      <c r="A19" s="26" t="s">
        <v>208</v>
      </c>
      <c r="B19" s="115">
        <f>+SUM(B17:B18)</f>
        <v>0.13592429642452161</v>
      </c>
      <c r="C19" s="94">
        <f t="shared" si="10"/>
        <v>8.1388888888888893</v>
      </c>
      <c r="D19" s="5">
        <v>46577</v>
      </c>
      <c r="E19" s="26">
        <f t="shared" si="21"/>
        <v>2.5</v>
      </c>
      <c r="F19" s="26">
        <f t="shared" si="11"/>
        <v>2.5</v>
      </c>
      <c r="G19" s="26">
        <v>0</v>
      </c>
      <c r="H19" s="26">
        <f t="shared" ref="H19:H40" si="23">+$I$18/$B$9</f>
        <v>4.5454545454545459</v>
      </c>
      <c r="I19" s="26">
        <f>+I18-H19+G19</f>
        <v>95.454545454545453</v>
      </c>
      <c r="J19" s="56">
        <f t="shared" si="3"/>
        <v>7.0454545454545459</v>
      </c>
      <c r="K19" s="94">
        <f t="shared" si="19"/>
        <v>6.1388888888888893</v>
      </c>
      <c r="L19" s="57">
        <f t="shared" si="20"/>
        <v>4.6942126118704186</v>
      </c>
      <c r="M19" s="57">
        <f t="shared" si="22"/>
        <v>21.179961203482286</v>
      </c>
      <c r="N19" s="57">
        <f t="shared" si="6"/>
        <v>4.112544215567409</v>
      </c>
      <c r="P19" s="93">
        <f t="shared" si="12"/>
        <v>0.55815933488290348</v>
      </c>
      <c r="Q19" s="71">
        <f t="shared" si="13"/>
        <v>0.27907966744145174</v>
      </c>
      <c r="R19" s="71">
        <f t="shared" si="7"/>
        <v>0.2612174039221547</v>
      </c>
      <c r="S19" s="71"/>
      <c r="T19" s="53">
        <f t="shared" si="14"/>
        <v>46577</v>
      </c>
      <c r="U19" s="57">
        <f t="shared" si="15"/>
        <v>7.0454545454545459</v>
      </c>
      <c r="W19" s="53">
        <f t="shared" si="16"/>
        <v>46577</v>
      </c>
      <c r="X19" s="26">
        <f t="shared" si="8"/>
        <v>4.112544215567409</v>
      </c>
      <c r="Z19" s="53">
        <f t="shared" si="17"/>
        <v>46577</v>
      </c>
      <c r="AA19" s="57">
        <f t="shared" si="18"/>
        <v>7.0454545454545459</v>
      </c>
      <c r="AB19" s="26">
        <f t="shared" si="9"/>
        <v>4.1122427567117281</v>
      </c>
      <c r="AC19" s="57"/>
      <c r="AD19" s="57"/>
      <c r="AE19" s="57"/>
      <c r="AF19" s="57"/>
    </row>
    <row r="20" spans="1:32" x14ac:dyDescent="0.2">
      <c r="C20" s="94">
        <f t="shared" si="10"/>
        <v>9.1388888888888893</v>
      </c>
      <c r="D20" s="5">
        <v>46761</v>
      </c>
      <c r="E20" s="26">
        <f t="shared" si="21"/>
        <v>2.3863636363636362</v>
      </c>
      <c r="F20" s="26">
        <f t="shared" si="11"/>
        <v>2.3863636363636362</v>
      </c>
      <c r="G20" s="26">
        <v>0</v>
      </c>
      <c r="H20" s="26">
        <f t="shared" si="23"/>
        <v>4.5454545454545459</v>
      </c>
      <c r="I20" s="26">
        <f t="shared" ref="I20:I40" si="24">+I19-H20+G20</f>
        <v>90.909090909090907</v>
      </c>
      <c r="J20" s="56">
        <f t="shared" si="3"/>
        <v>6.9318181818181817</v>
      </c>
      <c r="K20" s="94">
        <f t="shared" si="19"/>
        <v>7.1388888888888893</v>
      </c>
      <c r="L20" s="57">
        <f t="shared" si="20"/>
        <v>4.3228962605251118</v>
      </c>
      <c r="M20" s="57">
        <f>+J20*(1+0.13)^YEARFRAC(D15,D20)</f>
        <v>9.4089957327856037</v>
      </c>
      <c r="N20" s="57">
        <f t="shared" si="6"/>
        <v>3.7872383465896768</v>
      </c>
      <c r="P20" s="93">
        <f t="shared" si="12"/>
        <v>0.57716306058722033</v>
      </c>
      <c r="Q20" s="71">
        <f t="shared" si="13"/>
        <v>0.28858153029361017</v>
      </c>
      <c r="R20" s="71">
        <f t="shared" si="7"/>
        <v>0.27011110789356957</v>
      </c>
      <c r="S20" s="71"/>
      <c r="T20" s="53">
        <f t="shared" si="14"/>
        <v>46761</v>
      </c>
      <c r="U20" s="57">
        <f t="shared" si="15"/>
        <v>6.9318181818181817</v>
      </c>
      <c r="W20" s="53">
        <f t="shared" si="16"/>
        <v>46761</v>
      </c>
      <c r="X20" s="26">
        <f t="shared" si="8"/>
        <v>3.7872383465896768</v>
      </c>
      <c r="Z20" s="53">
        <f t="shared" si="17"/>
        <v>46761</v>
      </c>
      <c r="AA20" s="57">
        <f t="shared" si="18"/>
        <v>6.9318181818181817</v>
      </c>
      <c r="AB20" s="26">
        <f t="shared" si="9"/>
        <v>3.7869266253277045</v>
      </c>
      <c r="AC20" s="57"/>
      <c r="AD20" s="57"/>
      <c r="AE20" s="57"/>
      <c r="AF20" s="57"/>
    </row>
    <row r="21" spans="1:32" x14ac:dyDescent="0.2">
      <c r="C21" s="94">
        <f t="shared" si="10"/>
        <v>10.138888888888889</v>
      </c>
      <c r="D21" s="5">
        <v>46943</v>
      </c>
      <c r="E21" s="26">
        <f t="shared" si="21"/>
        <v>2.2727272727272729</v>
      </c>
      <c r="F21" s="26">
        <f t="shared" si="11"/>
        <v>2.2727272727272729</v>
      </c>
      <c r="G21" s="26">
        <v>0</v>
      </c>
      <c r="H21" s="26">
        <f t="shared" si="23"/>
        <v>4.5454545454545459</v>
      </c>
      <c r="I21" s="26">
        <f t="shared" si="24"/>
        <v>86.36363636363636</v>
      </c>
      <c r="J21" s="56">
        <f t="shared" si="3"/>
        <v>6.8181818181818183</v>
      </c>
      <c r="K21" s="94">
        <f t="shared" si="19"/>
        <v>8.1388888888888893</v>
      </c>
      <c r="L21" s="57">
        <f t="shared" si="20"/>
        <v>3.9798814989362024</v>
      </c>
      <c r="M21" s="53">
        <f>+D20</f>
        <v>46761</v>
      </c>
      <c r="N21" s="57">
        <f t="shared" si="6"/>
        <v>3.4867271660650649</v>
      </c>
      <c r="P21" s="93">
        <f t="shared" si="12"/>
        <v>0.58950951844827082</v>
      </c>
      <c r="Q21" s="71">
        <f t="shared" si="13"/>
        <v>0.29475475922413541</v>
      </c>
      <c r="R21" s="71">
        <f t="shared" si="7"/>
        <v>0.27588922440715347</v>
      </c>
      <c r="S21" s="71"/>
      <c r="T21" s="53">
        <f t="shared" si="14"/>
        <v>46943</v>
      </c>
      <c r="U21" s="57">
        <f t="shared" si="15"/>
        <v>6.8181818181818183</v>
      </c>
      <c r="V21" s="57"/>
      <c r="W21" s="53">
        <f t="shared" si="16"/>
        <v>46943</v>
      </c>
      <c r="X21" s="26">
        <f t="shared" si="8"/>
        <v>3.4867271660650649</v>
      </c>
      <c r="Z21" s="53">
        <f t="shared" si="17"/>
        <v>46943</v>
      </c>
      <c r="AA21" s="57">
        <f t="shared" si="18"/>
        <v>6.8181818181818183</v>
      </c>
      <c r="AB21" s="26">
        <f t="shared" si="9"/>
        <v>3.4864087780114184</v>
      </c>
      <c r="AC21" s="57"/>
      <c r="AD21" s="57"/>
      <c r="AE21" s="57"/>
      <c r="AF21" s="57"/>
    </row>
    <row r="22" spans="1:32" x14ac:dyDescent="0.2">
      <c r="C22" s="94">
        <f t="shared" si="10"/>
        <v>11.138888888888889</v>
      </c>
      <c r="D22" s="5">
        <v>47127</v>
      </c>
      <c r="E22" s="26">
        <f t="shared" si="21"/>
        <v>2.1590909090909092</v>
      </c>
      <c r="F22" s="26">
        <f t="shared" si="11"/>
        <v>2.1590909090909092</v>
      </c>
      <c r="G22" s="26">
        <v>0</v>
      </c>
      <c r="H22" s="26">
        <f t="shared" si="23"/>
        <v>4.5454545454545459</v>
      </c>
      <c r="I22" s="26">
        <f t="shared" si="24"/>
        <v>81.818181818181813</v>
      </c>
      <c r="J22" s="56">
        <f t="shared" si="3"/>
        <v>6.704545454545455</v>
      </c>
      <c r="K22" s="94">
        <f t="shared" si="19"/>
        <v>9.1388888888888893</v>
      </c>
      <c r="L22" s="57">
        <f t="shared" si="20"/>
        <v>3.6630665975211634</v>
      </c>
      <c r="N22" s="57">
        <f t="shared" si="6"/>
        <v>3.2091693735344813</v>
      </c>
      <c r="P22" s="93">
        <f t="shared" si="12"/>
        <v>0.59609709226016838</v>
      </c>
      <c r="Q22" s="71">
        <f t="shared" si="13"/>
        <v>0.29804854613008419</v>
      </c>
      <c r="R22" s="71">
        <f t="shared" si="7"/>
        <v>0.27897219520374589</v>
      </c>
      <c r="S22" s="71"/>
      <c r="T22" s="53">
        <f t="shared" si="14"/>
        <v>47127</v>
      </c>
      <c r="U22" s="57">
        <f t="shared" si="15"/>
        <v>6.704545454545455</v>
      </c>
      <c r="V22" s="57"/>
      <c r="W22" s="53">
        <f t="shared" si="16"/>
        <v>47127</v>
      </c>
      <c r="X22" s="26">
        <f t="shared" si="8"/>
        <v>3.2091693735344813</v>
      </c>
      <c r="Z22" s="53">
        <f t="shared" si="17"/>
        <v>47127</v>
      </c>
      <c r="AA22" s="57">
        <f t="shared" si="18"/>
        <v>6.704545454545455</v>
      </c>
      <c r="AB22" s="26">
        <f t="shared" si="9"/>
        <v>3.2088474290495008</v>
      </c>
      <c r="AC22" s="57"/>
      <c r="AD22" s="57"/>
      <c r="AE22" s="57"/>
      <c r="AF22" s="57"/>
    </row>
    <row r="23" spans="1:32" x14ac:dyDescent="0.2">
      <c r="C23" s="94">
        <f t="shared" si="10"/>
        <v>12.138888888888889</v>
      </c>
      <c r="D23" s="5">
        <v>47308</v>
      </c>
      <c r="E23" s="26">
        <f t="shared" si="21"/>
        <v>2.0454545454545454</v>
      </c>
      <c r="F23" s="26">
        <f t="shared" si="11"/>
        <v>2.0454545454545454</v>
      </c>
      <c r="G23" s="26">
        <v>0</v>
      </c>
      <c r="H23" s="26">
        <f t="shared" si="23"/>
        <v>4.5454545454545459</v>
      </c>
      <c r="I23" s="26">
        <f t="shared" si="24"/>
        <v>77.272727272727266</v>
      </c>
      <c r="J23" s="56">
        <f t="shared" si="3"/>
        <v>6.5909090909090917</v>
      </c>
      <c r="K23" s="94">
        <f t="shared" si="19"/>
        <v>10.138888888888889</v>
      </c>
      <c r="L23" s="57">
        <f t="shared" si="20"/>
        <v>3.3705029271962297</v>
      </c>
      <c r="N23" s="57">
        <f t="shared" si="6"/>
        <v>2.952857798077194</v>
      </c>
      <c r="P23" s="93">
        <f t="shared" si="12"/>
        <v>0.59772849736963896</v>
      </c>
      <c r="Q23" s="71">
        <f t="shared" si="13"/>
        <v>0.29886424868481948</v>
      </c>
      <c r="R23" s="71">
        <f t="shared" si="7"/>
        <v>0.27973568939045629</v>
      </c>
      <c r="S23" s="71"/>
      <c r="T23" s="53">
        <f t="shared" si="14"/>
        <v>47308</v>
      </c>
      <c r="U23" s="57">
        <f t="shared" si="15"/>
        <v>6.5909090909090917</v>
      </c>
      <c r="V23" s="57"/>
      <c r="W23" s="53">
        <f t="shared" si="16"/>
        <v>47308</v>
      </c>
      <c r="X23" s="26">
        <f t="shared" si="8"/>
        <v>2.952857798077194</v>
      </c>
      <c r="Z23" s="53">
        <f t="shared" si="17"/>
        <v>47308</v>
      </c>
      <c r="AA23" s="57">
        <f t="shared" si="18"/>
        <v>6.5909090909090917</v>
      </c>
      <c r="AB23" s="26">
        <f t="shared" si="9"/>
        <v>2.9525349739447653</v>
      </c>
      <c r="AC23" s="57"/>
      <c r="AD23" s="57"/>
      <c r="AE23" s="57"/>
      <c r="AF23" s="57"/>
    </row>
    <row r="24" spans="1:32" x14ac:dyDescent="0.2">
      <c r="C24" s="94">
        <f t="shared" si="10"/>
        <v>13.138888888888889</v>
      </c>
      <c r="D24" s="5">
        <v>47492</v>
      </c>
      <c r="E24" s="26">
        <f t="shared" si="21"/>
        <v>1.9318181818181817</v>
      </c>
      <c r="F24" s="26">
        <f t="shared" si="11"/>
        <v>1.9318181818181817</v>
      </c>
      <c r="G24" s="26">
        <v>0</v>
      </c>
      <c r="H24" s="26">
        <f t="shared" si="23"/>
        <v>4.5454545454545459</v>
      </c>
      <c r="I24" s="26">
        <f t="shared" si="24"/>
        <v>72.72727272727272</v>
      </c>
      <c r="J24" s="56">
        <f t="shared" si="3"/>
        <v>6.4772727272727275</v>
      </c>
      <c r="K24" s="94">
        <f t="shared" si="19"/>
        <v>11.138888888888889</v>
      </c>
      <c r="L24" s="57">
        <f t="shared" si="20"/>
        <v>3.1003839710417869</v>
      </c>
      <c r="N24" s="57">
        <f t="shared" si="6"/>
        <v>2.7162097715606808</v>
      </c>
      <c r="P24" s="93">
        <f t="shared" si="12"/>
        <v>0.5951198549401161</v>
      </c>
      <c r="Q24" s="71">
        <f t="shared" si="13"/>
        <v>0.29755992747005805</v>
      </c>
      <c r="R24" s="71">
        <f t="shared" si="7"/>
        <v>0.27851485017732353</v>
      </c>
      <c r="S24" s="71"/>
      <c r="T24" s="53">
        <f t="shared" si="14"/>
        <v>47492</v>
      </c>
      <c r="U24" s="57">
        <f t="shared" si="15"/>
        <v>6.4772727272727275</v>
      </c>
      <c r="V24" s="57"/>
      <c r="W24" s="53">
        <f t="shared" si="16"/>
        <v>47492</v>
      </c>
      <c r="X24" s="26">
        <f t="shared" si="8"/>
        <v>2.7162097715606808</v>
      </c>
      <c r="Z24" s="53">
        <f t="shared" si="17"/>
        <v>47492</v>
      </c>
      <c r="AA24" s="57">
        <f t="shared" si="18"/>
        <v>6.4772727272727275</v>
      </c>
      <c r="AB24" s="26">
        <f t="shared" si="9"/>
        <v>2.7158883577640474</v>
      </c>
      <c r="AC24" s="57"/>
      <c r="AD24" s="57"/>
      <c r="AE24" s="57"/>
      <c r="AF24" s="57"/>
    </row>
    <row r="25" spans="1:32" x14ac:dyDescent="0.2">
      <c r="C25" s="94">
        <f t="shared" si="10"/>
        <v>14.138888888888889</v>
      </c>
      <c r="D25" s="5">
        <v>47673</v>
      </c>
      <c r="E25" s="26">
        <f t="shared" si="21"/>
        <v>1.8181818181818181</v>
      </c>
      <c r="F25" s="26">
        <f t="shared" si="11"/>
        <v>1.8181818181818181</v>
      </c>
      <c r="G25" s="26">
        <v>0</v>
      </c>
      <c r="H25" s="26">
        <f t="shared" si="23"/>
        <v>4.5454545454545459</v>
      </c>
      <c r="I25" s="26">
        <f t="shared" si="24"/>
        <v>68.181818181818173</v>
      </c>
      <c r="J25" s="56">
        <f t="shared" si="3"/>
        <v>6.3636363636363642</v>
      </c>
      <c r="K25" s="94">
        <f t="shared" si="19"/>
        <v>12.138888888888889</v>
      </c>
      <c r="L25" s="57">
        <f t="shared" si="20"/>
        <v>2.8510351153848768</v>
      </c>
      <c r="N25" s="57">
        <f t="shared" si="6"/>
        <v>2.497758184728617</v>
      </c>
      <c r="P25" s="93">
        <f t="shared" si="12"/>
        <v>0.58890896401872561</v>
      </c>
      <c r="Q25" s="71">
        <f t="shared" si="13"/>
        <v>0.29445448200936281</v>
      </c>
      <c r="R25" s="71">
        <f t="shared" si="7"/>
        <v>0.27560816618740214</v>
      </c>
      <c r="S25" s="71"/>
      <c r="T25" s="53">
        <f t="shared" si="14"/>
        <v>47673</v>
      </c>
      <c r="U25" s="57">
        <f t="shared" si="15"/>
        <v>6.3636363636363642</v>
      </c>
      <c r="W25" s="53">
        <f t="shared" si="16"/>
        <v>47673</v>
      </c>
      <c r="X25" s="26">
        <f t="shared" si="8"/>
        <v>2.497758184728617</v>
      </c>
      <c r="Z25" s="53">
        <f t="shared" si="17"/>
        <v>47673</v>
      </c>
      <c r="AA25" s="57">
        <f t="shared" si="18"/>
        <v>6.3636363636363642</v>
      </c>
      <c r="AB25" s="26">
        <f t="shared" si="9"/>
        <v>2.4974401267575539</v>
      </c>
      <c r="AC25" s="57"/>
      <c r="AD25" s="57"/>
      <c r="AE25" s="57"/>
      <c r="AF25" s="57"/>
    </row>
    <row r="26" spans="1:32" x14ac:dyDescent="0.2">
      <c r="C26" s="94">
        <f t="shared" si="10"/>
        <v>15.138888888888889</v>
      </c>
      <c r="D26" s="5">
        <v>47857</v>
      </c>
      <c r="E26" s="26">
        <f t="shared" si="21"/>
        <v>1.7045454545454544</v>
      </c>
      <c r="F26" s="26">
        <f t="shared" si="11"/>
        <v>1.7045454545454544</v>
      </c>
      <c r="G26" s="26">
        <v>0</v>
      </c>
      <c r="H26" s="26">
        <f t="shared" si="23"/>
        <v>4.5454545454545459</v>
      </c>
      <c r="I26" s="26">
        <f t="shared" si="24"/>
        <v>63.636363636363626</v>
      </c>
      <c r="J26" s="56">
        <f t="shared" si="3"/>
        <v>6.25</v>
      </c>
      <c r="K26" s="94">
        <f t="shared" si="19"/>
        <v>13.138888888888889</v>
      </c>
      <c r="L26" s="57">
        <f t="shared" si="20"/>
        <v>2.6209041655410075</v>
      </c>
      <c r="N26" s="57">
        <f t="shared" si="6"/>
        <v>2.2961431781543125</v>
      </c>
      <c r="P26" s="93">
        <f t="shared" si="12"/>
        <v>0.57966283900276305</v>
      </c>
      <c r="Q26" s="71">
        <f t="shared" si="13"/>
        <v>0.28983141950138153</v>
      </c>
      <c r="R26" s="71">
        <f t="shared" si="7"/>
        <v>0.27128099897534408</v>
      </c>
      <c r="S26" s="71"/>
      <c r="T26" s="53">
        <f t="shared" si="14"/>
        <v>47857</v>
      </c>
      <c r="U26" s="57">
        <f t="shared" si="15"/>
        <v>6.25</v>
      </c>
      <c r="W26" s="53">
        <f t="shared" si="16"/>
        <v>47857</v>
      </c>
      <c r="X26" s="26">
        <f t="shared" si="8"/>
        <v>2.2961431781543125</v>
      </c>
      <c r="Z26" s="53">
        <f t="shared" si="17"/>
        <v>47857</v>
      </c>
      <c r="AA26" s="57">
        <f t="shared" si="18"/>
        <v>6.25</v>
      </c>
      <c r="AB26" s="26">
        <f t="shared" si="9"/>
        <v>2.2958301152405398</v>
      </c>
      <c r="AC26" s="57"/>
      <c r="AD26" s="57"/>
      <c r="AE26" s="57"/>
      <c r="AF26" s="57"/>
    </row>
    <row r="27" spans="1:32" x14ac:dyDescent="0.2">
      <c r="C27" s="94">
        <f t="shared" si="10"/>
        <v>16.138888888888889</v>
      </c>
      <c r="D27" s="5">
        <v>48038</v>
      </c>
      <c r="E27" s="26">
        <f t="shared" si="21"/>
        <v>1.5909090909090908</v>
      </c>
      <c r="F27" s="26">
        <f t="shared" si="11"/>
        <v>1.5909090909090908</v>
      </c>
      <c r="G27" s="26">
        <v>0</v>
      </c>
      <c r="H27" s="26">
        <f t="shared" si="23"/>
        <v>4.5454545454545459</v>
      </c>
      <c r="I27" s="26">
        <f t="shared" si="24"/>
        <v>59.090909090909079</v>
      </c>
      <c r="J27" s="56">
        <f t="shared" si="3"/>
        <v>6.1363636363636367</v>
      </c>
      <c r="K27" s="94">
        <f t="shared" si="19"/>
        <v>14.138888888888889</v>
      </c>
      <c r="L27" s="57">
        <f t="shared" si="20"/>
        <v>2.4085525352740231</v>
      </c>
      <c r="N27" s="57">
        <f t="shared" si="6"/>
        <v>2.1101044234305837</v>
      </c>
      <c r="P27" s="93">
        <f t="shared" si="12"/>
        <v>0.56788457460233166</v>
      </c>
      <c r="Q27" s="71">
        <f t="shared" si="13"/>
        <v>0.28394228730116583</v>
      </c>
      <c r="R27" s="71">
        <f t="shared" si="7"/>
        <v>0.2657687958155871</v>
      </c>
      <c r="S27" s="71"/>
      <c r="T27" s="53">
        <f t="shared" si="14"/>
        <v>48038</v>
      </c>
      <c r="U27" s="57">
        <f t="shared" si="15"/>
        <v>6.1363636363636367</v>
      </c>
      <c r="W27" s="53">
        <f t="shared" si="16"/>
        <v>48038</v>
      </c>
      <c r="X27" s="26">
        <f t="shared" si="8"/>
        <v>2.1101044234305837</v>
      </c>
      <c r="Z27" s="53">
        <f t="shared" si="17"/>
        <v>48038</v>
      </c>
      <c r="AA27" s="57">
        <f t="shared" si="18"/>
        <v>6.1363636363636367</v>
      </c>
      <c r="AB27" s="26">
        <f t="shared" si="9"/>
        <v>2.1097977230747156</v>
      </c>
    </row>
    <row r="28" spans="1:32" x14ac:dyDescent="0.2">
      <c r="C28" s="94">
        <f t="shared" si="10"/>
        <v>17.138888888888889</v>
      </c>
      <c r="D28" s="5">
        <v>48222</v>
      </c>
      <c r="E28" s="26">
        <f t="shared" si="21"/>
        <v>1.4772727272727271</v>
      </c>
      <c r="F28" s="26">
        <f t="shared" si="11"/>
        <v>1.4772727272727271</v>
      </c>
      <c r="G28" s="26">
        <v>0</v>
      </c>
      <c r="H28" s="26">
        <f t="shared" si="23"/>
        <v>4.5454545454545459</v>
      </c>
      <c r="I28" s="26">
        <f t="shared" si="24"/>
        <v>54.545454545454533</v>
      </c>
      <c r="J28" s="56">
        <f t="shared" si="3"/>
        <v>6.0227272727272734</v>
      </c>
      <c r="K28" s="94">
        <f t="shared" si="19"/>
        <v>15.138888888888889</v>
      </c>
      <c r="L28" s="57">
        <f t="shared" si="20"/>
        <v>2.2126470625850652</v>
      </c>
      <c r="N28" s="57">
        <f t="shared" si="6"/>
        <v>1.9384739530791451</v>
      </c>
      <c r="P28" s="93">
        <f t="shared" si="12"/>
        <v>0.55401959533151734</v>
      </c>
      <c r="Q28" s="71">
        <f t="shared" si="13"/>
        <v>0.27700979766575867</v>
      </c>
      <c r="R28" s="71">
        <f t="shared" si="7"/>
        <v>0.25928001445118254</v>
      </c>
      <c r="S28" s="71"/>
      <c r="T28" s="53">
        <f t="shared" si="14"/>
        <v>48222</v>
      </c>
      <c r="U28" s="57">
        <f t="shared" si="15"/>
        <v>6.0227272727272734</v>
      </c>
      <c r="W28" s="53">
        <f t="shared" si="16"/>
        <v>48222</v>
      </c>
      <c r="X28" s="26">
        <f t="shared" si="8"/>
        <v>1.9384739530791451</v>
      </c>
      <c r="Z28" s="53">
        <f t="shared" si="17"/>
        <v>48222</v>
      </c>
      <c r="AA28" s="57">
        <f t="shared" si="18"/>
        <v>6.0227272727272734</v>
      </c>
      <c r="AB28" s="26">
        <f t="shared" si="9"/>
        <v>1.938174742201686</v>
      </c>
    </row>
    <row r="29" spans="1:32" x14ac:dyDescent="0.2">
      <c r="C29" s="94">
        <f t="shared" si="10"/>
        <v>18.138888888888889</v>
      </c>
      <c r="D29" s="5">
        <v>48404</v>
      </c>
      <c r="E29" s="26">
        <f t="shared" si="21"/>
        <v>1.3636363636363633</v>
      </c>
      <c r="F29" s="26">
        <f t="shared" si="11"/>
        <v>1.3636363636363633</v>
      </c>
      <c r="G29" s="26">
        <v>0</v>
      </c>
      <c r="H29" s="26">
        <f t="shared" si="23"/>
        <v>4.5454545454545459</v>
      </c>
      <c r="I29" s="26">
        <f t="shared" si="24"/>
        <v>49.999999999999986</v>
      </c>
      <c r="J29" s="56">
        <f t="shared" si="3"/>
        <v>5.9090909090909092</v>
      </c>
      <c r="K29" s="94">
        <f t="shared" si="19"/>
        <v>16.138888888888889</v>
      </c>
      <c r="L29" s="57">
        <f t="shared" si="20"/>
        <v>2.0319524077479696</v>
      </c>
      <c r="N29" s="57">
        <f t="shared" si="6"/>
        <v>1.780169500559226</v>
      </c>
      <c r="P29" s="93">
        <f t="shared" si="12"/>
        <v>0.53846134189806771</v>
      </c>
      <c r="Q29" s="71">
        <f t="shared" si="13"/>
        <v>0.26923067094903386</v>
      </c>
      <c r="R29" s="71">
        <f t="shared" si="7"/>
        <v>0.25199878431229888</v>
      </c>
      <c r="S29" s="71"/>
      <c r="T29" s="53">
        <f t="shared" si="14"/>
        <v>48404</v>
      </c>
      <c r="U29" s="57">
        <f t="shared" si="15"/>
        <v>5.9090909090909092</v>
      </c>
      <c r="W29" s="53">
        <f t="shared" si="16"/>
        <v>48404</v>
      </c>
      <c r="X29" s="26">
        <f t="shared" si="8"/>
        <v>1.780169500559226</v>
      </c>
      <c r="Z29" s="53">
        <f t="shared" si="17"/>
        <v>48404</v>
      </c>
      <c r="AA29" s="57">
        <f t="shared" si="18"/>
        <v>5.9090909090909092</v>
      </c>
      <c r="AB29" s="26">
        <f t="shared" si="9"/>
        <v>1.7798786935798141</v>
      </c>
      <c r="AC29" s="84"/>
      <c r="AD29" s="84"/>
      <c r="AE29" s="84"/>
      <c r="AF29" s="84"/>
    </row>
    <row r="30" spans="1:32" x14ac:dyDescent="0.2">
      <c r="C30" s="94">
        <f t="shared" si="10"/>
        <v>19.138888888888889</v>
      </c>
      <c r="D30" s="5">
        <v>48588</v>
      </c>
      <c r="E30" s="26">
        <f t="shared" si="21"/>
        <v>1.2499999999999998</v>
      </c>
      <c r="F30" s="26">
        <f t="shared" si="11"/>
        <v>1.2499999999999998</v>
      </c>
      <c r="G30" s="26">
        <v>0</v>
      </c>
      <c r="H30" s="26">
        <f t="shared" si="23"/>
        <v>4.5454545454545459</v>
      </c>
      <c r="I30" s="26">
        <f t="shared" si="24"/>
        <v>45.454545454545439</v>
      </c>
      <c r="J30" s="56">
        <f t="shared" si="3"/>
        <v>5.7954545454545459</v>
      </c>
      <c r="K30" s="94">
        <f t="shared" si="19"/>
        <v>17.138888888888889</v>
      </c>
      <c r="L30" s="57">
        <f t="shared" si="20"/>
        <v>1.8653239925855924</v>
      </c>
      <c r="N30" s="57">
        <f t="shared" si="6"/>
        <v>1.6341883144509652</v>
      </c>
      <c r="P30" s="93">
        <f t="shared" si="12"/>
        <v>0.52155644256978839</v>
      </c>
      <c r="Q30" s="71">
        <f t="shared" si="13"/>
        <v>0.2607782212848942</v>
      </c>
      <c r="R30" s="71">
        <f t="shared" si="7"/>
        <v>0.24408732670490277</v>
      </c>
      <c r="S30" s="71"/>
      <c r="T30" s="53">
        <f t="shared" si="14"/>
        <v>48588</v>
      </c>
      <c r="U30" s="57">
        <f t="shared" si="15"/>
        <v>5.7954545454545459</v>
      </c>
      <c r="W30" s="53">
        <f t="shared" si="16"/>
        <v>48588</v>
      </c>
      <c r="X30" s="26">
        <f t="shared" si="8"/>
        <v>1.6341883144509652</v>
      </c>
      <c r="Z30" s="53">
        <f t="shared" si="17"/>
        <v>48588</v>
      </c>
      <c r="AA30" s="57">
        <f t="shared" si="18"/>
        <v>5.7954545454545459</v>
      </c>
      <c r="AB30" s="26">
        <f t="shared" si="9"/>
        <v>1.6339066385740955</v>
      </c>
      <c r="AC30" s="85"/>
      <c r="AD30" s="85"/>
      <c r="AE30" s="85"/>
      <c r="AF30" s="85"/>
    </row>
    <row r="31" spans="1:32" x14ac:dyDescent="0.2">
      <c r="C31" s="94">
        <f t="shared" si="10"/>
        <v>20.138888888888889</v>
      </c>
      <c r="D31" s="5">
        <v>48769</v>
      </c>
      <c r="E31" s="26">
        <f t="shared" si="21"/>
        <v>1.136363636363636</v>
      </c>
      <c r="F31" s="26">
        <f t="shared" si="11"/>
        <v>1.136363636363636</v>
      </c>
      <c r="G31" s="26">
        <v>0</v>
      </c>
      <c r="H31" s="26">
        <f t="shared" si="23"/>
        <v>4.5454545454545459</v>
      </c>
      <c r="I31" s="26">
        <f t="shared" si="24"/>
        <v>40.909090909090892</v>
      </c>
      <c r="J31" s="56">
        <f t="shared" si="3"/>
        <v>5.6818181818181817</v>
      </c>
      <c r="K31" s="94">
        <f t="shared" si="19"/>
        <v>18.138888888888889</v>
      </c>
      <c r="L31" s="57">
        <f t="shared" si="20"/>
        <v>1.7117014428454094</v>
      </c>
      <c r="N31" s="57">
        <f t="shared" si="6"/>
        <v>1.4996014133981446</v>
      </c>
      <c r="P31" s="93">
        <f t="shared" si="12"/>
        <v>0.50360941364596179</v>
      </c>
      <c r="Q31" s="71">
        <f t="shared" si="13"/>
        <v>0.25180470682298089</v>
      </c>
      <c r="R31" s="71">
        <f t="shared" si="7"/>
        <v>0.23568815462157405</v>
      </c>
      <c r="S31" s="71"/>
      <c r="T31" s="53">
        <f t="shared" si="14"/>
        <v>48769</v>
      </c>
      <c r="U31" s="57">
        <f t="shared" si="15"/>
        <v>5.6818181818181817</v>
      </c>
      <c r="W31" s="53">
        <f t="shared" si="16"/>
        <v>48769</v>
      </c>
      <c r="X31" s="26">
        <f t="shared" si="8"/>
        <v>1.4996014133981446</v>
      </c>
      <c r="Z31" s="53">
        <f t="shared" si="17"/>
        <v>48769</v>
      </c>
      <c r="AA31" s="57">
        <f t="shared" si="18"/>
        <v>5.6818181818181817</v>
      </c>
      <c r="AB31" s="26">
        <f t="shared" si="9"/>
        <v>1.4993294313597574</v>
      </c>
    </row>
    <row r="32" spans="1:32" x14ac:dyDescent="0.2">
      <c r="C32" s="94">
        <f t="shared" si="10"/>
        <v>21.138888888888889</v>
      </c>
      <c r="D32" s="5">
        <v>48953</v>
      </c>
      <c r="E32" s="26">
        <f t="shared" si="21"/>
        <v>1.0227272727272723</v>
      </c>
      <c r="F32" s="26">
        <f t="shared" si="11"/>
        <v>1.0227272727272723</v>
      </c>
      <c r="G32" s="26">
        <v>0</v>
      </c>
      <c r="H32" s="26">
        <f t="shared" si="23"/>
        <v>4.5454545454545459</v>
      </c>
      <c r="I32" s="26">
        <f t="shared" si="24"/>
        <v>36.363636363636346</v>
      </c>
      <c r="J32" s="56">
        <f t="shared" si="3"/>
        <v>5.5681818181818183</v>
      </c>
      <c r="K32" s="94">
        <f t="shared" si="19"/>
        <v>19.138888888888889</v>
      </c>
      <c r="L32" s="57">
        <f t="shared" si="20"/>
        <v>1.5701024981979863</v>
      </c>
      <c r="N32" s="57">
        <f t="shared" si="6"/>
        <v>1.3755482507297889</v>
      </c>
      <c r="P32" s="93">
        <f t="shared" si="12"/>
        <v>0.48488692952738627</v>
      </c>
      <c r="Q32" s="71">
        <f t="shared" si="13"/>
        <v>0.24244346476369313</v>
      </c>
      <c r="R32" s="71">
        <f t="shared" si="7"/>
        <v>0.22692607112537297</v>
      </c>
      <c r="S32" s="71"/>
      <c r="T32" s="53">
        <f t="shared" si="14"/>
        <v>48953</v>
      </c>
      <c r="U32" s="57">
        <f t="shared" si="15"/>
        <v>5.5681818181818183</v>
      </c>
      <c r="W32" s="53">
        <f t="shared" si="16"/>
        <v>48953</v>
      </c>
      <c r="X32" s="26">
        <f t="shared" si="8"/>
        <v>1.3755482507297889</v>
      </c>
      <c r="Z32" s="53">
        <f t="shared" si="17"/>
        <v>48953</v>
      </c>
      <c r="AA32" s="57">
        <f t="shared" si="18"/>
        <v>5.5681818181818183</v>
      </c>
      <c r="AB32" s="26">
        <f t="shared" si="9"/>
        <v>1.3752863812372442</v>
      </c>
    </row>
    <row r="33" spans="2:28" x14ac:dyDescent="0.2">
      <c r="C33" s="94">
        <f t="shared" si="10"/>
        <v>22.138888888888889</v>
      </c>
      <c r="D33" s="5">
        <v>49134</v>
      </c>
      <c r="E33" s="26">
        <f t="shared" si="21"/>
        <v>0.90909090909090873</v>
      </c>
      <c r="F33" s="26">
        <f t="shared" si="11"/>
        <v>0.90909090909090873</v>
      </c>
      <c r="G33" s="26">
        <v>0</v>
      </c>
      <c r="H33" s="26">
        <f t="shared" si="23"/>
        <v>4.5454545454545459</v>
      </c>
      <c r="I33" s="26">
        <f t="shared" si="24"/>
        <v>31.818181818181799</v>
      </c>
      <c r="J33" s="56">
        <f t="shared" si="3"/>
        <v>5.454545454545455</v>
      </c>
      <c r="K33" s="94">
        <f t="shared" si="19"/>
        <v>20.138888888888889</v>
      </c>
      <c r="L33" s="57">
        <f t="shared" si="20"/>
        <v>1.439617356862219</v>
      </c>
      <c r="N33" s="57">
        <f t="shared" si="6"/>
        <v>1.2612317598531464</v>
      </c>
      <c r="P33" s="93">
        <f t="shared" si="12"/>
        <v>0.46562169953456883</v>
      </c>
      <c r="Q33" s="71">
        <f t="shared" si="13"/>
        <v>0.23281084976728442</v>
      </c>
      <c r="R33" s="71">
        <f t="shared" si="7"/>
        <v>0.21790998369266387</v>
      </c>
      <c r="S33" s="71"/>
      <c r="T33" s="53">
        <f t="shared" si="14"/>
        <v>49134</v>
      </c>
      <c r="U33" s="57">
        <f t="shared" si="15"/>
        <v>5.454545454545455</v>
      </c>
      <c r="W33" s="53">
        <f t="shared" si="16"/>
        <v>49134</v>
      </c>
      <c r="X33" s="26">
        <f t="shared" si="8"/>
        <v>1.2612317598531464</v>
      </c>
      <c r="Z33" s="53">
        <f t="shared" si="17"/>
        <v>49134</v>
      </c>
      <c r="AA33" s="57">
        <f t="shared" si="18"/>
        <v>5.454545454545455</v>
      </c>
      <c r="AB33" s="26">
        <f t="shared" si="9"/>
        <v>1.2609802959310179</v>
      </c>
    </row>
    <row r="34" spans="2:28" x14ac:dyDescent="0.2">
      <c r="C34" s="94">
        <f t="shared" si="10"/>
        <v>23.138888888888889</v>
      </c>
      <c r="D34" s="5">
        <v>49318</v>
      </c>
      <c r="E34" s="26">
        <f t="shared" si="21"/>
        <v>0.79545454545454497</v>
      </c>
      <c r="F34" s="26">
        <f t="shared" si="11"/>
        <v>0.79545454545454497</v>
      </c>
      <c r="G34" s="26">
        <v>0</v>
      </c>
      <c r="H34" s="26">
        <f t="shared" si="23"/>
        <v>4.5454545454545459</v>
      </c>
      <c r="I34" s="26">
        <f t="shared" si="24"/>
        <v>27.272727272727252</v>
      </c>
      <c r="J34" s="56">
        <f t="shared" si="3"/>
        <v>5.3409090909090908</v>
      </c>
      <c r="K34" s="94">
        <f t="shared" si="19"/>
        <v>21.138888888888889</v>
      </c>
      <c r="L34" s="57">
        <f t="shared" si="20"/>
        <v>1.3194034241693893</v>
      </c>
      <c r="N34" s="57">
        <f t="shared" si="6"/>
        <v>1.1559137535326958</v>
      </c>
      <c r="P34" s="93">
        <f t="shared" si="12"/>
        <v>0.44601598554744265</v>
      </c>
      <c r="Q34" s="71">
        <f t="shared" si="13"/>
        <v>0.22300799277372133</v>
      </c>
      <c r="R34" s="71">
        <f t="shared" si="7"/>
        <v>0.20873455046116238</v>
      </c>
      <c r="S34" s="71"/>
      <c r="T34" s="53">
        <f t="shared" si="14"/>
        <v>49318</v>
      </c>
      <c r="U34" s="57">
        <f t="shared" si="15"/>
        <v>5.3409090909090908</v>
      </c>
      <c r="W34" s="53">
        <f t="shared" si="16"/>
        <v>49318</v>
      </c>
      <c r="X34" s="26">
        <f t="shared" si="8"/>
        <v>1.1559137535326958</v>
      </c>
      <c r="Z34" s="53">
        <f t="shared" si="17"/>
        <v>49318</v>
      </c>
      <c r="AA34" s="57">
        <f t="shared" si="18"/>
        <v>5.3409090909090908</v>
      </c>
      <c r="AB34" s="26">
        <f t="shared" si="9"/>
        <v>1.1556728789684234</v>
      </c>
    </row>
    <row r="35" spans="2:28" x14ac:dyDescent="0.2">
      <c r="C35" s="94">
        <f t="shared" si="10"/>
        <v>24.138888888888889</v>
      </c>
      <c r="D35" s="5">
        <v>49499</v>
      </c>
      <c r="E35" s="26">
        <f t="shared" si="21"/>
        <v>0.68181818181818132</v>
      </c>
      <c r="F35" s="26">
        <f t="shared" si="11"/>
        <v>0.68181818181818132</v>
      </c>
      <c r="G35" s="26">
        <v>0</v>
      </c>
      <c r="H35" s="26">
        <f t="shared" si="23"/>
        <v>4.5454545454545459</v>
      </c>
      <c r="I35" s="26">
        <f t="shared" si="24"/>
        <v>22.727272727272705</v>
      </c>
      <c r="J35" s="56">
        <f t="shared" si="3"/>
        <v>5.2272727272727275</v>
      </c>
      <c r="K35" s="94">
        <f t="shared" si="19"/>
        <v>22.138888888888889</v>
      </c>
      <c r="L35" s="57">
        <f t="shared" si="20"/>
        <v>1.2086804365259318</v>
      </c>
      <c r="N35" s="57">
        <f t="shared" si="6"/>
        <v>1.0589106520515281</v>
      </c>
      <c r="P35" s="93">
        <f t="shared" si="12"/>
        <v>0.42624479171078661</v>
      </c>
      <c r="Q35" s="71">
        <f t="shared" si="13"/>
        <v>0.2131223958553933</v>
      </c>
      <c r="R35" s="71">
        <f t="shared" si="7"/>
        <v>0.19948167300541494</v>
      </c>
      <c r="S35" s="71"/>
      <c r="T35" s="53">
        <f t="shared" si="14"/>
        <v>49499</v>
      </c>
      <c r="U35" s="57">
        <f t="shared" si="15"/>
        <v>5.2272727272727275</v>
      </c>
      <c r="W35" s="53">
        <f t="shared" si="16"/>
        <v>49499</v>
      </c>
      <c r="X35" s="26">
        <f t="shared" si="8"/>
        <v>1.0589106520515281</v>
      </c>
      <c r="Z35" s="53">
        <f t="shared" si="17"/>
        <v>49499</v>
      </c>
      <c r="AA35" s="57">
        <f t="shared" si="18"/>
        <v>5.2272727272727275</v>
      </c>
      <c r="AB35" s="26">
        <f t="shared" si="9"/>
        <v>1.0586804561180807</v>
      </c>
    </row>
    <row r="36" spans="2:28" x14ac:dyDescent="0.2">
      <c r="C36" s="94">
        <f t="shared" si="10"/>
        <v>25.138888888888889</v>
      </c>
      <c r="D36" s="5">
        <v>49683</v>
      </c>
      <c r="E36" s="26">
        <f t="shared" si="21"/>
        <v>0.56818181818181768</v>
      </c>
      <c r="F36" s="26">
        <f t="shared" si="11"/>
        <v>0.56818181818181768</v>
      </c>
      <c r="G36" s="26">
        <v>0</v>
      </c>
      <c r="H36" s="26">
        <f t="shared" si="23"/>
        <v>4.5454545454545459</v>
      </c>
      <c r="I36" s="26">
        <f t="shared" si="24"/>
        <v>18.181818181818159</v>
      </c>
      <c r="J36" s="56">
        <f t="shared" si="3"/>
        <v>5.1136363636363633</v>
      </c>
      <c r="K36" s="94">
        <f t="shared" si="19"/>
        <v>23.138888888888889</v>
      </c>
      <c r="L36" s="57">
        <f t="shared" si="20"/>
        <v>1.1067259342334321</v>
      </c>
      <c r="N36" s="57">
        <f t="shared" si="6"/>
        <v>0.96958951700242657</v>
      </c>
      <c r="P36" s="93">
        <f t="shared" si="12"/>
        <v>0.40645875484792732</v>
      </c>
      <c r="Q36" s="71">
        <f t="shared" si="13"/>
        <v>0.20322937742396366</v>
      </c>
      <c r="R36" s="71">
        <f t="shared" si="7"/>
        <v>0.19022184904437978</v>
      </c>
      <c r="S36" s="71"/>
      <c r="T36" s="53">
        <f t="shared" si="14"/>
        <v>49683</v>
      </c>
      <c r="U36" s="57">
        <f t="shared" si="15"/>
        <v>5.1136363636363633</v>
      </c>
      <c r="W36" s="53">
        <f t="shared" si="16"/>
        <v>49683</v>
      </c>
      <c r="X36" s="26">
        <f t="shared" si="8"/>
        <v>0.96958951700242657</v>
      </c>
      <c r="Z36" s="53">
        <f t="shared" si="17"/>
        <v>49683</v>
      </c>
      <c r="AA36" s="57">
        <f t="shared" si="18"/>
        <v>5.1136363636363633</v>
      </c>
      <c r="AB36" s="26">
        <f t="shared" si="9"/>
        <v>0.96937000761965608</v>
      </c>
    </row>
    <row r="37" spans="2:28" x14ac:dyDescent="0.2">
      <c r="C37" s="94">
        <f t="shared" si="10"/>
        <v>26.138888888888889</v>
      </c>
      <c r="D37" s="5">
        <v>49865</v>
      </c>
      <c r="E37" s="26">
        <f t="shared" si="21"/>
        <v>0.45454545454545398</v>
      </c>
      <c r="F37" s="26">
        <f t="shared" si="11"/>
        <v>0.45454545454545398</v>
      </c>
      <c r="G37" s="26">
        <v>0</v>
      </c>
      <c r="H37" s="26">
        <f t="shared" si="23"/>
        <v>4.5454545454545459</v>
      </c>
      <c r="I37" s="26">
        <f t="shared" si="24"/>
        <v>13.636363636363612</v>
      </c>
      <c r="J37" s="56">
        <f t="shared" si="3"/>
        <v>5</v>
      </c>
      <c r="K37" s="94">
        <f t="shared" si="19"/>
        <v>24.138888888888889</v>
      </c>
      <c r="L37" s="57">
        <f t="shared" si="20"/>
        <v>1.0128710584840703</v>
      </c>
      <c r="N37" s="57">
        <f t="shared" si="6"/>
        <v>0.88736436908522565</v>
      </c>
      <c r="P37" s="93">
        <f t="shared" si="12"/>
        <v>0.38678676183344385</v>
      </c>
      <c r="Q37" s="71">
        <f t="shared" si="13"/>
        <v>0.19339338091672192</v>
      </c>
      <c r="R37" s="71">
        <f t="shared" si="7"/>
        <v>0.18101539736639041</v>
      </c>
      <c r="S37" s="71"/>
      <c r="T37" s="53">
        <f t="shared" si="14"/>
        <v>49865</v>
      </c>
      <c r="U37" s="57">
        <f t="shared" si="15"/>
        <v>5</v>
      </c>
      <c r="W37" s="53">
        <f t="shared" si="16"/>
        <v>49865</v>
      </c>
      <c r="X37" s="26">
        <f t="shared" si="8"/>
        <v>0.88736436908522565</v>
      </c>
      <c r="Z37" s="53">
        <f t="shared" si="17"/>
        <v>49865</v>
      </c>
      <c r="AA37" s="57">
        <f t="shared" si="18"/>
        <v>5</v>
      </c>
      <c r="AB37" s="26">
        <f t="shared" si="9"/>
        <v>0.88715548456741156</v>
      </c>
    </row>
    <row r="38" spans="2:28" x14ac:dyDescent="0.2">
      <c r="C38" s="94">
        <f t="shared" si="10"/>
        <v>27.138888888888889</v>
      </c>
      <c r="D38" s="5">
        <v>50049</v>
      </c>
      <c r="E38" s="26">
        <f t="shared" si="21"/>
        <v>0.34090909090909033</v>
      </c>
      <c r="F38" s="26">
        <f t="shared" si="11"/>
        <v>0.34090909090909033</v>
      </c>
      <c r="G38" s="26">
        <v>0</v>
      </c>
      <c r="H38" s="26">
        <f t="shared" si="23"/>
        <v>4.5454545454545459</v>
      </c>
      <c r="I38" s="26">
        <f t="shared" si="24"/>
        <v>9.0909090909090651</v>
      </c>
      <c r="J38" s="56">
        <f t="shared" si="3"/>
        <v>4.8863636363636358</v>
      </c>
      <c r="K38" s="94">
        <f t="shared" si="19"/>
        <v>25.138888888888889</v>
      </c>
      <c r="L38" s="57">
        <f t="shared" si="20"/>
        <v>0.92649664958009637</v>
      </c>
      <c r="N38" s="57">
        <f t="shared" si="6"/>
        <v>0.81169276980298621</v>
      </c>
      <c r="P38" s="93">
        <f t="shared" si="12"/>
        <v>0.36733831797697936</v>
      </c>
      <c r="Q38" s="71">
        <f t="shared" si="13"/>
        <v>0.18366915898848968</v>
      </c>
      <c r="R38" s="71">
        <f t="shared" si="7"/>
        <v>0.17191356622783707</v>
      </c>
      <c r="S38" s="71"/>
      <c r="T38" s="53">
        <f t="shared" si="14"/>
        <v>50049</v>
      </c>
      <c r="U38" s="57">
        <f t="shared" si="15"/>
        <v>4.8863636363636358</v>
      </c>
      <c r="W38" s="53">
        <f t="shared" si="16"/>
        <v>50049</v>
      </c>
      <c r="X38" s="26">
        <f t="shared" si="8"/>
        <v>0.81169276980298621</v>
      </c>
      <c r="Z38" s="53">
        <f t="shared" si="17"/>
        <v>50049</v>
      </c>
      <c r="AA38" s="57">
        <f t="shared" si="18"/>
        <v>4.8863636363636358</v>
      </c>
      <c r="AB38" s="26">
        <f t="shared" si="9"/>
        <v>0.81149438932707174</v>
      </c>
    </row>
    <row r="39" spans="2:28" x14ac:dyDescent="0.2">
      <c r="C39" s="94">
        <f t="shared" si="10"/>
        <v>28.138888888888889</v>
      </c>
      <c r="D39" s="5">
        <v>50230</v>
      </c>
      <c r="E39" s="26">
        <f t="shared" si="21"/>
        <v>0.22727272727272663</v>
      </c>
      <c r="F39" s="26">
        <f t="shared" si="11"/>
        <v>0.22727272727272663</v>
      </c>
      <c r="G39" s="26">
        <v>0</v>
      </c>
      <c r="H39" s="26">
        <f t="shared" si="23"/>
        <v>4.5454545454545459</v>
      </c>
      <c r="I39" s="26">
        <f t="shared" si="24"/>
        <v>4.5454545454545192</v>
      </c>
      <c r="J39" s="56">
        <f t="shared" si="3"/>
        <v>4.7727272727272725</v>
      </c>
      <c r="K39" s="94">
        <f t="shared" si="19"/>
        <v>26.138888888888889</v>
      </c>
      <c r="L39" s="57">
        <f t="shared" si="20"/>
        <v>0.84702962503589718</v>
      </c>
      <c r="N39" s="57">
        <f t="shared" si="6"/>
        <v>0.74207264836000353</v>
      </c>
      <c r="P39" s="93">
        <f t="shared" si="12"/>
        <v>0.34820568844967065</v>
      </c>
      <c r="Q39" s="71">
        <f t="shared" si="13"/>
        <v>0.17410284422483532</v>
      </c>
      <c r="R39" s="71">
        <f t="shared" si="7"/>
        <v>0.16295953553626685</v>
      </c>
      <c r="S39" s="71"/>
      <c r="T39" s="53">
        <f t="shared" si="14"/>
        <v>50230</v>
      </c>
      <c r="U39" s="57">
        <f t="shared" si="15"/>
        <v>4.7727272727272725</v>
      </c>
      <c r="W39" s="53">
        <f t="shared" si="16"/>
        <v>50230</v>
      </c>
      <c r="X39" s="26">
        <f t="shared" si="8"/>
        <v>0.74207264836000353</v>
      </c>
      <c r="Z39" s="53">
        <f t="shared" si="17"/>
        <v>50230</v>
      </c>
      <c r="AA39" s="57">
        <f t="shared" si="18"/>
        <v>4.7727272727272725</v>
      </c>
      <c r="AB39" s="26">
        <f t="shared" si="9"/>
        <v>0.74188460127712852</v>
      </c>
    </row>
    <row r="40" spans="2:28" x14ac:dyDescent="0.2">
      <c r="C40" s="94">
        <f t="shared" si="10"/>
        <v>29.138888888888889</v>
      </c>
      <c r="D40" s="5">
        <v>50414</v>
      </c>
      <c r="E40" s="26">
        <f t="shared" si="21"/>
        <v>0.11363636363636298</v>
      </c>
      <c r="F40" s="26">
        <f t="shared" si="11"/>
        <v>0.11363636363636298</v>
      </c>
      <c r="G40" s="26">
        <v>0</v>
      </c>
      <c r="H40" s="26">
        <f t="shared" si="23"/>
        <v>4.5454545454545459</v>
      </c>
      <c r="I40" s="26">
        <f t="shared" si="24"/>
        <v>-2.6645352591003757E-14</v>
      </c>
      <c r="J40" s="56">
        <f t="shared" si="3"/>
        <v>4.6590909090909092</v>
      </c>
      <c r="K40" s="94">
        <f t="shared" si="19"/>
        <v>27.138888888888889</v>
      </c>
      <c r="L40" s="57">
        <f t="shared" si="20"/>
        <v>0.77393961771912645</v>
      </c>
      <c r="N40" s="57">
        <f t="shared" si="6"/>
        <v>0.67803935637696411</v>
      </c>
      <c r="P40" s="93">
        <f t="shared" si="12"/>
        <v>0.32946583292809201</v>
      </c>
      <c r="Q40" s="71">
        <f t="shared" si="13"/>
        <v>0.164732916464046</v>
      </c>
      <c r="R40" s="71">
        <f t="shared" si="7"/>
        <v>0.15418932225971205</v>
      </c>
      <c r="S40" s="71"/>
      <c r="T40" s="53">
        <f t="shared" si="14"/>
        <v>50414</v>
      </c>
      <c r="U40" s="57">
        <f t="shared" si="15"/>
        <v>4.6590909090909092</v>
      </c>
      <c r="W40" s="53">
        <f t="shared" si="16"/>
        <v>50414</v>
      </c>
      <c r="X40" s="26">
        <f t="shared" si="8"/>
        <v>0.67803935637696411</v>
      </c>
      <c r="Z40" s="53">
        <f t="shared" si="17"/>
        <v>50414</v>
      </c>
      <c r="AA40" s="57">
        <f t="shared" si="18"/>
        <v>4.6590909090909092</v>
      </c>
      <c r="AB40" s="26">
        <f t="shared" si="9"/>
        <v>0.67786143047899716</v>
      </c>
    </row>
    <row r="42" spans="2:28" x14ac:dyDescent="0.2">
      <c r="K42" s="66" t="s">
        <v>213</v>
      </c>
      <c r="L42" s="117">
        <f>+SUM(L13:L40)</f>
        <v>61.716007714023633</v>
      </c>
      <c r="P42" s="66" t="s">
        <v>40</v>
      </c>
      <c r="Q42" s="66" t="s">
        <v>214</v>
      </c>
      <c r="R42" s="66" t="s">
        <v>218</v>
      </c>
      <c r="S42" s="55"/>
      <c r="T42" s="66" t="s">
        <v>76</v>
      </c>
      <c r="U42" s="72">
        <f>+XIRR(U10:U40, T10:T40)</f>
        <v>0.13559599518775942</v>
      </c>
      <c r="W42" s="66" t="s">
        <v>216</v>
      </c>
      <c r="X42" s="89">
        <f>+SUM(X11:X40)</f>
        <v>58.144261894559804</v>
      </c>
      <c r="Z42" s="66" t="s">
        <v>0</v>
      </c>
      <c r="AA42" s="66"/>
      <c r="AB42" s="72">
        <v>0.13678091018497948</v>
      </c>
    </row>
    <row r="43" spans="2:28" x14ac:dyDescent="0.2">
      <c r="K43" s="66" t="s">
        <v>50</v>
      </c>
      <c r="L43" s="117">
        <f>+YEARFRAC(D10, B3)*2*E13</f>
        <v>2.1527777777777777</v>
      </c>
      <c r="P43" s="116">
        <f>+SUM(P11:P40)</f>
        <v>11.894974575481996</v>
      </c>
      <c r="Q43" s="116">
        <f>+SUM(Q11:Q40)</f>
        <v>5.9474872877409979</v>
      </c>
      <c r="R43" s="116">
        <f>+SUM(R11:R40)</f>
        <v>5.5668232781223619</v>
      </c>
      <c r="T43" s="66" t="s">
        <v>77</v>
      </c>
      <c r="U43" s="73">
        <f>+XNPV($B$10/2, U11:U40, T11:T40)+U10</f>
        <v>62.196827771170177</v>
      </c>
      <c r="Z43" s="66" t="s">
        <v>205</v>
      </c>
      <c r="AA43" s="66"/>
      <c r="AB43" s="118">
        <f>+SUM(AB11:AB40)</f>
        <v>58.137837729499687</v>
      </c>
    </row>
    <row r="44" spans="2:28" x14ac:dyDescent="0.2">
      <c r="K44" s="66" t="s">
        <v>212</v>
      </c>
      <c r="L44" s="117">
        <f>+L43+L42</f>
        <v>63.868785491801411</v>
      </c>
      <c r="AB44" s="26">
        <v>58.13785478880817</v>
      </c>
    </row>
    <row r="47" spans="2:28" x14ac:dyDescent="0.2">
      <c r="B47" s="62"/>
    </row>
    <row r="56" spans="6:14" x14ac:dyDescent="0.2">
      <c r="H56" s="26" t="s">
        <v>236</v>
      </c>
      <c r="I56" s="53">
        <v>43983</v>
      </c>
      <c r="L56" s="57" t="s">
        <v>239</v>
      </c>
      <c r="M56" s="53">
        <v>43955</v>
      </c>
    </row>
    <row r="57" spans="6:14" x14ac:dyDescent="0.2">
      <c r="H57" s="26" t="s">
        <v>237</v>
      </c>
      <c r="I57" s="53">
        <v>44317</v>
      </c>
    </row>
    <row r="58" spans="6:14" x14ac:dyDescent="0.2">
      <c r="L58" s="57" t="s">
        <v>45</v>
      </c>
      <c r="M58" s="57" t="s">
        <v>238</v>
      </c>
    </row>
    <row r="59" spans="6:14" x14ac:dyDescent="0.2">
      <c r="F59" s="53">
        <v>43831</v>
      </c>
      <c r="G59" s="26">
        <v>100</v>
      </c>
      <c r="H59" s="26">
        <f>+YEARFRAC(F59,I57)*2</f>
        <v>2.6666666666666665</v>
      </c>
      <c r="I59" s="57">
        <f>+G59*(1+0.13/2)^H59</f>
        <v>118.28571173332712</v>
      </c>
      <c r="J59" s="26">
        <f>+(1+0.13/2)</f>
        <v>1.0649999999999999</v>
      </c>
      <c r="M59" s="57">
        <f>+G59*(1+0.13/2)^(YEARFRAC(F59,M56)*2)</f>
        <v>104.39721150974329</v>
      </c>
      <c r="N59" s="57">
        <f>+YEARFRAC(F59,M56)</f>
        <v>0.34166666666666667</v>
      </c>
    </row>
    <row r="60" spans="6:14" x14ac:dyDescent="0.2">
      <c r="F60" s="53">
        <v>43983</v>
      </c>
      <c r="G60" s="26">
        <v>100</v>
      </c>
      <c r="H60" s="26">
        <f>+YEARFRAC(F60,I57)*2</f>
        <v>1.8333333333333333</v>
      </c>
      <c r="I60" s="57">
        <f t="shared" ref="I60:I61" si="25">+G60*(1+0.13/2)^H60</f>
        <v>112.23826575459609</v>
      </c>
      <c r="L60" s="57">
        <f>+G60/(1+0.13/2)^(YEARFRAC(M56,F60)*2)</f>
        <v>99.059825550916202</v>
      </c>
    </row>
    <row r="61" spans="6:14" x14ac:dyDescent="0.2">
      <c r="F61" s="53">
        <v>44197</v>
      </c>
      <c r="G61" s="26">
        <v>100</v>
      </c>
      <c r="H61" s="26">
        <f>+YEARFRAC(F61,I57)*2</f>
        <v>0.66666666666666663</v>
      </c>
      <c r="I61" s="57">
        <f t="shared" si="25"/>
        <v>104.28769576876469</v>
      </c>
      <c r="L61" s="57">
        <f>+G61/(1+0.13/2)^(YEARFRAC(M56,F61)*2)</f>
        <v>92.042770622886366</v>
      </c>
      <c r="N61" s="143">
        <f>+YEARFRAC(M56,F61)*2</f>
        <v>1.3166666666666667</v>
      </c>
    </row>
    <row r="62" spans="6:14" x14ac:dyDescent="0.2">
      <c r="F62" s="53">
        <v>44348</v>
      </c>
      <c r="G62" s="26">
        <v>100</v>
      </c>
      <c r="L62" s="57">
        <f>+G62/(1+0.13/2)^(YEARFRAC(M56,F62)*2)</f>
        <v>87.337014746559277</v>
      </c>
      <c r="N62" s="143">
        <f>+YEARFRAC(M56,F62)*2</f>
        <v>2.15</v>
      </c>
    </row>
    <row r="63" spans="6:14" x14ac:dyDescent="0.2">
      <c r="I63" s="57">
        <f>+SUM(I59:I62)</f>
        <v>334.81167325668793</v>
      </c>
      <c r="N63" s="143"/>
    </row>
    <row r="64" spans="6:14" x14ac:dyDescent="0.2">
      <c r="M64" s="57">
        <f>+L62+L61+L60+M59</f>
        <v>382.83682243010509</v>
      </c>
    </row>
    <row r="70" spans="10:10" x14ac:dyDescent="0.2">
      <c r="J70" s="26">
        <f>0.416666666666666/2</f>
        <v>0.20833333333333301</v>
      </c>
    </row>
  </sheetData>
  <mergeCells count="6">
    <mergeCell ref="Z9:AB9"/>
    <mergeCell ref="K9:L9"/>
    <mergeCell ref="P8:R8"/>
    <mergeCell ref="E1:F1"/>
    <mergeCell ref="W9:X9"/>
    <mergeCell ref="T9:U9"/>
  </mergeCells>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8DE2D-9C11-5E43-935E-C1154FFE25CE}">
  <dimension ref="A1:AD44"/>
  <sheetViews>
    <sheetView showGridLines="0" zoomScale="107" workbookViewId="0">
      <selection activeCell="B9" sqref="B9"/>
    </sheetView>
  </sheetViews>
  <sheetFormatPr baseColWidth="10" defaultRowHeight="16" x14ac:dyDescent="0.2"/>
  <cols>
    <col min="1" max="1" width="23.83203125" style="121" customWidth="1"/>
    <col min="2" max="2" width="14.1640625" style="121" bestFit="1" customWidth="1"/>
    <col min="3" max="3" width="20.6640625" style="121" customWidth="1"/>
    <col min="4" max="4" width="14.1640625" style="121" bestFit="1" customWidth="1"/>
    <col min="5" max="5" width="13.1640625" style="121" bestFit="1" customWidth="1"/>
    <col min="6" max="6" width="12.33203125" style="121" bestFit="1" customWidth="1"/>
    <col min="7" max="7" width="13.33203125" style="121" bestFit="1" customWidth="1"/>
    <col min="8" max="10" width="13.1640625" style="121" bestFit="1" customWidth="1"/>
    <col min="11" max="11" width="17" style="121" customWidth="1"/>
    <col min="12" max="12" width="18.1640625" style="121" customWidth="1"/>
    <col min="13" max="13" width="12.6640625" style="121" customWidth="1"/>
    <col min="14" max="15" width="11.1640625" style="121" bestFit="1" customWidth="1"/>
    <col min="16" max="16" width="10.83203125" style="121"/>
    <col min="17" max="17" width="14.1640625" style="121" bestFit="1" customWidth="1"/>
    <col min="18" max="18" width="12" style="121" bestFit="1" customWidth="1"/>
    <col min="19" max="19" width="10.83203125" style="121"/>
    <col min="20" max="20" width="14.6640625" style="121" bestFit="1" customWidth="1"/>
    <col min="21" max="21" width="13.1640625" style="121" bestFit="1" customWidth="1"/>
    <col min="22" max="22" width="9.6640625" style="121" customWidth="1"/>
    <col min="23" max="23" width="14.1640625" style="121" bestFit="1" customWidth="1"/>
    <col min="24" max="24" width="14.5" style="121" bestFit="1" customWidth="1"/>
    <col min="25" max="25" width="10.5" style="121" bestFit="1" customWidth="1"/>
    <col min="26" max="29" width="10.83203125" style="121"/>
    <col min="30" max="30" width="255.83203125" style="132" bestFit="1" customWidth="1"/>
    <col min="31" max="16384" width="10.83203125" style="121"/>
  </cols>
  <sheetData>
    <row r="1" spans="1:30" x14ac:dyDescent="0.2">
      <c r="E1" s="149" t="s">
        <v>31</v>
      </c>
      <c r="F1" s="149"/>
      <c r="AD1" s="123"/>
    </row>
    <row r="2" spans="1:30" ht="19" x14ac:dyDescent="0.2">
      <c r="A2" s="124" t="s">
        <v>201</v>
      </c>
      <c r="C2" s="122" t="s">
        <v>74</v>
      </c>
      <c r="D2" s="122" t="s">
        <v>42</v>
      </c>
      <c r="E2" s="122" t="s">
        <v>81</v>
      </c>
      <c r="F2" s="122" t="s">
        <v>82</v>
      </c>
      <c r="G2" s="122" t="s">
        <v>45</v>
      </c>
      <c r="H2" s="122" t="s">
        <v>46</v>
      </c>
      <c r="I2" s="122" t="s">
        <v>47</v>
      </c>
      <c r="J2" s="125" t="s">
        <v>136</v>
      </c>
      <c r="K2" s="136">
        <v>45457</v>
      </c>
      <c r="M2" s="149" t="s">
        <v>210</v>
      </c>
      <c r="N2" s="149"/>
      <c r="O2" s="149"/>
      <c r="AD2" s="126"/>
    </row>
    <row r="3" spans="1:30" ht="19" x14ac:dyDescent="0.2">
      <c r="A3" s="121" t="s">
        <v>51</v>
      </c>
      <c r="B3" s="136">
        <v>45091</v>
      </c>
      <c r="I3" s="121">
        <f>+B8</f>
        <v>100</v>
      </c>
      <c r="J3" s="127"/>
      <c r="K3" s="149" t="s">
        <v>211</v>
      </c>
      <c r="L3" s="149"/>
      <c r="M3" s="122" t="s">
        <v>220</v>
      </c>
      <c r="N3" s="122" t="s">
        <v>219</v>
      </c>
      <c r="O3" s="122" t="s">
        <v>217</v>
      </c>
      <c r="AD3" s="129"/>
    </row>
    <row r="4" spans="1:30" ht="19" x14ac:dyDescent="0.2">
      <c r="A4" s="121" t="s">
        <v>27</v>
      </c>
      <c r="B4" s="136"/>
      <c r="C4" s="121">
        <f>-YEARFRAC($B$3, D4)*$B$6</f>
        <v>-2.5333333333333332</v>
      </c>
      <c r="D4" s="137">
        <v>44628</v>
      </c>
      <c r="E4" s="121">
        <f>+$B$7/2 * I3</f>
        <v>4.7500000000000001E-2</v>
      </c>
      <c r="F4" s="121">
        <f>+($B$7/$B$6*I3)*(1-$B$11)</f>
        <v>4.7500000000000001E-2</v>
      </c>
      <c r="G4" s="121">
        <f>+E4*$B$11</f>
        <v>0</v>
      </c>
      <c r="H4" s="121">
        <v>0</v>
      </c>
      <c r="I4" s="121">
        <f>+I3-H4+G4</f>
        <v>100</v>
      </c>
      <c r="J4" s="127">
        <f>+H4+F4</f>
        <v>4.7500000000000001E-2</v>
      </c>
      <c r="AD4" s="130"/>
    </row>
    <row r="5" spans="1:30" ht="19" x14ac:dyDescent="0.2">
      <c r="A5" s="121" t="s">
        <v>38</v>
      </c>
      <c r="B5" s="136">
        <v>45724</v>
      </c>
      <c r="C5" s="121">
        <f t="shared" ref="C5:C6" si="0">-YEARFRAC($B$3, D5)*$B$6</f>
        <v>-1.5333333333333334</v>
      </c>
      <c r="D5" s="137">
        <v>44812</v>
      </c>
      <c r="E5" s="121">
        <f t="shared" ref="E5:E10" si="1">+$B$7/2 * I4</f>
        <v>4.7500000000000001E-2</v>
      </c>
      <c r="F5" s="121">
        <f t="shared" ref="F5:F10" si="2">+($B$7/$B$6*I4)*(1-$B$11)</f>
        <v>4.7500000000000001E-2</v>
      </c>
      <c r="G5" s="121">
        <f t="shared" ref="G5:G10" si="3">+E5*$B$11</f>
        <v>0</v>
      </c>
      <c r="H5" s="121">
        <f>+$I$4*0.133</f>
        <v>13.3</v>
      </c>
      <c r="I5" s="121">
        <f>+I4-H5+G5</f>
        <v>86.7</v>
      </c>
      <c r="J5" s="127">
        <f t="shared" ref="J5:J10" si="4">+H5+F5</f>
        <v>13.3475</v>
      </c>
      <c r="Q5" s="149" t="s">
        <v>76</v>
      </c>
      <c r="R5" s="149"/>
      <c r="T5" s="149" t="s">
        <v>78</v>
      </c>
      <c r="U5" s="149"/>
      <c r="W5" s="149" t="s">
        <v>215</v>
      </c>
      <c r="X5" s="149"/>
      <c r="Y5" s="149"/>
      <c r="AD5" s="129"/>
    </row>
    <row r="6" spans="1:30" ht="19" x14ac:dyDescent="0.2">
      <c r="A6" s="121" t="s">
        <v>39</v>
      </c>
      <c r="B6" s="121">
        <v>2</v>
      </c>
      <c r="C6" s="121">
        <f t="shared" si="0"/>
        <v>-0.53333333333333333</v>
      </c>
      <c r="D6" s="137">
        <v>44993</v>
      </c>
      <c r="E6" s="121">
        <f t="shared" si="1"/>
        <v>4.1182500000000004E-2</v>
      </c>
      <c r="F6" s="121">
        <f t="shared" si="2"/>
        <v>4.1182500000000004E-2</v>
      </c>
      <c r="G6" s="121">
        <f t="shared" si="3"/>
        <v>0</v>
      </c>
      <c r="H6" s="121">
        <f t="shared" ref="H6:H9" si="5">+$I$4*0.133</f>
        <v>13.3</v>
      </c>
      <c r="I6" s="121">
        <f t="shared" ref="I6:I10" si="6">+I5-H6+G6</f>
        <v>73.400000000000006</v>
      </c>
      <c r="J6" s="127">
        <f t="shared" si="4"/>
        <v>13.3411825</v>
      </c>
      <c r="Q6" s="135">
        <f>+B3</f>
        <v>45091</v>
      </c>
      <c r="R6" s="128">
        <f>-B14</f>
        <v>-76.654630544853049</v>
      </c>
      <c r="T6" s="135">
        <f t="shared" ref="T6:T10" si="7">+Q6</f>
        <v>45091</v>
      </c>
      <c r="U6" s="128">
        <f>-B14</f>
        <v>-76.654630544853049</v>
      </c>
      <c r="W6" s="135">
        <f>+T6</f>
        <v>45091</v>
      </c>
      <c r="X6" s="128">
        <f>-B14</f>
        <v>-76.654630544853049</v>
      </c>
      <c r="Z6" s="128"/>
      <c r="AA6" s="128"/>
      <c r="AB6" s="128"/>
      <c r="AC6" s="128"/>
      <c r="AD6" s="129"/>
    </row>
    <row r="7" spans="1:30" ht="19" x14ac:dyDescent="0.2">
      <c r="A7" s="121" t="s">
        <v>41</v>
      </c>
      <c r="B7" s="121">
        <v>9.5E-4</v>
      </c>
      <c r="C7" s="121">
        <f>YEARFRAC($B$3, D7)*$B$6</f>
        <v>0.46666666666666667</v>
      </c>
      <c r="D7" s="138">
        <v>45177</v>
      </c>
      <c r="E7" s="121">
        <f t="shared" si="1"/>
        <v>3.4865E-2</v>
      </c>
      <c r="F7" s="121">
        <f t="shared" si="2"/>
        <v>3.4865E-2</v>
      </c>
      <c r="G7" s="121">
        <f t="shared" si="3"/>
        <v>0</v>
      </c>
      <c r="H7" s="121">
        <f t="shared" si="5"/>
        <v>13.3</v>
      </c>
      <c r="I7" s="121">
        <f t="shared" si="6"/>
        <v>60.100000000000009</v>
      </c>
      <c r="J7" s="127">
        <f t="shared" si="4"/>
        <v>13.334865000000001</v>
      </c>
      <c r="Q7" s="136">
        <f t="shared" ref="Q7:Q10" si="8">+D7</f>
        <v>45177</v>
      </c>
      <c r="R7" s="121">
        <f t="shared" ref="R7:R10" si="9">+J7</f>
        <v>13.334865000000001</v>
      </c>
      <c r="T7" s="136">
        <f>+Q7</f>
        <v>45177</v>
      </c>
      <c r="U7" s="121">
        <f>+J7/(1+$R$12/2)^C7</f>
        <v>13.443525564425062</v>
      </c>
      <c r="W7" s="136">
        <f>+D7</f>
        <v>45177</v>
      </c>
      <c r="X7" s="121">
        <f>+J7</f>
        <v>13.334865000000001</v>
      </c>
      <c r="Y7" s="121">
        <f>+X7/(1+$Y$12/2)^C7</f>
        <v>3.9582163770840455</v>
      </c>
      <c r="Z7" s="121">
        <f>+X7/(1+$Y$12/2)^C7</f>
        <v>3.9582163770840455</v>
      </c>
      <c r="AD7" s="129"/>
    </row>
    <row r="8" spans="1:30" ht="19" x14ac:dyDescent="0.2">
      <c r="A8" s="121" t="s">
        <v>43</v>
      </c>
      <c r="B8" s="121">
        <v>100</v>
      </c>
      <c r="C8" s="121">
        <f t="shared" ref="C8:C10" si="10">YEARFRAC($B$3, D8)*$B$6</f>
        <v>1.4666666666666666</v>
      </c>
      <c r="D8" s="137">
        <v>45359</v>
      </c>
      <c r="E8" s="121">
        <f t="shared" si="1"/>
        <v>2.8547500000000003E-2</v>
      </c>
      <c r="F8" s="121">
        <f t="shared" si="2"/>
        <v>2.8547500000000003E-2</v>
      </c>
      <c r="G8" s="121">
        <f>+E8*$B$11</f>
        <v>0</v>
      </c>
      <c r="H8" s="121">
        <f t="shared" si="5"/>
        <v>13.3</v>
      </c>
      <c r="I8" s="121">
        <f t="shared" si="6"/>
        <v>46.800000000000011</v>
      </c>
      <c r="J8" s="127">
        <f t="shared" si="4"/>
        <v>13.328547500000001</v>
      </c>
      <c r="Q8" s="136">
        <f t="shared" si="8"/>
        <v>45359</v>
      </c>
      <c r="R8" s="121">
        <f t="shared" si="9"/>
        <v>13.328547500000001</v>
      </c>
      <c r="T8" s="136">
        <f t="shared" si="7"/>
        <v>45359</v>
      </c>
      <c r="U8" s="121">
        <f t="shared" ref="U8:U10" si="11">+J8/(1+$R$12/2)^C8</f>
        <v>13.672879738940615</v>
      </c>
      <c r="W8" s="136">
        <f t="shared" ref="W8:W10" si="12">+D8</f>
        <v>45359</v>
      </c>
      <c r="X8" s="121">
        <f t="shared" ref="X8:X10" si="13">+J8</f>
        <v>13.328547500000001</v>
      </c>
      <c r="Y8" s="121">
        <f t="shared" ref="Y8:Y10" si="14">+X8/(1+$Y$12/2)^C8</f>
        <v>0.29306230667442423</v>
      </c>
      <c r="Z8" s="121">
        <f t="shared" ref="Z8:Z10" si="15">+X8/(1+$Y$12/2)^C8</f>
        <v>0.29306230667442423</v>
      </c>
      <c r="AD8" s="129"/>
    </row>
    <row r="9" spans="1:30" ht="19" x14ac:dyDescent="0.2">
      <c r="A9" s="121" t="s">
        <v>80</v>
      </c>
      <c r="C9" s="121">
        <f t="shared" si="10"/>
        <v>2.4666666666666668</v>
      </c>
      <c r="D9" s="137">
        <v>45543</v>
      </c>
      <c r="E9" s="121">
        <f t="shared" si="1"/>
        <v>2.2230000000000007E-2</v>
      </c>
      <c r="F9" s="121">
        <f t="shared" si="2"/>
        <v>2.2230000000000007E-2</v>
      </c>
      <c r="G9" s="121">
        <f t="shared" si="3"/>
        <v>0</v>
      </c>
      <c r="H9" s="121">
        <f t="shared" si="5"/>
        <v>13.3</v>
      </c>
      <c r="I9" s="121">
        <f t="shared" si="6"/>
        <v>33.500000000000014</v>
      </c>
      <c r="J9" s="127">
        <f t="shared" si="4"/>
        <v>13.322230000000001</v>
      </c>
      <c r="K9" s="121">
        <f>YEARFRAC($K$2, D9)*$B$6</f>
        <v>0.46666666666666667</v>
      </c>
      <c r="L9" s="121">
        <f t="shared" ref="L9:L10" si="16">+J9/(1+$A$23/2)^K9</f>
        <v>12.917290289254938</v>
      </c>
      <c r="P9" s="128"/>
      <c r="Q9" s="136">
        <f t="shared" si="8"/>
        <v>45543</v>
      </c>
      <c r="R9" s="121">
        <f t="shared" si="9"/>
        <v>13.322230000000001</v>
      </c>
      <c r="T9" s="136">
        <f t="shared" si="7"/>
        <v>45543</v>
      </c>
      <c r="U9" s="121">
        <f t="shared" si="11"/>
        <v>13.90614370166954</v>
      </c>
      <c r="W9" s="136">
        <f t="shared" si="12"/>
        <v>45543</v>
      </c>
      <c r="X9" s="121">
        <f t="shared" si="13"/>
        <v>13.322230000000001</v>
      </c>
      <c r="Y9" s="121">
        <f t="shared" si="14"/>
        <v>2.1698029646778635E-2</v>
      </c>
      <c r="Z9" s="121">
        <f t="shared" si="15"/>
        <v>2.1698029646778635E-2</v>
      </c>
      <c r="AD9" s="129"/>
    </row>
    <row r="10" spans="1:30" ht="19" x14ac:dyDescent="0.2">
      <c r="A10" s="131" t="s">
        <v>0</v>
      </c>
      <c r="B10" s="131"/>
      <c r="C10" s="121">
        <f t="shared" si="10"/>
        <v>3.4666666666666668</v>
      </c>
      <c r="D10" s="137">
        <v>45724</v>
      </c>
      <c r="E10" s="121">
        <f t="shared" si="1"/>
        <v>1.5912500000000007E-2</v>
      </c>
      <c r="F10" s="121">
        <f t="shared" si="2"/>
        <v>1.5912500000000007E-2</v>
      </c>
      <c r="G10" s="121">
        <f t="shared" si="3"/>
        <v>0</v>
      </c>
      <c r="H10" s="121">
        <f>+$I$4*33.5%</f>
        <v>33.5</v>
      </c>
      <c r="I10" s="121">
        <f t="shared" si="6"/>
        <v>1.4210854715202004E-14</v>
      </c>
      <c r="J10" s="127">
        <f t="shared" si="4"/>
        <v>33.515912499999999</v>
      </c>
      <c r="K10" s="121">
        <f>YEARFRAC($K$2, D10)*$B$6</f>
        <v>1.4666666666666666</v>
      </c>
      <c r="L10" s="121">
        <f t="shared" si="16"/>
        <v>30.417215343868428</v>
      </c>
      <c r="Q10" s="136">
        <f t="shared" si="8"/>
        <v>45724</v>
      </c>
      <c r="R10" s="121">
        <f t="shared" si="9"/>
        <v>33.515912499999999</v>
      </c>
      <c r="T10" s="136">
        <f t="shared" si="7"/>
        <v>45724</v>
      </c>
      <c r="U10" s="121">
        <f t="shared" si="11"/>
        <v>35.598643513655347</v>
      </c>
      <c r="W10" s="136">
        <f t="shared" si="12"/>
        <v>45724</v>
      </c>
      <c r="X10" s="121">
        <f t="shared" si="13"/>
        <v>33.515912499999999</v>
      </c>
      <c r="Y10" s="121">
        <f t="shared" si="14"/>
        <v>4.0435298220361784E-3</v>
      </c>
      <c r="Z10" s="121">
        <f t="shared" si="15"/>
        <v>4.0435298220361784E-3</v>
      </c>
      <c r="AD10" s="129"/>
    </row>
    <row r="11" spans="1:30" x14ac:dyDescent="0.2">
      <c r="A11" s="121" t="s">
        <v>44</v>
      </c>
      <c r="B11" s="121">
        <v>0</v>
      </c>
      <c r="D11" s="107"/>
    </row>
    <row r="12" spans="1:30" x14ac:dyDescent="0.2">
      <c r="A12" s="121" t="s">
        <v>98</v>
      </c>
      <c r="B12" s="121" t="s">
        <v>5</v>
      </c>
      <c r="D12" s="107"/>
      <c r="K12" s="133" t="s">
        <v>213</v>
      </c>
      <c r="L12" s="122">
        <f>+SUM(L9:L10)</f>
        <v>43.334505633123364</v>
      </c>
      <c r="M12" s="133" t="s">
        <v>40</v>
      </c>
      <c r="N12" s="133" t="s">
        <v>214</v>
      </c>
      <c r="O12" s="133" t="s">
        <v>218</v>
      </c>
      <c r="Q12" s="133" t="s">
        <v>76</v>
      </c>
      <c r="R12" s="122">
        <f>+XIRR(R6:R10, Q6:Q10)</f>
        <v>-3.4480395913124087E-2</v>
      </c>
      <c r="T12" s="133" t="s">
        <v>216</v>
      </c>
      <c r="U12" s="122">
        <f>+SUM(U7:U10)</f>
        <v>76.621192518690563</v>
      </c>
      <c r="W12" s="133" t="s">
        <v>0</v>
      </c>
      <c r="X12" s="133"/>
      <c r="Y12" s="122">
        <v>25</v>
      </c>
    </row>
    <row r="13" spans="1:30" x14ac:dyDescent="0.2">
      <c r="D13" s="107"/>
      <c r="K13" s="133" t="s">
        <v>50</v>
      </c>
      <c r="L13" s="122">
        <f>+YEARFRAC(D10, B3)*2*E13</f>
        <v>0</v>
      </c>
      <c r="M13" s="122" t="e">
        <f>+SUM(#REF!)</f>
        <v>#REF!</v>
      </c>
      <c r="N13" s="122" t="e">
        <f>+SUM(#REF!)</f>
        <v>#REF!</v>
      </c>
      <c r="O13" s="122" t="e">
        <f>+SUM(#REF!)</f>
        <v>#REF!</v>
      </c>
      <c r="Q13" s="133" t="s">
        <v>77</v>
      </c>
      <c r="R13" s="122"/>
      <c r="W13" s="133" t="s">
        <v>205</v>
      </c>
      <c r="X13" s="133"/>
      <c r="Y13" s="122">
        <f>+SUM(Y7:Y10)</f>
        <v>4.2770202432272848</v>
      </c>
    </row>
    <row r="14" spans="1:30" x14ac:dyDescent="0.2">
      <c r="A14" s="121" t="s">
        <v>84</v>
      </c>
      <c r="B14" s="121">
        <f>38000/495.73</f>
        <v>76.654630544853049</v>
      </c>
      <c r="D14" s="107"/>
      <c r="K14" s="133" t="s">
        <v>212</v>
      </c>
      <c r="L14" s="122">
        <f>+L13+L12</f>
        <v>43.334505633123364</v>
      </c>
      <c r="Y14" s="121">
        <f>+B14</f>
        <v>76.654630544853049</v>
      </c>
    </row>
    <row r="15" spans="1:30" x14ac:dyDescent="0.2">
      <c r="A15" s="121" t="s">
        <v>83</v>
      </c>
      <c r="B15" s="121">
        <f>+B14-B16</f>
        <v>76.636035878186377</v>
      </c>
      <c r="D15" s="107"/>
    </row>
    <row r="16" spans="1:30" x14ac:dyDescent="0.2">
      <c r="A16" s="121" t="s">
        <v>207</v>
      </c>
      <c r="B16" s="121">
        <f>+YEARFRAC(D6, B3)*2*E7</f>
        <v>1.8594666666666666E-2</v>
      </c>
      <c r="D16" s="107"/>
    </row>
    <row r="17" spans="1:29" x14ac:dyDescent="0.2">
      <c r="D17" s="107"/>
    </row>
    <row r="18" spans="1:29" x14ac:dyDescent="0.2">
      <c r="A18" s="121" t="s">
        <v>6</v>
      </c>
      <c r="B18" s="120">
        <f>+(E7+E8)/B14</f>
        <v>8.2724943750000005E-4</v>
      </c>
      <c r="D18" s="107"/>
    </row>
    <row r="19" spans="1:29" x14ac:dyDescent="0.2">
      <c r="A19" s="121" t="s">
        <v>206</v>
      </c>
      <c r="B19" s="121">
        <f>+(L14-B14)/B14</f>
        <v>-0.43467856638136199</v>
      </c>
      <c r="D19" s="107"/>
    </row>
    <row r="20" spans="1:29" x14ac:dyDescent="0.2">
      <c r="A20" s="121" t="s">
        <v>208</v>
      </c>
      <c r="B20" s="121">
        <f>+SUM(B18:B19)</f>
        <v>-0.43385131694386198</v>
      </c>
      <c r="D20" s="107"/>
    </row>
    <row r="21" spans="1:29" x14ac:dyDescent="0.2">
      <c r="D21" s="107"/>
      <c r="J21" s="121">
        <f>+J22+J23</f>
        <v>73.050000000000011</v>
      </c>
    </row>
    <row r="22" spans="1:29" x14ac:dyDescent="0.2">
      <c r="A22" s="128" t="s">
        <v>209</v>
      </c>
      <c r="D22" s="107"/>
      <c r="G22" s="121">
        <f>+H22/H25</f>
        <v>0.4306632213608958</v>
      </c>
      <c r="H22" s="121">
        <v>1000</v>
      </c>
      <c r="I22" s="121">
        <v>0.04</v>
      </c>
      <c r="J22" s="121">
        <f>+I22*H22</f>
        <v>40</v>
      </c>
    </row>
    <row r="23" spans="1:29" x14ac:dyDescent="0.2">
      <c r="A23" s="128">
        <v>0.13676166481326901</v>
      </c>
      <c r="D23" s="107"/>
      <c r="G23" s="121">
        <f>+H23/H25</f>
        <v>0.56933677863910426</v>
      </c>
      <c r="H23" s="121">
        <v>1322</v>
      </c>
      <c r="I23" s="121">
        <v>2.5000000000000001E-2</v>
      </c>
      <c r="J23" s="121">
        <f>+I23*H23</f>
        <v>33.050000000000004</v>
      </c>
    </row>
    <row r="24" spans="1:29" x14ac:dyDescent="0.2">
      <c r="D24" s="107"/>
    </row>
    <row r="25" spans="1:29" x14ac:dyDescent="0.2">
      <c r="D25" s="107"/>
      <c r="H25" s="121">
        <f>+H23+H22</f>
        <v>2322</v>
      </c>
      <c r="I25" s="121">
        <f>+(I23*G23+I22*G22)</f>
        <v>3.145994832041344E-2</v>
      </c>
      <c r="J25" s="121">
        <f>+I25*H25</f>
        <v>73.050000000000011</v>
      </c>
    </row>
    <row r="26" spans="1:29" x14ac:dyDescent="0.2">
      <c r="D26" s="107"/>
    </row>
    <row r="27" spans="1:29" x14ac:dyDescent="0.2">
      <c r="D27" s="107"/>
    </row>
    <row r="28" spans="1:29" x14ac:dyDescent="0.2">
      <c r="D28" s="107"/>
    </row>
    <row r="29" spans="1:29" x14ac:dyDescent="0.2">
      <c r="D29" s="107"/>
      <c r="I29" s="121">
        <f>+J21/H25</f>
        <v>3.145994832041344E-2</v>
      </c>
      <c r="Z29" s="134"/>
      <c r="AA29" s="134"/>
      <c r="AB29" s="134"/>
      <c r="AC29" s="134"/>
    </row>
    <row r="30" spans="1:29" x14ac:dyDescent="0.2">
      <c r="D30" s="107"/>
      <c r="Z30" s="134"/>
      <c r="AA30" s="134"/>
      <c r="AB30" s="134"/>
      <c r="AC30" s="134"/>
    </row>
    <row r="31" spans="1:29" x14ac:dyDescent="0.2">
      <c r="D31" s="107"/>
    </row>
    <row r="32" spans="1:29" x14ac:dyDescent="0.2">
      <c r="D32" s="107"/>
    </row>
    <row r="33" spans="4:12" x14ac:dyDescent="0.2">
      <c r="D33" s="107"/>
    </row>
    <row r="34" spans="4:12" x14ac:dyDescent="0.2">
      <c r="D34" s="107"/>
    </row>
    <row r="35" spans="4:12" x14ac:dyDescent="0.2">
      <c r="D35" s="107"/>
    </row>
    <row r="36" spans="4:12" x14ac:dyDescent="0.2">
      <c r="D36" s="107"/>
    </row>
    <row r="37" spans="4:12" x14ac:dyDescent="0.2">
      <c r="D37" s="107"/>
      <c r="L37" s="104"/>
    </row>
    <row r="38" spans="4:12" x14ac:dyDescent="0.2">
      <c r="D38" s="107"/>
      <c r="L38" s="104"/>
    </row>
    <row r="39" spans="4:12" x14ac:dyDescent="0.2">
      <c r="D39" s="107"/>
      <c r="I39" s="104"/>
      <c r="J39" s="104" t="s">
        <v>221</v>
      </c>
      <c r="L39" s="139">
        <v>0.13300000000000001</v>
      </c>
    </row>
    <row r="40" spans="4:12" x14ac:dyDescent="0.2">
      <c r="D40" s="107"/>
      <c r="J40" s="104" t="s">
        <v>222</v>
      </c>
      <c r="L40" s="139">
        <v>0.13300000000000001</v>
      </c>
    </row>
    <row r="41" spans="4:12" x14ac:dyDescent="0.2">
      <c r="J41" s="104" t="s">
        <v>223</v>
      </c>
      <c r="L41" s="139">
        <v>0.13300000000000001</v>
      </c>
    </row>
    <row r="42" spans="4:12" x14ac:dyDescent="0.2">
      <c r="J42" s="104" t="s">
        <v>224</v>
      </c>
      <c r="L42" s="139">
        <v>0.13300000000000001</v>
      </c>
    </row>
    <row r="43" spans="4:12" x14ac:dyDescent="0.2">
      <c r="J43" s="104" t="s">
        <v>225</v>
      </c>
      <c r="L43" s="139">
        <v>0.13300000000000001</v>
      </c>
    </row>
    <row r="44" spans="4:12" x14ac:dyDescent="0.2">
      <c r="J44" s="104" t="s">
        <v>226</v>
      </c>
      <c r="L44" s="139">
        <v>0.33500000000000002</v>
      </c>
    </row>
  </sheetData>
  <mergeCells count="6">
    <mergeCell ref="W5:Y5"/>
    <mergeCell ref="K3:L3"/>
    <mergeCell ref="E1:F1"/>
    <mergeCell ref="M2:O2"/>
    <mergeCell ref="Q5:R5"/>
    <mergeCell ref="T5:U5"/>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F6664-8AE1-224E-A454-DF4CC4886363}">
  <dimension ref="A1:AL44"/>
  <sheetViews>
    <sheetView showGridLines="0" zoomScale="125" workbookViewId="0">
      <selection activeCell="AF17" sqref="AF17"/>
    </sheetView>
  </sheetViews>
  <sheetFormatPr baseColWidth="10" defaultRowHeight="16" x14ac:dyDescent="0.2"/>
  <cols>
    <col min="1" max="1" width="23.83203125" style="121" customWidth="1"/>
    <col min="2" max="2" width="14.1640625" style="121" bestFit="1" customWidth="1"/>
    <col min="3" max="3" width="20.6640625" style="121" customWidth="1"/>
    <col min="4" max="4" width="14.1640625" style="121" bestFit="1" customWidth="1"/>
    <col min="5" max="5" width="14.1640625" style="121" customWidth="1"/>
    <col min="6" max="6" width="13.1640625" style="121" bestFit="1" customWidth="1"/>
    <col min="7" max="7" width="12.33203125" style="121" bestFit="1" customWidth="1"/>
    <col min="8" max="8" width="12.33203125" style="121" customWidth="1"/>
    <col min="9" max="9" width="13.33203125" style="121" bestFit="1" customWidth="1"/>
    <col min="10" max="10" width="13.33203125" style="121" customWidth="1"/>
    <col min="11" max="11" width="13.1640625" style="121" bestFit="1" customWidth="1"/>
    <col min="12" max="13" width="13.1640625" style="121" customWidth="1"/>
    <col min="14" max="14" width="13.1640625" style="121" bestFit="1" customWidth="1"/>
    <col min="15" max="16" width="13.1640625" style="121" customWidth="1"/>
    <col min="17" max="17" width="13.1640625" style="121" bestFit="1" customWidth="1"/>
    <col min="18" max="18" width="13.1640625" style="121" customWidth="1"/>
    <col min="19" max="19" width="17" style="121" customWidth="1"/>
    <col min="20" max="20" width="18.1640625" style="121" customWidth="1"/>
    <col min="21" max="21" width="12.6640625" style="121" customWidth="1"/>
    <col min="22" max="23" width="11.1640625" style="121" bestFit="1" customWidth="1"/>
    <col min="24" max="24" width="10.83203125" style="121"/>
    <col min="25" max="25" width="14.1640625" style="121" bestFit="1" customWidth="1"/>
    <col min="26" max="26" width="12" style="121" bestFit="1" customWidth="1"/>
    <col min="27" max="27" width="10.83203125" style="121"/>
    <col min="28" max="28" width="14.6640625" style="121" bestFit="1" customWidth="1"/>
    <col min="29" max="29" width="13.1640625" style="121" bestFit="1" customWidth="1"/>
    <col min="30" max="30" width="9.6640625" style="121" customWidth="1"/>
    <col min="31" max="31" width="14.1640625" style="121" bestFit="1" customWidth="1"/>
    <col min="32" max="32" width="14.5" style="121" bestFit="1" customWidth="1"/>
    <col min="33" max="33" width="24" style="121" customWidth="1"/>
    <col min="34" max="34" width="16.1640625" style="121" customWidth="1"/>
    <col min="35" max="37" width="10.83203125" style="121"/>
    <col min="38" max="38" width="255.83203125" style="132" bestFit="1" customWidth="1"/>
    <col min="39" max="16384" width="10.83203125" style="121"/>
  </cols>
  <sheetData>
    <row r="1" spans="1:38" x14ac:dyDescent="0.2">
      <c r="F1" s="149" t="s">
        <v>31</v>
      </c>
      <c r="G1" s="149"/>
      <c r="H1" s="134"/>
      <c r="AL1" s="123"/>
    </row>
    <row r="2" spans="1:38" ht="19" x14ac:dyDescent="0.2">
      <c r="A2" s="124" t="s">
        <v>201</v>
      </c>
      <c r="C2" s="122" t="s">
        <v>74</v>
      </c>
      <c r="D2" s="122" t="s">
        <v>42</v>
      </c>
      <c r="E2" s="122"/>
      <c r="F2" s="122" t="s">
        <v>81</v>
      </c>
      <c r="G2" s="122" t="s">
        <v>82</v>
      </c>
      <c r="H2" s="122" t="s">
        <v>229</v>
      </c>
      <c r="I2" s="122" t="s">
        <v>230</v>
      </c>
      <c r="J2" s="122"/>
      <c r="K2" s="122" t="s">
        <v>46</v>
      </c>
      <c r="L2" s="122" t="s">
        <v>228</v>
      </c>
      <c r="M2" s="122"/>
      <c r="N2" s="122" t="s">
        <v>47</v>
      </c>
      <c r="O2" s="122" t="s">
        <v>227</v>
      </c>
      <c r="P2" s="122"/>
      <c r="Q2" s="125" t="s">
        <v>136</v>
      </c>
      <c r="R2" s="140"/>
      <c r="S2" s="136">
        <v>45457</v>
      </c>
      <c r="U2" s="149" t="s">
        <v>210</v>
      </c>
      <c r="V2" s="149"/>
      <c r="W2" s="149"/>
      <c r="AL2" s="126"/>
    </row>
    <row r="3" spans="1:38" ht="19" x14ac:dyDescent="0.2">
      <c r="A3" s="121" t="s">
        <v>51</v>
      </c>
      <c r="B3" s="136">
        <v>45091</v>
      </c>
      <c r="N3" s="121">
        <f>+B8</f>
        <v>100</v>
      </c>
      <c r="O3" s="121">
        <v>2132</v>
      </c>
      <c r="Q3" s="127"/>
      <c r="R3" s="127"/>
      <c r="S3" s="149" t="s">
        <v>211</v>
      </c>
      <c r="T3" s="149"/>
      <c r="U3" s="122" t="s">
        <v>220</v>
      </c>
      <c r="V3" s="122" t="s">
        <v>219</v>
      </c>
      <c r="W3" s="122" t="s">
        <v>217</v>
      </c>
      <c r="AL3" s="129"/>
    </row>
    <row r="4" spans="1:38" ht="19" x14ac:dyDescent="0.2">
      <c r="A4" s="121" t="s">
        <v>27</v>
      </c>
      <c r="B4" s="136"/>
      <c r="C4" s="121">
        <f>-YEARFRAC($B$3, D4)*$B$6</f>
        <v>-2.5333333333333332</v>
      </c>
      <c r="D4" s="137">
        <v>44628</v>
      </c>
      <c r="E4" s="137"/>
      <c r="F4" s="121">
        <f>+$B$7/2 * N3</f>
        <v>4.75</v>
      </c>
      <c r="G4" s="121">
        <f>+($B$7/$B$6*N3)*(1-$B$11)</f>
        <v>4.75</v>
      </c>
      <c r="K4" s="121">
        <v>0</v>
      </c>
      <c r="N4" s="121">
        <f>+N3-K4+I4</f>
        <v>100</v>
      </c>
      <c r="O4" s="121">
        <v>2132</v>
      </c>
      <c r="P4" s="121">
        <f>+L4+G5</f>
        <v>4.75</v>
      </c>
      <c r="Q4" s="127">
        <f>+K4+G4</f>
        <v>4.75</v>
      </c>
      <c r="R4" s="127">
        <f>+Q4+P4</f>
        <v>9.5</v>
      </c>
      <c r="AL4" s="130"/>
    </row>
    <row r="5" spans="1:38" ht="19" x14ac:dyDescent="0.2">
      <c r="A5" s="121" t="s">
        <v>38</v>
      </c>
      <c r="B5" s="136">
        <v>45724</v>
      </c>
      <c r="C5" s="121">
        <f t="shared" ref="C5:C6" si="0">-YEARFRAC($B$3, D5)*$B$6</f>
        <v>-1.5333333333333334</v>
      </c>
      <c r="D5" s="137">
        <v>44812</v>
      </c>
      <c r="E5" s="137"/>
      <c r="F5" s="121">
        <f t="shared" ref="F5:F10" si="1">+$B$7/2 * N4</f>
        <v>4.75</v>
      </c>
      <c r="G5" s="121">
        <f t="shared" ref="G5:G10" si="2">+($B$7/$B$6*N4)*(1-$B$11)</f>
        <v>4.75</v>
      </c>
      <c r="K5" s="121">
        <f>+$N$4*0.133</f>
        <v>13.3</v>
      </c>
      <c r="L5" s="121">
        <f>+$O$4*33.5%</f>
        <v>714.22</v>
      </c>
      <c r="M5" s="121">
        <f>+L5+K5</f>
        <v>727.52</v>
      </c>
      <c r="N5" s="121">
        <f>+N4-K5+I5</f>
        <v>86.7</v>
      </c>
      <c r="O5" s="121">
        <f>+O4-L5+I5</f>
        <v>1417.78</v>
      </c>
      <c r="P5" s="121">
        <f t="shared" ref="P5:P10" si="3">+L5+G6</f>
        <v>718.33825000000002</v>
      </c>
      <c r="Q5" s="127">
        <f t="shared" ref="Q5:Q10" si="4">+K5+G5</f>
        <v>18.05</v>
      </c>
      <c r="R5" s="127">
        <f t="shared" ref="R5:R10" si="5">+Q5+P5</f>
        <v>736.38824999999997</v>
      </c>
      <c r="Y5" s="149" t="s">
        <v>76</v>
      </c>
      <c r="Z5" s="149"/>
      <c r="AB5" s="149" t="s">
        <v>78</v>
      </c>
      <c r="AC5" s="149"/>
      <c r="AE5" s="144" t="s">
        <v>215</v>
      </c>
      <c r="AF5" s="144"/>
      <c r="AG5" s="121" t="s">
        <v>240</v>
      </c>
      <c r="AL5" s="129"/>
    </row>
    <row r="6" spans="1:38" ht="19" x14ac:dyDescent="0.2">
      <c r="A6" s="121" t="s">
        <v>39</v>
      </c>
      <c r="B6" s="121">
        <v>2</v>
      </c>
      <c r="C6" s="121">
        <f t="shared" si="0"/>
        <v>-0.53333333333333333</v>
      </c>
      <c r="D6" s="137">
        <v>44993</v>
      </c>
      <c r="E6" s="137"/>
      <c r="F6" s="121">
        <f t="shared" si="1"/>
        <v>4.1182499999999997</v>
      </c>
      <c r="G6" s="121">
        <f t="shared" si="2"/>
        <v>4.1182499999999997</v>
      </c>
      <c r="K6" s="121">
        <f t="shared" ref="K6:K9" si="6">+$N$4*0.133</f>
        <v>13.3</v>
      </c>
      <c r="L6" s="121">
        <f>+$O$4*0.133</f>
        <v>283.55600000000004</v>
      </c>
      <c r="N6" s="121">
        <f t="shared" ref="N6:N10" si="7">+N5-K6+I6</f>
        <v>73.400000000000006</v>
      </c>
      <c r="O6" s="121">
        <f t="shared" ref="O6:O10" si="8">+O5-L6+I6</f>
        <v>1134.2239999999999</v>
      </c>
      <c r="P6" s="121">
        <f t="shared" si="3"/>
        <v>287.04250000000002</v>
      </c>
      <c r="Q6" s="127">
        <f t="shared" si="4"/>
        <v>17.41825</v>
      </c>
      <c r="R6" s="127">
        <f t="shared" si="5"/>
        <v>304.46075000000002</v>
      </c>
      <c r="Y6" s="135">
        <f>+B3</f>
        <v>45091</v>
      </c>
      <c r="Z6" s="128">
        <f>-B14</f>
        <v>-76.654630544853049</v>
      </c>
      <c r="AB6" s="135">
        <f t="shared" ref="AB6:AB10" si="9">+Y6</f>
        <v>45091</v>
      </c>
      <c r="AC6" s="128">
        <f>-B14</f>
        <v>-76.654630544853049</v>
      </c>
      <c r="AE6" s="135">
        <f>+AB6</f>
        <v>45091</v>
      </c>
      <c r="AF6" s="128">
        <f>-B14</f>
        <v>-76.654630544853049</v>
      </c>
      <c r="AH6" s="128"/>
      <c r="AI6" s="128"/>
      <c r="AJ6" s="128"/>
      <c r="AK6" s="128"/>
      <c r="AL6" s="129"/>
    </row>
    <row r="7" spans="1:38" ht="19" x14ac:dyDescent="0.2">
      <c r="A7" s="121" t="s">
        <v>41</v>
      </c>
      <c r="B7" s="121">
        <v>9.5000000000000001E-2</v>
      </c>
      <c r="C7" s="121">
        <f>YEARFRAC($B$3, D7)</f>
        <v>0.23333333333333334</v>
      </c>
      <c r="D7" s="138">
        <v>45177</v>
      </c>
      <c r="E7" s="138"/>
      <c r="F7" s="121">
        <f t="shared" si="1"/>
        <v>3.4865000000000004</v>
      </c>
      <c r="G7" s="121">
        <f t="shared" si="2"/>
        <v>3.4865000000000004</v>
      </c>
      <c r="K7" s="121">
        <f t="shared" si="6"/>
        <v>13.3</v>
      </c>
      <c r="L7" s="121">
        <f>+$O$4*0.133</f>
        <v>283.55600000000004</v>
      </c>
      <c r="N7" s="121">
        <f t="shared" si="7"/>
        <v>60.100000000000009</v>
      </c>
      <c r="O7" s="121">
        <f t="shared" si="8"/>
        <v>850.66799999999989</v>
      </c>
      <c r="P7" s="121">
        <f t="shared" si="3"/>
        <v>286.41075000000006</v>
      </c>
      <c r="Q7" s="127">
        <f t="shared" si="4"/>
        <v>16.7865</v>
      </c>
      <c r="R7" s="127">
        <f t="shared" si="5"/>
        <v>303.19725000000005</v>
      </c>
      <c r="Y7" s="136">
        <f t="shared" ref="Y7:Y10" si="10">+D7</f>
        <v>45177</v>
      </c>
      <c r="Z7" s="121">
        <f t="shared" ref="Z7:Z10" si="11">+Q7</f>
        <v>16.7865</v>
      </c>
      <c r="AB7" s="136">
        <f>+Y7</f>
        <v>45177</v>
      </c>
      <c r="AC7" s="121">
        <f>+AF7/(1+$AB$17/2)^C7</f>
        <v>16.596479927310579</v>
      </c>
      <c r="AE7" s="136">
        <f>+D7</f>
        <v>45177</v>
      </c>
      <c r="AF7" s="121">
        <f>+Q7</f>
        <v>16.7865</v>
      </c>
      <c r="AG7" s="121">
        <f>+AF7/(1+$AG$12/2)^C7</f>
        <v>16.63809011594924</v>
      </c>
      <c r="AH7" s="121">
        <f>+AF7/(1+$AB$17/2)^C7</f>
        <v>16.596479927310579</v>
      </c>
      <c r="AI7" s="121">
        <f>+AG7*C7/(-$AF$6)</f>
        <v>5.0645616572154925E-2</v>
      </c>
      <c r="AL7" s="129"/>
    </row>
    <row r="8" spans="1:38" ht="19" x14ac:dyDescent="0.2">
      <c r="A8" s="121" t="s">
        <v>43</v>
      </c>
      <c r="B8" s="121">
        <v>100</v>
      </c>
      <c r="C8" s="121">
        <f t="shared" ref="C8:C10" si="12">YEARFRAC($B$3, D8)</f>
        <v>0.73333333333333328</v>
      </c>
      <c r="D8" s="137">
        <v>45359</v>
      </c>
      <c r="E8" s="137"/>
      <c r="F8" s="121">
        <f t="shared" si="1"/>
        <v>2.8547500000000006</v>
      </c>
      <c r="G8" s="121">
        <f t="shared" si="2"/>
        <v>2.8547500000000006</v>
      </c>
      <c r="K8" s="121">
        <f t="shared" si="6"/>
        <v>13.3</v>
      </c>
      <c r="L8" s="121">
        <f>+$O$4*0.133</f>
        <v>283.55600000000004</v>
      </c>
      <c r="N8" s="121">
        <f t="shared" si="7"/>
        <v>46.800000000000011</v>
      </c>
      <c r="O8" s="121">
        <f t="shared" si="8"/>
        <v>567.11199999999985</v>
      </c>
      <c r="P8" s="121">
        <f t="shared" si="3"/>
        <v>285.77900000000005</v>
      </c>
      <c r="Q8" s="127">
        <f t="shared" si="4"/>
        <v>16.15475</v>
      </c>
      <c r="R8" s="127">
        <f t="shared" si="5"/>
        <v>301.93375000000003</v>
      </c>
      <c r="Y8" s="136">
        <f t="shared" si="10"/>
        <v>45359</v>
      </c>
      <c r="Z8" s="121">
        <f t="shared" si="11"/>
        <v>16.15475</v>
      </c>
      <c r="AB8" s="136">
        <f t="shared" si="9"/>
        <v>45359</v>
      </c>
      <c r="AC8" s="121">
        <f t="shared" ref="AC8:AC10" si="13">+AF8/(1+$AB$17/2)^C8</f>
        <v>15.586960048083204</v>
      </c>
      <c r="AE8" s="136">
        <f t="shared" ref="AE8:AE10" si="14">+D8</f>
        <v>45359</v>
      </c>
      <c r="AF8" s="121">
        <f t="shared" ref="AF8:AF10" si="15">+Q8</f>
        <v>16.15475</v>
      </c>
      <c r="AG8" s="121">
        <f>+AF8/(1+$AG$12/2)^C8</f>
        <v>15.710110478716327</v>
      </c>
      <c r="AH8" s="121">
        <f>+AF8/(1+$AB$17/2)^C8</f>
        <v>15.586960048083204</v>
      </c>
      <c r="AI8" s="121">
        <f t="shared" ref="AI8:AI10" si="16">+AG8*C8/(-$AF$6)</f>
        <v>0.1502942170943061</v>
      </c>
      <c r="AL8" s="129"/>
    </row>
    <row r="9" spans="1:38" ht="19" x14ac:dyDescent="0.2">
      <c r="A9" s="121" t="s">
        <v>80</v>
      </c>
      <c r="C9" s="121">
        <f t="shared" si="12"/>
        <v>1.2333333333333334</v>
      </c>
      <c r="D9" s="137">
        <v>45543</v>
      </c>
      <c r="E9" s="137"/>
      <c r="F9" s="121">
        <f t="shared" si="1"/>
        <v>2.2230000000000008</v>
      </c>
      <c r="G9" s="121">
        <f t="shared" si="2"/>
        <v>2.2230000000000008</v>
      </c>
      <c r="K9" s="121">
        <f t="shared" si="6"/>
        <v>13.3</v>
      </c>
      <c r="L9" s="121">
        <f>+$O$4*0.133</f>
        <v>283.55600000000004</v>
      </c>
      <c r="N9" s="121">
        <f t="shared" si="7"/>
        <v>33.500000000000014</v>
      </c>
      <c r="O9" s="121">
        <f t="shared" si="8"/>
        <v>283.55599999999981</v>
      </c>
      <c r="P9" s="121">
        <f t="shared" si="3"/>
        <v>285.14725000000004</v>
      </c>
      <c r="Q9" s="127">
        <f t="shared" si="4"/>
        <v>15.523000000000001</v>
      </c>
      <c r="R9" s="127">
        <f t="shared" si="5"/>
        <v>300.67025000000007</v>
      </c>
      <c r="S9" s="121">
        <f>YEARFRAC($S$2, D9)*$B$6</f>
        <v>0.46666666666666667</v>
      </c>
      <c r="T9" s="121">
        <f t="shared" ref="T9:T10" si="17">+Q9/(1+$A$23/2)^S9</f>
        <v>15.523000000000001</v>
      </c>
      <c r="X9" s="128"/>
      <c r="Y9" s="136">
        <f t="shared" si="10"/>
        <v>45543</v>
      </c>
      <c r="Z9" s="121">
        <f t="shared" si="11"/>
        <v>15.523000000000001</v>
      </c>
      <c r="AB9" s="136">
        <f t="shared" si="9"/>
        <v>45543</v>
      </c>
      <c r="AC9" s="121">
        <f t="shared" si="13"/>
        <v>14.616459536597132</v>
      </c>
      <c r="AE9" s="136">
        <f t="shared" si="14"/>
        <v>45543</v>
      </c>
      <c r="AF9" s="121">
        <f t="shared" si="15"/>
        <v>15.523000000000001</v>
      </c>
      <c r="AG9" s="121">
        <f>+AF9/(1+$AG$12/2)^C9</f>
        <v>14.811203031013825</v>
      </c>
      <c r="AH9" s="121">
        <f>+AF9/(1+$AB$17/2)^C9</f>
        <v>14.616459536597132</v>
      </c>
      <c r="AI9" s="121">
        <f t="shared" si="16"/>
        <v>0.23830459132182974</v>
      </c>
      <c r="AL9" s="129"/>
    </row>
    <row r="10" spans="1:38" ht="19" x14ac:dyDescent="0.2">
      <c r="A10" s="131" t="s">
        <v>0</v>
      </c>
      <c r="B10" s="131"/>
      <c r="C10" s="121">
        <f t="shared" si="12"/>
        <v>1.7333333333333334</v>
      </c>
      <c r="D10" s="137">
        <v>45724</v>
      </c>
      <c r="E10" s="137"/>
      <c r="F10" s="121">
        <f t="shared" si="1"/>
        <v>1.5912500000000007</v>
      </c>
      <c r="G10" s="121">
        <f t="shared" si="2"/>
        <v>1.5912500000000007</v>
      </c>
      <c r="K10" s="121">
        <f>+$N$4*33.5%</f>
        <v>33.5</v>
      </c>
      <c r="L10" s="121">
        <f>+$O$4*0.133</f>
        <v>283.55600000000004</v>
      </c>
      <c r="N10" s="121">
        <f t="shared" si="7"/>
        <v>1.4210854715202004E-14</v>
      </c>
      <c r="O10" s="121">
        <f t="shared" si="8"/>
        <v>-2.2737367544323206E-13</v>
      </c>
      <c r="P10" s="121">
        <f t="shared" si="3"/>
        <v>283.55600000000004</v>
      </c>
      <c r="Q10" s="127">
        <f t="shared" si="4"/>
        <v>35.091250000000002</v>
      </c>
      <c r="R10" s="127">
        <f t="shared" si="5"/>
        <v>318.64725000000004</v>
      </c>
      <c r="S10" s="121">
        <f>YEARFRAC($S$2, D10)*$B$6</f>
        <v>1.4666666666666666</v>
      </c>
      <c r="T10" s="121">
        <f t="shared" si="17"/>
        <v>35.091250000000002</v>
      </c>
      <c r="Y10" s="136">
        <f t="shared" si="10"/>
        <v>45724</v>
      </c>
      <c r="Z10" s="121">
        <f t="shared" si="11"/>
        <v>35.091250000000002</v>
      </c>
      <c r="AB10" s="136">
        <f t="shared" si="9"/>
        <v>45724</v>
      </c>
      <c r="AC10" s="121">
        <f t="shared" si="13"/>
        <v>32.245619151512997</v>
      </c>
      <c r="AE10" s="136">
        <f t="shared" si="14"/>
        <v>45724</v>
      </c>
      <c r="AF10" s="121">
        <f t="shared" si="15"/>
        <v>35.091250000000002</v>
      </c>
      <c r="AG10" s="121">
        <f>+AF10/(1+$AG$12/2)^C10</f>
        <v>32.851045567141128</v>
      </c>
      <c r="AH10" s="121">
        <f>+AF10/(1+$AB$17/2)^C10</f>
        <v>32.245619151512997</v>
      </c>
      <c r="AI10" s="121">
        <f t="shared" si="16"/>
        <v>0.74283591104205371</v>
      </c>
      <c r="AL10" s="129"/>
    </row>
    <row r="11" spans="1:38" x14ac:dyDescent="0.2">
      <c r="A11" s="121" t="s">
        <v>44</v>
      </c>
      <c r="B11" s="121">
        <v>0</v>
      </c>
      <c r="D11" s="107"/>
      <c r="E11" s="107"/>
    </row>
    <row r="12" spans="1:38" x14ac:dyDescent="0.2">
      <c r="A12" s="121" t="s">
        <v>98</v>
      </c>
      <c r="B12" s="121" t="s">
        <v>5</v>
      </c>
      <c r="D12" s="107"/>
      <c r="E12" s="107"/>
      <c r="S12" s="133" t="s">
        <v>213</v>
      </c>
      <c r="T12" s="122">
        <f>+SUM(T9:T10)</f>
        <v>50.614250000000006</v>
      </c>
      <c r="U12" s="133" t="s">
        <v>40</v>
      </c>
      <c r="V12" s="133" t="s">
        <v>214</v>
      </c>
      <c r="W12" s="133" t="s">
        <v>218</v>
      </c>
      <c r="Y12" s="133" t="s">
        <v>76</v>
      </c>
      <c r="Z12" s="119">
        <f>+XIRR(Z6:Z10, Y6:Y10)</f>
        <v>7.8944674134254461E-2</v>
      </c>
      <c r="AB12" s="133" t="s">
        <v>216</v>
      </c>
      <c r="AC12" s="122">
        <f>+SUM(AC7:AC10)</f>
        <v>79.045518663503913</v>
      </c>
      <c r="AE12" s="133" t="s">
        <v>0</v>
      </c>
      <c r="AF12" s="133"/>
      <c r="AG12" s="72">
        <v>7.7584207058164129E-2</v>
      </c>
    </row>
    <row r="13" spans="1:38" x14ac:dyDescent="0.2">
      <c r="D13" s="107"/>
      <c r="E13" s="107"/>
      <c r="S13" s="133" t="s">
        <v>50</v>
      </c>
      <c r="T13" s="122">
        <f>+YEARFRAC(D10, B3)*2*F13</f>
        <v>0</v>
      </c>
      <c r="U13" s="122" t="e">
        <f>+SUM(#REF!)</f>
        <v>#REF!</v>
      </c>
      <c r="V13" s="122" t="e">
        <f>+SUM(#REF!)</f>
        <v>#REF!</v>
      </c>
      <c r="W13" s="122" t="e">
        <f>+SUM(#REF!)</f>
        <v>#REF!</v>
      </c>
      <c r="Y13" s="133" t="s">
        <v>77</v>
      </c>
      <c r="Z13" s="122"/>
      <c r="AE13" s="133" t="s">
        <v>205</v>
      </c>
      <c r="AF13" s="133"/>
      <c r="AG13" s="122">
        <f>+SUM(AG7:AG10)</f>
        <v>80.010449192820516</v>
      </c>
      <c r="AH13" s="121">
        <f>+SUM(AH7:AH10)</f>
        <v>79.045518663503913</v>
      </c>
      <c r="AI13" s="121">
        <f>+SUM(AI7:AI12)</f>
        <v>1.1820803360303445</v>
      </c>
    </row>
    <row r="14" spans="1:38" x14ac:dyDescent="0.2">
      <c r="A14" s="121" t="s">
        <v>84</v>
      </c>
      <c r="B14" s="121">
        <f>38000/495.73</f>
        <v>76.654630544853049</v>
      </c>
      <c r="D14" s="107"/>
      <c r="E14" s="107"/>
      <c r="S14" s="133" t="s">
        <v>212</v>
      </c>
      <c r="T14" s="122">
        <f>+T13+T12</f>
        <v>50.614250000000006</v>
      </c>
      <c r="AG14" s="121">
        <f>+B14</f>
        <v>76.654630544853049</v>
      </c>
    </row>
    <row r="15" spans="1:38" x14ac:dyDescent="0.2">
      <c r="A15" s="121" t="s">
        <v>83</v>
      </c>
      <c r="B15" s="121">
        <f>+B14-B16</f>
        <v>74.795163878186386</v>
      </c>
      <c r="D15" s="107"/>
      <c r="E15" s="107"/>
    </row>
    <row r="16" spans="1:38" x14ac:dyDescent="0.2">
      <c r="A16" s="121" t="s">
        <v>207</v>
      </c>
      <c r="B16" s="121">
        <f>+YEARFRAC(D6, B3)*2*F7</f>
        <v>1.8594666666666668</v>
      </c>
      <c r="D16" s="107"/>
      <c r="E16" s="107"/>
    </row>
    <row r="17" spans="1:37" x14ac:dyDescent="0.2">
      <c r="D17" s="107"/>
      <c r="E17" s="107"/>
      <c r="AB17" s="121">
        <v>0.1</v>
      </c>
    </row>
    <row r="18" spans="1:37" x14ac:dyDescent="0.2">
      <c r="A18" s="121" t="s">
        <v>6</v>
      </c>
      <c r="B18" s="120">
        <f>+(F7+F8)/B14</f>
        <v>8.2724943750000002E-2</v>
      </c>
      <c r="D18" s="107"/>
      <c r="E18" s="107"/>
    </row>
    <row r="19" spans="1:37" x14ac:dyDescent="0.2">
      <c r="A19" s="121" t="s">
        <v>206</v>
      </c>
      <c r="B19" s="121">
        <f>+(T14-B14)/B14</f>
        <v>-0.33971046967105262</v>
      </c>
      <c r="C19" s="121">
        <f>+B19+B18</f>
        <v>-0.25698552592105262</v>
      </c>
      <c r="D19" s="107"/>
      <c r="E19" s="107"/>
    </row>
    <row r="20" spans="1:37" x14ac:dyDescent="0.2">
      <c r="A20" s="121" t="s">
        <v>208</v>
      </c>
      <c r="B20" s="121">
        <f>+SUM(B18:B19)</f>
        <v>-0.25698552592105262</v>
      </c>
      <c r="D20" s="107"/>
      <c r="E20" s="107"/>
    </row>
    <row r="21" spans="1:37" x14ac:dyDescent="0.2">
      <c r="D21" s="107"/>
      <c r="E21" s="107"/>
      <c r="AG21" s="121">
        <v>1656.75224827029</v>
      </c>
      <c r="AH21" s="112">
        <f>+AG21/AG23</f>
        <v>0.23667889261004144</v>
      </c>
    </row>
    <row r="22" spans="1:37" x14ac:dyDescent="0.2">
      <c r="A22" s="128" t="s">
        <v>209</v>
      </c>
      <c r="D22" s="107"/>
      <c r="E22" s="107"/>
      <c r="AG22" s="121">
        <v>5343.2477517297002</v>
      </c>
      <c r="AH22" s="112">
        <f>+AG22/AG23</f>
        <v>0.76332110738995718</v>
      </c>
    </row>
    <row r="23" spans="1:37" x14ac:dyDescent="0.2">
      <c r="A23" s="128"/>
      <c r="D23" s="107"/>
      <c r="E23" s="107"/>
      <c r="AG23" s="121">
        <v>7000</v>
      </c>
    </row>
    <row r="24" spans="1:37" x14ac:dyDescent="0.2">
      <c r="D24" s="107"/>
      <c r="E24" s="107"/>
    </row>
    <row r="25" spans="1:37" x14ac:dyDescent="0.2">
      <c r="D25" s="107"/>
      <c r="E25" s="107"/>
    </row>
    <row r="26" spans="1:37" x14ac:dyDescent="0.2">
      <c r="D26" s="107"/>
      <c r="E26" s="107"/>
    </row>
    <row r="27" spans="1:37" x14ac:dyDescent="0.2">
      <c r="D27" s="107"/>
      <c r="E27" s="107"/>
    </row>
    <row r="28" spans="1:37" x14ac:dyDescent="0.2">
      <c r="D28" s="107"/>
      <c r="E28" s="107"/>
    </row>
    <row r="29" spans="1:37" x14ac:dyDescent="0.2">
      <c r="D29" s="107"/>
      <c r="E29" s="107"/>
      <c r="AH29" s="134"/>
      <c r="AI29" s="134"/>
      <c r="AJ29" s="134"/>
      <c r="AK29" s="134"/>
    </row>
    <row r="30" spans="1:37" x14ac:dyDescent="0.2">
      <c r="D30" s="107"/>
      <c r="E30" s="107"/>
      <c r="AH30" s="134"/>
      <c r="AI30" s="134"/>
      <c r="AJ30" s="134"/>
      <c r="AK30" s="134"/>
    </row>
    <row r="31" spans="1:37" x14ac:dyDescent="0.2">
      <c r="D31" s="107"/>
      <c r="E31" s="107"/>
    </row>
    <row r="32" spans="1:37" x14ac:dyDescent="0.2">
      <c r="D32" s="107"/>
      <c r="E32" s="107"/>
    </row>
    <row r="33" spans="4:20" x14ac:dyDescent="0.2">
      <c r="D33" s="107"/>
      <c r="E33" s="107"/>
    </row>
    <row r="34" spans="4:20" x14ac:dyDescent="0.2">
      <c r="D34" s="107"/>
      <c r="E34" s="107"/>
    </row>
    <row r="35" spans="4:20" x14ac:dyDescent="0.2">
      <c r="D35" s="107"/>
      <c r="E35" s="107"/>
    </row>
    <row r="36" spans="4:20" x14ac:dyDescent="0.2">
      <c r="D36" s="107"/>
      <c r="E36" s="107"/>
    </row>
    <row r="37" spans="4:20" x14ac:dyDescent="0.2">
      <c r="D37" s="107"/>
      <c r="E37" s="107"/>
      <c r="T37" s="104"/>
    </row>
    <row r="38" spans="4:20" x14ac:dyDescent="0.2">
      <c r="D38" s="107"/>
      <c r="E38" s="107"/>
      <c r="T38" s="104"/>
    </row>
    <row r="39" spans="4:20" x14ac:dyDescent="0.2">
      <c r="D39" s="107"/>
      <c r="E39" s="107"/>
      <c r="N39" s="104"/>
      <c r="O39" s="104"/>
      <c r="P39" s="104"/>
      <c r="Q39" s="104"/>
      <c r="R39" s="104"/>
      <c r="T39" s="139"/>
    </row>
    <row r="40" spans="4:20" x14ac:dyDescent="0.2">
      <c r="D40" s="107"/>
      <c r="E40" s="107"/>
      <c r="Q40" s="104"/>
      <c r="R40" s="104"/>
      <c r="T40" s="139"/>
    </row>
    <row r="41" spans="4:20" x14ac:dyDescent="0.2">
      <c r="Q41" s="104"/>
      <c r="R41" s="104"/>
      <c r="T41" s="139"/>
    </row>
    <row r="42" spans="4:20" x14ac:dyDescent="0.2">
      <c r="Q42" s="104"/>
      <c r="R42" s="104"/>
      <c r="T42" s="139"/>
    </row>
    <row r="43" spans="4:20" x14ac:dyDescent="0.2">
      <c r="Q43" s="104"/>
      <c r="R43" s="104"/>
      <c r="T43" s="139"/>
    </row>
    <row r="44" spans="4:20" x14ac:dyDescent="0.2">
      <c r="Q44" s="104"/>
      <c r="R44" s="104"/>
      <c r="T44" s="139"/>
    </row>
  </sheetData>
  <mergeCells count="5">
    <mergeCell ref="F1:G1"/>
    <mergeCell ref="U2:W2"/>
    <mergeCell ref="S3:T3"/>
    <mergeCell ref="Y5:Z5"/>
    <mergeCell ref="AB5:AC5"/>
  </mergeCells>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4FBD1-0D2C-6F4D-9E23-9CD14CEC6960}">
  <dimension ref="A1:AL47"/>
  <sheetViews>
    <sheetView showGridLines="0" zoomScale="75" workbookViewId="0">
      <selection activeCell="S24" sqref="S24"/>
    </sheetView>
  </sheetViews>
  <sheetFormatPr baseColWidth="10" defaultRowHeight="16" x14ac:dyDescent="0.2"/>
  <cols>
    <col min="1" max="1" width="23.83203125" style="121" customWidth="1"/>
    <col min="2" max="2" width="14.1640625" style="121" bestFit="1" customWidth="1"/>
    <col min="3" max="3" width="20.6640625" style="121" customWidth="1"/>
    <col min="4" max="4" width="12" style="121" customWidth="1"/>
    <col min="5" max="5" width="14.1640625" style="121" customWidth="1"/>
    <col min="6" max="6" width="13.1640625" style="121" bestFit="1" customWidth="1"/>
    <col min="7" max="7" width="12.33203125" style="121" bestFit="1" customWidth="1"/>
    <col min="8" max="8" width="12.33203125" style="121" customWidth="1"/>
    <col min="9" max="9" width="13.33203125" style="121" bestFit="1" customWidth="1"/>
    <col min="10" max="10" width="13.33203125" style="121" customWidth="1"/>
    <col min="11" max="11" width="13.1640625" style="121" bestFit="1" customWidth="1"/>
    <col min="12" max="12" width="13.1640625" style="121" customWidth="1"/>
    <col min="13" max="13" width="13.1640625" style="141" customWidth="1"/>
    <col min="14" max="14" width="13.1640625" style="121" bestFit="1" customWidth="1"/>
    <col min="15" max="15" width="20" style="121" customWidth="1"/>
    <col min="16" max="16" width="13.1640625" style="141" customWidth="1"/>
    <col min="17" max="17" width="13.1640625" style="121" bestFit="1" customWidth="1"/>
    <col min="18" max="18" width="13.1640625" style="121" customWidth="1"/>
    <col min="19" max="19" width="17" style="121" customWidth="1"/>
    <col min="20" max="20" width="18.1640625" style="121" customWidth="1"/>
    <col min="21" max="21" width="12.6640625" style="121" customWidth="1"/>
    <col min="22" max="23" width="11.1640625" style="121" bestFit="1" customWidth="1"/>
    <col min="24" max="24" width="10.83203125" style="121"/>
    <col min="25" max="25" width="14.1640625" style="121" bestFit="1" customWidth="1"/>
    <col min="26" max="26" width="12" style="121" bestFit="1" customWidth="1"/>
    <col min="27" max="27" width="10.83203125" style="121"/>
    <col min="28" max="28" width="14.6640625" style="121" bestFit="1" customWidth="1"/>
    <col min="29" max="29" width="13.1640625" style="121" bestFit="1" customWidth="1"/>
    <col min="30" max="30" width="9.6640625" style="121" customWidth="1"/>
    <col min="31" max="31" width="14.1640625" style="121" bestFit="1" customWidth="1"/>
    <col min="32" max="32" width="14.5" style="121" bestFit="1" customWidth="1"/>
    <col min="33" max="33" width="24" style="121" customWidth="1"/>
    <col min="34" max="34" width="16.1640625" style="121" customWidth="1"/>
    <col min="35" max="37" width="10.83203125" style="121"/>
    <col min="38" max="38" width="255.83203125" style="132" bestFit="1" customWidth="1"/>
    <col min="39" max="16384" width="10.83203125" style="121"/>
  </cols>
  <sheetData>
    <row r="1" spans="1:38" x14ac:dyDescent="0.2">
      <c r="F1" s="149" t="s">
        <v>201</v>
      </c>
      <c r="G1" s="149"/>
      <c r="H1" s="149" t="s">
        <v>181</v>
      </c>
      <c r="I1" s="149"/>
      <c r="K1" s="149" t="s">
        <v>235</v>
      </c>
      <c r="L1" s="149"/>
      <c r="N1" s="149" t="s">
        <v>47</v>
      </c>
      <c r="O1" s="149"/>
      <c r="AL1" s="123"/>
    </row>
    <row r="2" spans="1:38" ht="19" x14ac:dyDescent="0.2">
      <c r="C2" s="122" t="s">
        <v>74</v>
      </c>
      <c r="D2" s="122" t="s">
        <v>42</v>
      </c>
      <c r="E2" s="122"/>
      <c r="F2" s="122" t="s">
        <v>81</v>
      </c>
      <c r="G2" s="122" t="s">
        <v>82</v>
      </c>
      <c r="H2" s="122" t="s">
        <v>81</v>
      </c>
      <c r="I2" s="122" t="s">
        <v>82</v>
      </c>
      <c r="J2" s="122" t="s">
        <v>234</v>
      </c>
      <c r="K2" s="122" t="s">
        <v>231</v>
      </c>
      <c r="L2" s="122" t="s">
        <v>232</v>
      </c>
      <c r="M2" s="142" t="s">
        <v>233</v>
      </c>
      <c r="N2" s="122" t="s">
        <v>231</v>
      </c>
      <c r="O2" s="122" t="s">
        <v>232</v>
      </c>
      <c r="P2" s="142" t="s">
        <v>233</v>
      </c>
      <c r="Q2" s="125" t="s">
        <v>136</v>
      </c>
      <c r="R2" s="140"/>
      <c r="S2" s="136">
        <v>45457</v>
      </c>
      <c r="U2" s="149" t="s">
        <v>210</v>
      </c>
      <c r="V2" s="149"/>
      <c r="W2" s="149"/>
      <c r="AL2" s="126"/>
    </row>
    <row r="3" spans="1:38" ht="19" x14ac:dyDescent="0.2">
      <c r="A3" s="121" t="s">
        <v>51</v>
      </c>
      <c r="B3" s="136">
        <v>45091</v>
      </c>
      <c r="N3" s="121">
        <v>100</v>
      </c>
      <c r="O3" s="121">
        <v>100</v>
      </c>
      <c r="Q3" s="127"/>
      <c r="R3" s="127"/>
      <c r="S3" s="149" t="s">
        <v>211</v>
      </c>
      <c r="T3" s="149"/>
      <c r="U3" s="122" t="s">
        <v>220</v>
      </c>
      <c r="V3" s="122" t="s">
        <v>219</v>
      </c>
      <c r="W3" s="122" t="s">
        <v>217</v>
      </c>
      <c r="AL3" s="129"/>
    </row>
    <row r="4" spans="1:38" ht="19" x14ac:dyDescent="0.2">
      <c r="A4" s="121" t="s">
        <v>27</v>
      </c>
      <c r="B4" s="136"/>
      <c r="C4" s="121">
        <f>-YEARFRAC($B$3, E9)*$B$6</f>
        <v>-2.5333333333333332</v>
      </c>
      <c r="E4" s="5">
        <v>43839</v>
      </c>
      <c r="G4" s="121">
        <f>+F4</f>
        <v>0</v>
      </c>
      <c r="H4" s="121">
        <v>2.125</v>
      </c>
      <c r="I4" s="121">
        <v>2.5</v>
      </c>
      <c r="J4" s="121">
        <v>0</v>
      </c>
      <c r="K4" s="121">
        <v>0</v>
      </c>
      <c r="L4" s="121">
        <v>0</v>
      </c>
      <c r="M4" s="141">
        <f>+L4+K4</f>
        <v>0</v>
      </c>
      <c r="N4" s="121">
        <v>100</v>
      </c>
      <c r="O4" s="121">
        <f>+O3-L4</f>
        <v>100</v>
      </c>
      <c r="P4" s="141">
        <f>+O4+N4</f>
        <v>200</v>
      </c>
      <c r="Q4" s="127">
        <f>+M4+F4+H4</f>
        <v>2.125</v>
      </c>
      <c r="R4" s="127"/>
      <c r="AL4" s="130"/>
    </row>
    <row r="5" spans="1:38" ht="19" x14ac:dyDescent="0.2">
      <c r="A5" s="121" t="s">
        <v>38</v>
      </c>
      <c r="B5" s="136">
        <v>45724</v>
      </c>
      <c r="C5" s="121">
        <f>-YEARFRAC($B$3, E11)*$B$6</f>
        <v>-1.5333333333333334</v>
      </c>
      <c r="E5" s="5">
        <v>44021</v>
      </c>
      <c r="H5" s="121">
        <v>2.125</v>
      </c>
      <c r="I5" s="121">
        <v>2.5</v>
      </c>
      <c r="J5" s="121">
        <v>0</v>
      </c>
      <c r="K5" s="121">
        <v>0</v>
      </c>
      <c r="L5" s="121">
        <v>0</v>
      </c>
      <c r="M5" s="141">
        <f t="shared" ref="M5:M47" si="0">+L5+K5</f>
        <v>0</v>
      </c>
      <c r="N5" s="121">
        <v>100</v>
      </c>
      <c r="O5" s="121">
        <f t="shared" ref="O5:O47" si="1">+O4-L5</f>
        <v>100</v>
      </c>
      <c r="P5" s="141">
        <f t="shared" ref="P5:P47" si="2">+O5+N5</f>
        <v>200</v>
      </c>
      <c r="Q5" s="127">
        <f t="shared" ref="Q5:Q47" si="3">+M5+F5+H5</f>
        <v>2.125</v>
      </c>
      <c r="R5" s="127"/>
      <c r="Y5" s="149" t="s">
        <v>76</v>
      </c>
      <c r="Z5" s="149"/>
      <c r="AB5" s="149" t="s">
        <v>78</v>
      </c>
      <c r="AC5" s="149"/>
      <c r="AE5" s="149" t="s">
        <v>215</v>
      </c>
      <c r="AF5" s="149"/>
      <c r="AG5" s="149"/>
      <c r="AL5" s="129"/>
    </row>
    <row r="6" spans="1:38" ht="19" x14ac:dyDescent="0.2">
      <c r="A6" s="121" t="s">
        <v>39</v>
      </c>
      <c r="B6" s="121">
        <v>2</v>
      </c>
      <c r="C6" s="121">
        <f>-YEARFRAC($B$3, E13)*$B$6</f>
        <v>-0.53333333333333333</v>
      </c>
      <c r="E6" s="5">
        <v>44205</v>
      </c>
      <c r="H6" s="121">
        <v>2.5</v>
      </c>
      <c r="I6" s="121">
        <v>2.5</v>
      </c>
      <c r="J6" s="121">
        <v>0</v>
      </c>
      <c r="K6" s="121">
        <v>0</v>
      </c>
      <c r="L6" s="121">
        <v>0</v>
      </c>
      <c r="M6" s="141">
        <f t="shared" si="0"/>
        <v>0</v>
      </c>
      <c r="N6" s="121">
        <v>100</v>
      </c>
      <c r="O6" s="121">
        <f t="shared" si="1"/>
        <v>100</v>
      </c>
      <c r="P6" s="141">
        <f t="shared" si="2"/>
        <v>200</v>
      </c>
      <c r="Q6" s="127">
        <f t="shared" si="3"/>
        <v>2.5</v>
      </c>
      <c r="R6" s="127"/>
      <c r="Y6" s="135">
        <f>+B3</f>
        <v>45091</v>
      </c>
      <c r="Z6" s="128">
        <f>-B14</f>
        <v>-76.654630544853049</v>
      </c>
      <c r="AB6" s="135">
        <f t="shared" ref="AB6:AB10" si="4">+Y6</f>
        <v>45091</v>
      </c>
      <c r="AC6" s="128">
        <f>-B14</f>
        <v>-76.654630544853049</v>
      </c>
      <c r="AE6" s="135">
        <f>+AB6</f>
        <v>45091</v>
      </c>
      <c r="AF6" s="128">
        <f>-B14</f>
        <v>-76.654630544853049</v>
      </c>
      <c r="AH6" s="128"/>
      <c r="AI6" s="128"/>
      <c r="AJ6" s="128"/>
      <c r="AK6" s="128"/>
      <c r="AL6" s="129"/>
    </row>
    <row r="7" spans="1:38" ht="19" x14ac:dyDescent="0.2">
      <c r="A7" s="121" t="s">
        <v>41</v>
      </c>
      <c r="B7" s="121">
        <v>9.5000000000000001E-2</v>
      </c>
      <c r="C7" s="121">
        <f>-YEARFRAC($B$3, E7)*$B$6</f>
        <v>-3.8611111111111112</v>
      </c>
      <c r="E7" s="5">
        <v>44386</v>
      </c>
      <c r="H7" s="121">
        <v>2.5</v>
      </c>
      <c r="I7" s="121">
        <v>2.5</v>
      </c>
      <c r="J7" s="121">
        <v>0</v>
      </c>
      <c r="K7" s="121">
        <v>0</v>
      </c>
      <c r="L7" s="121">
        <v>0</v>
      </c>
      <c r="M7" s="141">
        <f t="shared" si="0"/>
        <v>0</v>
      </c>
      <c r="N7" s="121">
        <v>100</v>
      </c>
      <c r="O7" s="121">
        <f t="shared" si="1"/>
        <v>100</v>
      </c>
      <c r="P7" s="141">
        <f t="shared" si="2"/>
        <v>200</v>
      </c>
      <c r="Q7" s="127">
        <f t="shared" si="3"/>
        <v>2.5</v>
      </c>
      <c r="R7" s="127"/>
      <c r="Y7" s="136">
        <f>+E15</f>
        <v>45177</v>
      </c>
      <c r="Z7" s="121">
        <f t="shared" ref="Z7:Z10" si="5">+Q7</f>
        <v>2.5</v>
      </c>
      <c r="AB7" s="136">
        <f>+Y7</f>
        <v>45177</v>
      </c>
      <c r="AC7" s="121">
        <f>+AF7/(1+$AB$17/2)^C7</f>
        <v>3.0182433104526587</v>
      </c>
      <c r="AE7" s="136">
        <f>+E15</f>
        <v>45177</v>
      </c>
      <c r="AF7" s="121">
        <f>+Q7</f>
        <v>2.5</v>
      </c>
      <c r="AG7" s="121">
        <f>+AF7/(1+$AG$12/2)^C7</f>
        <v>2.8957357166503521</v>
      </c>
      <c r="AH7" s="121">
        <f>+AF7/(1+$AB$17/2)^C7</f>
        <v>3.0182433104526587</v>
      </c>
      <c r="AL7" s="129"/>
    </row>
    <row r="8" spans="1:38" ht="19" x14ac:dyDescent="0.2">
      <c r="A8" s="121" t="s">
        <v>43</v>
      </c>
      <c r="B8" s="121">
        <v>100</v>
      </c>
      <c r="C8" s="121">
        <f t="shared" ref="C8:C13" si="6">-YEARFRAC($B$3, E8)*$B$6</f>
        <v>-2.8611111111111112</v>
      </c>
      <c r="E8" s="5">
        <v>44570</v>
      </c>
      <c r="H8" s="121">
        <v>2.5</v>
      </c>
      <c r="I8" s="121">
        <v>2.5</v>
      </c>
      <c r="J8" s="121">
        <v>0</v>
      </c>
      <c r="K8" s="121">
        <v>0</v>
      </c>
      <c r="L8" s="121">
        <v>0</v>
      </c>
      <c r="M8" s="141">
        <f t="shared" si="0"/>
        <v>0</v>
      </c>
      <c r="N8" s="121">
        <v>100</v>
      </c>
      <c r="O8" s="121">
        <f t="shared" si="1"/>
        <v>100</v>
      </c>
      <c r="P8" s="141">
        <f t="shared" si="2"/>
        <v>200</v>
      </c>
      <c r="Q8" s="127">
        <f t="shared" si="3"/>
        <v>2.5</v>
      </c>
      <c r="R8" s="127"/>
      <c r="Y8" s="136">
        <f>+E17</f>
        <v>45359</v>
      </c>
      <c r="Z8" s="121">
        <f t="shared" si="5"/>
        <v>2.5</v>
      </c>
      <c r="AB8" s="136">
        <f t="shared" si="4"/>
        <v>45359</v>
      </c>
      <c r="AC8" s="121">
        <f t="shared" ref="AC8:AC10" si="7">+AF8/(1+$AB$17/2)^C8</f>
        <v>2.8745174385263419</v>
      </c>
      <c r="AE8" s="136">
        <f>+E17</f>
        <v>45359</v>
      </c>
      <c r="AF8" s="121">
        <f t="shared" ref="AF8:AF10" si="8">+Q8</f>
        <v>2.5</v>
      </c>
      <c r="AG8" s="121">
        <f>+AF8/(1+$AG$12/2)^C8</f>
        <v>2.7875988918405206</v>
      </c>
      <c r="AH8" s="121">
        <f>+AF8/(1+$AB$17/2)^C8</f>
        <v>2.8745174385263419</v>
      </c>
      <c r="AL8" s="129"/>
    </row>
    <row r="9" spans="1:38" ht="19" x14ac:dyDescent="0.2">
      <c r="A9" s="121" t="s">
        <v>80</v>
      </c>
      <c r="C9" s="121">
        <f t="shared" si="6"/>
        <v>-2.5333333333333332</v>
      </c>
      <c r="E9" s="137">
        <v>44628</v>
      </c>
      <c r="F9" s="121">
        <f>+$B$7/2 * N8</f>
        <v>4.75</v>
      </c>
      <c r="J9" s="121">
        <v>0</v>
      </c>
      <c r="K9" s="121">
        <v>0</v>
      </c>
      <c r="L9" s="121">
        <v>0</v>
      </c>
      <c r="M9" s="141">
        <f t="shared" si="0"/>
        <v>0</v>
      </c>
      <c r="N9" s="121">
        <f>+N8-K9</f>
        <v>100</v>
      </c>
      <c r="O9" s="121">
        <f t="shared" si="1"/>
        <v>100</v>
      </c>
      <c r="P9" s="141">
        <f t="shared" si="2"/>
        <v>200</v>
      </c>
      <c r="Q9" s="127">
        <f t="shared" si="3"/>
        <v>4.75</v>
      </c>
      <c r="R9" s="127"/>
      <c r="S9" s="121">
        <f>YEARFRAC($S$2, E19)*$B$6</f>
        <v>0.46666666666666667</v>
      </c>
      <c r="T9" s="121">
        <f t="shared" ref="T9:T10" si="9">+Q9/(1+$A$23/2)^S9</f>
        <v>4.75</v>
      </c>
      <c r="X9" s="128"/>
      <c r="Y9" s="136">
        <f>+E19</f>
        <v>45543</v>
      </c>
      <c r="Z9" s="121">
        <f t="shared" si="5"/>
        <v>4.75</v>
      </c>
      <c r="AB9" s="136">
        <f t="shared" si="4"/>
        <v>45543</v>
      </c>
      <c r="AC9" s="121">
        <f t="shared" si="7"/>
        <v>5.3749343891839727</v>
      </c>
      <c r="AE9" s="136">
        <f>+E19</f>
        <v>45543</v>
      </c>
      <c r="AF9" s="121">
        <f t="shared" si="8"/>
        <v>4.75</v>
      </c>
      <c r="AG9" s="121">
        <f>+AF9/(1+$AG$12/2)^C9</f>
        <v>5.2307764932894569</v>
      </c>
      <c r="AH9" s="121">
        <f>+AF9/(1+$AB$17/2)^C9</f>
        <v>5.3749343891839727</v>
      </c>
      <c r="AL9" s="129"/>
    </row>
    <row r="10" spans="1:38" ht="19" x14ac:dyDescent="0.2">
      <c r="A10" s="131" t="s">
        <v>0</v>
      </c>
      <c r="B10" s="131"/>
      <c r="C10" s="121">
        <f t="shared" si="6"/>
        <v>-1.8611111111111112</v>
      </c>
      <c r="E10" s="5">
        <v>44751</v>
      </c>
      <c r="H10" s="121">
        <v>2.5</v>
      </c>
      <c r="I10" s="121">
        <v>2.5</v>
      </c>
      <c r="J10" s="121">
        <v>0</v>
      </c>
      <c r="K10" s="121">
        <v>0</v>
      </c>
      <c r="L10" s="121">
        <v>0</v>
      </c>
      <c r="M10" s="141">
        <f t="shared" si="0"/>
        <v>0</v>
      </c>
      <c r="N10" s="121">
        <f t="shared" ref="N10:N47" si="10">+N9-K10</f>
        <v>100</v>
      </c>
      <c r="O10" s="121">
        <f t="shared" si="1"/>
        <v>100</v>
      </c>
      <c r="P10" s="141">
        <f t="shared" si="2"/>
        <v>200</v>
      </c>
      <c r="Q10" s="127">
        <f t="shared" si="3"/>
        <v>2.5</v>
      </c>
      <c r="R10" s="127"/>
      <c r="S10" s="121">
        <f>YEARFRAC($S$2, E21)*$B$6</f>
        <v>1.4666666666666666</v>
      </c>
      <c r="T10" s="121">
        <f t="shared" si="9"/>
        <v>2.5</v>
      </c>
      <c r="Y10" s="136">
        <f>+E21</f>
        <v>45724</v>
      </c>
      <c r="Z10" s="121">
        <f t="shared" si="5"/>
        <v>2.5</v>
      </c>
      <c r="AB10" s="136">
        <f t="shared" si="4"/>
        <v>45724</v>
      </c>
      <c r="AC10" s="121">
        <f t="shared" si="7"/>
        <v>2.7376356557393726</v>
      </c>
      <c r="AE10" s="136">
        <f>+E21</f>
        <v>45724</v>
      </c>
      <c r="AF10" s="121">
        <f t="shared" si="8"/>
        <v>2.5</v>
      </c>
      <c r="AG10" s="121">
        <f>+AF10/(1+$AG$12/2)^C10</f>
        <v>2.6835002714886138</v>
      </c>
      <c r="AH10" s="121">
        <f>+AF10/(1+$AB$17/2)^C10</f>
        <v>2.7376356557393726</v>
      </c>
      <c r="AL10" s="129"/>
    </row>
    <row r="11" spans="1:38" x14ac:dyDescent="0.2">
      <c r="A11" s="121" t="s">
        <v>44</v>
      </c>
      <c r="B11" s="121">
        <v>0</v>
      </c>
      <c r="C11" s="121">
        <f t="shared" si="6"/>
        <v>-1.5333333333333334</v>
      </c>
      <c r="E11" s="137">
        <v>44812</v>
      </c>
      <c r="F11" s="121">
        <f t="shared" ref="F11:F21" si="11">+$B$7/2 * N10</f>
        <v>4.75</v>
      </c>
      <c r="J11" s="121">
        <v>0</v>
      </c>
      <c r="K11" s="121">
        <f>0.133*$N$8</f>
        <v>13.3</v>
      </c>
      <c r="L11" s="121">
        <v>0</v>
      </c>
      <c r="M11" s="141">
        <f t="shared" si="0"/>
        <v>13.3</v>
      </c>
      <c r="N11" s="121">
        <f t="shared" si="10"/>
        <v>86.7</v>
      </c>
      <c r="O11" s="121">
        <f t="shared" si="1"/>
        <v>100</v>
      </c>
      <c r="P11" s="141">
        <f t="shared" si="2"/>
        <v>186.7</v>
      </c>
      <c r="Q11" s="127">
        <f t="shared" si="3"/>
        <v>18.05</v>
      </c>
    </row>
    <row r="12" spans="1:38" x14ac:dyDescent="0.2">
      <c r="A12" s="121" t="s">
        <v>98</v>
      </c>
      <c r="B12" s="121" t="s">
        <v>5</v>
      </c>
      <c r="C12" s="121">
        <f t="shared" si="6"/>
        <v>-0.86111111111111116</v>
      </c>
      <c r="E12" s="5">
        <v>44935</v>
      </c>
      <c r="H12" s="121">
        <v>2.5</v>
      </c>
      <c r="I12" s="121">
        <v>2.5</v>
      </c>
      <c r="J12" s="121">
        <v>0</v>
      </c>
      <c r="K12" s="121">
        <v>0</v>
      </c>
      <c r="L12" s="121">
        <v>0</v>
      </c>
      <c r="M12" s="141">
        <f t="shared" si="0"/>
        <v>0</v>
      </c>
      <c r="N12" s="121">
        <f t="shared" si="10"/>
        <v>86.7</v>
      </c>
      <c r="O12" s="121">
        <f t="shared" si="1"/>
        <v>100</v>
      </c>
      <c r="P12" s="141">
        <f t="shared" si="2"/>
        <v>186.7</v>
      </c>
      <c r="Q12" s="127">
        <f t="shared" si="3"/>
        <v>2.5</v>
      </c>
      <c r="S12" s="133" t="s">
        <v>213</v>
      </c>
      <c r="T12" s="122">
        <f>+SUM(T9:T10)</f>
        <v>7.25</v>
      </c>
      <c r="U12" s="133" t="s">
        <v>40</v>
      </c>
      <c r="V12" s="133" t="s">
        <v>214</v>
      </c>
      <c r="W12" s="133" t="s">
        <v>218</v>
      </c>
      <c r="Y12" s="133" t="s">
        <v>76</v>
      </c>
      <c r="Z12" s="119">
        <f>+XIRR(Z6:Z10, Y6:Y10)</f>
        <v>-0.77993164695799344</v>
      </c>
      <c r="AB12" s="133" t="s">
        <v>216</v>
      </c>
      <c r="AC12" s="122">
        <f>+SUM(AC7:AC10)</f>
        <v>14.005330793902347</v>
      </c>
      <c r="AE12" s="133" t="s">
        <v>0</v>
      </c>
      <c r="AF12" s="133"/>
      <c r="AG12" s="72">
        <v>7.7584207058164129E-2</v>
      </c>
    </row>
    <row r="13" spans="1:38" x14ac:dyDescent="0.2">
      <c r="C13" s="121">
        <f t="shared" si="6"/>
        <v>-0.53333333333333333</v>
      </c>
      <c r="E13" s="137">
        <v>44993</v>
      </c>
      <c r="F13" s="121">
        <f t="shared" si="11"/>
        <v>4.1182499999999997</v>
      </c>
      <c r="J13" s="121">
        <v>0</v>
      </c>
      <c r="K13" s="121">
        <f>0.133*$N$8</f>
        <v>13.3</v>
      </c>
      <c r="L13" s="121">
        <v>0</v>
      </c>
      <c r="M13" s="141">
        <f t="shared" si="0"/>
        <v>13.3</v>
      </c>
      <c r="N13" s="121">
        <f t="shared" si="10"/>
        <v>73.400000000000006</v>
      </c>
      <c r="O13" s="121">
        <f t="shared" si="1"/>
        <v>100</v>
      </c>
      <c r="P13" s="141">
        <f t="shared" si="2"/>
        <v>173.4</v>
      </c>
      <c r="Q13" s="127">
        <f t="shared" si="3"/>
        <v>17.41825</v>
      </c>
      <c r="S13" s="133" t="s">
        <v>50</v>
      </c>
      <c r="T13" s="122" t="e">
        <f>+YEARFRAC(E21, B3)*2*#REF!</f>
        <v>#REF!</v>
      </c>
      <c r="U13" s="122" t="e">
        <f>+SUM(#REF!)</f>
        <v>#REF!</v>
      </c>
      <c r="V13" s="122" t="e">
        <f>+SUM(#REF!)</f>
        <v>#REF!</v>
      </c>
      <c r="W13" s="122" t="e">
        <f>+SUM(#REF!)</f>
        <v>#REF!</v>
      </c>
      <c r="Y13" s="133" t="s">
        <v>77</v>
      </c>
      <c r="Z13" s="122"/>
      <c r="AE13" s="133" t="s">
        <v>205</v>
      </c>
      <c r="AF13" s="133"/>
      <c r="AG13" s="122">
        <f>+SUM(AG7:AG10)</f>
        <v>13.597611373268942</v>
      </c>
      <c r="AH13" s="121">
        <f>+SUM(AH7:AH10)</f>
        <v>14.005330793902347</v>
      </c>
    </row>
    <row r="14" spans="1:38" x14ac:dyDescent="0.2">
      <c r="A14" s="121" t="s">
        <v>84</v>
      </c>
      <c r="B14" s="121">
        <f>38000/495.73</f>
        <v>76.654630544853049</v>
      </c>
      <c r="C14" s="121">
        <f t="shared" ref="C14:C47" si="12">YEARFRAC($B$3, E14)*$B$6</f>
        <v>0.14444444444444443</v>
      </c>
      <c r="E14" s="106">
        <v>45117</v>
      </c>
      <c r="H14" s="121">
        <v>2.125</v>
      </c>
      <c r="I14" s="121">
        <v>2.125</v>
      </c>
      <c r="J14" s="121">
        <v>0</v>
      </c>
      <c r="K14" s="121">
        <v>0</v>
      </c>
      <c r="L14" s="121">
        <v>0</v>
      </c>
      <c r="M14" s="141">
        <f t="shared" si="0"/>
        <v>0</v>
      </c>
      <c r="N14" s="121">
        <f t="shared" si="10"/>
        <v>73.400000000000006</v>
      </c>
      <c r="O14" s="121">
        <f t="shared" si="1"/>
        <v>100</v>
      </c>
      <c r="P14" s="141">
        <f t="shared" si="2"/>
        <v>173.4</v>
      </c>
      <c r="Q14" s="127">
        <f t="shared" si="3"/>
        <v>2.125</v>
      </c>
      <c r="S14" s="133" t="s">
        <v>212</v>
      </c>
      <c r="T14" s="122" t="e">
        <f>+T13+T12</f>
        <v>#REF!</v>
      </c>
      <c r="AG14" s="121">
        <f>+B14</f>
        <v>76.654630544853049</v>
      </c>
    </row>
    <row r="15" spans="1:38" x14ac:dyDescent="0.2">
      <c r="A15" s="121" t="s">
        <v>83</v>
      </c>
      <c r="B15" s="121">
        <f>+B14-B16</f>
        <v>74.795163878186386</v>
      </c>
      <c r="C15" s="121">
        <f t="shared" si="12"/>
        <v>0.46666666666666667</v>
      </c>
      <c r="D15" s="107"/>
      <c r="E15" s="138">
        <v>45177</v>
      </c>
      <c r="F15" s="121">
        <f t="shared" si="11"/>
        <v>3.4865000000000004</v>
      </c>
      <c r="J15" s="121">
        <v>0</v>
      </c>
      <c r="K15" s="121">
        <f>0.133*$N$8</f>
        <v>13.3</v>
      </c>
      <c r="L15" s="121">
        <v>0</v>
      </c>
      <c r="M15" s="141">
        <f t="shared" si="0"/>
        <v>13.3</v>
      </c>
      <c r="N15" s="121">
        <f t="shared" si="10"/>
        <v>60.100000000000009</v>
      </c>
      <c r="O15" s="121">
        <f t="shared" si="1"/>
        <v>100</v>
      </c>
      <c r="P15" s="141">
        <f t="shared" si="2"/>
        <v>160.10000000000002</v>
      </c>
      <c r="Q15" s="127">
        <f t="shared" si="3"/>
        <v>16.7865</v>
      </c>
    </row>
    <row r="16" spans="1:38" x14ac:dyDescent="0.2">
      <c r="A16" s="121" t="s">
        <v>207</v>
      </c>
      <c r="B16" s="121">
        <f>+YEARFRAC(E13, B3)*2*F15</f>
        <v>1.8594666666666668</v>
      </c>
      <c r="C16" s="121">
        <f t="shared" si="12"/>
        <v>1.1388888888888888</v>
      </c>
      <c r="D16" s="107"/>
      <c r="E16" s="5">
        <v>45300</v>
      </c>
      <c r="H16" s="121">
        <v>2.125</v>
      </c>
      <c r="I16" s="121">
        <v>2.125</v>
      </c>
      <c r="J16" s="121">
        <v>0</v>
      </c>
      <c r="K16" s="121">
        <v>0</v>
      </c>
      <c r="L16" s="121">
        <v>0</v>
      </c>
      <c r="M16" s="141">
        <f t="shared" si="0"/>
        <v>0</v>
      </c>
      <c r="N16" s="121">
        <f t="shared" si="10"/>
        <v>60.100000000000009</v>
      </c>
      <c r="O16" s="121">
        <f t="shared" si="1"/>
        <v>100</v>
      </c>
      <c r="P16" s="141">
        <f t="shared" si="2"/>
        <v>160.10000000000002</v>
      </c>
      <c r="Q16" s="127">
        <f t="shared" si="3"/>
        <v>2.125</v>
      </c>
    </row>
    <row r="17" spans="1:37" x14ac:dyDescent="0.2">
      <c r="C17" s="121">
        <f t="shared" si="12"/>
        <v>1.4666666666666666</v>
      </c>
      <c r="D17" s="107"/>
      <c r="E17" s="137">
        <v>45359</v>
      </c>
      <c r="F17" s="121">
        <f t="shared" si="11"/>
        <v>2.8547500000000006</v>
      </c>
      <c r="J17" s="121">
        <v>0</v>
      </c>
      <c r="K17" s="121">
        <f>0.133*$N$8</f>
        <v>13.3</v>
      </c>
      <c r="L17" s="121">
        <v>0</v>
      </c>
      <c r="M17" s="141">
        <f t="shared" si="0"/>
        <v>13.3</v>
      </c>
      <c r="N17" s="121">
        <f t="shared" si="10"/>
        <v>46.800000000000011</v>
      </c>
      <c r="O17" s="121">
        <f t="shared" si="1"/>
        <v>100</v>
      </c>
      <c r="P17" s="141">
        <f t="shared" si="2"/>
        <v>146.80000000000001</v>
      </c>
      <c r="Q17" s="127">
        <f t="shared" si="3"/>
        <v>16.15475</v>
      </c>
      <c r="AB17" s="121">
        <v>0.1</v>
      </c>
    </row>
    <row r="18" spans="1:37" x14ac:dyDescent="0.2">
      <c r="A18" s="121" t="s">
        <v>6</v>
      </c>
      <c r="B18" s="120">
        <f>+(F15+F17)/B14</f>
        <v>8.2724943750000002E-2</v>
      </c>
      <c r="C18" s="121">
        <f t="shared" si="12"/>
        <v>2.1388888888888888</v>
      </c>
      <c r="D18" s="107"/>
      <c r="E18" s="5">
        <v>45482</v>
      </c>
      <c r="H18" s="121">
        <v>2.5</v>
      </c>
      <c r="I18" s="121">
        <v>2.5</v>
      </c>
      <c r="J18" s="121">
        <v>0</v>
      </c>
      <c r="K18" s="121">
        <v>0</v>
      </c>
      <c r="L18" s="121">
        <v>0</v>
      </c>
      <c r="M18" s="141">
        <f t="shared" si="0"/>
        <v>0</v>
      </c>
      <c r="N18" s="121">
        <f t="shared" si="10"/>
        <v>46.800000000000011</v>
      </c>
      <c r="O18" s="121">
        <f t="shared" si="1"/>
        <v>100</v>
      </c>
      <c r="P18" s="141">
        <f t="shared" si="2"/>
        <v>146.80000000000001</v>
      </c>
      <c r="Q18" s="127">
        <f t="shared" si="3"/>
        <v>2.5</v>
      </c>
    </row>
    <row r="19" spans="1:37" x14ac:dyDescent="0.2">
      <c r="A19" s="121" t="s">
        <v>206</v>
      </c>
      <c r="B19" s="121" t="e">
        <f>+(T14-B14)/B14</f>
        <v>#REF!</v>
      </c>
      <c r="C19" s="121">
        <f t="shared" si="12"/>
        <v>2.4666666666666668</v>
      </c>
      <c r="D19" s="107"/>
      <c r="E19" s="137">
        <v>45543</v>
      </c>
      <c r="F19" s="121">
        <f t="shared" si="11"/>
        <v>2.2230000000000008</v>
      </c>
      <c r="J19" s="121">
        <v>0</v>
      </c>
      <c r="K19" s="121">
        <f>0.133*$N$8</f>
        <v>13.3</v>
      </c>
      <c r="L19" s="121">
        <v>0</v>
      </c>
      <c r="M19" s="141">
        <f t="shared" si="0"/>
        <v>13.3</v>
      </c>
      <c r="N19" s="121">
        <f t="shared" si="10"/>
        <v>33.500000000000014</v>
      </c>
      <c r="O19" s="121">
        <f t="shared" si="1"/>
        <v>100</v>
      </c>
      <c r="P19" s="141">
        <f t="shared" si="2"/>
        <v>133.5</v>
      </c>
      <c r="Q19" s="127">
        <f t="shared" si="3"/>
        <v>15.523000000000001</v>
      </c>
    </row>
    <row r="20" spans="1:37" x14ac:dyDescent="0.2">
      <c r="A20" s="121" t="s">
        <v>208</v>
      </c>
      <c r="B20" s="121" t="e">
        <f>+SUM(B18:B19)</f>
        <v>#REF!</v>
      </c>
      <c r="C20" s="121">
        <f t="shared" si="12"/>
        <v>3.1388888888888888</v>
      </c>
      <c r="D20" s="107"/>
      <c r="E20" s="5">
        <v>45666</v>
      </c>
      <c r="H20" s="121">
        <v>2.5</v>
      </c>
      <c r="I20" s="121">
        <v>2.5</v>
      </c>
      <c r="J20" s="121">
        <v>0</v>
      </c>
      <c r="K20" s="121">
        <v>0</v>
      </c>
      <c r="L20" s="121">
        <v>0</v>
      </c>
      <c r="M20" s="141">
        <f t="shared" si="0"/>
        <v>0</v>
      </c>
      <c r="N20" s="121">
        <f t="shared" si="10"/>
        <v>33.500000000000014</v>
      </c>
      <c r="O20" s="121">
        <f t="shared" si="1"/>
        <v>100</v>
      </c>
      <c r="P20" s="141">
        <f t="shared" si="2"/>
        <v>133.5</v>
      </c>
      <c r="Q20" s="127">
        <f t="shared" si="3"/>
        <v>2.5</v>
      </c>
    </row>
    <row r="21" spans="1:37" x14ac:dyDescent="0.2">
      <c r="C21" s="121">
        <f t="shared" si="12"/>
        <v>3.4666666666666668</v>
      </c>
      <c r="D21" s="107"/>
      <c r="E21" s="137">
        <v>45724</v>
      </c>
      <c r="F21" s="121">
        <f t="shared" si="11"/>
        <v>1.5912500000000007</v>
      </c>
      <c r="J21" s="121">
        <v>0</v>
      </c>
      <c r="K21" s="121">
        <f>0.335*$N$8</f>
        <v>33.5</v>
      </c>
      <c r="L21" s="121">
        <v>0</v>
      </c>
      <c r="M21" s="141">
        <f t="shared" si="0"/>
        <v>33.5</v>
      </c>
      <c r="N21" s="121">
        <f t="shared" si="10"/>
        <v>0</v>
      </c>
      <c r="O21" s="121">
        <f t="shared" si="1"/>
        <v>100</v>
      </c>
      <c r="P21" s="141">
        <f t="shared" si="2"/>
        <v>100</v>
      </c>
      <c r="Q21" s="127">
        <f t="shared" si="3"/>
        <v>35.091250000000002</v>
      </c>
    </row>
    <row r="22" spans="1:37" x14ac:dyDescent="0.2">
      <c r="A22" s="128" t="s">
        <v>209</v>
      </c>
      <c r="C22" s="121">
        <f t="shared" si="12"/>
        <v>4.1388888888888893</v>
      </c>
      <c r="D22" s="107"/>
      <c r="E22" s="5">
        <v>45847</v>
      </c>
      <c r="H22" s="121">
        <v>2.5</v>
      </c>
      <c r="I22" s="121">
        <v>2.5</v>
      </c>
      <c r="J22" s="121">
        <v>0</v>
      </c>
      <c r="K22" s="121">
        <v>0</v>
      </c>
      <c r="L22" s="121">
        <v>0</v>
      </c>
      <c r="M22" s="141">
        <f t="shared" si="0"/>
        <v>0</v>
      </c>
      <c r="N22" s="121">
        <f t="shared" si="10"/>
        <v>0</v>
      </c>
      <c r="O22" s="121">
        <f t="shared" si="1"/>
        <v>100</v>
      </c>
      <c r="P22" s="141">
        <f t="shared" si="2"/>
        <v>100</v>
      </c>
      <c r="Q22" s="127">
        <f t="shared" si="3"/>
        <v>2.5</v>
      </c>
    </row>
    <row r="23" spans="1:37" x14ac:dyDescent="0.2">
      <c r="A23" s="128"/>
      <c r="C23" s="121">
        <f t="shared" si="12"/>
        <v>5.1388888888888893</v>
      </c>
      <c r="D23" s="107"/>
      <c r="E23" s="5">
        <v>46031</v>
      </c>
      <c r="H23" s="121">
        <v>2.5</v>
      </c>
      <c r="I23" s="121">
        <v>2.5</v>
      </c>
      <c r="J23" s="121">
        <v>0</v>
      </c>
      <c r="K23" s="121">
        <v>0</v>
      </c>
      <c r="L23" s="121">
        <v>0</v>
      </c>
      <c r="M23" s="141">
        <f t="shared" si="0"/>
        <v>0</v>
      </c>
      <c r="N23" s="121">
        <f t="shared" si="10"/>
        <v>0</v>
      </c>
      <c r="O23" s="121">
        <f t="shared" si="1"/>
        <v>100</v>
      </c>
      <c r="P23" s="141">
        <f t="shared" si="2"/>
        <v>100</v>
      </c>
      <c r="Q23" s="127">
        <f t="shared" si="3"/>
        <v>2.5</v>
      </c>
    </row>
    <row r="24" spans="1:37" x14ac:dyDescent="0.2">
      <c r="C24" s="121">
        <f t="shared" si="12"/>
        <v>6.1388888888888893</v>
      </c>
      <c r="D24" s="107"/>
      <c r="E24" s="5">
        <v>46212</v>
      </c>
      <c r="H24" s="121">
        <v>2.5</v>
      </c>
      <c r="I24" s="121">
        <v>2.5</v>
      </c>
      <c r="J24" s="121">
        <v>0</v>
      </c>
      <c r="K24" s="121">
        <v>0</v>
      </c>
      <c r="L24" s="121">
        <v>0</v>
      </c>
      <c r="M24" s="141">
        <f t="shared" si="0"/>
        <v>0</v>
      </c>
      <c r="N24" s="121">
        <f t="shared" si="10"/>
        <v>0</v>
      </c>
      <c r="O24" s="121">
        <f t="shared" si="1"/>
        <v>100</v>
      </c>
      <c r="P24" s="141">
        <f t="shared" si="2"/>
        <v>100</v>
      </c>
      <c r="Q24" s="127">
        <f t="shared" si="3"/>
        <v>2.5</v>
      </c>
    </row>
    <row r="25" spans="1:37" ht="18" x14ac:dyDescent="0.2">
      <c r="A25" s="124" t="s">
        <v>201</v>
      </c>
      <c r="B25" s="121">
        <v>2000</v>
      </c>
      <c r="C25" s="121">
        <f t="shared" si="12"/>
        <v>7.1388888888888893</v>
      </c>
      <c r="D25" s="107"/>
      <c r="E25" s="5">
        <v>46396</v>
      </c>
      <c r="H25" s="121">
        <v>2.5</v>
      </c>
      <c r="I25" s="121">
        <v>2.5</v>
      </c>
      <c r="J25" s="121">
        <v>0</v>
      </c>
      <c r="K25" s="121">
        <v>0</v>
      </c>
      <c r="L25" s="121">
        <v>0</v>
      </c>
      <c r="M25" s="141">
        <f t="shared" si="0"/>
        <v>0</v>
      </c>
      <c r="N25" s="121">
        <f t="shared" si="10"/>
        <v>0</v>
      </c>
      <c r="O25" s="121">
        <f t="shared" si="1"/>
        <v>100</v>
      </c>
      <c r="P25" s="141">
        <f t="shared" si="2"/>
        <v>100</v>
      </c>
      <c r="Q25" s="127">
        <f t="shared" si="3"/>
        <v>2.5</v>
      </c>
    </row>
    <row r="26" spans="1:37" ht="18" x14ac:dyDescent="0.2">
      <c r="A26" s="124" t="s">
        <v>181</v>
      </c>
      <c r="B26" s="121">
        <v>5000</v>
      </c>
      <c r="C26" s="121">
        <f t="shared" si="12"/>
        <v>8.1388888888888893</v>
      </c>
      <c r="D26" s="107"/>
      <c r="E26" s="5">
        <v>46577</v>
      </c>
      <c r="H26" s="121">
        <v>2.5</v>
      </c>
      <c r="I26" s="121">
        <v>2.5</v>
      </c>
      <c r="J26" s="121">
        <v>0</v>
      </c>
      <c r="K26" s="121">
        <v>0</v>
      </c>
      <c r="L26" s="121">
        <f>+$O$24/22</f>
        <v>4.5454545454545459</v>
      </c>
      <c r="M26" s="141">
        <f t="shared" si="0"/>
        <v>4.5454545454545459</v>
      </c>
      <c r="N26" s="121">
        <f t="shared" si="10"/>
        <v>0</v>
      </c>
      <c r="O26" s="121">
        <f t="shared" si="1"/>
        <v>95.454545454545453</v>
      </c>
      <c r="P26" s="141">
        <f t="shared" si="2"/>
        <v>95.454545454545453</v>
      </c>
      <c r="Q26" s="127">
        <f t="shared" si="3"/>
        <v>7.0454545454545459</v>
      </c>
    </row>
    <row r="27" spans="1:37" x14ac:dyDescent="0.2">
      <c r="C27" s="121">
        <f t="shared" si="12"/>
        <v>9.1388888888888893</v>
      </c>
      <c r="D27" s="107"/>
      <c r="E27" s="5">
        <v>46761</v>
      </c>
      <c r="H27" s="121">
        <v>2.3863636363636362</v>
      </c>
      <c r="I27" s="121">
        <v>2.3863636363636362</v>
      </c>
      <c r="J27" s="121">
        <v>0</v>
      </c>
      <c r="K27" s="121">
        <v>0</v>
      </c>
      <c r="L27" s="121">
        <f t="shared" ref="L27:L47" si="13">+$O$24/22</f>
        <v>4.5454545454545459</v>
      </c>
      <c r="M27" s="141">
        <f t="shared" si="0"/>
        <v>4.5454545454545459</v>
      </c>
      <c r="N27" s="121">
        <f t="shared" si="10"/>
        <v>0</v>
      </c>
      <c r="O27" s="121">
        <f t="shared" si="1"/>
        <v>90.909090909090907</v>
      </c>
      <c r="P27" s="141">
        <f t="shared" si="2"/>
        <v>90.909090909090907</v>
      </c>
      <c r="Q27" s="127">
        <f t="shared" si="3"/>
        <v>6.9318181818181817</v>
      </c>
    </row>
    <row r="28" spans="1:37" x14ac:dyDescent="0.2">
      <c r="C28" s="121">
        <f t="shared" si="12"/>
        <v>10.138888888888889</v>
      </c>
      <c r="D28" s="107"/>
      <c r="E28" s="5">
        <v>46943</v>
      </c>
      <c r="H28" s="121">
        <v>2.2727272727272729</v>
      </c>
      <c r="I28" s="121">
        <v>2.2727272727272729</v>
      </c>
      <c r="J28" s="121">
        <v>0</v>
      </c>
      <c r="K28" s="121">
        <v>0</v>
      </c>
      <c r="L28" s="121">
        <f t="shared" si="13"/>
        <v>4.5454545454545459</v>
      </c>
      <c r="M28" s="141">
        <f t="shared" si="0"/>
        <v>4.5454545454545459</v>
      </c>
      <c r="N28" s="121">
        <f t="shared" si="10"/>
        <v>0</v>
      </c>
      <c r="O28" s="121">
        <f t="shared" si="1"/>
        <v>86.36363636363636</v>
      </c>
      <c r="P28" s="141">
        <f t="shared" si="2"/>
        <v>86.36363636363636</v>
      </c>
      <c r="Q28" s="127">
        <f t="shared" si="3"/>
        <v>6.8181818181818183</v>
      </c>
    </row>
    <row r="29" spans="1:37" x14ac:dyDescent="0.2">
      <c r="C29" s="121">
        <f t="shared" si="12"/>
        <v>11.138888888888889</v>
      </c>
      <c r="D29" s="107"/>
      <c r="E29" s="5">
        <v>47127</v>
      </c>
      <c r="H29" s="121">
        <v>2.1590909090909092</v>
      </c>
      <c r="I29" s="121">
        <v>2.1590909090909092</v>
      </c>
      <c r="J29" s="121">
        <v>0</v>
      </c>
      <c r="K29" s="121">
        <v>0</v>
      </c>
      <c r="L29" s="121">
        <f t="shared" si="13"/>
        <v>4.5454545454545459</v>
      </c>
      <c r="M29" s="141">
        <f t="shared" si="0"/>
        <v>4.5454545454545459</v>
      </c>
      <c r="N29" s="121">
        <f t="shared" si="10"/>
        <v>0</v>
      </c>
      <c r="O29" s="121">
        <f t="shared" si="1"/>
        <v>81.818181818181813</v>
      </c>
      <c r="P29" s="141">
        <f t="shared" si="2"/>
        <v>81.818181818181813</v>
      </c>
      <c r="Q29" s="127">
        <f t="shared" si="3"/>
        <v>6.704545454545455</v>
      </c>
      <c r="AH29" s="134"/>
      <c r="AI29" s="134"/>
      <c r="AJ29" s="134"/>
      <c r="AK29" s="134"/>
    </row>
    <row r="30" spans="1:37" x14ac:dyDescent="0.2">
      <c r="C30" s="121">
        <f t="shared" si="12"/>
        <v>12.138888888888889</v>
      </c>
      <c r="D30" s="107"/>
      <c r="E30" s="5">
        <v>47308</v>
      </c>
      <c r="H30" s="121">
        <v>2.0454545454545454</v>
      </c>
      <c r="I30" s="121">
        <v>2.0454545454545454</v>
      </c>
      <c r="J30" s="121">
        <v>0</v>
      </c>
      <c r="K30" s="121">
        <v>0</v>
      </c>
      <c r="L30" s="121">
        <f t="shared" si="13"/>
        <v>4.5454545454545459</v>
      </c>
      <c r="M30" s="141">
        <f t="shared" si="0"/>
        <v>4.5454545454545459</v>
      </c>
      <c r="N30" s="121">
        <f t="shared" si="10"/>
        <v>0</v>
      </c>
      <c r="O30" s="121">
        <f t="shared" si="1"/>
        <v>77.272727272727266</v>
      </c>
      <c r="P30" s="141">
        <f t="shared" si="2"/>
        <v>77.272727272727266</v>
      </c>
      <c r="Q30" s="127">
        <f t="shared" si="3"/>
        <v>6.5909090909090917</v>
      </c>
      <c r="AH30" s="134"/>
      <c r="AI30" s="134"/>
      <c r="AJ30" s="134"/>
      <c r="AK30" s="134"/>
    </row>
    <row r="31" spans="1:37" x14ac:dyDescent="0.2">
      <c r="C31" s="121">
        <f t="shared" si="12"/>
        <v>13.138888888888889</v>
      </c>
      <c r="D31" s="107"/>
      <c r="E31" s="5">
        <v>47492</v>
      </c>
      <c r="H31" s="121">
        <v>1.9318181818181817</v>
      </c>
      <c r="I31" s="121">
        <v>1.9318181818181817</v>
      </c>
      <c r="J31" s="121">
        <v>0</v>
      </c>
      <c r="K31" s="121">
        <v>0</v>
      </c>
      <c r="L31" s="121">
        <f t="shared" si="13"/>
        <v>4.5454545454545459</v>
      </c>
      <c r="M31" s="141">
        <f t="shared" si="0"/>
        <v>4.5454545454545459</v>
      </c>
      <c r="N31" s="121">
        <f t="shared" si="10"/>
        <v>0</v>
      </c>
      <c r="O31" s="121">
        <f t="shared" si="1"/>
        <v>72.72727272727272</v>
      </c>
      <c r="P31" s="141">
        <f t="shared" si="2"/>
        <v>72.72727272727272</v>
      </c>
      <c r="Q31" s="127">
        <f t="shared" si="3"/>
        <v>6.4772727272727275</v>
      </c>
    </row>
    <row r="32" spans="1:37" x14ac:dyDescent="0.2">
      <c r="C32" s="121">
        <f t="shared" si="12"/>
        <v>14.138888888888889</v>
      </c>
      <c r="D32" s="107"/>
      <c r="E32" s="5">
        <v>47673</v>
      </c>
      <c r="H32" s="121">
        <v>1.8181818181818181</v>
      </c>
      <c r="I32" s="121">
        <v>1.8181818181818181</v>
      </c>
      <c r="J32" s="121">
        <v>0</v>
      </c>
      <c r="K32" s="121">
        <v>0</v>
      </c>
      <c r="L32" s="121">
        <f t="shared" si="13"/>
        <v>4.5454545454545459</v>
      </c>
      <c r="M32" s="141">
        <f t="shared" si="0"/>
        <v>4.5454545454545459</v>
      </c>
      <c r="N32" s="121">
        <f t="shared" si="10"/>
        <v>0</v>
      </c>
      <c r="O32" s="121">
        <f t="shared" si="1"/>
        <v>68.181818181818173</v>
      </c>
      <c r="P32" s="141">
        <f t="shared" si="2"/>
        <v>68.181818181818173</v>
      </c>
      <c r="Q32" s="127">
        <f t="shared" si="3"/>
        <v>6.3636363636363642</v>
      </c>
    </row>
    <row r="33" spans="3:20" x14ac:dyDescent="0.2">
      <c r="C33" s="121">
        <f t="shared" si="12"/>
        <v>15.138888888888889</v>
      </c>
      <c r="D33" s="107"/>
      <c r="E33" s="5">
        <v>47857</v>
      </c>
      <c r="H33" s="121">
        <v>1.7045454545454544</v>
      </c>
      <c r="I33" s="121">
        <v>1.7045454545454544</v>
      </c>
      <c r="J33" s="121">
        <v>0</v>
      </c>
      <c r="K33" s="121">
        <v>0</v>
      </c>
      <c r="L33" s="121">
        <f t="shared" si="13"/>
        <v>4.5454545454545459</v>
      </c>
      <c r="M33" s="141">
        <f t="shared" si="0"/>
        <v>4.5454545454545459</v>
      </c>
      <c r="N33" s="121">
        <f t="shared" si="10"/>
        <v>0</v>
      </c>
      <c r="O33" s="121">
        <f t="shared" si="1"/>
        <v>63.636363636363626</v>
      </c>
      <c r="P33" s="141">
        <f t="shared" si="2"/>
        <v>63.636363636363626</v>
      </c>
      <c r="Q33" s="127">
        <f t="shared" si="3"/>
        <v>6.25</v>
      </c>
    </row>
    <row r="34" spans="3:20" x14ac:dyDescent="0.2">
      <c r="C34" s="121">
        <f t="shared" si="12"/>
        <v>16.138888888888889</v>
      </c>
      <c r="D34" s="107"/>
      <c r="E34" s="5">
        <v>48038</v>
      </c>
      <c r="H34" s="121">
        <v>1.5909090909090908</v>
      </c>
      <c r="I34" s="121">
        <v>1.5909090909090908</v>
      </c>
      <c r="J34" s="121">
        <v>0</v>
      </c>
      <c r="K34" s="121">
        <v>0</v>
      </c>
      <c r="L34" s="121">
        <f t="shared" si="13"/>
        <v>4.5454545454545459</v>
      </c>
      <c r="M34" s="141">
        <f t="shared" si="0"/>
        <v>4.5454545454545459</v>
      </c>
      <c r="N34" s="121">
        <f t="shared" si="10"/>
        <v>0</v>
      </c>
      <c r="O34" s="121">
        <f t="shared" si="1"/>
        <v>59.090909090909079</v>
      </c>
      <c r="P34" s="141">
        <f t="shared" si="2"/>
        <v>59.090909090909079</v>
      </c>
      <c r="Q34" s="127">
        <f t="shared" si="3"/>
        <v>6.1363636363636367</v>
      </c>
    </row>
    <row r="35" spans="3:20" x14ac:dyDescent="0.2">
      <c r="C35" s="121">
        <f t="shared" si="12"/>
        <v>17.138888888888889</v>
      </c>
      <c r="D35" s="107"/>
      <c r="E35" s="5">
        <v>48222</v>
      </c>
      <c r="H35" s="121">
        <v>1.4772727272727271</v>
      </c>
      <c r="I35" s="121">
        <v>1.4772727272727271</v>
      </c>
      <c r="J35" s="121">
        <v>0</v>
      </c>
      <c r="K35" s="121">
        <v>0</v>
      </c>
      <c r="L35" s="121">
        <f t="shared" si="13"/>
        <v>4.5454545454545459</v>
      </c>
      <c r="M35" s="141">
        <f t="shared" si="0"/>
        <v>4.5454545454545459</v>
      </c>
      <c r="N35" s="121">
        <f t="shared" si="10"/>
        <v>0</v>
      </c>
      <c r="O35" s="121">
        <f t="shared" si="1"/>
        <v>54.545454545454533</v>
      </c>
      <c r="P35" s="141">
        <f t="shared" si="2"/>
        <v>54.545454545454533</v>
      </c>
      <c r="Q35" s="127">
        <f t="shared" si="3"/>
        <v>6.0227272727272734</v>
      </c>
    </row>
    <row r="36" spans="3:20" x14ac:dyDescent="0.2">
      <c r="C36" s="121">
        <f t="shared" si="12"/>
        <v>18.138888888888889</v>
      </c>
      <c r="D36" s="107"/>
      <c r="E36" s="5">
        <v>48404</v>
      </c>
      <c r="H36" s="121">
        <v>1.3636363636363633</v>
      </c>
      <c r="I36" s="121">
        <v>1.3636363636363633</v>
      </c>
      <c r="J36" s="121">
        <v>0</v>
      </c>
      <c r="K36" s="121">
        <v>0</v>
      </c>
      <c r="L36" s="121">
        <f t="shared" si="13"/>
        <v>4.5454545454545459</v>
      </c>
      <c r="M36" s="141">
        <f t="shared" si="0"/>
        <v>4.5454545454545459</v>
      </c>
      <c r="N36" s="121">
        <f t="shared" si="10"/>
        <v>0</v>
      </c>
      <c r="O36" s="121">
        <f t="shared" si="1"/>
        <v>49.999999999999986</v>
      </c>
      <c r="P36" s="141">
        <f t="shared" si="2"/>
        <v>49.999999999999986</v>
      </c>
      <c r="Q36" s="127">
        <f t="shared" si="3"/>
        <v>5.9090909090909092</v>
      </c>
    </row>
    <row r="37" spans="3:20" x14ac:dyDescent="0.2">
      <c r="C37" s="121">
        <f t="shared" si="12"/>
        <v>19.138888888888889</v>
      </c>
      <c r="D37" s="107"/>
      <c r="E37" s="5">
        <v>48588</v>
      </c>
      <c r="H37" s="121">
        <v>1.2499999999999998</v>
      </c>
      <c r="I37" s="121">
        <v>1.2499999999999998</v>
      </c>
      <c r="J37" s="121">
        <v>0</v>
      </c>
      <c r="K37" s="121">
        <v>0</v>
      </c>
      <c r="L37" s="121">
        <f t="shared" si="13"/>
        <v>4.5454545454545459</v>
      </c>
      <c r="M37" s="141">
        <f t="shared" si="0"/>
        <v>4.5454545454545459</v>
      </c>
      <c r="N37" s="121">
        <f t="shared" si="10"/>
        <v>0</v>
      </c>
      <c r="O37" s="121">
        <f t="shared" si="1"/>
        <v>45.454545454545439</v>
      </c>
      <c r="P37" s="141">
        <f t="shared" si="2"/>
        <v>45.454545454545439</v>
      </c>
      <c r="Q37" s="127">
        <f t="shared" si="3"/>
        <v>5.7954545454545459</v>
      </c>
      <c r="T37" s="104"/>
    </row>
    <row r="38" spans="3:20" x14ac:dyDescent="0.2">
      <c r="C38" s="121">
        <f t="shared" si="12"/>
        <v>20.138888888888889</v>
      </c>
      <c r="D38" s="107"/>
      <c r="E38" s="5">
        <v>48769</v>
      </c>
      <c r="H38" s="121">
        <v>1.136363636363636</v>
      </c>
      <c r="I38" s="121">
        <v>1.136363636363636</v>
      </c>
      <c r="J38" s="121">
        <v>0</v>
      </c>
      <c r="K38" s="121">
        <v>0</v>
      </c>
      <c r="L38" s="121">
        <f t="shared" si="13"/>
        <v>4.5454545454545459</v>
      </c>
      <c r="M38" s="141">
        <f t="shared" si="0"/>
        <v>4.5454545454545459</v>
      </c>
      <c r="N38" s="121">
        <f t="shared" si="10"/>
        <v>0</v>
      </c>
      <c r="O38" s="121">
        <f t="shared" si="1"/>
        <v>40.909090909090892</v>
      </c>
      <c r="P38" s="141">
        <f t="shared" si="2"/>
        <v>40.909090909090892</v>
      </c>
      <c r="Q38" s="127">
        <f t="shared" si="3"/>
        <v>5.6818181818181817</v>
      </c>
      <c r="T38" s="104"/>
    </row>
    <row r="39" spans="3:20" x14ac:dyDescent="0.2">
      <c r="C39" s="121">
        <f t="shared" si="12"/>
        <v>21.138888888888889</v>
      </c>
      <c r="D39" s="107"/>
      <c r="E39" s="5">
        <v>48953</v>
      </c>
      <c r="H39" s="121">
        <v>1.0227272727272723</v>
      </c>
      <c r="I39" s="121">
        <v>1.0227272727272723</v>
      </c>
      <c r="J39" s="121">
        <v>0</v>
      </c>
      <c r="K39" s="121">
        <v>0</v>
      </c>
      <c r="L39" s="121">
        <f t="shared" si="13"/>
        <v>4.5454545454545459</v>
      </c>
      <c r="M39" s="141">
        <f t="shared" si="0"/>
        <v>4.5454545454545459</v>
      </c>
      <c r="N39" s="121">
        <f t="shared" si="10"/>
        <v>0</v>
      </c>
      <c r="O39" s="121">
        <f t="shared" si="1"/>
        <v>36.363636363636346</v>
      </c>
      <c r="P39" s="141">
        <f t="shared" si="2"/>
        <v>36.363636363636346</v>
      </c>
      <c r="Q39" s="127">
        <f t="shared" si="3"/>
        <v>5.5681818181818183</v>
      </c>
      <c r="R39" s="104"/>
      <c r="T39" s="139"/>
    </row>
    <row r="40" spans="3:20" x14ac:dyDescent="0.2">
      <c r="C40" s="121">
        <f t="shared" si="12"/>
        <v>22.138888888888889</v>
      </c>
      <c r="D40" s="107"/>
      <c r="E40" s="5">
        <v>49134</v>
      </c>
      <c r="H40" s="121">
        <v>0.90909090909090873</v>
      </c>
      <c r="I40" s="121">
        <v>0.90909090909090873</v>
      </c>
      <c r="J40" s="121">
        <v>0</v>
      </c>
      <c r="K40" s="121">
        <v>0</v>
      </c>
      <c r="L40" s="121">
        <f t="shared" si="13"/>
        <v>4.5454545454545459</v>
      </c>
      <c r="M40" s="141">
        <f t="shared" si="0"/>
        <v>4.5454545454545459</v>
      </c>
      <c r="N40" s="121">
        <f t="shared" si="10"/>
        <v>0</v>
      </c>
      <c r="O40" s="121">
        <f t="shared" si="1"/>
        <v>31.818181818181799</v>
      </c>
      <c r="P40" s="141">
        <f t="shared" si="2"/>
        <v>31.818181818181799</v>
      </c>
      <c r="Q40" s="127">
        <f t="shared" si="3"/>
        <v>5.454545454545455</v>
      </c>
      <c r="R40" s="104"/>
      <c r="T40" s="139"/>
    </row>
    <row r="41" spans="3:20" x14ac:dyDescent="0.2">
      <c r="C41" s="121">
        <f t="shared" si="12"/>
        <v>23.138888888888889</v>
      </c>
      <c r="E41" s="5">
        <v>49318</v>
      </c>
      <c r="H41" s="121">
        <v>0.79545454545454497</v>
      </c>
      <c r="I41" s="121">
        <v>0.79545454545454497</v>
      </c>
      <c r="J41" s="121">
        <v>0</v>
      </c>
      <c r="K41" s="121">
        <v>0</v>
      </c>
      <c r="L41" s="121">
        <f t="shared" si="13"/>
        <v>4.5454545454545459</v>
      </c>
      <c r="M41" s="141">
        <f t="shared" si="0"/>
        <v>4.5454545454545459</v>
      </c>
      <c r="N41" s="121">
        <f t="shared" si="10"/>
        <v>0</v>
      </c>
      <c r="O41" s="121">
        <f t="shared" si="1"/>
        <v>27.272727272727252</v>
      </c>
      <c r="P41" s="141">
        <f t="shared" si="2"/>
        <v>27.272727272727252</v>
      </c>
      <c r="Q41" s="127">
        <f t="shared" si="3"/>
        <v>5.3409090909090908</v>
      </c>
      <c r="R41" s="104"/>
      <c r="T41" s="139"/>
    </row>
    <row r="42" spans="3:20" x14ac:dyDescent="0.2">
      <c r="C42" s="121">
        <f t="shared" si="12"/>
        <v>24.138888888888889</v>
      </c>
      <c r="E42" s="5">
        <v>49499</v>
      </c>
      <c r="H42" s="121">
        <v>0.68181818181818132</v>
      </c>
      <c r="I42" s="121">
        <v>0.68181818181818132</v>
      </c>
      <c r="J42" s="121">
        <v>0</v>
      </c>
      <c r="K42" s="121">
        <v>0</v>
      </c>
      <c r="L42" s="121">
        <f t="shared" si="13"/>
        <v>4.5454545454545459</v>
      </c>
      <c r="M42" s="141">
        <f t="shared" si="0"/>
        <v>4.5454545454545459</v>
      </c>
      <c r="N42" s="121">
        <f t="shared" si="10"/>
        <v>0</v>
      </c>
      <c r="O42" s="121">
        <f t="shared" si="1"/>
        <v>22.727272727272705</v>
      </c>
      <c r="P42" s="141">
        <f t="shared" si="2"/>
        <v>22.727272727272705</v>
      </c>
      <c r="Q42" s="127">
        <f t="shared" si="3"/>
        <v>5.2272727272727275</v>
      </c>
      <c r="R42" s="104"/>
      <c r="T42" s="139"/>
    </row>
    <row r="43" spans="3:20" x14ac:dyDescent="0.2">
      <c r="C43" s="121">
        <f t="shared" si="12"/>
        <v>25.138888888888889</v>
      </c>
      <c r="E43" s="5">
        <v>49683</v>
      </c>
      <c r="H43" s="121">
        <v>0.56818181818181768</v>
      </c>
      <c r="I43" s="121">
        <v>0.56818181818181768</v>
      </c>
      <c r="J43" s="121">
        <v>0</v>
      </c>
      <c r="K43" s="121">
        <v>0</v>
      </c>
      <c r="L43" s="121">
        <f t="shared" si="13"/>
        <v>4.5454545454545459</v>
      </c>
      <c r="M43" s="141">
        <f t="shared" si="0"/>
        <v>4.5454545454545459</v>
      </c>
      <c r="N43" s="121">
        <f t="shared" si="10"/>
        <v>0</v>
      </c>
      <c r="O43" s="121">
        <f t="shared" si="1"/>
        <v>18.181818181818159</v>
      </c>
      <c r="P43" s="141">
        <f t="shared" si="2"/>
        <v>18.181818181818159</v>
      </c>
      <c r="Q43" s="127">
        <f t="shared" si="3"/>
        <v>5.1136363636363633</v>
      </c>
      <c r="R43" s="104"/>
      <c r="T43" s="139"/>
    </row>
    <row r="44" spans="3:20" x14ac:dyDescent="0.2">
      <c r="C44" s="121">
        <f t="shared" si="12"/>
        <v>26.138888888888889</v>
      </c>
      <c r="E44" s="5">
        <v>49865</v>
      </c>
      <c r="H44" s="121">
        <v>0.45454545454545398</v>
      </c>
      <c r="I44" s="121">
        <v>0.45454545454545398</v>
      </c>
      <c r="J44" s="121">
        <v>0</v>
      </c>
      <c r="K44" s="121">
        <v>0</v>
      </c>
      <c r="L44" s="121">
        <f t="shared" si="13"/>
        <v>4.5454545454545459</v>
      </c>
      <c r="M44" s="141">
        <f t="shared" si="0"/>
        <v>4.5454545454545459</v>
      </c>
      <c r="N44" s="121">
        <f t="shared" si="10"/>
        <v>0</v>
      </c>
      <c r="O44" s="121">
        <f t="shared" si="1"/>
        <v>13.636363636363612</v>
      </c>
      <c r="P44" s="141">
        <f t="shared" si="2"/>
        <v>13.636363636363612</v>
      </c>
      <c r="Q44" s="127">
        <f t="shared" si="3"/>
        <v>5</v>
      </c>
      <c r="R44" s="104"/>
      <c r="T44" s="139"/>
    </row>
    <row r="45" spans="3:20" x14ac:dyDescent="0.2">
      <c r="C45" s="121">
        <f t="shared" si="12"/>
        <v>27.138888888888889</v>
      </c>
      <c r="E45" s="5">
        <v>50049</v>
      </c>
      <c r="H45" s="121">
        <v>0.34090909090909033</v>
      </c>
      <c r="I45" s="121">
        <v>0.34090909090909033</v>
      </c>
      <c r="J45" s="121">
        <v>0</v>
      </c>
      <c r="K45" s="121">
        <v>0</v>
      </c>
      <c r="L45" s="121">
        <f t="shared" si="13"/>
        <v>4.5454545454545459</v>
      </c>
      <c r="M45" s="141">
        <f t="shared" si="0"/>
        <v>4.5454545454545459</v>
      </c>
      <c r="N45" s="121">
        <f t="shared" si="10"/>
        <v>0</v>
      </c>
      <c r="O45" s="121">
        <f t="shared" si="1"/>
        <v>9.0909090909090651</v>
      </c>
      <c r="P45" s="141">
        <f t="shared" si="2"/>
        <v>9.0909090909090651</v>
      </c>
      <c r="Q45" s="127">
        <f t="shared" si="3"/>
        <v>4.8863636363636358</v>
      </c>
    </row>
    <row r="46" spans="3:20" x14ac:dyDescent="0.2">
      <c r="C46" s="121">
        <f t="shared" si="12"/>
        <v>28.138888888888889</v>
      </c>
      <c r="E46" s="5">
        <v>50230</v>
      </c>
      <c r="H46" s="121">
        <v>0.22727272727272663</v>
      </c>
      <c r="I46" s="121">
        <v>0.22727272727272663</v>
      </c>
      <c r="J46" s="121">
        <v>0</v>
      </c>
      <c r="K46" s="121">
        <v>0</v>
      </c>
      <c r="L46" s="121">
        <f t="shared" si="13"/>
        <v>4.5454545454545459</v>
      </c>
      <c r="M46" s="141">
        <f t="shared" si="0"/>
        <v>4.5454545454545459</v>
      </c>
      <c r="N46" s="121">
        <f t="shared" si="10"/>
        <v>0</v>
      </c>
      <c r="O46" s="121">
        <f t="shared" si="1"/>
        <v>4.5454545454545192</v>
      </c>
      <c r="P46" s="141">
        <f t="shared" si="2"/>
        <v>4.5454545454545192</v>
      </c>
      <c r="Q46" s="127">
        <f t="shared" si="3"/>
        <v>4.7727272727272725</v>
      </c>
    </row>
    <row r="47" spans="3:20" x14ac:dyDescent="0.2">
      <c r="C47" s="121">
        <f t="shared" si="12"/>
        <v>29.138888888888889</v>
      </c>
      <c r="E47" s="5">
        <v>50414</v>
      </c>
      <c r="H47" s="121">
        <v>0.11363636363636298</v>
      </c>
      <c r="I47" s="121">
        <v>0.11363636363636298</v>
      </c>
      <c r="J47" s="121">
        <v>0</v>
      </c>
      <c r="K47" s="121">
        <v>0</v>
      </c>
      <c r="L47" s="121">
        <f t="shared" si="13"/>
        <v>4.5454545454545459</v>
      </c>
      <c r="M47" s="141">
        <f t="shared" si="0"/>
        <v>4.5454545454545459</v>
      </c>
      <c r="N47" s="121">
        <f t="shared" si="10"/>
        <v>0</v>
      </c>
      <c r="O47" s="121">
        <f t="shared" si="1"/>
        <v>-2.6645352591003757E-14</v>
      </c>
      <c r="P47" s="141">
        <f t="shared" si="2"/>
        <v>-2.6645352591003757E-14</v>
      </c>
      <c r="Q47" s="127">
        <f t="shared" si="3"/>
        <v>4.6590909090909092</v>
      </c>
    </row>
  </sheetData>
  <mergeCells count="9">
    <mergeCell ref="AE5:AG5"/>
    <mergeCell ref="H1:I1"/>
    <mergeCell ref="N1:O1"/>
    <mergeCell ref="K1:L1"/>
    <mergeCell ref="F1:G1"/>
    <mergeCell ref="U2:W2"/>
    <mergeCell ref="S3:T3"/>
    <mergeCell ref="Y5:Z5"/>
    <mergeCell ref="AB5:AC5"/>
  </mergeCell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41B62-E1E6-D64C-8C7B-F7F45E1EB754}">
  <dimension ref="A1:AL60"/>
  <sheetViews>
    <sheetView showGridLines="0" zoomScale="93" workbookViewId="0">
      <selection activeCell="W25" sqref="W25"/>
    </sheetView>
  </sheetViews>
  <sheetFormatPr baseColWidth="10" defaultRowHeight="16" x14ac:dyDescent="0.2"/>
  <cols>
    <col min="1" max="1" width="23.83203125" style="121" customWidth="1"/>
    <col min="2" max="2" width="14.1640625" style="121" bestFit="1" customWidth="1"/>
    <col min="3" max="3" width="20.6640625" style="121" customWidth="1"/>
    <col min="4" max="4" width="12" style="121" customWidth="1"/>
    <col min="5" max="5" width="15.5" style="121" bestFit="1" customWidth="1"/>
    <col min="6" max="6" width="13.1640625" style="121" bestFit="1" customWidth="1"/>
    <col min="7" max="7" width="12.33203125" style="121" bestFit="1" customWidth="1"/>
    <col min="8" max="8" width="12.33203125" style="121" customWidth="1"/>
    <col min="9" max="9" width="13.33203125" style="121" bestFit="1" customWidth="1"/>
    <col min="10" max="10" width="13.33203125" style="121" customWidth="1"/>
    <col min="11" max="11" width="13.1640625" style="121" bestFit="1" customWidth="1"/>
    <col min="12" max="12" width="13.1640625" style="121" customWidth="1"/>
    <col min="13" max="13" width="13.1640625" style="141" customWidth="1"/>
    <col min="14" max="14" width="13.1640625" style="121" bestFit="1" customWidth="1"/>
    <col min="15" max="15" width="20" style="121" customWidth="1"/>
    <col min="16" max="16" width="13.1640625" style="141" customWidth="1"/>
    <col min="17" max="17" width="13.1640625" style="121" bestFit="1" customWidth="1"/>
    <col min="18" max="18" width="17.5" style="121" customWidth="1"/>
    <col min="19" max="19" width="17" style="121" customWidth="1"/>
    <col min="20" max="20" width="18.1640625" style="121" customWidth="1"/>
    <col min="21" max="21" width="14.1640625" style="136" bestFit="1" customWidth="1"/>
    <col min="22" max="22" width="16.5" style="121" customWidth="1"/>
    <col min="23" max="23" width="14.1640625" style="121" bestFit="1" customWidth="1"/>
    <col min="24" max="24" width="10.83203125" style="121"/>
    <col min="25" max="25" width="28.6640625" style="121" bestFit="1" customWidth="1"/>
    <col min="26" max="26" width="12" style="121" bestFit="1" customWidth="1"/>
    <col min="27" max="27" width="10.83203125" style="121"/>
    <col min="28" max="28" width="14.6640625" style="121" bestFit="1" customWidth="1"/>
    <col min="29" max="29" width="13.1640625" style="121" bestFit="1" customWidth="1"/>
    <col min="30" max="30" width="9.6640625" style="121" customWidth="1"/>
    <col min="31" max="31" width="14.1640625" style="121" bestFit="1" customWidth="1"/>
    <col min="32" max="32" width="14.5" style="121" bestFit="1" customWidth="1"/>
    <col min="33" max="33" width="24" style="121" customWidth="1"/>
    <col min="34" max="34" width="16.1640625" style="121" customWidth="1"/>
    <col min="35" max="37" width="10.83203125" style="121"/>
    <col min="38" max="38" width="255.83203125" style="132" bestFit="1" customWidth="1"/>
    <col min="39" max="16384" width="10.83203125" style="121"/>
  </cols>
  <sheetData>
    <row r="1" spans="1:38" x14ac:dyDescent="0.2">
      <c r="F1" s="149" t="s">
        <v>201</v>
      </c>
      <c r="G1" s="149"/>
      <c r="H1" s="149" t="s">
        <v>181</v>
      </c>
      <c r="I1" s="149"/>
      <c r="K1" s="149" t="s">
        <v>235</v>
      </c>
      <c r="L1" s="149"/>
      <c r="N1" s="149" t="s">
        <v>47</v>
      </c>
      <c r="O1" s="149"/>
      <c r="U1" s="121"/>
      <c r="AL1" s="123"/>
    </row>
    <row r="2" spans="1:38" ht="19" x14ac:dyDescent="0.2">
      <c r="C2" s="122" t="s">
        <v>74</v>
      </c>
      <c r="D2" s="122" t="s">
        <v>42</v>
      </c>
      <c r="E2" s="122"/>
      <c r="F2" s="122" t="s">
        <v>81</v>
      </c>
      <c r="G2" s="122" t="s">
        <v>82</v>
      </c>
      <c r="H2" s="122" t="s">
        <v>81</v>
      </c>
      <c r="I2" s="122" t="s">
        <v>82</v>
      </c>
      <c r="J2" s="122" t="s">
        <v>234</v>
      </c>
      <c r="K2" s="122" t="s">
        <v>231</v>
      </c>
      <c r="L2" s="122" t="s">
        <v>232</v>
      </c>
      <c r="M2" s="142" t="s">
        <v>233</v>
      </c>
      <c r="N2" s="122" t="s">
        <v>231</v>
      </c>
      <c r="O2" s="122" t="s">
        <v>232</v>
      </c>
      <c r="P2" s="142" t="s">
        <v>233</v>
      </c>
      <c r="Q2" s="125" t="s">
        <v>136</v>
      </c>
      <c r="R2" s="140"/>
      <c r="S2" s="136">
        <v>45457</v>
      </c>
      <c r="U2" s="149" t="s">
        <v>210</v>
      </c>
      <c r="V2" s="149"/>
      <c r="W2" s="149"/>
      <c r="AL2" s="126"/>
    </row>
    <row r="3" spans="1:38" ht="19" x14ac:dyDescent="0.2">
      <c r="A3" s="121" t="s">
        <v>51</v>
      </c>
      <c r="B3" s="136">
        <v>45091</v>
      </c>
      <c r="N3" s="121">
        <v>100</v>
      </c>
      <c r="O3" s="121">
        <v>100</v>
      </c>
      <c r="Q3" s="127"/>
      <c r="R3" s="127"/>
      <c r="S3" s="149" t="s">
        <v>211</v>
      </c>
      <c r="T3" s="149"/>
      <c r="U3" s="122" t="s">
        <v>220</v>
      </c>
      <c r="V3" s="122" t="s">
        <v>219</v>
      </c>
      <c r="W3" s="122" t="s">
        <v>217</v>
      </c>
      <c r="AL3" s="129"/>
    </row>
    <row r="4" spans="1:38" ht="19" x14ac:dyDescent="0.2">
      <c r="A4" s="121" t="s">
        <v>27</v>
      </c>
      <c r="B4" s="136"/>
      <c r="C4" s="121">
        <f>-YEARFRAC($B$3, E9)*$B$6</f>
        <v>-2.5333333333333332</v>
      </c>
      <c r="E4" s="5">
        <v>43839</v>
      </c>
      <c r="G4" s="121">
        <f>+F4</f>
        <v>0</v>
      </c>
      <c r="H4" s="121">
        <f>+N3*0.0125/2</f>
        <v>0.625</v>
      </c>
      <c r="I4" s="121">
        <v>2.5</v>
      </c>
      <c r="J4" s="121">
        <v>0</v>
      </c>
      <c r="K4" s="121">
        <v>0</v>
      </c>
      <c r="L4" s="121">
        <v>0</v>
      </c>
      <c r="M4" s="141">
        <f>+L4+K4</f>
        <v>0</v>
      </c>
      <c r="N4" s="121">
        <f t="shared" ref="N4:N9" si="0">+N3-K4</f>
        <v>100</v>
      </c>
      <c r="O4" s="121">
        <f>+O3-L4</f>
        <v>100</v>
      </c>
      <c r="P4" s="141">
        <f>+O4+N4</f>
        <v>200</v>
      </c>
      <c r="Q4" s="127">
        <f>+M4+F4+H4</f>
        <v>0.625</v>
      </c>
      <c r="R4" s="127">
        <f>+Q4*$B$26</f>
        <v>3125</v>
      </c>
      <c r="U4" s="121"/>
      <c r="AL4" s="130"/>
    </row>
    <row r="5" spans="1:38" ht="19" x14ac:dyDescent="0.2">
      <c r="A5" s="121" t="s">
        <v>38</v>
      </c>
      <c r="B5" s="136">
        <v>45724</v>
      </c>
      <c r="C5" s="121">
        <f>-YEARFRAC($B$3, E11)*$B$6</f>
        <v>-1.5333333333333334</v>
      </c>
      <c r="E5" s="5">
        <v>44021</v>
      </c>
      <c r="H5" s="121">
        <f t="shared" ref="H5:H6" si="1">+N4*0.0125/2</f>
        <v>0.625</v>
      </c>
      <c r="I5" s="121">
        <v>2.5</v>
      </c>
      <c r="J5" s="121">
        <v>0</v>
      </c>
      <c r="K5" s="121">
        <v>0</v>
      </c>
      <c r="L5" s="121">
        <v>0</v>
      </c>
      <c r="M5" s="141">
        <f t="shared" ref="M5:M47" si="2">+L5+K5</f>
        <v>0</v>
      </c>
      <c r="N5" s="121">
        <f t="shared" si="0"/>
        <v>100</v>
      </c>
      <c r="O5" s="121">
        <f t="shared" ref="O5:O47" si="3">+O4-L5</f>
        <v>100</v>
      </c>
      <c r="P5" s="141">
        <f t="shared" ref="P5:P47" si="4">+O5+N5</f>
        <v>200</v>
      </c>
      <c r="Q5" s="127">
        <f t="shared" ref="Q5:Q47" si="5">+M5+F5+H5</f>
        <v>0.625</v>
      </c>
      <c r="R5" s="127">
        <f t="shared" ref="R5:R47" si="6">+Q5*$B$26</f>
        <v>3125</v>
      </c>
      <c r="U5" s="121"/>
      <c r="Y5" s="149" t="s">
        <v>76</v>
      </c>
      <c r="Z5" s="149"/>
      <c r="AB5" s="149" t="s">
        <v>78</v>
      </c>
      <c r="AC5" s="149"/>
      <c r="AE5" s="149" t="s">
        <v>215</v>
      </c>
      <c r="AF5" s="149"/>
      <c r="AG5" s="149"/>
      <c r="AL5" s="129"/>
    </row>
    <row r="6" spans="1:38" ht="19" x14ac:dyDescent="0.2">
      <c r="A6" s="121" t="s">
        <v>39</v>
      </c>
      <c r="B6" s="121">
        <v>2</v>
      </c>
      <c r="C6" s="121">
        <f>-YEARFRAC($B$3, E13)*$B$6</f>
        <v>-0.53333333333333333</v>
      </c>
      <c r="E6" s="5">
        <v>44205</v>
      </c>
      <c r="H6" s="121">
        <f t="shared" si="1"/>
        <v>0.625</v>
      </c>
      <c r="I6" s="121">
        <v>2.5</v>
      </c>
      <c r="J6" s="121">
        <v>0</v>
      </c>
      <c r="K6" s="121">
        <v>0</v>
      </c>
      <c r="L6" s="121">
        <v>0</v>
      </c>
      <c r="M6" s="141">
        <f t="shared" si="2"/>
        <v>0</v>
      </c>
      <c r="N6" s="121">
        <f t="shared" si="0"/>
        <v>100</v>
      </c>
      <c r="O6" s="121">
        <f t="shared" si="3"/>
        <v>100</v>
      </c>
      <c r="P6" s="141">
        <f t="shared" si="4"/>
        <v>200</v>
      </c>
      <c r="Q6" s="127">
        <f t="shared" si="5"/>
        <v>0.625</v>
      </c>
      <c r="R6" s="127">
        <f t="shared" si="6"/>
        <v>3125</v>
      </c>
      <c r="U6" s="121"/>
      <c r="Y6" s="135">
        <f>+B3</f>
        <v>45091</v>
      </c>
      <c r="Z6" s="128">
        <f>-B14</f>
        <v>-76.654630544853049</v>
      </c>
      <c r="AB6" s="135">
        <f t="shared" ref="AB6:AB10" si="7">+Y6</f>
        <v>45091</v>
      </c>
      <c r="AC6" s="128">
        <f>-B14</f>
        <v>-76.654630544853049</v>
      </c>
      <c r="AE6" s="135">
        <f>+AB6</f>
        <v>45091</v>
      </c>
      <c r="AF6" s="128">
        <f>-B14</f>
        <v>-76.654630544853049</v>
      </c>
      <c r="AH6" s="128"/>
      <c r="AI6" s="128"/>
      <c r="AJ6" s="128"/>
      <c r="AK6" s="128"/>
      <c r="AL6" s="129"/>
    </row>
    <row r="7" spans="1:38" ht="19" x14ac:dyDescent="0.2">
      <c r="A7" s="121" t="s">
        <v>41</v>
      </c>
      <c r="B7" s="121">
        <v>9.5000000000000001E-2</v>
      </c>
      <c r="C7" s="121">
        <f>-YEARFRAC($B$3, E7)*$B$6</f>
        <v>-3.8611111111111112</v>
      </c>
      <c r="E7" s="5">
        <v>44386</v>
      </c>
      <c r="H7" s="121">
        <f>+N6*0.02/2</f>
        <v>1</v>
      </c>
      <c r="I7" s="121">
        <v>2.5</v>
      </c>
      <c r="J7" s="121">
        <v>0</v>
      </c>
      <c r="K7" s="121">
        <v>0</v>
      </c>
      <c r="L7" s="121">
        <v>0</v>
      </c>
      <c r="M7" s="141">
        <f t="shared" si="2"/>
        <v>0</v>
      </c>
      <c r="N7" s="121">
        <f t="shared" si="0"/>
        <v>100</v>
      </c>
      <c r="O7" s="121">
        <f t="shared" si="3"/>
        <v>100</v>
      </c>
      <c r="P7" s="141">
        <f t="shared" si="4"/>
        <v>200</v>
      </c>
      <c r="Q7" s="127">
        <f t="shared" si="5"/>
        <v>1</v>
      </c>
      <c r="R7" s="127">
        <f t="shared" si="6"/>
        <v>5000</v>
      </c>
      <c r="U7" s="121"/>
      <c r="Y7" s="136">
        <f>+E15</f>
        <v>45177</v>
      </c>
      <c r="Z7" s="121">
        <f t="shared" ref="Z7:Z10" si="8">+Q7</f>
        <v>1</v>
      </c>
      <c r="AB7" s="136">
        <f>+Y7</f>
        <v>45177</v>
      </c>
      <c r="AC7" s="121">
        <f>+AF7/(1+$AB$17/2)^C7</f>
        <v>1.2072973241810636</v>
      </c>
      <c r="AE7" s="136">
        <f>+E15</f>
        <v>45177</v>
      </c>
      <c r="AF7" s="121">
        <f>+Q7</f>
        <v>1</v>
      </c>
      <c r="AG7" s="121">
        <f>+AF7/(1+$AG$12/2)^C7</f>
        <v>1.1582942866601409</v>
      </c>
      <c r="AH7" s="121">
        <f>+AF7/(1+$AB$17/2)^C7</f>
        <v>1.2072973241810636</v>
      </c>
      <c r="AL7" s="129"/>
    </row>
    <row r="8" spans="1:38" ht="19" x14ac:dyDescent="0.2">
      <c r="A8" s="121" t="s">
        <v>43</v>
      </c>
      <c r="B8" s="121">
        <v>100</v>
      </c>
      <c r="C8" s="121">
        <f t="shared" ref="C8:C13" si="9">-YEARFRAC($B$3, E8)*$B$6</f>
        <v>-2.8611111111111112</v>
      </c>
      <c r="E8" s="5">
        <v>44570</v>
      </c>
      <c r="H8" s="121">
        <f>+N7*0.02/2</f>
        <v>1</v>
      </c>
      <c r="I8" s="121">
        <v>2.5</v>
      </c>
      <c r="J8" s="121">
        <v>0</v>
      </c>
      <c r="K8" s="121">
        <v>0</v>
      </c>
      <c r="L8" s="121">
        <v>0</v>
      </c>
      <c r="M8" s="141">
        <f t="shared" si="2"/>
        <v>0</v>
      </c>
      <c r="N8" s="121">
        <f t="shared" si="0"/>
        <v>100</v>
      </c>
      <c r="O8" s="121">
        <f t="shared" si="3"/>
        <v>100</v>
      </c>
      <c r="P8" s="141">
        <f t="shared" si="4"/>
        <v>200</v>
      </c>
      <c r="Q8" s="127">
        <f t="shared" si="5"/>
        <v>1</v>
      </c>
      <c r="R8" s="127">
        <f t="shared" si="6"/>
        <v>5000</v>
      </c>
      <c r="U8" s="121"/>
      <c r="Y8" s="136">
        <f>+E17</f>
        <v>45359</v>
      </c>
      <c r="Z8" s="121">
        <f t="shared" si="8"/>
        <v>1</v>
      </c>
      <c r="AB8" s="136">
        <f t="shared" si="7"/>
        <v>45359</v>
      </c>
      <c r="AC8" s="121">
        <f t="shared" ref="AC8:AC10" si="10">+AF8/(1+$AB$17/2)^C8</f>
        <v>1.1498069754105367</v>
      </c>
      <c r="AE8" s="136">
        <f>+E17</f>
        <v>45359</v>
      </c>
      <c r="AF8" s="121">
        <f t="shared" ref="AF8:AF10" si="11">+Q8</f>
        <v>1</v>
      </c>
      <c r="AG8" s="121">
        <f>+AF8/(1+$AG$12/2)^C8</f>
        <v>1.1150395567362081</v>
      </c>
      <c r="AH8" s="121">
        <f>+AF8/(1+$AB$17/2)^C8</f>
        <v>1.1498069754105367</v>
      </c>
      <c r="AL8" s="129"/>
    </row>
    <row r="9" spans="1:38" ht="19" x14ac:dyDescent="0.2">
      <c r="A9" s="121" t="s">
        <v>80</v>
      </c>
      <c r="C9" s="121">
        <f t="shared" si="9"/>
        <v>-2.5333333333333332</v>
      </c>
      <c r="E9" s="137">
        <v>44628</v>
      </c>
      <c r="F9" s="121">
        <f>+$B$7/2 * N8</f>
        <v>4.75</v>
      </c>
      <c r="J9" s="121">
        <v>0</v>
      </c>
      <c r="K9" s="121">
        <v>0</v>
      </c>
      <c r="L9" s="121">
        <v>0</v>
      </c>
      <c r="M9" s="141">
        <f t="shared" si="2"/>
        <v>0</v>
      </c>
      <c r="N9" s="121">
        <f t="shared" si="0"/>
        <v>100</v>
      </c>
      <c r="O9" s="121">
        <f t="shared" si="3"/>
        <v>100</v>
      </c>
      <c r="P9" s="141">
        <f t="shared" si="4"/>
        <v>200</v>
      </c>
      <c r="Q9" s="127">
        <f t="shared" si="5"/>
        <v>4.75</v>
      </c>
      <c r="R9" s="127">
        <f>+Q9*$B$25</f>
        <v>9500</v>
      </c>
      <c r="S9" s="121">
        <f>YEARFRAC($S$2, E19)*$B$6</f>
        <v>0.46666666666666667</v>
      </c>
      <c r="T9" s="121">
        <f t="shared" ref="T9:T10" si="12">+Q9/(1+$A$23/2)^S9</f>
        <v>4.75</v>
      </c>
      <c r="U9" s="121"/>
      <c r="X9" s="128"/>
      <c r="Y9" s="136">
        <f>+E19</f>
        <v>45543</v>
      </c>
      <c r="Z9" s="121">
        <f t="shared" si="8"/>
        <v>4.75</v>
      </c>
      <c r="AB9" s="136">
        <f t="shared" si="7"/>
        <v>45543</v>
      </c>
      <c r="AC9" s="121">
        <f t="shared" si="10"/>
        <v>5.3749343891839727</v>
      </c>
      <c r="AE9" s="136">
        <f>+E19</f>
        <v>45543</v>
      </c>
      <c r="AF9" s="121">
        <f t="shared" si="11"/>
        <v>4.75</v>
      </c>
      <c r="AG9" s="121">
        <f>+AF9/(1+$AG$12/2)^C9</f>
        <v>5.2307764932894569</v>
      </c>
      <c r="AH9" s="121">
        <f>+AF9/(1+$AB$17/2)^C9</f>
        <v>5.3749343891839727</v>
      </c>
      <c r="AL9" s="129"/>
    </row>
    <row r="10" spans="1:38" ht="19" x14ac:dyDescent="0.2">
      <c r="A10" s="131" t="s">
        <v>0</v>
      </c>
      <c r="B10" s="131"/>
      <c r="C10" s="121">
        <f t="shared" si="9"/>
        <v>-1.8611111111111112</v>
      </c>
      <c r="E10" s="5">
        <v>44751</v>
      </c>
      <c r="H10" s="121">
        <f>+N9*0.03875/2</f>
        <v>1.9375</v>
      </c>
      <c r="I10" s="121">
        <v>2.5</v>
      </c>
      <c r="J10" s="121">
        <v>0</v>
      </c>
      <c r="K10" s="121">
        <v>0</v>
      </c>
      <c r="L10" s="121">
        <v>0</v>
      </c>
      <c r="M10" s="141">
        <f t="shared" si="2"/>
        <v>0</v>
      </c>
      <c r="N10" s="121">
        <f t="shared" ref="N10:N47" si="13">+N9-K10</f>
        <v>100</v>
      </c>
      <c r="O10" s="121">
        <f t="shared" si="3"/>
        <v>100</v>
      </c>
      <c r="P10" s="141">
        <f t="shared" si="4"/>
        <v>200</v>
      </c>
      <c r="Q10" s="127">
        <f t="shared" si="5"/>
        <v>1.9375</v>
      </c>
      <c r="R10" s="127">
        <f t="shared" si="6"/>
        <v>9687.5</v>
      </c>
      <c r="S10" s="121">
        <f>YEARFRAC($S$2, E21)*$B$6</f>
        <v>1.4666666666666666</v>
      </c>
      <c r="T10" s="121">
        <f t="shared" si="12"/>
        <v>1.9375</v>
      </c>
      <c r="U10" s="121"/>
      <c r="Y10" s="136">
        <f>+E21</f>
        <v>45724</v>
      </c>
      <c r="Z10" s="121">
        <f t="shared" si="8"/>
        <v>1.9375</v>
      </c>
      <c r="AB10" s="136">
        <f t="shared" si="7"/>
        <v>45724</v>
      </c>
      <c r="AC10" s="121">
        <f t="shared" si="10"/>
        <v>2.121667633198014</v>
      </c>
      <c r="AE10" s="136">
        <f>+E21</f>
        <v>45724</v>
      </c>
      <c r="AF10" s="121">
        <f t="shared" si="11"/>
        <v>1.9375</v>
      </c>
      <c r="AG10" s="121">
        <f>+AF10/(1+$AG$12/2)^C10</f>
        <v>2.0797127104036757</v>
      </c>
      <c r="AH10" s="121">
        <f>+AF10/(1+$AB$17/2)^C10</f>
        <v>2.121667633198014</v>
      </c>
      <c r="AL10" s="129"/>
    </row>
    <row r="11" spans="1:38" x14ac:dyDescent="0.2">
      <c r="A11" s="121" t="s">
        <v>44</v>
      </c>
      <c r="B11" s="121">
        <v>0</v>
      </c>
      <c r="C11" s="121">
        <f t="shared" si="9"/>
        <v>-1.5333333333333334</v>
      </c>
      <c r="E11" s="137">
        <v>44812</v>
      </c>
      <c r="F11" s="121">
        <f t="shared" ref="F11:F21" si="14">+$B$7/2 * N10</f>
        <v>4.75</v>
      </c>
      <c r="J11" s="121">
        <v>0</v>
      </c>
      <c r="K11" s="121">
        <f>0.133*$N$8</f>
        <v>13.3</v>
      </c>
      <c r="L11" s="121">
        <v>0</v>
      </c>
      <c r="M11" s="141">
        <f t="shared" si="2"/>
        <v>13.3</v>
      </c>
      <c r="N11" s="121">
        <f t="shared" si="13"/>
        <v>86.7</v>
      </c>
      <c r="O11" s="121">
        <f t="shared" si="3"/>
        <v>100</v>
      </c>
      <c r="P11" s="141">
        <f t="shared" si="4"/>
        <v>186.7</v>
      </c>
      <c r="Q11" s="127">
        <f t="shared" si="5"/>
        <v>18.05</v>
      </c>
      <c r="R11" s="127">
        <f>+Q11*$B$25</f>
        <v>36100</v>
      </c>
      <c r="U11" s="121"/>
    </row>
    <row r="12" spans="1:38" x14ac:dyDescent="0.2">
      <c r="A12" s="121" t="s">
        <v>98</v>
      </c>
      <c r="B12" s="121" t="s">
        <v>5</v>
      </c>
      <c r="C12" s="121">
        <f t="shared" si="9"/>
        <v>-0.86111111111111116</v>
      </c>
      <c r="E12" s="5">
        <v>44935</v>
      </c>
      <c r="H12" s="121">
        <f>+N11*0.03875/2</f>
        <v>1.6798125000000002</v>
      </c>
      <c r="I12" s="121">
        <v>2.5</v>
      </c>
      <c r="J12" s="121">
        <v>0</v>
      </c>
      <c r="K12" s="121">
        <v>0</v>
      </c>
      <c r="L12" s="121">
        <v>0</v>
      </c>
      <c r="M12" s="141">
        <f t="shared" si="2"/>
        <v>0</v>
      </c>
      <c r="N12" s="121">
        <f t="shared" si="13"/>
        <v>86.7</v>
      </c>
      <c r="O12" s="121">
        <f t="shared" si="3"/>
        <v>100</v>
      </c>
      <c r="P12" s="141">
        <f t="shared" si="4"/>
        <v>186.7</v>
      </c>
      <c r="Q12" s="127">
        <f t="shared" si="5"/>
        <v>1.6798125000000002</v>
      </c>
      <c r="R12" s="127">
        <f t="shared" si="6"/>
        <v>8399.0625</v>
      </c>
      <c r="S12" s="133" t="s">
        <v>213</v>
      </c>
      <c r="T12" s="122">
        <f>+SUM(T9:T10)</f>
        <v>6.6875</v>
      </c>
      <c r="U12" s="133" t="s">
        <v>40</v>
      </c>
      <c r="V12" s="133" t="s">
        <v>214</v>
      </c>
      <c r="W12" s="133" t="s">
        <v>218</v>
      </c>
      <c r="Y12" s="133" t="s">
        <v>76</v>
      </c>
      <c r="Z12" s="119">
        <f>+XIRR(Z6:Z10, Y6:Y10)</f>
        <v>-0.8102276436984539</v>
      </c>
      <c r="AB12" s="133" t="s">
        <v>216</v>
      </c>
      <c r="AC12" s="122">
        <f>+SUM(AC7:AC10)</f>
        <v>9.8537063219735863</v>
      </c>
      <c r="AE12" s="133" t="s">
        <v>0</v>
      </c>
      <c r="AF12" s="133"/>
      <c r="AG12" s="72">
        <v>7.7584207058164129E-2</v>
      </c>
    </row>
    <row r="13" spans="1:38" x14ac:dyDescent="0.2">
      <c r="C13" s="121">
        <f t="shared" si="9"/>
        <v>-0.53333333333333333</v>
      </c>
      <c r="E13" s="137">
        <v>44993</v>
      </c>
      <c r="F13" s="121">
        <f t="shared" si="14"/>
        <v>4.1182499999999997</v>
      </c>
      <c r="J13" s="121">
        <v>0</v>
      </c>
      <c r="K13" s="121">
        <f>0.133*$N$8</f>
        <v>13.3</v>
      </c>
      <c r="L13" s="121">
        <v>0</v>
      </c>
      <c r="M13" s="141">
        <f t="shared" si="2"/>
        <v>13.3</v>
      </c>
      <c r="N13" s="121">
        <f t="shared" si="13"/>
        <v>73.400000000000006</v>
      </c>
      <c r="O13" s="121">
        <f t="shared" si="3"/>
        <v>100</v>
      </c>
      <c r="P13" s="141">
        <f t="shared" si="4"/>
        <v>173.4</v>
      </c>
      <c r="Q13" s="127">
        <f t="shared" si="5"/>
        <v>17.41825</v>
      </c>
      <c r="R13" s="127">
        <f>+Q13*$B$25</f>
        <v>34836.5</v>
      </c>
      <c r="S13" s="133" t="s">
        <v>50</v>
      </c>
      <c r="T13" s="122" t="e">
        <f>+YEARFRAC(E21, B3)*2*#REF!</f>
        <v>#REF!</v>
      </c>
      <c r="U13" s="122" t="e">
        <f>+SUM(#REF!)</f>
        <v>#REF!</v>
      </c>
      <c r="V13" s="122" t="e">
        <f>+SUM(#REF!)</f>
        <v>#REF!</v>
      </c>
      <c r="W13" s="122" t="e">
        <f>+SUM(#REF!)</f>
        <v>#REF!</v>
      </c>
      <c r="Y13" s="133" t="s">
        <v>77</v>
      </c>
      <c r="Z13" s="122"/>
      <c r="AE13" s="133" t="s">
        <v>205</v>
      </c>
      <c r="AF13" s="133"/>
      <c r="AG13" s="122">
        <f>+SUM(AG7:AG10)</f>
        <v>9.5838230470894814</v>
      </c>
      <c r="AH13" s="121">
        <f>+SUM(AH7:AH10)</f>
        <v>9.8537063219735863</v>
      </c>
    </row>
    <row r="14" spans="1:38" x14ac:dyDescent="0.2">
      <c r="A14" s="121" t="s">
        <v>84</v>
      </c>
      <c r="B14" s="121">
        <f>38000/495.73</f>
        <v>76.654630544853049</v>
      </c>
      <c r="C14" s="121">
        <f t="shared" ref="C14:C47" si="15">YEARFRAC($B$3, E14)*$B$6</f>
        <v>0.14444444444444443</v>
      </c>
      <c r="E14" s="106">
        <v>45117</v>
      </c>
      <c r="H14" s="121">
        <v>2.125</v>
      </c>
      <c r="I14" s="121">
        <v>2.125</v>
      </c>
      <c r="J14" s="121">
        <v>0</v>
      </c>
      <c r="K14" s="121">
        <v>0</v>
      </c>
      <c r="L14" s="121">
        <v>0</v>
      </c>
      <c r="M14" s="141">
        <f t="shared" si="2"/>
        <v>0</v>
      </c>
      <c r="N14" s="121">
        <f t="shared" si="13"/>
        <v>73.400000000000006</v>
      </c>
      <c r="O14" s="121">
        <f t="shared" si="3"/>
        <v>100</v>
      </c>
      <c r="P14" s="141">
        <f t="shared" si="4"/>
        <v>173.4</v>
      </c>
      <c r="Q14" s="127">
        <f t="shared" si="5"/>
        <v>2.125</v>
      </c>
      <c r="R14" s="127">
        <f t="shared" si="6"/>
        <v>10625</v>
      </c>
      <c r="S14" s="133" t="s">
        <v>212</v>
      </c>
      <c r="T14" s="122" t="e">
        <f>+T13+T12</f>
        <v>#REF!</v>
      </c>
      <c r="U14" s="121"/>
      <c r="AG14" s="121">
        <f>+B14</f>
        <v>76.654630544853049</v>
      </c>
    </row>
    <row r="15" spans="1:38" x14ac:dyDescent="0.2">
      <c r="A15" s="121" t="s">
        <v>83</v>
      </c>
      <c r="B15" s="121">
        <f>+B14-B16</f>
        <v>74.795163878186386</v>
      </c>
      <c r="C15" s="121">
        <f t="shared" si="15"/>
        <v>0.46666666666666667</v>
      </c>
      <c r="D15" s="107"/>
      <c r="E15" s="138">
        <v>45177</v>
      </c>
      <c r="F15" s="121">
        <f t="shared" si="14"/>
        <v>3.4865000000000004</v>
      </c>
      <c r="J15" s="121">
        <v>0</v>
      </c>
      <c r="K15" s="121">
        <f>0.133*$N$8</f>
        <v>13.3</v>
      </c>
      <c r="L15" s="121">
        <v>0</v>
      </c>
      <c r="M15" s="141">
        <f t="shared" si="2"/>
        <v>13.3</v>
      </c>
      <c r="N15" s="121">
        <f t="shared" si="13"/>
        <v>60.100000000000009</v>
      </c>
      <c r="O15" s="121">
        <f t="shared" si="3"/>
        <v>100</v>
      </c>
      <c r="P15" s="141">
        <f t="shared" si="4"/>
        <v>160.10000000000002</v>
      </c>
      <c r="Q15" s="127">
        <f t="shared" si="5"/>
        <v>16.7865</v>
      </c>
      <c r="R15" s="127">
        <f>+Q15*$B$25</f>
        <v>33573</v>
      </c>
      <c r="U15" s="121"/>
    </row>
    <row r="16" spans="1:38" x14ac:dyDescent="0.2">
      <c r="A16" s="121" t="s">
        <v>207</v>
      </c>
      <c r="B16" s="121">
        <f>+YEARFRAC(E13, B3)*2*F15</f>
        <v>1.8594666666666668</v>
      </c>
      <c r="C16" s="121">
        <f t="shared" si="15"/>
        <v>1.1388888888888888</v>
      </c>
      <c r="D16" s="107"/>
      <c r="E16" s="5">
        <v>45300</v>
      </c>
      <c r="H16" s="121">
        <v>2.125</v>
      </c>
      <c r="I16" s="121">
        <v>2.125</v>
      </c>
      <c r="J16" s="121">
        <v>0</v>
      </c>
      <c r="K16" s="121">
        <v>0</v>
      </c>
      <c r="L16" s="121">
        <v>0</v>
      </c>
      <c r="M16" s="141">
        <f t="shared" si="2"/>
        <v>0</v>
      </c>
      <c r="N16" s="121">
        <f t="shared" si="13"/>
        <v>60.100000000000009</v>
      </c>
      <c r="O16" s="121">
        <f t="shared" si="3"/>
        <v>100</v>
      </c>
      <c r="P16" s="141">
        <f t="shared" si="4"/>
        <v>160.10000000000002</v>
      </c>
      <c r="Q16" s="127">
        <f t="shared" si="5"/>
        <v>2.125</v>
      </c>
      <c r="R16" s="127">
        <f t="shared" si="6"/>
        <v>10625</v>
      </c>
      <c r="U16" s="121"/>
    </row>
    <row r="17" spans="1:37" x14ac:dyDescent="0.2">
      <c r="C17" s="121">
        <f t="shared" si="15"/>
        <v>1.4666666666666666</v>
      </c>
      <c r="D17" s="107"/>
      <c r="E17" s="137">
        <v>45359</v>
      </c>
      <c r="F17" s="121">
        <f t="shared" si="14"/>
        <v>2.8547500000000006</v>
      </c>
      <c r="J17" s="121">
        <v>0</v>
      </c>
      <c r="K17" s="121">
        <f>0.133*$N$8</f>
        <v>13.3</v>
      </c>
      <c r="L17" s="121">
        <v>0</v>
      </c>
      <c r="M17" s="141">
        <f t="shared" si="2"/>
        <v>13.3</v>
      </c>
      <c r="N17" s="121">
        <f t="shared" si="13"/>
        <v>46.800000000000011</v>
      </c>
      <c r="O17" s="121">
        <f t="shared" si="3"/>
        <v>100</v>
      </c>
      <c r="P17" s="141">
        <f t="shared" si="4"/>
        <v>146.80000000000001</v>
      </c>
      <c r="Q17" s="127">
        <f t="shared" si="5"/>
        <v>16.15475</v>
      </c>
      <c r="R17" s="127">
        <f>+Q17*$B$25</f>
        <v>32309.5</v>
      </c>
      <c r="AB17" s="121">
        <v>0.1</v>
      </c>
    </row>
    <row r="18" spans="1:37" x14ac:dyDescent="0.2">
      <c r="A18" s="121" t="s">
        <v>6</v>
      </c>
      <c r="B18" s="120">
        <f>+(F15+F17)/B14</f>
        <v>8.2724943750000002E-2</v>
      </c>
      <c r="C18" s="121">
        <f t="shared" si="15"/>
        <v>2.1388888888888888</v>
      </c>
      <c r="D18" s="107"/>
      <c r="E18" s="5">
        <v>45482</v>
      </c>
      <c r="H18" s="121">
        <v>2.5</v>
      </c>
      <c r="I18" s="121">
        <v>2.5</v>
      </c>
      <c r="J18" s="121">
        <v>0</v>
      </c>
      <c r="K18" s="121">
        <v>0</v>
      </c>
      <c r="L18" s="121">
        <v>0</v>
      </c>
      <c r="M18" s="141">
        <f t="shared" si="2"/>
        <v>0</v>
      </c>
      <c r="N18" s="121">
        <f t="shared" si="13"/>
        <v>46.800000000000011</v>
      </c>
      <c r="O18" s="121">
        <f t="shared" si="3"/>
        <v>100</v>
      </c>
      <c r="P18" s="141">
        <f t="shared" si="4"/>
        <v>146.80000000000001</v>
      </c>
      <c r="Q18" s="127">
        <f t="shared" si="5"/>
        <v>2.5</v>
      </c>
      <c r="R18" s="127">
        <f t="shared" si="6"/>
        <v>12500</v>
      </c>
    </row>
    <row r="19" spans="1:37" x14ac:dyDescent="0.2">
      <c r="A19" s="121" t="s">
        <v>206</v>
      </c>
      <c r="B19" s="121" t="e">
        <f>+(T14-B14)/B14</f>
        <v>#REF!</v>
      </c>
      <c r="C19" s="121">
        <f t="shared" si="15"/>
        <v>2.4666666666666668</v>
      </c>
      <c r="D19" s="107"/>
      <c r="E19" s="137">
        <v>45543</v>
      </c>
      <c r="F19" s="121">
        <f t="shared" si="14"/>
        <v>2.2230000000000008</v>
      </c>
      <c r="J19" s="121">
        <v>0</v>
      </c>
      <c r="K19" s="121">
        <f>0.133*$N$8</f>
        <v>13.3</v>
      </c>
      <c r="L19" s="121">
        <v>0</v>
      </c>
      <c r="M19" s="141">
        <f t="shared" si="2"/>
        <v>13.3</v>
      </c>
      <c r="N19" s="121">
        <f t="shared" si="13"/>
        <v>33.500000000000014</v>
      </c>
      <c r="O19" s="121">
        <f t="shared" si="3"/>
        <v>100</v>
      </c>
      <c r="P19" s="141">
        <f t="shared" si="4"/>
        <v>133.5</v>
      </c>
      <c r="Q19" s="127">
        <f t="shared" si="5"/>
        <v>15.523000000000001</v>
      </c>
      <c r="R19" s="127">
        <f>+Q19*$B$25</f>
        <v>31046.000000000004</v>
      </c>
    </row>
    <row r="20" spans="1:37" x14ac:dyDescent="0.2">
      <c r="A20" s="121" t="s">
        <v>208</v>
      </c>
      <c r="B20" s="121" t="e">
        <f>+SUM(B18:B19)</f>
        <v>#REF!</v>
      </c>
      <c r="C20" s="121">
        <f t="shared" si="15"/>
        <v>3.1388888888888888</v>
      </c>
      <c r="D20" s="107"/>
      <c r="E20" s="5">
        <v>45666</v>
      </c>
      <c r="H20" s="121">
        <v>2.5</v>
      </c>
      <c r="I20" s="121">
        <v>2.5</v>
      </c>
      <c r="J20" s="121">
        <v>0</v>
      </c>
      <c r="K20" s="121">
        <v>0</v>
      </c>
      <c r="L20" s="121">
        <v>0</v>
      </c>
      <c r="M20" s="141">
        <f t="shared" si="2"/>
        <v>0</v>
      </c>
      <c r="N20" s="121">
        <f t="shared" si="13"/>
        <v>33.500000000000014</v>
      </c>
      <c r="O20" s="121">
        <f t="shared" si="3"/>
        <v>100</v>
      </c>
      <c r="P20" s="141">
        <f t="shared" si="4"/>
        <v>133.5</v>
      </c>
      <c r="Q20" s="127">
        <f t="shared" si="5"/>
        <v>2.5</v>
      </c>
      <c r="R20" s="127">
        <f t="shared" si="6"/>
        <v>12500</v>
      </c>
    </row>
    <row r="21" spans="1:37" x14ac:dyDescent="0.2">
      <c r="C21" s="121">
        <f t="shared" si="15"/>
        <v>3.4666666666666668</v>
      </c>
      <c r="D21" s="107"/>
      <c r="E21" s="137">
        <v>45724</v>
      </c>
      <c r="F21" s="121">
        <f t="shared" si="14"/>
        <v>1.5912500000000007</v>
      </c>
      <c r="J21" s="121">
        <v>0</v>
      </c>
      <c r="K21" s="121">
        <f>0.335*$N$8</f>
        <v>33.5</v>
      </c>
      <c r="L21" s="121">
        <v>0</v>
      </c>
      <c r="M21" s="141">
        <f t="shared" si="2"/>
        <v>33.5</v>
      </c>
      <c r="N21" s="121">
        <f t="shared" si="13"/>
        <v>0</v>
      </c>
      <c r="O21" s="121">
        <f t="shared" si="3"/>
        <v>100</v>
      </c>
      <c r="P21" s="141">
        <f t="shared" si="4"/>
        <v>100</v>
      </c>
      <c r="Q21" s="127">
        <f t="shared" si="5"/>
        <v>35.091250000000002</v>
      </c>
      <c r="R21" s="127">
        <f>+Q21*$B$25</f>
        <v>70182.5</v>
      </c>
    </row>
    <row r="22" spans="1:37" x14ac:dyDescent="0.2">
      <c r="A22" s="128" t="s">
        <v>209</v>
      </c>
      <c r="C22" s="121">
        <f t="shared" si="15"/>
        <v>4.1388888888888893</v>
      </c>
      <c r="D22" s="107"/>
      <c r="E22" s="5">
        <v>45847</v>
      </c>
      <c r="H22" s="121">
        <v>2.5</v>
      </c>
      <c r="I22" s="121">
        <v>2.5</v>
      </c>
      <c r="J22" s="121">
        <v>0</v>
      </c>
      <c r="K22" s="121">
        <v>0</v>
      </c>
      <c r="L22" s="121">
        <v>0</v>
      </c>
      <c r="M22" s="141">
        <f t="shared" si="2"/>
        <v>0</v>
      </c>
      <c r="N22" s="121">
        <f t="shared" si="13"/>
        <v>0</v>
      </c>
      <c r="O22" s="121">
        <f t="shared" si="3"/>
        <v>100</v>
      </c>
      <c r="P22" s="141">
        <f t="shared" si="4"/>
        <v>100</v>
      </c>
      <c r="Q22" s="127">
        <f t="shared" si="5"/>
        <v>2.5</v>
      </c>
      <c r="R22" s="127">
        <f t="shared" si="6"/>
        <v>12500</v>
      </c>
    </row>
    <row r="23" spans="1:37" x14ac:dyDescent="0.2">
      <c r="A23" s="128"/>
      <c r="C23" s="121">
        <f t="shared" si="15"/>
        <v>5.1388888888888893</v>
      </c>
      <c r="D23" s="107"/>
      <c r="E23" s="5">
        <v>46031</v>
      </c>
      <c r="H23" s="121">
        <v>2.5</v>
      </c>
      <c r="I23" s="121">
        <v>2.5</v>
      </c>
      <c r="J23" s="121">
        <v>0</v>
      </c>
      <c r="K23" s="121">
        <v>0</v>
      </c>
      <c r="L23" s="121">
        <v>0</v>
      </c>
      <c r="M23" s="141">
        <f t="shared" si="2"/>
        <v>0</v>
      </c>
      <c r="N23" s="121">
        <f t="shared" si="13"/>
        <v>0</v>
      </c>
      <c r="O23" s="121">
        <f t="shared" si="3"/>
        <v>100</v>
      </c>
      <c r="P23" s="141">
        <f t="shared" si="4"/>
        <v>100</v>
      </c>
      <c r="Q23" s="127">
        <f t="shared" si="5"/>
        <v>2.5</v>
      </c>
      <c r="R23" s="127">
        <f t="shared" si="6"/>
        <v>12500</v>
      </c>
    </row>
    <row r="24" spans="1:37" x14ac:dyDescent="0.2">
      <c r="C24" s="121">
        <f t="shared" si="15"/>
        <v>6.1388888888888893</v>
      </c>
      <c r="D24" s="107"/>
      <c r="E24" s="5">
        <v>46212</v>
      </c>
      <c r="H24" s="121">
        <v>2.5</v>
      </c>
      <c r="I24" s="121">
        <v>2.5</v>
      </c>
      <c r="J24" s="121">
        <v>0</v>
      </c>
      <c r="K24" s="121">
        <v>0</v>
      </c>
      <c r="L24" s="121">
        <v>0</v>
      </c>
      <c r="M24" s="141">
        <f t="shared" si="2"/>
        <v>0</v>
      </c>
      <c r="N24" s="121">
        <f t="shared" si="13"/>
        <v>0</v>
      </c>
      <c r="O24" s="121">
        <f t="shared" si="3"/>
        <v>100</v>
      </c>
      <c r="P24" s="141">
        <f t="shared" si="4"/>
        <v>100</v>
      </c>
      <c r="Q24" s="127">
        <f t="shared" si="5"/>
        <v>2.5</v>
      </c>
      <c r="R24" s="127">
        <f t="shared" si="6"/>
        <v>12500</v>
      </c>
      <c r="U24" s="136">
        <f>+B3</f>
        <v>45091</v>
      </c>
      <c r="V24" s="121">
        <v>-453147.84058970597</v>
      </c>
    </row>
    <row r="25" spans="1:37" ht="18" x14ac:dyDescent="0.2">
      <c r="A25" s="124" t="s">
        <v>201</v>
      </c>
      <c r="B25" s="121">
        <v>2000</v>
      </c>
      <c r="C25" s="121">
        <f t="shared" si="15"/>
        <v>7.1388888888888893</v>
      </c>
      <c r="D25" s="107"/>
      <c r="E25" s="5">
        <v>46396</v>
      </c>
      <c r="H25" s="121">
        <v>2.5</v>
      </c>
      <c r="I25" s="121">
        <v>2.5</v>
      </c>
      <c r="J25" s="121">
        <v>0</v>
      </c>
      <c r="K25" s="121">
        <v>0</v>
      </c>
      <c r="L25" s="121">
        <v>0</v>
      </c>
      <c r="M25" s="141">
        <f t="shared" si="2"/>
        <v>0</v>
      </c>
      <c r="N25" s="121">
        <f t="shared" si="13"/>
        <v>0</v>
      </c>
      <c r="O25" s="121">
        <f t="shared" si="3"/>
        <v>100</v>
      </c>
      <c r="P25" s="141">
        <f t="shared" si="4"/>
        <v>100</v>
      </c>
      <c r="Q25" s="127">
        <f t="shared" si="5"/>
        <v>2.5</v>
      </c>
      <c r="R25" s="127">
        <f t="shared" si="6"/>
        <v>12500</v>
      </c>
      <c r="T25" s="121">
        <f>+YEARFRAC($U$24, U25)</f>
        <v>7.2222222222222215E-2</v>
      </c>
      <c r="U25" s="136">
        <f t="shared" ref="U25:U58" si="16">+E14</f>
        <v>45117</v>
      </c>
      <c r="V25" s="121">
        <f t="shared" ref="V25:V58" si="17">+R14</f>
        <v>10625</v>
      </c>
      <c r="W25" s="121">
        <f>+T25*V25/(1+$V$60)^T25</f>
        <v>760.57297460209395</v>
      </c>
      <c r="X25" s="121">
        <f>+W25/(-$V$24)</f>
        <v>1.6784212711072812E-3</v>
      </c>
    </row>
    <row r="26" spans="1:37" ht="18" x14ac:dyDescent="0.2">
      <c r="A26" s="124" t="s">
        <v>181</v>
      </c>
      <c r="B26" s="121">
        <v>5000</v>
      </c>
      <c r="C26" s="121">
        <f t="shared" si="15"/>
        <v>8.1388888888888893</v>
      </c>
      <c r="D26" s="107"/>
      <c r="E26" s="5">
        <v>46577</v>
      </c>
      <c r="H26" s="121">
        <v>2.5</v>
      </c>
      <c r="I26" s="121">
        <v>2.5</v>
      </c>
      <c r="J26" s="121">
        <v>0</v>
      </c>
      <c r="K26" s="121">
        <v>0</v>
      </c>
      <c r="L26" s="121">
        <f>+$O$24/22</f>
        <v>4.5454545454545459</v>
      </c>
      <c r="M26" s="141">
        <f t="shared" si="2"/>
        <v>4.5454545454545459</v>
      </c>
      <c r="N26" s="121">
        <f t="shared" si="13"/>
        <v>0</v>
      </c>
      <c r="O26" s="121">
        <f t="shared" si="3"/>
        <v>95.454545454545453</v>
      </c>
      <c r="P26" s="141">
        <f t="shared" si="4"/>
        <v>95.454545454545453</v>
      </c>
      <c r="Q26" s="127">
        <f t="shared" si="5"/>
        <v>7.0454545454545459</v>
      </c>
      <c r="R26" s="127">
        <f t="shared" si="6"/>
        <v>35227.272727272728</v>
      </c>
      <c r="T26" s="121">
        <f t="shared" ref="T26:T58" si="18">+YEARFRAC($U$24, U26)</f>
        <v>0.23333333333333334</v>
      </c>
      <c r="U26" s="136">
        <f t="shared" si="16"/>
        <v>45177</v>
      </c>
      <c r="V26" s="121">
        <f t="shared" si="17"/>
        <v>33573</v>
      </c>
      <c r="W26" s="121">
        <f t="shared" ref="W26:W58" si="19">+T26*V26/(1+$V$60)^T26</f>
        <v>7612.0166962390522</v>
      </c>
      <c r="X26" s="121">
        <f t="shared" ref="X26:X58" si="20">+W26/(-$V$24)</f>
        <v>1.6798086660488376E-2</v>
      </c>
    </row>
    <row r="27" spans="1:37" x14ac:dyDescent="0.2">
      <c r="B27" s="121">
        <f>+B25+B26</f>
        <v>7000</v>
      </c>
      <c r="C27" s="121">
        <f t="shared" si="15"/>
        <v>9.1388888888888893</v>
      </c>
      <c r="D27" s="107"/>
      <c r="E27" s="5">
        <v>46761</v>
      </c>
      <c r="H27" s="121">
        <v>2.3863636363636362</v>
      </c>
      <c r="I27" s="121">
        <v>2.3863636363636362</v>
      </c>
      <c r="J27" s="121">
        <v>0</v>
      </c>
      <c r="K27" s="121">
        <v>0</v>
      </c>
      <c r="L27" s="121">
        <f t="shared" ref="L27:L47" si="21">+$O$24/22</f>
        <v>4.5454545454545459</v>
      </c>
      <c r="M27" s="141">
        <f t="shared" si="2"/>
        <v>4.5454545454545459</v>
      </c>
      <c r="N27" s="121">
        <f t="shared" si="13"/>
        <v>0</v>
      </c>
      <c r="O27" s="121">
        <f t="shared" si="3"/>
        <v>90.909090909090907</v>
      </c>
      <c r="P27" s="141">
        <f t="shared" si="4"/>
        <v>90.909090909090907</v>
      </c>
      <c r="Q27" s="127">
        <f t="shared" si="5"/>
        <v>6.9318181818181817</v>
      </c>
      <c r="R27" s="127">
        <f t="shared" si="6"/>
        <v>34659.090909090912</v>
      </c>
      <c r="T27" s="121">
        <f t="shared" si="18"/>
        <v>0.56944444444444442</v>
      </c>
      <c r="U27" s="136">
        <f t="shared" si="16"/>
        <v>45300</v>
      </c>
      <c r="V27" s="121">
        <f t="shared" si="17"/>
        <v>10625</v>
      </c>
      <c r="W27" s="121">
        <f t="shared" si="19"/>
        <v>5640.9777351433358</v>
      </c>
      <c r="X27" s="121">
        <f t="shared" si="20"/>
        <v>1.2448426826446804E-2</v>
      </c>
    </row>
    <row r="28" spans="1:37" x14ac:dyDescent="0.2">
      <c r="C28" s="121">
        <f t="shared" si="15"/>
        <v>10.138888888888889</v>
      </c>
      <c r="D28" s="107"/>
      <c r="E28" s="5">
        <v>46943</v>
      </c>
      <c r="H28" s="121">
        <v>2.2727272727272729</v>
      </c>
      <c r="I28" s="121">
        <v>2.2727272727272729</v>
      </c>
      <c r="J28" s="121">
        <v>0</v>
      </c>
      <c r="K28" s="121">
        <v>0</v>
      </c>
      <c r="L28" s="121">
        <f t="shared" si="21"/>
        <v>4.5454545454545459</v>
      </c>
      <c r="M28" s="141">
        <f t="shared" si="2"/>
        <v>4.5454545454545459</v>
      </c>
      <c r="N28" s="121">
        <f t="shared" si="13"/>
        <v>0</v>
      </c>
      <c r="O28" s="121">
        <f t="shared" si="3"/>
        <v>86.36363636363636</v>
      </c>
      <c r="P28" s="141">
        <f t="shared" si="4"/>
        <v>86.36363636363636</v>
      </c>
      <c r="Q28" s="127">
        <f t="shared" si="5"/>
        <v>6.8181818181818183</v>
      </c>
      <c r="R28" s="127">
        <f t="shared" si="6"/>
        <v>34090.909090909088</v>
      </c>
      <c r="T28" s="121">
        <f t="shared" si="18"/>
        <v>0.73333333333333328</v>
      </c>
      <c r="U28" s="136">
        <f t="shared" si="16"/>
        <v>45359</v>
      </c>
      <c r="V28" s="121">
        <f t="shared" si="17"/>
        <v>32309.5</v>
      </c>
      <c r="W28" s="121">
        <f t="shared" si="19"/>
        <v>21649.557472139502</v>
      </c>
      <c r="X28" s="121">
        <f t="shared" si="20"/>
        <v>4.7775925499205188E-2</v>
      </c>
    </row>
    <row r="29" spans="1:37" x14ac:dyDescent="0.2">
      <c r="C29" s="121">
        <f t="shared" si="15"/>
        <v>11.138888888888889</v>
      </c>
      <c r="D29" s="107"/>
      <c r="E29" s="5">
        <v>47127</v>
      </c>
      <c r="H29" s="121">
        <v>2.1590909090909092</v>
      </c>
      <c r="I29" s="121">
        <v>2.1590909090909092</v>
      </c>
      <c r="J29" s="121">
        <v>0</v>
      </c>
      <c r="K29" s="121">
        <v>0</v>
      </c>
      <c r="L29" s="121">
        <f t="shared" si="21"/>
        <v>4.5454545454545459</v>
      </c>
      <c r="M29" s="141">
        <f t="shared" si="2"/>
        <v>4.5454545454545459</v>
      </c>
      <c r="N29" s="121">
        <f t="shared" si="13"/>
        <v>0</v>
      </c>
      <c r="O29" s="121">
        <f t="shared" si="3"/>
        <v>81.818181818181813</v>
      </c>
      <c r="P29" s="141">
        <f t="shared" si="4"/>
        <v>81.818181818181813</v>
      </c>
      <c r="Q29" s="127">
        <f t="shared" si="5"/>
        <v>6.704545454545455</v>
      </c>
      <c r="R29" s="127">
        <f t="shared" si="6"/>
        <v>33522.727272727272</v>
      </c>
      <c r="T29" s="121">
        <f t="shared" si="18"/>
        <v>1.0694444444444444</v>
      </c>
      <c r="U29" s="136">
        <f t="shared" si="16"/>
        <v>45482</v>
      </c>
      <c r="V29" s="121">
        <f t="shared" si="17"/>
        <v>12500</v>
      </c>
      <c r="W29" s="121">
        <f t="shared" si="19"/>
        <v>11719.980581849626</v>
      </c>
      <c r="X29" s="121">
        <f t="shared" si="20"/>
        <v>2.5863481036559232E-2</v>
      </c>
      <c r="AH29" s="134"/>
      <c r="AI29" s="134"/>
      <c r="AJ29" s="134"/>
      <c r="AK29" s="134"/>
    </row>
    <row r="30" spans="1:37" ht="18" x14ac:dyDescent="0.2">
      <c r="A30" s="124" t="s">
        <v>201</v>
      </c>
      <c r="B30" s="121">
        <f>+B25/B27</f>
        <v>0.2857142857142857</v>
      </c>
      <c r="C30" s="121">
        <f t="shared" si="15"/>
        <v>12.138888888888889</v>
      </c>
      <c r="D30" s="107"/>
      <c r="E30" s="5">
        <v>47308</v>
      </c>
      <c r="H30" s="121">
        <v>2.0454545454545454</v>
      </c>
      <c r="I30" s="121">
        <v>2.0454545454545454</v>
      </c>
      <c r="J30" s="121">
        <v>0</v>
      </c>
      <c r="K30" s="121">
        <v>0</v>
      </c>
      <c r="L30" s="121">
        <f t="shared" si="21"/>
        <v>4.5454545454545459</v>
      </c>
      <c r="M30" s="141">
        <f t="shared" si="2"/>
        <v>4.5454545454545459</v>
      </c>
      <c r="N30" s="121">
        <f t="shared" si="13"/>
        <v>0</v>
      </c>
      <c r="O30" s="121">
        <f t="shared" si="3"/>
        <v>77.272727272727266</v>
      </c>
      <c r="P30" s="141">
        <f t="shared" si="4"/>
        <v>77.272727272727266</v>
      </c>
      <c r="Q30" s="127">
        <f t="shared" si="5"/>
        <v>6.5909090909090917</v>
      </c>
      <c r="R30" s="127">
        <f t="shared" si="6"/>
        <v>32954.545454545456</v>
      </c>
      <c r="T30" s="121">
        <f t="shared" si="18"/>
        <v>1.2333333333333334</v>
      </c>
      <c r="U30" s="136">
        <f t="shared" si="16"/>
        <v>45543</v>
      </c>
      <c r="V30" s="121">
        <f t="shared" si="17"/>
        <v>31046.000000000004</v>
      </c>
      <c r="W30" s="121">
        <f t="shared" si="19"/>
        <v>32899.405223459064</v>
      </c>
      <c r="X30" s="121">
        <f t="shared" si="20"/>
        <v>7.2601924309393759E-2</v>
      </c>
      <c r="AH30" s="134"/>
      <c r="AI30" s="134"/>
      <c r="AJ30" s="134"/>
      <c r="AK30" s="134"/>
    </row>
    <row r="31" spans="1:37" ht="18" x14ac:dyDescent="0.2">
      <c r="A31" s="124" t="s">
        <v>181</v>
      </c>
      <c r="B31" s="121">
        <f>+B26/B27</f>
        <v>0.7142857142857143</v>
      </c>
      <c r="C31" s="121">
        <f t="shared" si="15"/>
        <v>13.138888888888889</v>
      </c>
      <c r="D31" s="107"/>
      <c r="E31" s="5">
        <v>47492</v>
      </c>
      <c r="H31" s="121">
        <v>1.9318181818181817</v>
      </c>
      <c r="I31" s="121">
        <v>1.9318181818181817</v>
      </c>
      <c r="J31" s="121">
        <v>0</v>
      </c>
      <c r="K31" s="121">
        <v>0</v>
      </c>
      <c r="L31" s="121">
        <f t="shared" si="21"/>
        <v>4.5454545454545459</v>
      </c>
      <c r="M31" s="141">
        <f t="shared" si="2"/>
        <v>4.5454545454545459</v>
      </c>
      <c r="N31" s="121">
        <f t="shared" si="13"/>
        <v>0</v>
      </c>
      <c r="O31" s="121">
        <f t="shared" si="3"/>
        <v>72.72727272727272</v>
      </c>
      <c r="P31" s="141">
        <f t="shared" si="4"/>
        <v>72.72727272727272</v>
      </c>
      <c r="Q31" s="127">
        <f t="shared" si="5"/>
        <v>6.4772727272727275</v>
      </c>
      <c r="R31" s="127">
        <f t="shared" si="6"/>
        <v>32386.363636363636</v>
      </c>
      <c r="T31" s="121">
        <f t="shared" si="18"/>
        <v>1.5694444444444444</v>
      </c>
      <c r="U31" s="136">
        <f t="shared" si="16"/>
        <v>45666</v>
      </c>
      <c r="V31" s="121">
        <f t="shared" si="17"/>
        <v>12500</v>
      </c>
      <c r="W31" s="121">
        <f t="shared" si="19"/>
        <v>16173.319806625617</v>
      </c>
      <c r="X31" s="121">
        <f t="shared" si="20"/>
        <v>3.5691044639158814E-2</v>
      </c>
    </row>
    <row r="32" spans="1:37" x14ac:dyDescent="0.2">
      <c r="C32" s="121">
        <f t="shared" si="15"/>
        <v>14.138888888888889</v>
      </c>
      <c r="D32" s="107"/>
      <c r="E32" s="5">
        <v>47673</v>
      </c>
      <c r="H32" s="121">
        <v>1.8181818181818181</v>
      </c>
      <c r="I32" s="121">
        <v>1.8181818181818181</v>
      </c>
      <c r="J32" s="121">
        <v>0</v>
      </c>
      <c r="K32" s="121">
        <v>0</v>
      </c>
      <c r="L32" s="121">
        <f t="shared" si="21"/>
        <v>4.5454545454545459</v>
      </c>
      <c r="M32" s="141">
        <f t="shared" si="2"/>
        <v>4.5454545454545459</v>
      </c>
      <c r="N32" s="121">
        <f t="shared" si="13"/>
        <v>0</v>
      </c>
      <c r="O32" s="121">
        <f t="shared" si="3"/>
        <v>68.181818181818173</v>
      </c>
      <c r="P32" s="141">
        <f t="shared" si="4"/>
        <v>68.181818181818173</v>
      </c>
      <c r="Q32" s="127">
        <f t="shared" si="5"/>
        <v>6.3636363636363642</v>
      </c>
      <c r="R32" s="127">
        <f t="shared" si="6"/>
        <v>31818.18181818182</v>
      </c>
      <c r="T32" s="121">
        <f t="shared" si="18"/>
        <v>1.7333333333333334</v>
      </c>
      <c r="U32" s="136">
        <f t="shared" si="16"/>
        <v>45724</v>
      </c>
      <c r="V32" s="121">
        <f t="shared" si="17"/>
        <v>70182.5</v>
      </c>
      <c r="W32" s="121">
        <f t="shared" si="19"/>
        <v>98287.301400022494</v>
      </c>
      <c r="X32" s="121">
        <f t="shared" si="20"/>
        <v>0.21689897335076314</v>
      </c>
    </row>
    <row r="33" spans="1:25" x14ac:dyDescent="0.2">
      <c r="C33" s="121">
        <f t="shared" si="15"/>
        <v>15.138888888888889</v>
      </c>
      <c r="D33" s="107"/>
      <c r="E33" s="5">
        <v>47857</v>
      </c>
      <c r="H33" s="121">
        <v>1.7045454545454544</v>
      </c>
      <c r="I33" s="121">
        <v>1.7045454545454544</v>
      </c>
      <c r="J33" s="121">
        <v>0</v>
      </c>
      <c r="K33" s="121">
        <v>0</v>
      </c>
      <c r="L33" s="121">
        <f t="shared" si="21"/>
        <v>4.5454545454545459</v>
      </c>
      <c r="M33" s="141">
        <f t="shared" si="2"/>
        <v>4.5454545454545459</v>
      </c>
      <c r="N33" s="121">
        <f t="shared" si="13"/>
        <v>0</v>
      </c>
      <c r="O33" s="121">
        <f t="shared" si="3"/>
        <v>63.636363636363626</v>
      </c>
      <c r="P33" s="141">
        <f t="shared" si="4"/>
        <v>63.636363636363626</v>
      </c>
      <c r="Q33" s="127">
        <f t="shared" si="5"/>
        <v>6.25</v>
      </c>
      <c r="R33" s="127">
        <f t="shared" si="6"/>
        <v>31250</v>
      </c>
      <c r="T33" s="121">
        <f t="shared" si="18"/>
        <v>2.0694444444444446</v>
      </c>
      <c r="U33" s="136">
        <f t="shared" si="16"/>
        <v>45847</v>
      </c>
      <c r="V33" s="121">
        <f t="shared" si="17"/>
        <v>12500</v>
      </c>
      <c r="W33" s="121">
        <f t="shared" si="19"/>
        <v>20053.563751260866</v>
      </c>
      <c r="X33" s="121">
        <f t="shared" si="20"/>
        <v>4.4253909993621665E-2</v>
      </c>
    </row>
    <row r="34" spans="1:25" x14ac:dyDescent="0.2">
      <c r="C34" s="121">
        <f t="shared" si="15"/>
        <v>16.138888888888889</v>
      </c>
      <c r="D34" s="107"/>
      <c r="E34" s="5">
        <v>48038</v>
      </c>
      <c r="H34" s="121">
        <v>1.5909090909090908</v>
      </c>
      <c r="I34" s="121">
        <v>1.5909090909090908</v>
      </c>
      <c r="J34" s="121">
        <v>0</v>
      </c>
      <c r="K34" s="121">
        <v>0</v>
      </c>
      <c r="L34" s="121">
        <f t="shared" si="21"/>
        <v>4.5454545454545459</v>
      </c>
      <c r="M34" s="141">
        <f t="shared" si="2"/>
        <v>4.5454545454545459</v>
      </c>
      <c r="N34" s="121">
        <f t="shared" si="13"/>
        <v>0</v>
      </c>
      <c r="O34" s="121">
        <f t="shared" si="3"/>
        <v>59.090909090909079</v>
      </c>
      <c r="P34" s="141">
        <f t="shared" si="4"/>
        <v>59.090909090909079</v>
      </c>
      <c r="Q34" s="127">
        <f t="shared" si="5"/>
        <v>6.1363636363636367</v>
      </c>
      <c r="R34" s="127">
        <f t="shared" si="6"/>
        <v>30681.818181818184</v>
      </c>
      <c r="T34" s="121">
        <f t="shared" si="18"/>
        <v>2.5694444444444446</v>
      </c>
      <c r="U34" s="136">
        <f t="shared" si="16"/>
        <v>46031</v>
      </c>
      <c r="V34" s="121">
        <f t="shared" si="17"/>
        <v>12500</v>
      </c>
      <c r="W34" s="121">
        <f t="shared" si="19"/>
        <v>23413.24376623346</v>
      </c>
      <c r="X34" s="121">
        <f t="shared" si="20"/>
        <v>5.1668002512744032E-2</v>
      </c>
    </row>
    <row r="35" spans="1:25" x14ac:dyDescent="0.2">
      <c r="C35" s="121">
        <f t="shared" si="15"/>
        <v>17.138888888888889</v>
      </c>
      <c r="D35" s="107"/>
      <c r="E35" s="5">
        <v>48222</v>
      </c>
      <c r="H35" s="121">
        <v>1.4772727272727271</v>
      </c>
      <c r="I35" s="121">
        <v>1.4772727272727271</v>
      </c>
      <c r="J35" s="121">
        <v>0</v>
      </c>
      <c r="K35" s="121">
        <v>0</v>
      </c>
      <c r="L35" s="121">
        <f t="shared" si="21"/>
        <v>4.5454545454545459</v>
      </c>
      <c r="M35" s="141">
        <f t="shared" si="2"/>
        <v>4.5454545454545459</v>
      </c>
      <c r="N35" s="121">
        <f t="shared" si="13"/>
        <v>0</v>
      </c>
      <c r="O35" s="121">
        <f t="shared" si="3"/>
        <v>54.545454545454533</v>
      </c>
      <c r="P35" s="141">
        <f t="shared" si="4"/>
        <v>54.545454545454533</v>
      </c>
      <c r="Q35" s="127">
        <f t="shared" si="5"/>
        <v>6.0227272727272734</v>
      </c>
      <c r="R35" s="127">
        <f t="shared" si="6"/>
        <v>30113.636363636368</v>
      </c>
      <c r="T35" s="121">
        <f t="shared" si="18"/>
        <v>3.0694444444444446</v>
      </c>
      <c r="U35" s="136">
        <f t="shared" si="16"/>
        <v>46212</v>
      </c>
      <c r="V35" s="121">
        <f t="shared" si="17"/>
        <v>12500</v>
      </c>
      <c r="W35" s="121">
        <f t="shared" si="19"/>
        <v>26300.662960724105</v>
      </c>
      <c r="X35" s="121">
        <f t="shared" si="20"/>
        <v>5.80399167885201E-2</v>
      </c>
    </row>
    <row r="36" spans="1:25" ht="18" x14ac:dyDescent="0.2">
      <c r="A36" s="124" t="s">
        <v>201</v>
      </c>
      <c r="B36" s="121">
        <f>38000/495.73</f>
        <v>76.654630544853049</v>
      </c>
      <c r="C36" s="121">
        <f t="shared" si="15"/>
        <v>18.138888888888889</v>
      </c>
      <c r="D36" s="107"/>
      <c r="E36" s="5">
        <v>48404</v>
      </c>
      <c r="H36" s="121">
        <v>1.3636363636363633</v>
      </c>
      <c r="I36" s="121">
        <v>1.3636363636363633</v>
      </c>
      <c r="J36" s="121">
        <v>0</v>
      </c>
      <c r="K36" s="121">
        <v>0</v>
      </c>
      <c r="L36" s="121">
        <f t="shared" si="21"/>
        <v>4.5454545454545459</v>
      </c>
      <c r="M36" s="141">
        <f t="shared" si="2"/>
        <v>4.5454545454545459</v>
      </c>
      <c r="N36" s="121">
        <f t="shared" si="13"/>
        <v>0</v>
      </c>
      <c r="O36" s="121">
        <f t="shared" si="3"/>
        <v>49.999999999999986</v>
      </c>
      <c r="P36" s="141">
        <f t="shared" si="4"/>
        <v>49.999999999999986</v>
      </c>
      <c r="Q36" s="127">
        <f t="shared" si="5"/>
        <v>5.9090909090909092</v>
      </c>
      <c r="R36" s="127">
        <f t="shared" si="6"/>
        <v>29545.454545454544</v>
      </c>
      <c r="T36" s="121">
        <f t="shared" si="18"/>
        <v>3.5694444444444446</v>
      </c>
      <c r="U36" s="136">
        <f t="shared" si="16"/>
        <v>46396</v>
      </c>
      <c r="V36" s="121">
        <f t="shared" si="17"/>
        <v>12500</v>
      </c>
      <c r="W36" s="121">
        <f t="shared" si="19"/>
        <v>28760.213742354917</v>
      </c>
      <c r="X36" s="121">
        <f t="shared" si="20"/>
        <v>6.3467617334174387E-2</v>
      </c>
    </row>
    <row r="37" spans="1:25" ht="18" x14ac:dyDescent="0.2">
      <c r="A37" s="124" t="s">
        <v>181</v>
      </c>
      <c r="B37" s="26">
        <f>14860/247.8</f>
        <v>59.967715899919284</v>
      </c>
      <c r="C37" s="121">
        <f t="shared" si="15"/>
        <v>19.138888888888889</v>
      </c>
      <c r="D37" s="107"/>
      <c r="E37" s="5">
        <v>48588</v>
      </c>
      <c r="H37" s="121">
        <v>1.2499999999999998</v>
      </c>
      <c r="I37" s="121">
        <v>1.2499999999999998</v>
      </c>
      <c r="J37" s="121">
        <v>0</v>
      </c>
      <c r="K37" s="121">
        <v>0</v>
      </c>
      <c r="L37" s="121">
        <f t="shared" si="21"/>
        <v>4.5454545454545459</v>
      </c>
      <c r="M37" s="141">
        <f t="shared" si="2"/>
        <v>4.5454545454545459</v>
      </c>
      <c r="N37" s="121">
        <f t="shared" si="13"/>
        <v>0</v>
      </c>
      <c r="O37" s="121">
        <f t="shared" si="3"/>
        <v>45.454545454545439</v>
      </c>
      <c r="P37" s="141">
        <f t="shared" si="4"/>
        <v>45.454545454545439</v>
      </c>
      <c r="Q37" s="127">
        <f t="shared" si="5"/>
        <v>5.7954545454545459</v>
      </c>
      <c r="R37" s="127">
        <f t="shared" si="6"/>
        <v>28977.272727272728</v>
      </c>
      <c r="T37" s="121">
        <f t="shared" si="18"/>
        <v>4.0694444444444446</v>
      </c>
      <c r="U37" s="136">
        <f t="shared" si="16"/>
        <v>46577</v>
      </c>
      <c r="V37" s="121">
        <f t="shared" si="17"/>
        <v>35227.272727272728</v>
      </c>
      <c r="W37" s="121">
        <f t="shared" si="19"/>
        <v>86892.077095149754</v>
      </c>
      <c r="X37" s="121">
        <f t="shared" si="20"/>
        <v>0.19175215969709214</v>
      </c>
    </row>
    <row r="38" spans="1:25" x14ac:dyDescent="0.2">
      <c r="C38" s="121">
        <f t="shared" si="15"/>
        <v>20.138888888888889</v>
      </c>
      <c r="D38" s="107"/>
      <c r="E38" s="5">
        <v>48769</v>
      </c>
      <c r="H38" s="121">
        <v>1.136363636363636</v>
      </c>
      <c r="I38" s="121">
        <v>1.136363636363636</v>
      </c>
      <c r="J38" s="121">
        <v>0</v>
      </c>
      <c r="K38" s="121">
        <v>0</v>
      </c>
      <c r="L38" s="121">
        <f t="shared" si="21"/>
        <v>4.5454545454545459</v>
      </c>
      <c r="M38" s="141">
        <f t="shared" si="2"/>
        <v>4.5454545454545459</v>
      </c>
      <c r="N38" s="121">
        <f t="shared" si="13"/>
        <v>0</v>
      </c>
      <c r="O38" s="121">
        <f t="shared" si="3"/>
        <v>40.909090909090892</v>
      </c>
      <c r="P38" s="141">
        <f t="shared" si="4"/>
        <v>40.909090909090892</v>
      </c>
      <c r="Q38" s="127">
        <f t="shared" si="5"/>
        <v>5.6818181818181817</v>
      </c>
      <c r="R38" s="127">
        <f t="shared" si="6"/>
        <v>28409.090909090908</v>
      </c>
      <c r="T38" s="121">
        <f t="shared" si="18"/>
        <v>4.5694444444444446</v>
      </c>
      <c r="U38" s="136">
        <f t="shared" si="16"/>
        <v>46761</v>
      </c>
      <c r="V38" s="121">
        <f t="shared" si="17"/>
        <v>34659.090909090912</v>
      </c>
      <c r="W38" s="121">
        <f t="shared" si="19"/>
        <v>90267.44827419582</v>
      </c>
      <c r="X38" s="121">
        <f t="shared" si="20"/>
        <v>0.19920087924666235</v>
      </c>
    </row>
    <row r="39" spans="1:25" x14ac:dyDescent="0.2">
      <c r="C39" s="121">
        <f t="shared" si="15"/>
        <v>21.138888888888889</v>
      </c>
      <c r="D39" s="107"/>
      <c r="E39" s="5">
        <v>48953</v>
      </c>
      <c r="H39" s="121">
        <v>1.0227272727272723</v>
      </c>
      <c r="I39" s="121">
        <v>1.0227272727272723</v>
      </c>
      <c r="J39" s="121">
        <v>0</v>
      </c>
      <c r="K39" s="121">
        <v>0</v>
      </c>
      <c r="L39" s="121">
        <f t="shared" si="21"/>
        <v>4.5454545454545459</v>
      </c>
      <c r="M39" s="141">
        <f t="shared" si="2"/>
        <v>4.5454545454545459</v>
      </c>
      <c r="N39" s="121">
        <f t="shared" si="13"/>
        <v>0</v>
      </c>
      <c r="O39" s="121">
        <f t="shared" si="3"/>
        <v>36.363636363636346</v>
      </c>
      <c r="P39" s="141">
        <f t="shared" si="4"/>
        <v>36.363636363636346</v>
      </c>
      <c r="Q39" s="127">
        <f t="shared" si="5"/>
        <v>5.5681818181818183</v>
      </c>
      <c r="R39" s="127">
        <f t="shared" si="6"/>
        <v>27840.909090909092</v>
      </c>
      <c r="T39" s="121">
        <f t="shared" si="18"/>
        <v>5.0694444444444446</v>
      </c>
      <c r="U39" s="136">
        <f t="shared" si="16"/>
        <v>46943</v>
      </c>
      <c r="V39" s="121">
        <f t="shared" si="17"/>
        <v>34090.909090909088</v>
      </c>
      <c r="W39" s="121">
        <f t="shared" si="19"/>
        <v>92626.256312488418</v>
      </c>
      <c r="X39" s="121">
        <f t="shared" si="20"/>
        <v>0.20440626218575558</v>
      </c>
    </row>
    <row r="40" spans="1:25" x14ac:dyDescent="0.2">
      <c r="C40" s="121">
        <f t="shared" si="15"/>
        <v>22.138888888888889</v>
      </c>
      <c r="D40" s="107"/>
      <c r="E40" s="5">
        <v>49134</v>
      </c>
      <c r="H40" s="121">
        <v>0.90909090909090873</v>
      </c>
      <c r="I40" s="121">
        <v>0.90909090909090873</v>
      </c>
      <c r="J40" s="121">
        <v>0</v>
      </c>
      <c r="K40" s="121">
        <v>0</v>
      </c>
      <c r="L40" s="121">
        <f t="shared" si="21"/>
        <v>4.5454545454545459</v>
      </c>
      <c r="M40" s="141">
        <f t="shared" si="2"/>
        <v>4.5454545454545459</v>
      </c>
      <c r="N40" s="121">
        <f t="shared" si="13"/>
        <v>0</v>
      </c>
      <c r="O40" s="121">
        <f t="shared" si="3"/>
        <v>31.818181818181799</v>
      </c>
      <c r="P40" s="141">
        <f t="shared" si="4"/>
        <v>31.818181818181799</v>
      </c>
      <c r="Q40" s="127">
        <f t="shared" si="5"/>
        <v>5.454545454545455</v>
      </c>
      <c r="R40" s="127">
        <f t="shared" si="6"/>
        <v>27272.727272727276</v>
      </c>
      <c r="T40" s="121">
        <f t="shared" si="18"/>
        <v>5.5694444444444446</v>
      </c>
      <c r="U40" s="136">
        <f t="shared" si="16"/>
        <v>47127</v>
      </c>
      <c r="V40" s="121">
        <f t="shared" si="17"/>
        <v>33522.727272727272</v>
      </c>
      <c r="W40" s="121">
        <f t="shared" si="19"/>
        <v>94095.95290716266</v>
      </c>
      <c r="X40" s="121">
        <f t="shared" si="20"/>
        <v>0.20764956704794282</v>
      </c>
    </row>
    <row r="41" spans="1:25" x14ac:dyDescent="0.2">
      <c r="C41" s="121">
        <f t="shared" si="15"/>
        <v>23.138888888888889</v>
      </c>
      <c r="E41" s="5">
        <v>49318</v>
      </c>
      <c r="H41" s="121">
        <v>0.79545454545454497</v>
      </c>
      <c r="I41" s="121">
        <v>0.79545454545454497</v>
      </c>
      <c r="J41" s="121">
        <v>0</v>
      </c>
      <c r="K41" s="121">
        <v>0</v>
      </c>
      <c r="L41" s="121">
        <f t="shared" si="21"/>
        <v>4.5454545454545459</v>
      </c>
      <c r="M41" s="141">
        <f t="shared" si="2"/>
        <v>4.5454545454545459</v>
      </c>
      <c r="N41" s="121">
        <f t="shared" si="13"/>
        <v>0</v>
      </c>
      <c r="O41" s="121">
        <f t="shared" si="3"/>
        <v>27.272727272727252</v>
      </c>
      <c r="P41" s="141">
        <f t="shared" si="4"/>
        <v>27.272727272727252</v>
      </c>
      <c r="Q41" s="127">
        <f t="shared" si="5"/>
        <v>5.3409090909090908</v>
      </c>
      <c r="R41" s="127">
        <f t="shared" si="6"/>
        <v>26704.545454545456</v>
      </c>
      <c r="T41" s="121">
        <f t="shared" si="18"/>
        <v>6.0694444444444446</v>
      </c>
      <c r="U41" s="136">
        <f t="shared" si="16"/>
        <v>47308</v>
      </c>
      <c r="V41" s="121">
        <f t="shared" si="17"/>
        <v>32954.545454545456</v>
      </c>
      <c r="W41" s="121">
        <f t="shared" si="19"/>
        <v>94791.316460914677</v>
      </c>
      <c r="X41" s="121">
        <f t="shared" si="20"/>
        <v>0.20918408512673828</v>
      </c>
    </row>
    <row r="42" spans="1:25" x14ac:dyDescent="0.2">
      <c r="C42" s="121">
        <f t="shared" si="15"/>
        <v>24.138888888888889</v>
      </c>
      <c r="E42" s="5">
        <v>49499</v>
      </c>
      <c r="H42" s="121">
        <v>0.68181818181818132</v>
      </c>
      <c r="I42" s="121">
        <v>0.68181818181818132</v>
      </c>
      <c r="J42" s="121">
        <v>0</v>
      </c>
      <c r="K42" s="121">
        <v>0</v>
      </c>
      <c r="L42" s="121">
        <f t="shared" si="21"/>
        <v>4.5454545454545459</v>
      </c>
      <c r="M42" s="141">
        <f t="shared" si="2"/>
        <v>4.5454545454545459</v>
      </c>
      <c r="N42" s="121">
        <f t="shared" si="13"/>
        <v>0</v>
      </c>
      <c r="O42" s="121">
        <f t="shared" si="3"/>
        <v>22.727272727272705</v>
      </c>
      <c r="P42" s="141">
        <f t="shared" si="4"/>
        <v>22.727272727272705</v>
      </c>
      <c r="Q42" s="127">
        <f t="shared" si="5"/>
        <v>5.2272727272727275</v>
      </c>
      <c r="R42" s="127">
        <f t="shared" si="6"/>
        <v>26136.363636363636</v>
      </c>
      <c r="T42" s="121">
        <f t="shared" si="18"/>
        <v>6.5694444444444446</v>
      </c>
      <c r="U42" s="136">
        <f t="shared" si="16"/>
        <v>47492</v>
      </c>
      <c r="V42" s="121">
        <f t="shared" si="17"/>
        <v>32386.363636363636</v>
      </c>
      <c r="W42" s="121">
        <f t="shared" si="19"/>
        <v>94815.575294170631</v>
      </c>
      <c r="X42" s="121">
        <f t="shared" si="20"/>
        <v>0.20923761916371919</v>
      </c>
    </row>
    <row r="43" spans="1:25" x14ac:dyDescent="0.2">
      <c r="C43" s="121">
        <f t="shared" si="15"/>
        <v>25.138888888888889</v>
      </c>
      <c r="E43" s="5">
        <v>49683</v>
      </c>
      <c r="H43" s="121">
        <v>0.56818181818181768</v>
      </c>
      <c r="I43" s="121">
        <v>0.56818181818181768</v>
      </c>
      <c r="J43" s="121">
        <v>0</v>
      </c>
      <c r="K43" s="121">
        <v>0</v>
      </c>
      <c r="L43" s="121">
        <f t="shared" si="21"/>
        <v>4.5454545454545459</v>
      </c>
      <c r="M43" s="141">
        <f t="shared" si="2"/>
        <v>4.5454545454545459</v>
      </c>
      <c r="N43" s="121">
        <f t="shared" si="13"/>
        <v>0</v>
      </c>
      <c r="O43" s="121">
        <f t="shared" si="3"/>
        <v>18.181818181818159</v>
      </c>
      <c r="P43" s="141">
        <f t="shared" si="4"/>
        <v>18.181818181818159</v>
      </c>
      <c r="Q43" s="127">
        <f t="shared" si="5"/>
        <v>5.1136363636363633</v>
      </c>
      <c r="R43" s="127">
        <f t="shared" si="6"/>
        <v>25568.181818181816</v>
      </c>
      <c r="T43" s="121">
        <f t="shared" si="18"/>
        <v>7.0694444444444446</v>
      </c>
      <c r="U43" s="136">
        <f t="shared" si="16"/>
        <v>47673</v>
      </c>
      <c r="V43" s="121">
        <f t="shared" si="17"/>
        <v>31818.18181818182</v>
      </c>
      <c r="W43" s="121">
        <f t="shared" si="19"/>
        <v>94261.438085149013</v>
      </c>
      <c r="X43" s="121">
        <f t="shared" si="20"/>
        <v>0.20801475730852312</v>
      </c>
      <c r="Y43" s="121">
        <f>1656.75224827029+5343.2477517297</f>
        <v>6999.99999999999</v>
      </c>
    </row>
    <row r="44" spans="1:25" x14ac:dyDescent="0.2">
      <c r="C44" s="121">
        <f t="shared" si="15"/>
        <v>26.138888888888889</v>
      </c>
      <c r="E44" s="5">
        <v>49865</v>
      </c>
      <c r="H44" s="121">
        <v>0.45454545454545398</v>
      </c>
      <c r="I44" s="121">
        <v>0.45454545454545398</v>
      </c>
      <c r="J44" s="121">
        <v>0</v>
      </c>
      <c r="K44" s="121">
        <v>0</v>
      </c>
      <c r="L44" s="121">
        <f t="shared" si="21"/>
        <v>4.5454545454545459</v>
      </c>
      <c r="M44" s="141">
        <f t="shared" si="2"/>
        <v>4.5454545454545459</v>
      </c>
      <c r="N44" s="121">
        <f t="shared" si="13"/>
        <v>0</v>
      </c>
      <c r="O44" s="121">
        <f t="shared" si="3"/>
        <v>13.636363636363612</v>
      </c>
      <c r="P44" s="141">
        <f t="shared" si="4"/>
        <v>13.636363636363612</v>
      </c>
      <c r="Q44" s="127">
        <f t="shared" si="5"/>
        <v>5</v>
      </c>
      <c r="R44" s="127">
        <f t="shared" si="6"/>
        <v>25000</v>
      </c>
      <c r="T44" s="121">
        <f t="shared" si="18"/>
        <v>7.5694444444444446</v>
      </c>
      <c r="U44" s="136">
        <f t="shared" si="16"/>
        <v>47857</v>
      </c>
      <c r="V44" s="121">
        <f t="shared" si="17"/>
        <v>31250</v>
      </c>
      <c r="W44" s="121">
        <f t="shared" si="19"/>
        <v>93212.038839734887</v>
      </c>
      <c r="X44" s="121">
        <f t="shared" si="20"/>
        <v>0.20569895846448916</v>
      </c>
    </row>
    <row r="45" spans="1:25" x14ac:dyDescent="0.2">
      <c r="C45" s="121">
        <f t="shared" si="15"/>
        <v>27.138888888888889</v>
      </c>
      <c r="E45" s="5">
        <v>50049</v>
      </c>
      <c r="H45" s="121">
        <v>0.34090909090909033</v>
      </c>
      <c r="I45" s="121">
        <v>0.34090909090909033</v>
      </c>
      <c r="J45" s="121">
        <v>0</v>
      </c>
      <c r="K45" s="121">
        <v>0</v>
      </c>
      <c r="L45" s="121">
        <f t="shared" si="21"/>
        <v>4.5454545454545459</v>
      </c>
      <c r="M45" s="141">
        <f t="shared" si="2"/>
        <v>4.5454545454545459</v>
      </c>
      <c r="N45" s="121">
        <f t="shared" si="13"/>
        <v>0</v>
      </c>
      <c r="O45" s="121">
        <f t="shared" si="3"/>
        <v>9.0909090909090651</v>
      </c>
      <c r="P45" s="141">
        <f t="shared" si="4"/>
        <v>9.0909090909090651</v>
      </c>
      <c r="Q45" s="127">
        <f t="shared" si="5"/>
        <v>4.8863636363636358</v>
      </c>
      <c r="R45" s="127">
        <f t="shared" si="6"/>
        <v>24431.81818181818</v>
      </c>
      <c r="T45" s="121">
        <f t="shared" si="18"/>
        <v>8.0694444444444446</v>
      </c>
      <c r="U45" s="136">
        <f t="shared" si="16"/>
        <v>48038</v>
      </c>
      <c r="V45" s="121">
        <f t="shared" si="17"/>
        <v>30681.818181818184</v>
      </c>
      <c r="W45" s="121">
        <f t="shared" si="19"/>
        <v>91741.803138290808</v>
      </c>
      <c r="X45" s="121">
        <f t="shared" si="20"/>
        <v>0.2024544639093992</v>
      </c>
    </row>
    <row r="46" spans="1:25" x14ac:dyDescent="0.2">
      <c r="C46" s="121">
        <f t="shared" si="15"/>
        <v>28.138888888888889</v>
      </c>
      <c r="E46" s="5">
        <v>50230</v>
      </c>
      <c r="H46" s="121">
        <v>0.22727272727272663</v>
      </c>
      <c r="I46" s="121">
        <v>0.22727272727272663</v>
      </c>
      <c r="J46" s="121">
        <v>0</v>
      </c>
      <c r="K46" s="121">
        <v>0</v>
      </c>
      <c r="L46" s="121">
        <f t="shared" si="21"/>
        <v>4.5454545454545459</v>
      </c>
      <c r="M46" s="141">
        <f t="shared" si="2"/>
        <v>4.5454545454545459</v>
      </c>
      <c r="N46" s="121">
        <f t="shared" si="13"/>
        <v>0</v>
      </c>
      <c r="O46" s="121">
        <f t="shared" si="3"/>
        <v>4.5454545454545192</v>
      </c>
      <c r="P46" s="141">
        <f t="shared" si="4"/>
        <v>4.5454545454545192</v>
      </c>
      <c r="Q46" s="127">
        <f t="shared" si="5"/>
        <v>4.7727272727272725</v>
      </c>
      <c r="R46" s="127">
        <f t="shared" si="6"/>
        <v>23863.636363636364</v>
      </c>
      <c r="T46" s="121">
        <f t="shared" si="18"/>
        <v>8.5694444444444446</v>
      </c>
      <c r="U46" s="136">
        <f t="shared" si="16"/>
        <v>48222</v>
      </c>
      <c r="V46" s="121">
        <f t="shared" si="17"/>
        <v>30113.636363636368</v>
      </c>
      <c r="W46" s="121">
        <f t="shared" si="19"/>
        <v>89917.241892760183</v>
      </c>
      <c r="X46" s="121">
        <f t="shared" si="20"/>
        <v>0.19842804894699703</v>
      </c>
    </row>
    <row r="47" spans="1:25" x14ac:dyDescent="0.2">
      <c r="C47" s="121">
        <f t="shared" si="15"/>
        <v>29.138888888888889</v>
      </c>
      <c r="E47" s="5">
        <v>50414</v>
      </c>
      <c r="H47" s="121">
        <v>0.11363636363636298</v>
      </c>
      <c r="I47" s="121">
        <v>0.11363636363636298</v>
      </c>
      <c r="J47" s="121">
        <v>0</v>
      </c>
      <c r="K47" s="121">
        <v>0</v>
      </c>
      <c r="L47" s="121">
        <f t="shared" si="21"/>
        <v>4.5454545454545459</v>
      </c>
      <c r="M47" s="141">
        <f t="shared" si="2"/>
        <v>4.5454545454545459</v>
      </c>
      <c r="N47" s="121">
        <f t="shared" si="13"/>
        <v>0</v>
      </c>
      <c r="O47" s="121">
        <f t="shared" si="3"/>
        <v>-2.6645352591003757E-14</v>
      </c>
      <c r="P47" s="141">
        <f t="shared" si="4"/>
        <v>-2.6645352591003757E-14</v>
      </c>
      <c r="Q47" s="127">
        <f t="shared" si="5"/>
        <v>4.6590909090909092</v>
      </c>
      <c r="R47" s="127">
        <f t="shared" si="6"/>
        <v>23295.454545454544</v>
      </c>
      <c r="T47" s="121">
        <f t="shared" si="18"/>
        <v>9.0694444444444446</v>
      </c>
      <c r="U47" s="136">
        <f t="shared" si="16"/>
        <v>48404</v>
      </c>
      <c r="V47" s="121">
        <f t="shared" si="17"/>
        <v>29545.454545454544</v>
      </c>
      <c r="W47" s="121">
        <f t="shared" si="19"/>
        <v>87797.678371711445</v>
      </c>
      <c r="X47" s="121">
        <f t="shared" si="20"/>
        <v>0.19375062729517931</v>
      </c>
    </row>
    <row r="48" spans="1:25" x14ac:dyDescent="0.2">
      <c r="T48" s="121">
        <f t="shared" si="18"/>
        <v>9.5694444444444446</v>
      </c>
      <c r="U48" s="136">
        <f t="shared" si="16"/>
        <v>48588</v>
      </c>
      <c r="V48" s="121">
        <f t="shared" si="17"/>
        <v>28977.272727272728</v>
      </c>
      <c r="W48" s="121">
        <f t="shared" si="19"/>
        <v>85435.913810560509</v>
      </c>
      <c r="X48" s="121">
        <f t="shared" si="20"/>
        <v>0.18853871994485971</v>
      </c>
    </row>
    <row r="49" spans="5:24" x14ac:dyDescent="0.2">
      <c r="T49" s="121">
        <f t="shared" si="18"/>
        <v>10.069444444444445</v>
      </c>
      <c r="U49" s="136">
        <f t="shared" si="16"/>
        <v>48769</v>
      </c>
      <c r="V49" s="121">
        <f t="shared" si="17"/>
        <v>28409.090909090908</v>
      </c>
      <c r="W49" s="121">
        <f t="shared" si="19"/>
        <v>82878.836516538213</v>
      </c>
      <c r="X49" s="121">
        <f t="shared" si="20"/>
        <v>0.18289579932386629</v>
      </c>
    </row>
    <row r="50" spans="5:24" x14ac:dyDescent="0.2">
      <c r="T50" s="121">
        <f t="shared" si="18"/>
        <v>10.569444444444445</v>
      </c>
      <c r="U50" s="136">
        <f t="shared" si="16"/>
        <v>48953</v>
      </c>
      <c r="V50" s="121">
        <f t="shared" si="17"/>
        <v>27840.909090909092</v>
      </c>
      <c r="W50" s="121">
        <f t="shared" si="19"/>
        <v>80167.979000656327</v>
      </c>
      <c r="X50" s="121">
        <f t="shared" si="20"/>
        <v>0.17691351876758227</v>
      </c>
    </row>
    <row r="51" spans="5:24" x14ac:dyDescent="0.2">
      <c r="T51" s="121">
        <f t="shared" si="18"/>
        <v>11.069444444444445</v>
      </c>
      <c r="U51" s="136">
        <f t="shared" si="16"/>
        <v>49134</v>
      </c>
      <c r="V51" s="121">
        <f t="shared" si="17"/>
        <v>27272.727272727276</v>
      </c>
      <c r="W51" s="121">
        <f t="shared" si="19"/>
        <v>77340.027319760135</v>
      </c>
      <c r="X51" s="121">
        <f t="shared" si="20"/>
        <v>0.17067283652750798</v>
      </c>
    </row>
    <row r="52" spans="5:24" x14ac:dyDescent="0.2">
      <c r="T52" s="121">
        <f t="shared" si="18"/>
        <v>11.569444444444445</v>
      </c>
      <c r="U52" s="136">
        <f t="shared" si="16"/>
        <v>49318</v>
      </c>
      <c r="V52" s="121">
        <f t="shared" si="17"/>
        <v>26704.545454545456</v>
      </c>
      <c r="W52" s="121">
        <f t="shared" si="19"/>
        <v>74427.286488689802</v>
      </c>
      <c r="X52" s="121">
        <f t="shared" si="20"/>
        <v>0.16424504283598376</v>
      </c>
    </row>
    <row r="53" spans="5:24" x14ac:dyDescent="0.2">
      <c r="E53" s="121">
        <f>+B36*B25+B26*B37</f>
        <v>453147.84058930253</v>
      </c>
      <c r="T53" s="121">
        <f t="shared" si="18"/>
        <v>12.069444444444445</v>
      </c>
      <c r="U53" s="136">
        <f t="shared" si="16"/>
        <v>49499</v>
      </c>
      <c r="V53" s="121">
        <f t="shared" si="17"/>
        <v>26136.363636363636</v>
      </c>
      <c r="W53" s="121">
        <f t="shared" si="19"/>
        <v>71458.105523696577</v>
      </c>
      <c r="X53" s="121">
        <f t="shared" si="20"/>
        <v>0.15769269788575899</v>
      </c>
    </row>
    <row r="54" spans="5:24" x14ac:dyDescent="0.2">
      <c r="T54" s="121">
        <f t="shared" si="18"/>
        <v>12.569444444444445</v>
      </c>
      <c r="U54" s="136">
        <f t="shared" si="16"/>
        <v>49683</v>
      </c>
      <c r="V54" s="121">
        <f t="shared" si="17"/>
        <v>25568.181818181816</v>
      </c>
      <c r="W54" s="121">
        <f t="shared" si="19"/>
        <v>68457.265401808618</v>
      </c>
      <c r="X54" s="121">
        <f t="shared" si="20"/>
        <v>0.15107048797302322</v>
      </c>
    </row>
    <row r="55" spans="5:24" x14ac:dyDescent="0.2">
      <c r="T55" s="121">
        <f t="shared" si="18"/>
        <v>13.069444444444445</v>
      </c>
      <c r="U55" s="136">
        <f t="shared" si="16"/>
        <v>49865</v>
      </c>
      <c r="V55" s="121">
        <f t="shared" si="17"/>
        <v>25000</v>
      </c>
      <c r="W55" s="121">
        <f t="shared" si="19"/>
        <v>65446.332965172405</v>
      </c>
      <c r="X55" s="121">
        <f t="shared" si="20"/>
        <v>0.14442600648830969</v>
      </c>
    </row>
    <row r="56" spans="5:24" x14ac:dyDescent="0.2">
      <c r="T56" s="121">
        <f t="shared" si="18"/>
        <v>13.569444444444445</v>
      </c>
      <c r="U56" s="136">
        <f t="shared" si="16"/>
        <v>50049</v>
      </c>
      <c r="V56" s="121">
        <f t="shared" si="17"/>
        <v>24431.81818181818</v>
      </c>
      <c r="W56" s="121">
        <f t="shared" si="19"/>
        <v>62443.983562984016</v>
      </c>
      <c r="X56" s="121">
        <f t="shared" si="20"/>
        <v>0.13780046591797118</v>
      </c>
    </row>
    <row r="57" spans="5:24" x14ac:dyDescent="0.2">
      <c r="T57" s="121">
        <f t="shared" si="18"/>
        <v>14.069444444444445</v>
      </c>
      <c r="U57" s="136">
        <f t="shared" si="16"/>
        <v>50230</v>
      </c>
      <c r="V57" s="121">
        <f t="shared" si="17"/>
        <v>23863.636363636364</v>
      </c>
      <c r="W57" s="121">
        <f t="shared" si="19"/>
        <v>59466.295005057276</v>
      </c>
      <c r="X57" s="121">
        <f t="shared" si="20"/>
        <v>0.13122934653659729</v>
      </c>
    </row>
    <row r="58" spans="5:24" x14ac:dyDescent="0.2">
      <c r="T58" s="121">
        <f t="shared" si="18"/>
        <v>14.569444444444445</v>
      </c>
      <c r="U58" s="136">
        <f t="shared" si="16"/>
        <v>50414</v>
      </c>
      <c r="V58" s="121">
        <f t="shared" si="17"/>
        <v>23295.454545454544</v>
      </c>
      <c r="W58" s="121">
        <f t="shared" si="19"/>
        <v>56527.015199039837</v>
      </c>
      <c r="X58" s="121">
        <f t="shared" si="20"/>
        <v>0.1247429870248927</v>
      </c>
    </row>
    <row r="60" spans="5:24" x14ac:dyDescent="0.2">
      <c r="V60" s="112">
        <f>+XIRR(V24:V58, U24:U58)</f>
        <v>0.13091736435890197</v>
      </c>
      <c r="X60" s="121">
        <f>+SUM(X25:X58)</f>
        <v>4.6071910678410335</v>
      </c>
    </row>
  </sheetData>
  <mergeCells count="9">
    <mergeCell ref="Y5:Z5"/>
    <mergeCell ref="AB5:AC5"/>
    <mergeCell ref="AE5:AG5"/>
    <mergeCell ref="F1:G1"/>
    <mergeCell ref="H1:I1"/>
    <mergeCell ref="K1:L1"/>
    <mergeCell ref="N1:O1"/>
    <mergeCell ref="U2:W2"/>
    <mergeCell ref="S3:T3"/>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TEMPLATE</vt:lpstr>
      <vt:lpstr>SERIES </vt:lpstr>
      <vt:lpstr>DUMRAUF</vt:lpstr>
      <vt:lpstr>SANTA_EMILIA</vt:lpstr>
      <vt:lpstr>EJ_NOCAPS</vt:lpstr>
      <vt:lpstr>EJ_CAPS</vt:lpstr>
      <vt:lpstr>YPF_ON_PROGRA</vt:lpstr>
      <vt:lpstr>TEST PROG</vt:lpstr>
      <vt:lpstr>AE38</vt:lpstr>
      <vt:lpstr>CP170</vt:lpstr>
      <vt:lpstr>CP170 (2)</vt:lpstr>
      <vt:lpstr>Port</vt:lpstr>
      <vt:lpstr>Port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López</dc:creator>
  <cp:lastModifiedBy>Federico Lopez</cp:lastModifiedBy>
  <dcterms:created xsi:type="dcterms:W3CDTF">2023-06-10T18:48:22Z</dcterms:created>
  <dcterms:modified xsi:type="dcterms:W3CDTF">2024-03-02T19:54:38Z</dcterms:modified>
</cp:coreProperties>
</file>