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09"/>
  <workbookPr/>
  <mc:AlternateContent xmlns:mc="http://schemas.openxmlformats.org/markup-compatibility/2006">
    <mc:Choice Requires="x15">
      <x15ac:absPath xmlns:x15ac="http://schemas.microsoft.com/office/spreadsheetml/2010/11/ac" url="https://d.docs.live.net/d55e916249d8decc/Documents/UDESA/05_Cuatrimestre/Mercado de Capitales/PARCIAL/"/>
    </mc:Choice>
  </mc:AlternateContent>
  <xr:revisionPtr revIDLastSave="4" documentId="11_BF909062D6C7AED71A7CD0B84A476046E02FF04A" xr6:coauthVersionLast="47" xr6:coauthVersionMax="47" xr10:uidLastSave="{D4A04310-D697-4544-89D7-F48A920F66C5}"/>
  <bookViews>
    <workbookView xWindow="0" yWindow="880" windowWidth="32340" windowHeight="20780" xr2:uid="{00000000-000D-0000-FFFF-FFFF00000000}"/>
  </bookViews>
  <sheets>
    <sheet name="PUNTO 1" sheetId="3" r:id="rId1"/>
    <sheet name="PUNTO 2" sheetId="1" r:id="rId2"/>
    <sheet name="PUNTO 3" sheetId="4" r:id="rId3"/>
  </sheets>
  <definedNames>
    <definedName name="solver_adj" localSheetId="1" hidden="1">'PUNTO 2'!$L$3</definedName>
    <definedName name="solver_cvg" localSheetId="1" hidden="1">0.0001</definedName>
    <definedName name="solver_drv" localSheetId="1" hidden="1">2</definedName>
    <definedName name="solver_eng" localSheetId="1" hidden="1">1</definedName>
    <definedName name="solver_est" localSheetId="1" hidden="1">1</definedName>
    <definedName name="solver_itr" localSheetId="1" hidden="1">2147483647</definedName>
    <definedName name="solver_mip" localSheetId="1" hidden="1">2147483647</definedName>
    <definedName name="solver_mni" localSheetId="1" hidden="1">30</definedName>
    <definedName name="solver_mrt" localSheetId="1" hidden="1">0.075</definedName>
    <definedName name="solver_msl" localSheetId="1" hidden="1">2</definedName>
    <definedName name="solver_neg" localSheetId="1" hidden="1">1</definedName>
    <definedName name="solver_nod" localSheetId="1" hidden="1">2147483647</definedName>
    <definedName name="solver_num" localSheetId="1" hidden="1">0</definedName>
    <definedName name="solver_nwt" localSheetId="1" hidden="1">1</definedName>
    <definedName name="solver_opt" localSheetId="1" hidden="1">'PUNTO 2'!$P$14</definedName>
    <definedName name="solver_pre" localSheetId="1" hidden="1">0.000001</definedName>
    <definedName name="solver_rbv" localSheetId="1" hidden="1">2</definedName>
    <definedName name="solver_rlx" localSheetId="1" hidden="1">2</definedName>
    <definedName name="solver_rsd" localSheetId="1" hidden="1">0</definedName>
    <definedName name="solver_scl" localSheetId="1" hidden="1">2</definedName>
    <definedName name="solver_sho" localSheetId="1" hidden="1">2</definedName>
    <definedName name="solver_ssz" localSheetId="1" hidden="1">100</definedName>
    <definedName name="solver_tim" localSheetId="1" hidden="1">2147483647</definedName>
    <definedName name="solver_tol" localSheetId="1" hidden="1">0.01</definedName>
    <definedName name="solver_typ" localSheetId="1" hidden="1">3</definedName>
    <definedName name="solver_val" localSheetId="1" hidden="1">100.5</definedName>
    <definedName name="solver_ver" localSheetId="1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18" i="1" l="1"/>
  <c r="R19" i="1"/>
  <c r="Q17" i="1"/>
  <c r="R17" i="1" s="1"/>
  <c r="Q18" i="1"/>
  <c r="Q19" i="1"/>
  <c r="Q20" i="1"/>
  <c r="R20" i="1" s="1"/>
  <c r="Q21" i="1"/>
  <c r="Q22" i="1"/>
  <c r="Q23" i="1"/>
  <c r="Q16" i="1"/>
  <c r="I15" i="1"/>
  <c r="I12" i="1"/>
  <c r="H13" i="1"/>
  <c r="H14" i="1"/>
  <c r="H15" i="1"/>
  <c r="H12" i="1"/>
  <c r="A7" i="4"/>
  <c r="A9" i="4" s="1"/>
  <c r="B2" i="4"/>
  <c r="O14" i="1"/>
  <c r="L16" i="1"/>
  <c r="O16" i="1" s="1"/>
  <c r="R16" i="1" s="1"/>
  <c r="R14" i="1" s="1"/>
  <c r="D32" i="1" s="1"/>
  <c r="L17" i="1"/>
  <c r="O17" i="1" s="1"/>
  <c r="L18" i="1"/>
  <c r="O18" i="1" s="1"/>
  <c r="L19" i="1"/>
  <c r="O19" i="1" s="1"/>
  <c r="L20" i="1"/>
  <c r="O20" i="1" s="1"/>
  <c r="L21" i="1"/>
  <c r="O21" i="1" s="1"/>
  <c r="R21" i="1" s="1"/>
  <c r="L22" i="1"/>
  <c r="O22" i="1" s="1"/>
  <c r="R22" i="1" s="1"/>
  <c r="L23" i="1"/>
  <c r="O23" i="1" s="1"/>
  <c r="R23" i="1" s="1"/>
  <c r="L15" i="1"/>
  <c r="O15" i="1" s="1"/>
  <c r="F11" i="1"/>
  <c r="C13" i="1"/>
  <c r="F13" i="1" s="1"/>
  <c r="I13" i="1" s="1"/>
  <c r="C14" i="1"/>
  <c r="F14" i="1" s="1"/>
  <c r="I14" i="1" s="1"/>
  <c r="C15" i="1"/>
  <c r="C12" i="1"/>
  <c r="F15" i="1"/>
  <c r="F12" i="1"/>
  <c r="I11" i="1" l="1"/>
  <c r="D31" i="1" s="1"/>
  <c r="D28" i="1"/>
  <c r="A11" i="1"/>
  <c r="C6" i="1"/>
  <c r="E3" i="1"/>
  <c r="E2" i="1"/>
  <c r="D29" i="1" s="1"/>
  <c r="F15" i="3"/>
  <c r="K19" i="1" l="1"/>
  <c r="P19" i="1" s="1"/>
  <c r="K23" i="1"/>
  <c r="P23" i="1" s="1"/>
  <c r="K21" i="1"/>
  <c r="P21" i="1" s="1"/>
  <c r="K16" i="1"/>
  <c r="P16" i="1" s="1"/>
  <c r="K20" i="1"/>
  <c r="P20" i="1" s="1"/>
  <c r="K15" i="1"/>
  <c r="P15" i="1" s="1"/>
  <c r="K17" i="1"/>
  <c r="P17" i="1" s="1"/>
  <c r="K18" i="1"/>
  <c r="P18" i="1" s="1"/>
  <c r="K22" i="1"/>
  <c r="P22" i="1" s="1"/>
  <c r="B15" i="1"/>
  <c r="G15" i="1" s="1"/>
  <c r="B12" i="1"/>
  <c r="G12" i="1" s="1"/>
  <c r="B13" i="1"/>
  <c r="G13" i="1" s="1"/>
  <c r="B14" i="1"/>
  <c r="G14" i="1" s="1"/>
  <c r="P14" i="1" l="1"/>
  <c r="G11" i="1"/>
  <c r="B7" i="1" l="1"/>
  <c r="E39" i="1"/>
  <c r="E34" i="1"/>
  <c r="C7" i="1"/>
  <c r="E35" i="1"/>
  <c r="E36" i="1" s="1"/>
  <c r="E38" i="1"/>
  <c r="E40" i="1" l="1"/>
  <c r="I37" i="1" s="1"/>
</calcChain>
</file>

<file path=xl/sharedStrings.xml><?xml version="1.0" encoding="utf-8"?>
<sst xmlns="http://schemas.openxmlformats.org/spreadsheetml/2006/main" count="128" uniqueCount="85">
  <si>
    <t>TC</t>
  </si>
  <si>
    <t>EMISION</t>
  </si>
  <si>
    <t>VN</t>
  </si>
  <si>
    <t>AMORTIZACION</t>
  </si>
  <si>
    <t>FREQ</t>
  </si>
  <si>
    <t>PROXIMO</t>
  </si>
  <si>
    <t>TIR</t>
  </si>
  <si>
    <t>PRECIO</t>
  </si>
  <si>
    <t>DURATION</t>
  </si>
  <si>
    <t>CURRENT YIELD (RENTA ANUAL / PRECIO)</t>
  </si>
  <si>
    <t>CORRIDOS</t>
  </si>
  <si>
    <t>PARIDAD</t>
  </si>
  <si>
    <t>VALOR TECNICO (RESIDUAL + CORRIDOS)</t>
  </si>
  <si>
    <t>COMPRA</t>
  </si>
  <si>
    <t>VENTA</t>
  </si>
  <si>
    <t>1.1)</t>
  </si>
  <si>
    <t>Ultimo operado: 10,4</t>
  </si>
  <si>
    <t>STOP</t>
  </si>
  <si>
    <t>MI COMPRA</t>
  </si>
  <si>
    <t>Si el precio de stop de venta toca 10,5 se dispara mi orden de compra</t>
  </si>
  <si>
    <t>MARKET TO LIMIT:</t>
  </si>
  <si>
    <t>Entra la orden a market y el remanente que no se opere queda con el limit</t>
  </si>
  <si>
    <t>queda:</t>
  </si>
  <si>
    <t>id</t>
  </si>
  <si>
    <t>C</t>
  </si>
  <si>
    <t>ID</t>
  </si>
  <si>
    <t>y el remanente queda al ultimo precio operado en el libro</t>
  </si>
  <si>
    <t>que como es precio mas bajo que todos los ofertantes de compra se venden todas</t>
  </si>
  <si>
    <t>DESPUES</t>
  </si>
  <si>
    <t xml:space="preserve">se limpian todas las operaciones de market </t>
  </si>
  <si>
    <t>PRIMERO</t>
  </si>
  <si>
    <t>se dispara mi STOP LIMIT porque el precio es menor que mi stop (10,5)</t>
  </si>
  <si>
    <t>entonces voy a comprar 1000 mientras pueda comprarlas por menos de 10,75</t>
  </si>
  <si>
    <t>PLAZA FINAL:</t>
  </si>
  <si>
    <t>1.2)</t>
  </si>
  <si>
    <t>LIMIT VENTA</t>
  </si>
  <si>
    <t>P</t>
  </si>
  <si>
    <t>Vende mientras pueda vender mejor que el precio</t>
  </si>
  <si>
    <t>ASUMIENDO QUE ENTRA DESPUES DEL LA SITUACION PLANTEADA EN EL EJERCICIO; NO DESPUES DEL LA SITUACION EN EL PUNTO 1.1</t>
  </si>
  <si>
    <t xml:space="preserve">PRIMERO </t>
  </si>
  <si>
    <t>Se venden las200 + 100 con precio de compra menor al limit</t>
  </si>
  <si>
    <t>Quedan las que eran menores al limit en el libro de venta</t>
  </si>
  <si>
    <t>PLAZA FINAL</t>
  </si>
  <si>
    <t>WALT D</t>
  </si>
  <si>
    <t>CARNIVAL</t>
  </si>
  <si>
    <t>CONCERTA</t>
  </si>
  <si>
    <t>LIQUIDA (48)</t>
  </si>
  <si>
    <t>VENCE</t>
  </si>
  <si>
    <t>Bullet</t>
  </si>
  <si>
    <t>CARTERA</t>
  </si>
  <si>
    <t>% WD</t>
  </si>
  <si>
    <t>% CAR</t>
  </si>
  <si>
    <t>t</t>
  </si>
  <si>
    <t>ANTERIOR</t>
  </si>
  <si>
    <t>AMORTIZA</t>
  </si>
  <si>
    <t>RESIDUAL</t>
  </si>
  <si>
    <t>CUPONES</t>
  </si>
  <si>
    <t>FLUJOS</t>
  </si>
  <si>
    <t xml:space="preserve">t frac </t>
  </si>
  <si>
    <t>PV</t>
  </si>
  <si>
    <t>CANTIDAD DE COMRPA</t>
  </si>
  <si>
    <t>WD</t>
  </si>
  <si>
    <t>CARN</t>
  </si>
  <si>
    <t>Si vende en 01/06/2023, vende antes del proximo cupon de WD, por lo que el current yield es el interes corrido</t>
  </si>
  <si>
    <t>2.1</t>
  </si>
  <si>
    <t>VA perpetuidad</t>
  </si>
  <si>
    <t>tasa:</t>
  </si>
  <si>
    <t>millones</t>
  </si>
  <si>
    <t>pago perpetudiad</t>
  </si>
  <si>
    <t>3.1</t>
  </si>
  <si>
    <t>con la duration de la perpetuidad:</t>
  </si>
  <si>
    <t>Es decir que si la tasa baja 1 bp, el valor se reduce</t>
  </si>
  <si>
    <t>en 20 millones</t>
  </si>
  <si>
    <t>Su modified duration sera:</t>
  </si>
  <si>
    <t>el interes de CARNIVAL que se cobra</t>
  </si>
  <si>
    <t>el interes corrido de WD</t>
  </si>
  <si>
    <t>El retorno que se puede esperar vendiendola en 01/06/2023 tiene estas partes:</t>
  </si>
  <si>
    <t>La diferencia entre los precios que tendrian al momento de la compra y al momento de la venta ( ya que asumimso que la tir quedaba igual</t>
  </si>
  <si>
    <t>AL 01/06/2023</t>
  </si>
  <si>
    <t>CAR</t>
  </si>
  <si>
    <t>Para CARNIVAL obtuviste</t>
  </si>
  <si>
    <t>CAPITAL GAIN</t>
  </si>
  <si>
    <t>CURRENT YIELD</t>
  </si>
  <si>
    <t>RETORNO</t>
  </si>
  <si>
    <t>REN TOT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</si>
</sst>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&quot;$&quot;\ #,##0.00;[Red]\-&quot;$&quot;\ #,##0.00"/>
    <numFmt numFmtId="165" formatCode="_-* #,##0.00_-;\-* #,##0.00_-;_-* &quot;-&quot;??_-;_-@_-"/>
    <numFmt numFmtId="166" formatCode="0.0%"/>
    <numFmt numFmtId="167" formatCode="0.000%"/>
    <numFmt numFmtId="168" formatCode="0.0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3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horizontal="center" vertical="center" wrapText="1"/>
    </xf>
    <xf numFmtId="0" fontId="0" fillId="3" borderId="0" xfId="0" applyFill="1"/>
    <xf numFmtId="0" fontId="0" fillId="0" borderId="0" xfId="0" applyAlignment="1">
      <alignment wrapText="1"/>
    </xf>
    <xf numFmtId="0" fontId="2" fillId="0" borderId="0" xfId="0" applyFont="1"/>
    <xf numFmtId="165" fontId="0" fillId="3" borderId="0" xfId="1" applyFont="1" applyFill="1"/>
    <xf numFmtId="165" fontId="0" fillId="2" borderId="0" xfId="1" applyFont="1" applyFill="1"/>
    <xf numFmtId="14" fontId="0" fillId="0" borderId="0" xfId="0" applyNumberFormat="1"/>
    <xf numFmtId="15" fontId="0" fillId="0" borderId="0" xfId="0" applyNumberFormat="1"/>
    <xf numFmtId="2" fontId="0" fillId="0" borderId="0" xfId="0" applyNumberFormat="1"/>
    <xf numFmtId="14" fontId="0" fillId="4" borderId="0" xfId="0" applyNumberFormat="1" applyFill="1"/>
    <xf numFmtId="166" fontId="0" fillId="0" borderId="0" xfId="2" applyNumberFormat="1" applyFont="1"/>
    <xf numFmtId="10" fontId="0" fillId="0" borderId="0" xfId="2" applyNumberFormat="1" applyFont="1"/>
    <xf numFmtId="167" fontId="0" fillId="0" borderId="0" xfId="2" applyNumberFormat="1" applyFont="1"/>
    <xf numFmtId="165" fontId="0" fillId="0" borderId="0" xfId="1" applyFont="1"/>
    <xf numFmtId="168" fontId="0" fillId="0" borderId="0" xfId="0" applyNumberFormat="1"/>
    <xf numFmtId="164" fontId="0" fillId="0" borderId="0" xfId="0" applyNumberFormat="1"/>
    <xf numFmtId="10" fontId="0" fillId="0" borderId="0" xfId="0" applyNumberFormat="1"/>
    <xf numFmtId="0" fontId="0" fillId="4" borderId="0" xfId="0" applyFill="1"/>
    <xf numFmtId="10" fontId="0" fillId="4" borderId="0" xfId="0" applyNumberFormat="1" applyFill="1"/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2"/>
  <sheetViews>
    <sheetView tabSelected="1" zoomScale="157" workbookViewId="0">
      <selection activeCell="I21" sqref="I21"/>
    </sheetView>
  </sheetViews>
  <sheetFormatPr baseColWidth="10" defaultRowHeight="15" x14ac:dyDescent="0.2"/>
  <cols>
    <col min="1" max="1" width="13.33203125" customWidth="1"/>
  </cols>
  <sheetData>
    <row r="1" spans="1:9" x14ac:dyDescent="0.2">
      <c r="A1" s="1" t="s">
        <v>25</v>
      </c>
      <c r="B1" s="1" t="s">
        <v>24</v>
      </c>
      <c r="C1" s="1" t="s">
        <v>13</v>
      </c>
      <c r="D1" s="1"/>
      <c r="E1" s="1" t="s">
        <v>14</v>
      </c>
      <c r="F1" s="1" t="s">
        <v>24</v>
      </c>
      <c r="G1" s="1" t="s">
        <v>23</v>
      </c>
    </row>
    <row r="2" spans="1:9" x14ac:dyDescent="0.2">
      <c r="A2" s="1">
        <v>1</v>
      </c>
      <c r="B2" s="1">
        <v>100</v>
      </c>
      <c r="C2" s="1">
        <v>10.5</v>
      </c>
      <c r="D2" s="1"/>
      <c r="E2" s="1">
        <v>10.7</v>
      </c>
      <c r="F2" s="1">
        <v>500</v>
      </c>
      <c r="G2" s="1">
        <v>4</v>
      </c>
    </row>
    <row r="3" spans="1:9" x14ac:dyDescent="0.2">
      <c r="A3" s="1">
        <v>2</v>
      </c>
      <c r="B3" s="1">
        <v>200</v>
      </c>
      <c r="C3" s="1">
        <v>10.49</v>
      </c>
      <c r="D3" s="1"/>
      <c r="E3" s="1">
        <v>10.7</v>
      </c>
      <c r="F3" s="1">
        <v>400</v>
      </c>
      <c r="G3" s="1">
        <v>5</v>
      </c>
    </row>
    <row r="4" spans="1:9" x14ac:dyDescent="0.2">
      <c r="A4" s="1">
        <v>3</v>
      </c>
      <c r="B4" s="1">
        <v>300</v>
      </c>
      <c r="C4" s="1">
        <v>10.48</v>
      </c>
      <c r="D4" s="1"/>
      <c r="E4" s="1">
        <v>10.76</v>
      </c>
      <c r="F4" s="1">
        <v>300</v>
      </c>
      <c r="G4" s="1">
        <v>6</v>
      </c>
    </row>
    <row r="5" spans="1:9" x14ac:dyDescent="0.2">
      <c r="A5" t="s">
        <v>16</v>
      </c>
    </row>
    <row r="7" spans="1:9" x14ac:dyDescent="0.2">
      <c r="C7" t="s">
        <v>7</v>
      </c>
      <c r="D7" t="s">
        <v>17</v>
      </c>
    </row>
    <row r="8" spans="1:9" x14ac:dyDescent="0.2">
      <c r="A8" t="s">
        <v>18</v>
      </c>
      <c r="B8">
        <v>1000</v>
      </c>
      <c r="C8">
        <v>10.75</v>
      </c>
      <c r="D8">
        <v>10.5</v>
      </c>
    </row>
    <row r="9" spans="1:9" x14ac:dyDescent="0.2">
      <c r="A9" t="s">
        <v>19</v>
      </c>
    </row>
    <row r="11" spans="1:9" s="3" customFormat="1" ht="13.5" customHeight="1" x14ac:dyDescent="0.2">
      <c r="A11" s="3" t="s">
        <v>15</v>
      </c>
      <c r="B11" s="3" t="s">
        <v>24</v>
      </c>
    </row>
    <row r="12" spans="1:9" ht="32" x14ac:dyDescent="0.2">
      <c r="A12" s="4" t="s">
        <v>20</v>
      </c>
      <c r="B12">
        <v>1000</v>
      </c>
      <c r="E12" s="5" t="s">
        <v>21</v>
      </c>
    </row>
    <row r="13" spans="1:9" x14ac:dyDescent="0.2">
      <c r="A13" t="s">
        <v>22</v>
      </c>
      <c r="I13" t="s">
        <v>30</v>
      </c>
    </row>
    <row r="14" spans="1:9" x14ac:dyDescent="0.2">
      <c r="A14" s="1" t="s">
        <v>25</v>
      </c>
      <c r="B14" s="1" t="s">
        <v>24</v>
      </c>
      <c r="C14" s="1" t="s">
        <v>13</v>
      </c>
      <c r="D14" s="1"/>
      <c r="E14" s="1" t="s">
        <v>14</v>
      </c>
      <c r="F14" s="1" t="s">
        <v>24</v>
      </c>
      <c r="G14" s="1" t="s">
        <v>23</v>
      </c>
      <c r="I14" t="s">
        <v>29</v>
      </c>
    </row>
    <row r="15" spans="1:9" x14ac:dyDescent="0.2">
      <c r="A15" s="1"/>
      <c r="B15" s="1"/>
      <c r="C15" s="1"/>
      <c r="D15" s="1"/>
      <c r="E15" s="6">
        <v>10.4</v>
      </c>
      <c r="F15" s="3">
        <f>1000-B2-B3-B4</f>
        <v>400</v>
      </c>
      <c r="G15" s="3">
        <v>8</v>
      </c>
      <c r="I15" t="s">
        <v>27</v>
      </c>
    </row>
    <row r="16" spans="1:9" x14ac:dyDescent="0.2">
      <c r="A16" s="1"/>
      <c r="B16" s="1"/>
      <c r="C16" s="1"/>
      <c r="D16" s="1"/>
      <c r="E16" s="7">
        <v>10.7</v>
      </c>
      <c r="F16" s="1">
        <v>500</v>
      </c>
      <c r="G16" s="1">
        <v>4</v>
      </c>
      <c r="I16" t="s">
        <v>26</v>
      </c>
    </row>
    <row r="17" spans="1:9" x14ac:dyDescent="0.2">
      <c r="A17" s="1"/>
      <c r="B17" s="1"/>
      <c r="C17" s="1"/>
      <c r="D17" s="1"/>
      <c r="E17" s="7">
        <v>10.7</v>
      </c>
      <c r="F17" s="1">
        <v>400</v>
      </c>
      <c r="G17" s="1">
        <v>5</v>
      </c>
    </row>
    <row r="18" spans="1:9" x14ac:dyDescent="0.2">
      <c r="E18" s="7">
        <v>10.76</v>
      </c>
      <c r="F18" s="1">
        <v>300</v>
      </c>
      <c r="G18" s="1">
        <v>6</v>
      </c>
    </row>
    <row r="20" spans="1:9" x14ac:dyDescent="0.2">
      <c r="A20" t="s">
        <v>33</v>
      </c>
      <c r="I20" t="s">
        <v>28</v>
      </c>
    </row>
    <row r="21" spans="1:9" x14ac:dyDescent="0.2">
      <c r="A21" s="1" t="s">
        <v>25</v>
      </c>
      <c r="B21" s="1" t="s">
        <v>24</v>
      </c>
      <c r="C21" s="1" t="s">
        <v>13</v>
      </c>
      <c r="D21" s="1"/>
      <c r="E21" s="1" t="s">
        <v>14</v>
      </c>
      <c r="F21" s="1" t="s">
        <v>24</v>
      </c>
      <c r="G21" s="1" t="s">
        <v>23</v>
      </c>
      <c r="I21" t="s">
        <v>31</v>
      </c>
    </row>
    <row r="22" spans="1:9" x14ac:dyDescent="0.2">
      <c r="A22" s="1"/>
      <c r="B22" s="1"/>
      <c r="C22" s="1"/>
      <c r="D22" s="1"/>
      <c r="E22" s="1">
        <v>10.7</v>
      </c>
      <c r="F22" s="1">
        <v>300</v>
      </c>
      <c r="G22" s="1">
        <v>5</v>
      </c>
      <c r="I22" t="s">
        <v>32</v>
      </c>
    </row>
    <row r="23" spans="1:9" x14ac:dyDescent="0.2">
      <c r="A23" s="1"/>
      <c r="B23" s="1"/>
      <c r="C23" s="1"/>
      <c r="D23" s="1"/>
      <c r="E23" s="1">
        <v>10.76</v>
      </c>
      <c r="F23" s="1">
        <v>300</v>
      </c>
      <c r="G23" s="1">
        <v>6</v>
      </c>
    </row>
    <row r="24" spans="1:9" x14ac:dyDescent="0.2">
      <c r="A24" s="1"/>
      <c r="B24" s="1"/>
      <c r="C24" s="1"/>
      <c r="D24" s="1"/>
    </row>
    <row r="26" spans="1:9" s="3" customFormat="1" x14ac:dyDescent="0.2">
      <c r="A26" s="3" t="s">
        <v>34</v>
      </c>
    </row>
    <row r="27" spans="1:9" x14ac:dyDescent="0.2">
      <c r="B27" t="s">
        <v>24</v>
      </c>
      <c r="C27" t="s">
        <v>36</v>
      </c>
    </row>
    <row r="28" spans="1:9" x14ac:dyDescent="0.2">
      <c r="A28" t="s">
        <v>35</v>
      </c>
      <c r="B28">
        <v>1000</v>
      </c>
      <c r="C28">
        <v>10.49</v>
      </c>
      <c r="E28" s="5" t="s">
        <v>37</v>
      </c>
    </row>
    <row r="30" spans="1:9" x14ac:dyDescent="0.2">
      <c r="A30" t="s">
        <v>38</v>
      </c>
    </row>
    <row r="31" spans="1:9" x14ac:dyDescent="0.2">
      <c r="A31" s="1" t="s">
        <v>25</v>
      </c>
      <c r="B31" s="1" t="s">
        <v>24</v>
      </c>
      <c r="C31" s="1" t="s">
        <v>13</v>
      </c>
      <c r="D31" s="1"/>
      <c r="E31" s="1" t="s">
        <v>14</v>
      </c>
      <c r="F31" s="1" t="s">
        <v>24</v>
      </c>
      <c r="G31" s="1" t="s">
        <v>23</v>
      </c>
    </row>
    <row r="32" spans="1:9" x14ac:dyDescent="0.2">
      <c r="A32" s="1">
        <v>2</v>
      </c>
      <c r="B32" s="1">
        <v>200</v>
      </c>
      <c r="C32" s="1">
        <v>10.49</v>
      </c>
      <c r="D32" s="1"/>
      <c r="E32" s="1">
        <v>10.7</v>
      </c>
      <c r="F32" s="1">
        <v>500</v>
      </c>
      <c r="G32" s="1">
        <v>4</v>
      </c>
      <c r="I32" t="s">
        <v>39</v>
      </c>
    </row>
    <row r="33" spans="1:9" x14ac:dyDescent="0.2">
      <c r="A33" s="1">
        <v>3</v>
      </c>
      <c r="B33" s="1">
        <v>300</v>
      </c>
      <c r="C33" s="1">
        <v>10.48</v>
      </c>
      <c r="D33" s="1"/>
      <c r="E33" s="1">
        <v>10.7</v>
      </c>
      <c r="F33" s="1">
        <v>400</v>
      </c>
      <c r="G33" s="1">
        <v>5</v>
      </c>
      <c r="I33" t="s">
        <v>40</v>
      </c>
    </row>
    <row r="34" spans="1:9" x14ac:dyDescent="0.2">
      <c r="D34" s="1"/>
      <c r="E34" s="1">
        <v>10.76</v>
      </c>
      <c r="F34" s="1">
        <v>300</v>
      </c>
      <c r="G34" s="1">
        <v>6</v>
      </c>
    </row>
    <row r="37" spans="1:9" x14ac:dyDescent="0.2">
      <c r="A37" t="s">
        <v>42</v>
      </c>
      <c r="I37" t="s">
        <v>28</v>
      </c>
    </row>
    <row r="38" spans="1:9" x14ac:dyDescent="0.2">
      <c r="A38" s="1" t="s">
        <v>25</v>
      </c>
      <c r="B38" s="1" t="s">
        <v>24</v>
      </c>
      <c r="C38" s="1" t="s">
        <v>13</v>
      </c>
      <c r="D38" s="1"/>
      <c r="E38" s="1" t="s">
        <v>14</v>
      </c>
      <c r="F38" s="1" t="s">
        <v>24</v>
      </c>
      <c r="G38" s="1" t="s">
        <v>23</v>
      </c>
      <c r="I38" s="1" t="s">
        <v>41</v>
      </c>
    </row>
    <row r="39" spans="1:9" x14ac:dyDescent="0.2">
      <c r="A39" s="1">
        <v>3</v>
      </c>
      <c r="B39" s="1">
        <v>300</v>
      </c>
      <c r="C39" s="1">
        <v>10.48</v>
      </c>
      <c r="D39" s="1"/>
      <c r="E39" s="1">
        <v>10.49</v>
      </c>
      <c r="F39" s="1">
        <v>700</v>
      </c>
      <c r="G39" s="1">
        <v>7</v>
      </c>
    </row>
    <row r="40" spans="1:9" x14ac:dyDescent="0.2">
      <c r="A40" s="1"/>
      <c r="E40" s="1">
        <v>10.7</v>
      </c>
      <c r="F40" s="1">
        <v>500</v>
      </c>
      <c r="G40" s="1">
        <v>4</v>
      </c>
    </row>
    <row r="41" spans="1:9" x14ac:dyDescent="0.2">
      <c r="A41" s="1"/>
      <c r="E41" s="1">
        <v>10.7</v>
      </c>
      <c r="F41" s="1">
        <v>400</v>
      </c>
      <c r="G41" s="1">
        <v>5</v>
      </c>
    </row>
    <row r="42" spans="1:9" x14ac:dyDescent="0.2">
      <c r="E42" s="1">
        <v>10.76</v>
      </c>
      <c r="F42" s="1">
        <v>300</v>
      </c>
      <c r="G42" s="1">
        <v>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40"/>
  <sheetViews>
    <sheetView zoomScale="144" zoomScaleNormal="70" workbookViewId="0">
      <selection activeCell="I11" sqref="I11"/>
    </sheetView>
  </sheetViews>
  <sheetFormatPr baseColWidth="10" defaultRowHeight="15" x14ac:dyDescent="0.2"/>
  <cols>
    <col min="1" max="1" width="14.1640625" customWidth="1"/>
    <col min="8" max="8" width="15.6640625" bestFit="1" customWidth="1"/>
    <col min="12" max="12" width="12.6640625" bestFit="1" customWidth="1"/>
    <col min="15" max="15" width="19.33203125" customWidth="1"/>
    <col min="16" max="16" width="12.6640625" bestFit="1" customWidth="1"/>
    <col min="17" max="17" width="17.5" customWidth="1"/>
  </cols>
  <sheetData>
    <row r="1" spans="1:24" s="2" customFormat="1" ht="48" x14ac:dyDescent="0.2">
      <c r="B1" s="2" t="s">
        <v>0</v>
      </c>
      <c r="C1" s="2" t="s">
        <v>1</v>
      </c>
      <c r="D1" s="2" t="s">
        <v>45</v>
      </c>
      <c r="E1" s="2" t="s">
        <v>46</v>
      </c>
      <c r="F1" s="2" t="s">
        <v>47</v>
      </c>
      <c r="G1" s="2" t="s">
        <v>2</v>
      </c>
      <c r="H1" s="2" t="s">
        <v>3</v>
      </c>
      <c r="I1" s="2" t="s">
        <v>4</v>
      </c>
      <c r="J1" s="2" t="s">
        <v>53</v>
      </c>
      <c r="K1" s="2" t="s">
        <v>5</v>
      </c>
      <c r="L1" s="2" t="s">
        <v>6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12</v>
      </c>
      <c r="R1" s="2" t="s">
        <v>11</v>
      </c>
    </row>
    <row r="2" spans="1:24" x14ac:dyDescent="0.2">
      <c r="A2" t="s">
        <v>43</v>
      </c>
      <c r="B2">
        <v>3.3500000000000002E-2</v>
      </c>
      <c r="C2" s="8">
        <v>45008</v>
      </c>
      <c r="D2" s="8">
        <v>45051</v>
      </c>
      <c r="E2" s="8">
        <f>+D2+2</f>
        <v>45053</v>
      </c>
      <c r="F2" s="8">
        <v>45801</v>
      </c>
      <c r="G2" s="10">
        <v>100</v>
      </c>
      <c r="H2" t="s">
        <v>48</v>
      </c>
      <c r="I2">
        <v>2</v>
      </c>
      <c r="J2" s="8">
        <v>45009</v>
      </c>
      <c r="K2" s="8">
        <v>45193</v>
      </c>
      <c r="L2" s="14">
        <v>1.5044723855096521E-2</v>
      </c>
      <c r="M2">
        <v>97.4</v>
      </c>
    </row>
    <row r="3" spans="1:24" x14ac:dyDescent="0.2">
      <c r="A3" t="s">
        <v>44</v>
      </c>
      <c r="B3">
        <v>7.8750000000000001E-2</v>
      </c>
      <c r="C3" s="8">
        <v>36922</v>
      </c>
      <c r="D3" s="8">
        <v>45051</v>
      </c>
      <c r="E3" s="8">
        <f>+D3+2</f>
        <v>45053</v>
      </c>
      <c r="F3" s="9">
        <v>46539</v>
      </c>
      <c r="G3" s="10">
        <v>100</v>
      </c>
      <c r="H3" t="s">
        <v>48</v>
      </c>
      <c r="I3">
        <v>2</v>
      </c>
      <c r="J3" s="8">
        <v>44896</v>
      </c>
      <c r="K3" s="8">
        <v>45078</v>
      </c>
      <c r="L3">
        <v>2.5990759470618179E-2</v>
      </c>
      <c r="M3">
        <v>100.5</v>
      </c>
    </row>
    <row r="4" spans="1:24" x14ac:dyDescent="0.2">
      <c r="K4" s="8"/>
    </row>
    <row r="5" spans="1:24" ht="16" x14ac:dyDescent="0.2">
      <c r="A5" s="2">
        <v>1000000</v>
      </c>
      <c r="B5" s="2" t="s">
        <v>50</v>
      </c>
      <c r="C5" s="2" t="s">
        <v>51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A6" t="s">
        <v>49</v>
      </c>
      <c r="B6">
        <v>0.5</v>
      </c>
      <c r="C6">
        <f>1-B6</f>
        <v>0.5</v>
      </c>
    </row>
    <row r="7" spans="1:24" x14ac:dyDescent="0.2">
      <c r="A7" s="15" t="s">
        <v>60</v>
      </c>
      <c r="B7">
        <f>100000/G11</f>
        <v>1026.6940466079152</v>
      </c>
      <c r="C7">
        <f>100000/P14</f>
        <v>995.02487583360562</v>
      </c>
      <c r="E7" s="13"/>
    </row>
    <row r="8" spans="1:24" x14ac:dyDescent="0.2">
      <c r="B8" s="12"/>
      <c r="C8" s="12"/>
    </row>
    <row r="9" spans="1:24" x14ac:dyDescent="0.2">
      <c r="A9" t="s">
        <v>61</v>
      </c>
      <c r="J9" t="s">
        <v>62</v>
      </c>
    </row>
    <row r="10" spans="1:24" ht="16" x14ac:dyDescent="0.2">
      <c r="A10" s="2" t="s">
        <v>52</v>
      </c>
      <c r="B10" s="2" t="s">
        <v>58</v>
      </c>
      <c r="C10" s="2" t="s">
        <v>56</v>
      </c>
      <c r="D10" s="2" t="s">
        <v>54</v>
      </c>
      <c r="E10" s="2" t="s">
        <v>55</v>
      </c>
      <c r="F10" s="2" t="s">
        <v>57</v>
      </c>
      <c r="G10" s="2" t="s">
        <v>59</v>
      </c>
      <c r="H10" s="21" t="s">
        <v>78</v>
      </c>
      <c r="I10" s="22"/>
      <c r="J10" s="2" t="s">
        <v>52</v>
      </c>
      <c r="K10" s="2" t="s">
        <v>58</v>
      </c>
      <c r="L10" s="2" t="s">
        <v>56</v>
      </c>
      <c r="M10" s="2" t="s">
        <v>54</v>
      </c>
      <c r="N10" s="2" t="s">
        <v>55</v>
      </c>
      <c r="O10" s="2" t="s">
        <v>57</v>
      </c>
      <c r="P10" s="2" t="s">
        <v>59</v>
      </c>
      <c r="Q10" s="21" t="s">
        <v>78</v>
      </c>
      <c r="R10" s="22"/>
      <c r="S10" s="2"/>
      <c r="T10" s="2"/>
      <c r="U10" s="2"/>
      <c r="V10" s="2"/>
      <c r="W10" s="2"/>
      <c r="X10" s="2"/>
    </row>
    <row r="11" spans="1:24" x14ac:dyDescent="0.2">
      <c r="A11" s="8">
        <f>+C2</f>
        <v>45008</v>
      </c>
      <c r="F11">
        <f>-M2</f>
        <v>-97.4</v>
      </c>
      <c r="G11">
        <f>+SUM(G12:G15)</f>
        <v>97.399999864018952</v>
      </c>
      <c r="I11" s="17">
        <f>+NPV(L2, I12:I15)</f>
        <v>92.196890096301999</v>
      </c>
      <c r="J11" s="8">
        <v>36922</v>
      </c>
    </row>
    <row r="12" spans="1:24" x14ac:dyDescent="0.2">
      <c r="A12" s="11">
        <v>45193</v>
      </c>
      <c r="B12">
        <f>+DAYS360($E$2,A12)/108</f>
        <v>1.2685185185185186</v>
      </c>
      <c r="C12">
        <f>+$B$2*$G$2/2</f>
        <v>1.675</v>
      </c>
      <c r="D12">
        <v>0</v>
      </c>
      <c r="E12">
        <v>100</v>
      </c>
      <c r="F12">
        <f>+D12+C12</f>
        <v>1.675</v>
      </c>
      <c r="G12">
        <f>+F12/(1+$L$2)^B12</f>
        <v>1.6435701413168065</v>
      </c>
      <c r="H12">
        <f>+DAYS360($A$25,A12)/108</f>
        <v>1.0462962962962963</v>
      </c>
      <c r="I12">
        <f>+F12/(1+$L$2)^H12</f>
        <v>1.6490331777933027</v>
      </c>
      <c r="J12" s="8">
        <v>44531</v>
      </c>
    </row>
    <row r="13" spans="1:24" x14ac:dyDescent="0.2">
      <c r="A13" s="8">
        <v>45375</v>
      </c>
      <c r="B13">
        <f t="shared" ref="B13:B15" si="0">+DAYS360($E$2,A13)/108</f>
        <v>2.9351851851851851</v>
      </c>
      <c r="C13">
        <f t="shared" ref="C13:C15" si="1">+$B$2*$G$2/2</f>
        <v>1.675</v>
      </c>
      <c r="D13">
        <v>0</v>
      </c>
      <c r="E13">
        <v>100</v>
      </c>
      <c r="F13">
        <f t="shared" ref="F13:F15" si="2">+D13+C13</f>
        <v>1.675</v>
      </c>
      <c r="G13">
        <f t="shared" ref="G13:G15" si="3">+F13/(1+$L$2)^B13</f>
        <v>1.603170130407318</v>
      </c>
      <c r="H13">
        <f t="shared" ref="H13:H15" si="4">+DAYS360($A$25,A13)/108</f>
        <v>2.7129629629629628</v>
      </c>
      <c r="I13">
        <f t="shared" ref="I13:I15" si="5">+F13/(1+$L$2)^H13</f>
        <v>1.6084988819344217</v>
      </c>
      <c r="J13" s="8">
        <v>44713</v>
      </c>
    </row>
    <row r="14" spans="1:24" x14ac:dyDescent="0.2">
      <c r="A14" s="8">
        <v>45559</v>
      </c>
      <c r="B14">
        <f t="shared" si="0"/>
        <v>4.6018518518518521</v>
      </c>
      <c r="C14">
        <f t="shared" si="1"/>
        <v>1.675</v>
      </c>
      <c r="D14">
        <v>0</v>
      </c>
      <c r="E14">
        <v>100</v>
      </c>
      <c r="F14">
        <f t="shared" si="2"/>
        <v>1.675</v>
      </c>
      <c r="G14">
        <f t="shared" si="3"/>
        <v>1.5637631777436911</v>
      </c>
      <c r="H14">
        <f t="shared" si="4"/>
        <v>4.3796296296296298</v>
      </c>
      <c r="I14">
        <f t="shared" si="5"/>
        <v>1.5689609451318054</v>
      </c>
      <c r="J14" s="8">
        <v>44896</v>
      </c>
      <c r="O14">
        <f>-M3</f>
        <v>-100.5</v>
      </c>
      <c r="P14">
        <f>+SUM(P15:P23)</f>
        <v>100.49999997861624</v>
      </c>
      <c r="R14" s="17">
        <f>+NPV(L3, R16:R23)</f>
        <v>91.99965296277874</v>
      </c>
    </row>
    <row r="15" spans="1:24" x14ac:dyDescent="0.2">
      <c r="A15" s="8">
        <v>45740</v>
      </c>
      <c r="B15">
        <f t="shared" si="0"/>
        <v>6.2685185185185182</v>
      </c>
      <c r="C15">
        <f t="shared" si="1"/>
        <v>1.675</v>
      </c>
      <c r="D15">
        <v>100</v>
      </c>
      <c r="E15">
        <v>100</v>
      </c>
      <c r="F15">
        <f t="shared" si="2"/>
        <v>101.675</v>
      </c>
      <c r="G15">
        <f t="shared" si="3"/>
        <v>92.589496414551135</v>
      </c>
      <c r="H15">
        <f t="shared" si="4"/>
        <v>6.0462962962962967</v>
      </c>
      <c r="I15">
        <f t="shared" si="5"/>
        <v>92.897253159175278</v>
      </c>
      <c r="J15" s="11">
        <v>45078</v>
      </c>
      <c r="K15">
        <f>+DAYS360($E$3,J15)/108</f>
        <v>0.22222222222222221</v>
      </c>
      <c r="L15">
        <f>+$B$3*$G$3/2</f>
        <v>3.9375</v>
      </c>
      <c r="M15">
        <v>0</v>
      </c>
      <c r="N15">
        <v>100</v>
      </c>
      <c r="O15">
        <f>+M15+L15</f>
        <v>3.9375</v>
      </c>
      <c r="P15">
        <f>+O15/(1+$L$3)^K15</f>
        <v>3.915112489002341</v>
      </c>
    </row>
    <row r="16" spans="1:24" x14ac:dyDescent="0.2">
      <c r="A16" s="8"/>
      <c r="J16" s="8">
        <v>45261</v>
      </c>
      <c r="K16">
        <f t="shared" ref="K16:K23" si="6">+DAYS360($E$3,J16)/108</f>
        <v>1.8888888888888888</v>
      </c>
      <c r="L16">
        <f t="shared" ref="L16:L23" si="7">+$B$3*$G$3/2</f>
        <v>3.9375</v>
      </c>
      <c r="M16">
        <v>0</v>
      </c>
      <c r="N16">
        <v>100</v>
      </c>
      <c r="O16">
        <f t="shared" ref="O16:O23" si="8">+M16+L16</f>
        <v>3.9375</v>
      </c>
      <c r="P16">
        <f t="shared" ref="P16:P23" si="9">+O16/(1+$L$3)^K16</f>
        <v>3.7512139012964512</v>
      </c>
      <c r="Q16">
        <f>+DAYS360($A$25,J16)/108</f>
        <v>1.6666666666666667</v>
      </c>
      <c r="R16">
        <f>+O16/(1+$L$2)^Q16</f>
        <v>3.8407137181388173</v>
      </c>
    </row>
    <row r="17" spans="1:24" x14ac:dyDescent="0.2">
      <c r="A17" s="8"/>
      <c r="J17" s="8">
        <v>45444</v>
      </c>
      <c r="K17">
        <f t="shared" si="6"/>
        <v>3.5555555555555554</v>
      </c>
      <c r="L17">
        <f t="shared" si="7"/>
        <v>3.9375</v>
      </c>
      <c r="M17">
        <v>0</v>
      </c>
      <c r="N17">
        <v>100</v>
      </c>
      <c r="O17">
        <f t="shared" si="8"/>
        <v>3.9375</v>
      </c>
      <c r="P17">
        <f t="shared" si="9"/>
        <v>3.5941766099460146</v>
      </c>
      <c r="Q17">
        <f t="shared" ref="Q17:Q23" si="10">+DAYS360($A$25,J17)/108</f>
        <v>3.3333333333333335</v>
      </c>
      <c r="R17">
        <f t="shared" ref="R17:R23" si="11">+O17/(1+$L$2)^Q17</f>
        <v>3.7463065053205589</v>
      </c>
    </row>
    <row r="18" spans="1:24" x14ac:dyDescent="0.2">
      <c r="A18" s="8"/>
      <c r="J18" s="8">
        <v>45627</v>
      </c>
      <c r="K18">
        <f t="shared" si="6"/>
        <v>5.2222222222222223</v>
      </c>
      <c r="L18">
        <f t="shared" si="7"/>
        <v>3.9375</v>
      </c>
      <c r="M18">
        <v>0</v>
      </c>
      <c r="N18">
        <v>100</v>
      </c>
      <c r="O18">
        <f t="shared" si="8"/>
        <v>3.9375</v>
      </c>
      <c r="P18">
        <f t="shared" si="9"/>
        <v>3.4437133800923534</v>
      </c>
      <c r="Q18">
        <f t="shared" si="10"/>
        <v>5</v>
      </c>
      <c r="R18">
        <f t="shared" si="11"/>
        <v>3.6542198824983791</v>
      </c>
    </row>
    <row r="19" spans="1:24" x14ac:dyDescent="0.2">
      <c r="J19" s="8">
        <v>45809</v>
      </c>
      <c r="K19">
        <f t="shared" si="6"/>
        <v>6.8888888888888893</v>
      </c>
      <c r="L19">
        <f t="shared" si="7"/>
        <v>3.9375</v>
      </c>
      <c r="M19">
        <v>0</v>
      </c>
      <c r="N19">
        <v>100</v>
      </c>
      <c r="O19">
        <f t="shared" si="8"/>
        <v>3.9375</v>
      </c>
      <c r="P19">
        <f t="shared" si="9"/>
        <v>3.299549001406815</v>
      </c>
      <c r="Q19">
        <f t="shared" si="10"/>
        <v>6.666666666666667</v>
      </c>
      <c r="R19">
        <f t="shared" si="11"/>
        <v>3.5643968080780035</v>
      </c>
    </row>
    <row r="20" spans="1:24" x14ac:dyDescent="0.2">
      <c r="J20" s="8">
        <v>45992</v>
      </c>
      <c r="K20">
        <f t="shared" si="6"/>
        <v>8.5555555555555554</v>
      </c>
      <c r="L20">
        <f t="shared" si="7"/>
        <v>3.9375</v>
      </c>
      <c r="M20">
        <v>0</v>
      </c>
      <c r="N20">
        <v>100</v>
      </c>
      <c r="O20">
        <f t="shared" si="8"/>
        <v>3.9375</v>
      </c>
      <c r="P20">
        <f t="shared" si="9"/>
        <v>3.1614197847071521</v>
      </c>
      <c r="Q20">
        <f t="shared" si="10"/>
        <v>8.3333333333333339</v>
      </c>
      <c r="R20">
        <f t="shared" si="11"/>
        <v>3.4767816425842293</v>
      </c>
    </row>
    <row r="21" spans="1:24" x14ac:dyDescent="0.2">
      <c r="J21" s="8">
        <v>46174</v>
      </c>
      <c r="K21">
        <f t="shared" si="6"/>
        <v>10.222222222222221</v>
      </c>
      <c r="L21">
        <f t="shared" si="7"/>
        <v>3.9375</v>
      </c>
      <c r="M21">
        <v>0</v>
      </c>
      <c r="N21">
        <v>100</v>
      </c>
      <c r="O21">
        <f t="shared" si="8"/>
        <v>3.9375</v>
      </c>
      <c r="P21">
        <f t="shared" si="9"/>
        <v>3.0290730796470893</v>
      </c>
      <c r="Q21">
        <f t="shared" si="10"/>
        <v>10</v>
      </c>
      <c r="R21">
        <f t="shared" si="11"/>
        <v>3.3913201141959286</v>
      </c>
    </row>
    <row r="22" spans="1:24" x14ac:dyDescent="0.2">
      <c r="J22" s="8">
        <v>46357</v>
      </c>
      <c r="K22">
        <f t="shared" si="6"/>
        <v>11.888888888888889</v>
      </c>
      <c r="L22">
        <f t="shared" si="7"/>
        <v>3.9375</v>
      </c>
      <c r="M22">
        <v>0</v>
      </c>
      <c r="N22">
        <v>100</v>
      </c>
      <c r="O22">
        <f t="shared" si="8"/>
        <v>3.9375</v>
      </c>
      <c r="P22">
        <f t="shared" si="9"/>
        <v>2.9022668125968671</v>
      </c>
      <c r="Q22">
        <f t="shared" si="10"/>
        <v>11.666666666666666</v>
      </c>
      <c r="R22">
        <f t="shared" si="11"/>
        <v>3.307959285128228</v>
      </c>
    </row>
    <row r="23" spans="1:24" x14ac:dyDescent="0.2">
      <c r="J23" s="8">
        <v>46539</v>
      </c>
      <c r="K23">
        <f t="shared" si="6"/>
        <v>13.555555555555555</v>
      </c>
      <c r="L23">
        <f t="shared" si="7"/>
        <v>3.9375</v>
      </c>
      <c r="M23">
        <v>100</v>
      </c>
      <c r="N23">
        <v>100</v>
      </c>
      <c r="O23">
        <f t="shared" si="8"/>
        <v>103.9375</v>
      </c>
      <c r="P23">
        <f t="shared" si="9"/>
        <v>73.403474919921166</v>
      </c>
      <c r="Q23">
        <f t="shared" si="10"/>
        <v>13.333333333333334</v>
      </c>
      <c r="R23">
        <f t="shared" si="11"/>
        <v>85.173251171947257</v>
      </c>
    </row>
    <row r="24" spans="1:24" ht="16" x14ac:dyDescent="0.2">
      <c r="A24" s="2" t="s">
        <v>64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</row>
    <row r="25" spans="1:24" x14ac:dyDescent="0.2">
      <c r="A25" s="8">
        <v>45078</v>
      </c>
    </row>
    <row r="26" spans="1:24" x14ac:dyDescent="0.2">
      <c r="A26" s="8" t="s">
        <v>63</v>
      </c>
    </row>
    <row r="27" spans="1:24" x14ac:dyDescent="0.2">
      <c r="A27" t="s">
        <v>76</v>
      </c>
    </row>
    <row r="28" spans="1:24" x14ac:dyDescent="0.2">
      <c r="A28" t="s">
        <v>74</v>
      </c>
      <c r="D28">
        <f>+L15</f>
        <v>3.9375</v>
      </c>
    </row>
    <row r="29" spans="1:24" x14ac:dyDescent="0.2">
      <c r="A29" t="s">
        <v>75</v>
      </c>
      <c r="D29">
        <f>+(A12-E2)/180*C12</f>
        <v>1.3027777777777778</v>
      </c>
    </row>
    <row r="30" spans="1:24" x14ac:dyDescent="0.2">
      <c r="A30" t="s">
        <v>77</v>
      </c>
    </row>
    <row r="31" spans="1:24" x14ac:dyDescent="0.2">
      <c r="C31" t="s">
        <v>61</v>
      </c>
      <c r="D31" s="17">
        <f>+I11</f>
        <v>92.196890096301999</v>
      </c>
    </row>
    <row r="32" spans="1:24" x14ac:dyDescent="0.2">
      <c r="C32" t="s">
        <v>79</v>
      </c>
      <c r="D32" s="17">
        <f>+R14</f>
        <v>91.99965296277874</v>
      </c>
    </row>
    <row r="34" spans="1:9" x14ac:dyDescent="0.2">
      <c r="A34" t="s">
        <v>80</v>
      </c>
      <c r="C34" t="s">
        <v>82</v>
      </c>
      <c r="E34" s="13">
        <f>+D28/G11</f>
        <v>4.0426078085186661E-2</v>
      </c>
    </row>
    <row r="35" spans="1:9" x14ac:dyDescent="0.2">
      <c r="C35" t="s">
        <v>81</v>
      </c>
      <c r="E35" s="13">
        <f>+(D32-P14)/P14</f>
        <v>-8.4580567339762741E-2</v>
      </c>
    </row>
    <row r="36" spans="1:9" x14ac:dyDescent="0.2">
      <c r="D36" t="s">
        <v>83</v>
      </c>
      <c r="E36" s="18">
        <f>+E35+E34</f>
        <v>-4.4154489254576081E-2</v>
      </c>
    </row>
    <row r="37" spans="1:9" x14ac:dyDescent="0.2">
      <c r="H37" s="19" t="s">
        <v>84</v>
      </c>
      <c r="I37" s="20">
        <f>+E36+E40</f>
        <v>2.5243238075563119E-2</v>
      </c>
    </row>
    <row r="38" spans="1:9" x14ac:dyDescent="0.2">
      <c r="A38" t="s">
        <v>80</v>
      </c>
      <c r="C38" t="s">
        <v>82</v>
      </c>
      <c r="E38" s="13">
        <f>+D29/P14</f>
        <v>1.296296296572114E-2</v>
      </c>
    </row>
    <row r="39" spans="1:9" x14ac:dyDescent="0.2">
      <c r="C39" t="s">
        <v>81</v>
      </c>
      <c r="E39" s="13">
        <f>+(G11-I11)/I11</f>
        <v>5.6434764364418064E-2</v>
      </c>
    </row>
    <row r="40" spans="1:9" x14ac:dyDescent="0.2">
      <c r="E40" s="18">
        <f>+E39+E38</f>
        <v>6.93977273301392E-2</v>
      </c>
    </row>
  </sheetData>
  <mergeCells count="2">
    <mergeCell ref="H10:I10"/>
    <mergeCell ref="Q10:R1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1"/>
  <sheetViews>
    <sheetView workbookViewId="0">
      <selection activeCell="C11" sqref="C11"/>
    </sheetView>
  </sheetViews>
  <sheetFormatPr baseColWidth="10" defaultRowHeight="15" x14ac:dyDescent="0.2"/>
  <cols>
    <col min="1" max="1" width="16.83203125" bestFit="1" customWidth="1"/>
  </cols>
  <sheetData>
    <row r="1" spans="1:3" x14ac:dyDescent="0.2">
      <c r="A1" t="s">
        <v>68</v>
      </c>
      <c r="B1">
        <v>10</v>
      </c>
      <c r="C1" t="s">
        <v>67</v>
      </c>
    </row>
    <row r="2" spans="1:3" x14ac:dyDescent="0.2">
      <c r="A2" t="s">
        <v>65</v>
      </c>
      <c r="B2">
        <f>10/B3</f>
        <v>200</v>
      </c>
      <c r="C2" t="s">
        <v>67</v>
      </c>
    </row>
    <row r="3" spans="1:3" x14ac:dyDescent="0.2">
      <c r="A3" t="s">
        <v>66</v>
      </c>
      <c r="B3">
        <v>0.05</v>
      </c>
    </row>
    <row r="5" spans="1:3" x14ac:dyDescent="0.2">
      <c r="A5" t="s">
        <v>69</v>
      </c>
    </row>
    <row r="6" spans="1:3" x14ac:dyDescent="0.2">
      <c r="A6" t="s">
        <v>70</v>
      </c>
    </row>
    <row r="7" spans="1:3" x14ac:dyDescent="0.2">
      <c r="A7" s="16">
        <f>+(1+B3)/B3</f>
        <v>21</v>
      </c>
    </row>
    <row r="8" spans="1:3" x14ac:dyDescent="0.2">
      <c r="A8" t="s">
        <v>73</v>
      </c>
    </row>
    <row r="9" spans="1:3" x14ac:dyDescent="0.2">
      <c r="A9">
        <f>+A7/(1+B3)</f>
        <v>20</v>
      </c>
    </row>
    <row r="10" spans="1:3" x14ac:dyDescent="0.2">
      <c r="A10" t="s">
        <v>71</v>
      </c>
    </row>
    <row r="11" spans="1:3" x14ac:dyDescent="0.2">
      <c r="A11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PUNTO 1</vt:lpstr>
      <vt:lpstr>PUNTO 2</vt:lpstr>
      <vt:lpstr>PUNTO 3</vt:lpstr>
    </vt:vector>
  </TitlesOfParts>
  <Company>UdeSA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aula</dc:creator>
  <cp:lastModifiedBy>Federico Lopez</cp:lastModifiedBy>
  <dcterms:created xsi:type="dcterms:W3CDTF">2023-05-05T23:37:55Z</dcterms:created>
  <dcterms:modified xsi:type="dcterms:W3CDTF">2023-05-07T20:23:05Z</dcterms:modified>
</cp:coreProperties>
</file>