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trlProps/ctrlProp6.xml" ContentType="application/vnd.ms-excel.controlproperties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trlProps/ctrlProp7.xml" ContentType="application/vnd.ms-excel.controlproperti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ink/ink5.xml" ContentType="application/inkml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5e916249d8decc/Documents/UDESA/05_Cuatrimestre/MercadoCapitales/"/>
    </mc:Choice>
  </mc:AlternateContent>
  <xr:revisionPtr revIDLastSave="322" documentId="8_{B4F9AEF6-6504-364C-A40A-53194353E6F4}" xr6:coauthVersionLast="47" xr6:coauthVersionMax="47" xr10:uidLastSave="{D752F44F-DD92-9F43-9232-88E941DAB0EF}"/>
  <bookViews>
    <workbookView xWindow="7540" yWindow="22480" windowWidth="33680" windowHeight="19460" activeTab="10" xr2:uid="{25D007F7-4F5C-1C44-8391-6234100F4C46}"/>
  </bookViews>
  <sheets>
    <sheet name="PROGRAMA" sheetId="16" r:id="rId1"/>
    <sheet name="NOTAS" sheetId="2" r:id="rId2"/>
    <sheet name="DUMRAUF_BONOS_2" sheetId="17" r:id="rId3"/>
    <sheet name="B_EJS" sheetId="1" r:id="rId4"/>
    <sheet name="B_01_C4_VAL" sheetId="4" r:id="rId5"/>
    <sheet name="B_02_C5_PR" sheetId="8" r:id="rId6"/>
    <sheet name="B_03_C5_INDIC" sheetId="9" r:id="rId7"/>
    <sheet name="B_04_C6_TIR" sheetId="11" r:id="rId8"/>
    <sheet name="BR_01_C7_DUR" sheetId="5" r:id="rId9"/>
    <sheet name="BR_02_C8_PPV_IM" sheetId="14" r:id="rId10"/>
    <sheet name="BR_02_C9_EJ" sheetId="15" r:id="rId11"/>
  </sheets>
  <externalReferences>
    <externalReference r:id="rId12"/>
    <externalReference r:id="rId13"/>
  </externalReferences>
  <definedNames>
    <definedName name="CR" localSheetId="4">B_01_C4_VAL!$B$5</definedName>
    <definedName name="CR" localSheetId="5">B_02_C5_PR!$B$5</definedName>
    <definedName name="FV" localSheetId="4">B_01_C4_VAL!$B$6</definedName>
    <definedName name="FV" localSheetId="5">B_02_C5_PR!$B$8</definedName>
    <definedName name="NOP" localSheetId="4">B_01_C4_VAL!$B$9</definedName>
    <definedName name="NOP" localSheetId="5">B_02_C5_PR!$B$7</definedName>
    <definedName name="PMT" localSheetId="4">B_01_C4_VAL!$B$7</definedName>
    <definedName name="PMT">B_02_C5_PR!$B$12</definedName>
    <definedName name="RATE">B_01_C4_VAL!$B$11</definedName>
    <definedName name="RATE_YCA6O">B_02_C5_PR!$B$98</definedName>
    <definedName name="TIR">B_04_C6_TIR!$D$2</definedName>
    <definedName name="VN_YCA6O">B_02_C5_PR!$D$96</definedName>
    <definedName name="y" localSheetId="4">B_01_C4_VAL!$B$6</definedName>
    <definedName name="y" localSheetId="5">B_02_C5_PR!$B$6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0" i="15" l="1"/>
  <c r="G59" i="15"/>
  <c r="E47" i="15"/>
  <c r="E48" i="15"/>
  <c r="E49" i="15"/>
  <c r="E50" i="15"/>
  <c r="E51" i="15"/>
  <c r="E52" i="15"/>
  <c r="E53" i="15"/>
  <c r="E54" i="15"/>
  <c r="E55" i="15"/>
  <c r="E56" i="15"/>
  <c r="E46" i="15"/>
  <c r="R55" i="15"/>
  <c r="M59" i="15"/>
  <c r="N56" i="15"/>
  <c r="M48" i="15"/>
  <c r="M49" i="15"/>
  <c r="M50" i="15"/>
  <c r="M51" i="15"/>
  <c r="M52" i="15"/>
  <c r="M53" i="15"/>
  <c r="M54" i="15"/>
  <c r="M55" i="15"/>
  <c r="M56" i="15"/>
  <c r="M47" i="15"/>
  <c r="M46" i="15"/>
  <c r="S65" i="15"/>
  <c r="Q64" i="15"/>
  <c r="Q57" i="15"/>
  <c r="R51" i="15"/>
  <c r="R50" i="15"/>
  <c r="T49" i="15"/>
  <c r="R49" i="15"/>
  <c r="Q44" i="15"/>
  <c r="R40" i="15"/>
  <c r="Q37" i="15"/>
  <c r="R35" i="15"/>
  <c r="S45" i="15" s="1"/>
  <c r="R31" i="15"/>
  <c r="R30" i="15"/>
  <c r="R29" i="15"/>
  <c r="T29" i="15" s="1"/>
  <c r="L46" i="15"/>
  <c r="L48" i="15"/>
  <c r="L49" i="15"/>
  <c r="L50" i="15"/>
  <c r="L51" i="15"/>
  <c r="L52" i="15"/>
  <c r="L53" i="15"/>
  <c r="L54" i="15"/>
  <c r="L55" i="15"/>
  <c r="L56" i="15"/>
  <c r="R60" i="15" s="1"/>
  <c r="L47" i="15"/>
  <c r="K46" i="15"/>
  <c r="C81" i="15"/>
  <c r="C83" i="15"/>
  <c r="J76" i="15"/>
  <c r="G97" i="15"/>
  <c r="H97" i="15"/>
  <c r="H96" i="15"/>
  <c r="G96" i="15"/>
  <c r="F96" i="15"/>
  <c r="F97" i="15" s="1"/>
  <c r="F98" i="15" s="1"/>
  <c r="H99" i="15"/>
  <c r="G99" i="15"/>
  <c r="F99" i="15"/>
  <c r="G98" i="15"/>
  <c r="H98" i="15"/>
  <c r="H144" i="5"/>
  <c r="M34" i="17"/>
  <c r="P36" i="17"/>
  <c r="N36" i="17"/>
  <c r="N33" i="17"/>
  <c r="N32" i="17"/>
  <c r="N31" i="17" s="1"/>
  <c r="M31" i="17"/>
  <c r="M33" i="17"/>
  <c r="M32" i="17"/>
  <c r="M27" i="17"/>
  <c r="M25" i="17"/>
  <c r="M23" i="17"/>
  <c r="M22" i="17"/>
  <c r="N18" i="17"/>
  <c r="M18" i="17"/>
  <c r="M4" i="17"/>
  <c r="N6" i="17"/>
  <c r="N7" i="17"/>
  <c r="N8" i="17"/>
  <c r="N9" i="17"/>
  <c r="N10" i="17"/>
  <c r="N11" i="17"/>
  <c r="N12" i="17"/>
  <c r="N13" i="17"/>
  <c r="N14" i="17"/>
  <c r="N15" i="17"/>
  <c r="N16" i="17"/>
  <c r="N5" i="17"/>
  <c r="M6" i="17"/>
  <c r="M7" i="17"/>
  <c r="M8" i="17"/>
  <c r="M9" i="17"/>
  <c r="M10" i="17"/>
  <c r="M11" i="17"/>
  <c r="M12" i="17"/>
  <c r="M13" i="17"/>
  <c r="M14" i="17"/>
  <c r="M15" i="17"/>
  <c r="M16" i="17"/>
  <c r="M5" i="17"/>
  <c r="AB75" i="15"/>
  <c r="Z75" i="15"/>
  <c r="AA75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86" i="15"/>
  <c r="Z85" i="15"/>
  <c r="Z77" i="15"/>
  <c r="Z78" i="15"/>
  <c r="Z79" i="15"/>
  <c r="Z80" i="15"/>
  <c r="Z81" i="15"/>
  <c r="Z82" i="15"/>
  <c r="Z83" i="15"/>
  <c r="Z84" i="15"/>
  <c r="Z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76" i="15"/>
  <c r="W105" i="15"/>
  <c r="W77" i="15"/>
  <c r="W78" i="15"/>
  <c r="W79" i="15"/>
  <c r="X79" i="15" s="1"/>
  <c r="W80" i="15"/>
  <c r="W81" i="15"/>
  <c r="W82" i="15"/>
  <c r="X82" i="15" s="1"/>
  <c r="W83" i="15"/>
  <c r="X83" i="15" s="1"/>
  <c r="W84" i="15"/>
  <c r="W85" i="15"/>
  <c r="W86" i="15"/>
  <c r="W87" i="15"/>
  <c r="W88" i="15"/>
  <c r="W89" i="15"/>
  <c r="W90" i="15"/>
  <c r="W91" i="15"/>
  <c r="X91" i="15" s="1"/>
  <c r="W92" i="15"/>
  <c r="W93" i="15"/>
  <c r="X93" i="15" s="1"/>
  <c r="W94" i="15"/>
  <c r="X94" i="15" s="1"/>
  <c r="W95" i="15"/>
  <c r="X95" i="15" s="1"/>
  <c r="W96" i="15"/>
  <c r="X96" i="15" s="1"/>
  <c r="W97" i="15"/>
  <c r="W98" i="15"/>
  <c r="W99" i="15"/>
  <c r="W100" i="15"/>
  <c r="X100" i="15" s="1"/>
  <c r="W101" i="15"/>
  <c r="W102" i="15"/>
  <c r="W103" i="15"/>
  <c r="X103" i="15" s="1"/>
  <c r="W104" i="15"/>
  <c r="W76" i="15"/>
  <c r="X101" i="15"/>
  <c r="X102" i="15"/>
  <c r="X104" i="15"/>
  <c r="V90" i="15"/>
  <c r="V77" i="15"/>
  <c r="V78" i="15"/>
  <c r="V79" i="15"/>
  <c r="V80" i="15"/>
  <c r="V81" i="15"/>
  <c r="V82" i="15"/>
  <c r="V83" i="15"/>
  <c r="V84" i="15"/>
  <c r="X84" i="15" s="1"/>
  <c r="V85" i="15"/>
  <c r="V86" i="15"/>
  <c r="V87" i="15"/>
  <c r="V88" i="15"/>
  <c r="V89" i="15"/>
  <c r="V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76" i="15"/>
  <c r="N90" i="15"/>
  <c r="R105" i="15"/>
  <c r="R77" i="15"/>
  <c r="R78" i="15"/>
  <c r="R79" i="15"/>
  <c r="R80" i="15"/>
  <c r="T80" i="15" s="1"/>
  <c r="R81" i="15"/>
  <c r="R82" i="15"/>
  <c r="T82" i="15" s="1"/>
  <c r="R83" i="15"/>
  <c r="R84" i="15"/>
  <c r="R85" i="15"/>
  <c r="R86" i="15"/>
  <c r="U86" i="15" s="1"/>
  <c r="R87" i="15"/>
  <c r="R88" i="15"/>
  <c r="R89" i="15"/>
  <c r="R90" i="15"/>
  <c r="R91" i="15"/>
  <c r="R92" i="15"/>
  <c r="U92" i="15" s="1"/>
  <c r="R93" i="15"/>
  <c r="U93" i="15" s="1"/>
  <c r="R94" i="15"/>
  <c r="R95" i="15"/>
  <c r="U95" i="15" s="1"/>
  <c r="R96" i="15"/>
  <c r="U96" i="15" s="1"/>
  <c r="R97" i="15"/>
  <c r="R98" i="15"/>
  <c r="R99" i="15"/>
  <c r="R100" i="15"/>
  <c r="R101" i="15"/>
  <c r="R102" i="15"/>
  <c r="U102" i="15" s="1"/>
  <c r="R103" i="15"/>
  <c r="R104" i="15"/>
  <c r="U104" i="15" s="1"/>
  <c r="R76" i="15"/>
  <c r="N77" i="15"/>
  <c r="N78" i="15"/>
  <c r="N79" i="15"/>
  <c r="N80" i="15"/>
  <c r="N81" i="15"/>
  <c r="N82" i="15"/>
  <c r="P82" i="15" s="1"/>
  <c r="N83" i="15"/>
  <c r="P83" i="15" s="1"/>
  <c r="N84" i="15"/>
  <c r="P84" i="15" s="1"/>
  <c r="N85" i="15"/>
  <c r="N86" i="15"/>
  <c r="Q86" i="15" s="1"/>
  <c r="N87" i="15"/>
  <c r="N88" i="15"/>
  <c r="N89" i="15"/>
  <c r="N76" i="15"/>
  <c r="K83" i="15"/>
  <c r="K84" i="15"/>
  <c r="K85" i="15"/>
  <c r="J85" i="15"/>
  <c r="J77" i="15"/>
  <c r="J78" i="15"/>
  <c r="J79" i="15"/>
  <c r="J80" i="15"/>
  <c r="J81" i="15"/>
  <c r="J82" i="15"/>
  <c r="J75" i="15" s="1"/>
  <c r="K78" i="15" s="1"/>
  <c r="J83" i="15"/>
  <c r="L83" i="15" s="1"/>
  <c r="J84" i="15"/>
  <c r="L84" i="15" s="1"/>
  <c r="Q105" i="15"/>
  <c r="C105" i="15"/>
  <c r="Q104" i="15"/>
  <c r="U103" i="15"/>
  <c r="Q103" i="15"/>
  <c r="Q102" i="15"/>
  <c r="U101" i="15"/>
  <c r="Q101" i="15"/>
  <c r="U100" i="15"/>
  <c r="Q100" i="15"/>
  <c r="X99" i="15"/>
  <c r="U99" i="15"/>
  <c r="Q99" i="15"/>
  <c r="X98" i="15"/>
  <c r="U98" i="15"/>
  <c r="Q98" i="15"/>
  <c r="X97" i="15"/>
  <c r="U97" i="15"/>
  <c r="Q97" i="15"/>
  <c r="Q96" i="15"/>
  <c r="Q95" i="15"/>
  <c r="U94" i="15"/>
  <c r="Q94" i="15"/>
  <c r="Q93" i="15"/>
  <c r="X92" i="15"/>
  <c r="Q92" i="15"/>
  <c r="U91" i="15"/>
  <c r="Q91" i="15"/>
  <c r="Q90" i="15"/>
  <c r="X89" i="15"/>
  <c r="U89" i="15"/>
  <c r="Q89" i="15"/>
  <c r="X88" i="15"/>
  <c r="U88" i="15"/>
  <c r="Q88" i="15"/>
  <c r="X87" i="15"/>
  <c r="U87" i="15"/>
  <c r="H85" i="15"/>
  <c r="T83" i="15"/>
  <c r="X81" i="15"/>
  <c r="T81" i="15"/>
  <c r="P81" i="15"/>
  <c r="L81" i="15"/>
  <c r="X80" i="15"/>
  <c r="L80" i="15"/>
  <c r="T79" i="15"/>
  <c r="P79" i="15"/>
  <c r="L79" i="15"/>
  <c r="T78" i="15"/>
  <c r="P78" i="15"/>
  <c r="X77" i="15"/>
  <c r="T77" i="15"/>
  <c r="P77" i="15"/>
  <c r="L77" i="15"/>
  <c r="X76" i="15"/>
  <c r="R75" i="15"/>
  <c r="P76" i="15"/>
  <c r="M75" i="15"/>
  <c r="S44" i="15" l="1"/>
  <c r="Q47" i="15" s="1"/>
  <c r="S64" i="15"/>
  <c r="Q67" i="15" s="1"/>
  <c r="Y75" i="15"/>
  <c r="X85" i="15"/>
  <c r="X86" i="15"/>
  <c r="K80" i="15"/>
  <c r="K79" i="15"/>
  <c r="K77" i="15"/>
  <c r="K76" i="15"/>
  <c r="K82" i="15"/>
  <c r="K81" i="15"/>
  <c r="C89" i="15"/>
  <c r="C96" i="15"/>
  <c r="P75" i="15"/>
  <c r="D104" i="15" s="1"/>
  <c r="E96" i="15"/>
  <c r="E89" i="15"/>
  <c r="S75" i="15"/>
  <c r="E99" i="15" s="1"/>
  <c r="P80" i="15"/>
  <c r="T76" i="15"/>
  <c r="U90" i="15"/>
  <c r="L82" i="15"/>
  <c r="X78" i="15"/>
  <c r="L78" i="15"/>
  <c r="L76" i="15"/>
  <c r="T84" i="15"/>
  <c r="Q87" i="15"/>
  <c r="Q75" i="15" s="1"/>
  <c r="D105" i="15" s="1"/>
  <c r="U105" i="15"/>
  <c r="N75" i="15"/>
  <c r="O86" i="15" l="1"/>
  <c r="O88" i="15"/>
  <c r="O89" i="15"/>
  <c r="O80" i="15"/>
  <c r="O84" i="15"/>
  <c r="O85" i="15"/>
  <c r="O77" i="15"/>
  <c r="O87" i="15"/>
  <c r="O78" i="15"/>
  <c r="O79" i="15"/>
  <c r="O90" i="15"/>
  <c r="O81" i="15"/>
  <c r="O76" i="15"/>
  <c r="O82" i="15"/>
  <c r="O83" i="15"/>
  <c r="U75" i="15"/>
  <c r="E105" i="15" s="1"/>
  <c r="D106" i="15"/>
  <c r="K75" i="15"/>
  <c r="C99" i="15" s="1"/>
  <c r="E97" i="15"/>
  <c r="E98" i="15" s="1"/>
  <c r="H87" i="15" s="1"/>
  <c r="E107" i="15"/>
  <c r="L75" i="15"/>
  <c r="C104" i="15" s="1"/>
  <c r="C106" i="15" s="1"/>
  <c r="T75" i="15"/>
  <c r="E104" i="15" s="1"/>
  <c r="E106" i="15" s="1"/>
  <c r="C107" i="15"/>
  <c r="C97" i="15"/>
  <c r="C98" i="15" s="1"/>
  <c r="D89" i="15"/>
  <c r="D96" i="15"/>
  <c r="O75" i="15" l="1"/>
  <c r="D99" i="15" s="1"/>
  <c r="C108" i="15"/>
  <c r="D97" i="15"/>
  <c r="D98" i="15" s="1"/>
  <c r="G87" i="15" s="1"/>
  <c r="D107" i="15"/>
  <c r="D108" i="15" s="1"/>
  <c r="E108" i="15"/>
  <c r="X105" i="15"/>
  <c r="W75" i="15"/>
  <c r="X90" i="15" l="1"/>
  <c r="V75" i="15"/>
  <c r="X75" i="15" s="1"/>
  <c r="I82" i="2" l="1"/>
  <c r="I83" i="2"/>
  <c r="I84" i="2"/>
  <c r="I85" i="2"/>
  <c r="I86" i="2"/>
  <c r="K86" i="2" s="1"/>
  <c r="M86" i="2" s="1"/>
  <c r="O86" i="2" s="1"/>
  <c r="P86" i="2" s="1"/>
  <c r="I87" i="2"/>
  <c r="K87" i="2" s="1"/>
  <c r="M87" i="2" s="1"/>
  <c r="O87" i="2" s="1"/>
  <c r="P87" i="2" s="1"/>
  <c r="I88" i="2"/>
  <c r="K88" i="2" s="1"/>
  <c r="M88" i="2" s="1"/>
  <c r="O88" i="2" s="1"/>
  <c r="P88" i="2" s="1"/>
  <c r="I89" i="2"/>
  <c r="K89" i="2" s="1"/>
  <c r="M89" i="2" s="1"/>
  <c r="O89" i="2" s="1"/>
  <c r="P89" i="2" s="1"/>
  <c r="I90" i="2"/>
  <c r="K90" i="2" s="1"/>
  <c r="M90" i="2" s="1"/>
  <c r="L90" i="2" s="1"/>
  <c r="R90" i="2" s="1"/>
  <c r="S90" i="2" s="1"/>
  <c r="I91" i="2"/>
  <c r="K91" i="2" s="1"/>
  <c r="M91" i="2" s="1"/>
  <c r="O91" i="2" s="1"/>
  <c r="P91" i="2" s="1"/>
  <c r="I81" i="2"/>
  <c r="K85" i="2"/>
  <c r="M85" i="2" s="1"/>
  <c r="O85" i="2" s="1"/>
  <c r="P85" i="2" s="1"/>
  <c r="O82" i="2"/>
  <c r="P82" i="2" s="1"/>
  <c r="O83" i="2"/>
  <c r="P83" i="2" s="1"/>
  <c r="O84" i="2"/>
  <c r="P84" i="2" s="1"/>
  <c r="O81" i="2"/>
  <c r="P81" i="2" s="1"/>
  <c r="N91" i="2"/>
  <c r="M82" i="2"/>
  <c r="L82" i="2" s="1"/>
  <c r="R82" i="2" s="1"/>
  <c r="S82" i="2" s="1"/>
  <c r="M83" i="2"/>
  <c r="L83" i="2" s="1"/>
  <c r="R83" i="2" s="1"/>
  <c r="S83" i="2" s="1"/>
  <c r="M84" i="2"/>
  <c r="L84" i="2" s="1"/>
  <c r="R84" i="2" s="1"/>
  <c r="S84" i="2" s="1"/>
  <c r="M81" i="2"/>
  <c r="T7" i="1"/>
  <c r="L91" i="2" l="1"/>
  <c r="R91" i="2" s="1"/>
  <c r="S91" i="2" s="1"/>
  <c r="O90" i="2"/>
  <c r="P90" i="2" s="1"/>
  <c r="L88" i="2"/>
  <c r="R88" i="2" s="1"/>
  <c r="S88" i="2" s="1"/>
  <c r="L87" i="2"/>
  <c r="R87" i="2" s="1"/>
  <c r="S87" i="2" s="1"/>
  <c r="L89" i="2"/>
  <c r="R89" i="2" s="1"/>
  <c r="S89" i="2" s="1"/>
  <c r="L86" i="2"/>
  <c r="R86" i="2" s="1"/>
  <c r="S86" i="2" s="1"/>
  <c r="L85" i="2"/>
  <c r="R85" i="2" s="1"/>
  <c r="S85" i="2" s="1"/>
  <c r="S80" i="2" s="1"/>
  <c r="L81" i="2"/>
  <c r="R81" i="2" s="1"/>
  <c r="S81" i="2" s="1"/>
  <c r="K59" i="14" l="1"/>
  <c r="K60" i="14"/>
  <c r="K58" i="14"/>
  <c r="J59" i="14"/>
  <c r="J60" i="14"/>
  <c r="J58" i="14"/>
  <c r="I59" i="14"/>
  <c r="I60" i="14"/>
  <c r="I58" i="14"/>
  <c r="H54" i="14"/>
  <c r="H55" i="14"/>
  <c r="H56" i="14"/>
  <c r="H57" i="14"/>
  <c r="H58" i="14"/>
  <c r="H59" i="14"/>
  <c r="H60" i="14"/>
  <c r="H53" i="14"/>
  <c r="J133" i="14"/>
  <c r="J134" i="14"/>
  <c r="J135" i="14"/>
  <c r="J136" i="14"/>
  <c r="J137" i="14"/>
  <c r="J138" i="14"/>
  <c r="J139" i="14"/>
  <c r="X3" i="1"/>
  <c r="AB21" i="1"/>
  <c r="AB22" i="1"/>
  <c r="AB23" i="1"/>
  <c r="AB19" i="1" s="1"/>
  <c r="AC19" i="1" s="1"/>
  <c r="AB24" i="1"/>
  <c r="AB25" i="1"/>
  <c r="AB26" i="1"/>
  <c r="AB27" i="1"/>
  <c r="AB28" i="1"/>
  <c r="AB29" i="1"/>
  <c r="AB20" i="1"/>
  <c r="C16" i="1"/>
  <c r="E16" i="1" s="1"/>
  <c r="B33" i="1"/>
  <c r="N33" i="1"/>
  <c r="C133" i="14"/>
  <c r="C134" i="14"/>
  <c r="C135" i="14"/>
  <c r="C136" i="14"/>
  <c r="C137" i="14"/>
  <c r="C138" i="14"/>
  <c r="C139" i="14"/>
  <c r="C132" i="14"/>
  <c r="B141" i="14"/>
  <c r="B142" i="14" s="1"/>
  <c r="D134" i="14"/>
  <c r="D135" i="14" s="1"/>
  <c r="D133" i="14"/>
  <c r="H133" i="14" s="1"/>
  <c r="H132" i="14"/>
  <c r="G131" i="14"/>
  <c r="E137" i="14"/>
  <c r="C97" i="14"/>
  <c r="C98" i="14"/>
  <c r="C99" i="14"/>
  <c r="C100" i="14"/>
  <c r="C101" i="14"/>
  <c r="C94" i="14"/>
  <c r="C95" i="14"/>
  <c r="C96" i="14"/>
  <c r="M5" i="14"/>
  <c r="M14" i="14" s="1"/>
  <c r="F16" i="1" l="1"/>
  <c r="I16" i="1" s="1"/>
  <c r="H16" i="1"/>
  <c r="E139" i="14"/>
  <c r="E138" i="14"/>
  <c r="E136" i="14"/>
  <c r="E133" i="14"/>
  <c r="G133" i="14" s="1"/>
  <c r="E135" i="14"/>
  <c r="G135" i="14" s="1"/>
  <c r="E134" i="14"/>
  <c r="G134" i="14" s="1"/>
  <c r="E132" i="14"/>
  <c r="G132" i="14" s="1"/>
  <c r="I133" i="14"/>
  <c r="D136" i="14"/>
  <c r="H135" i="14"/>
  <c r="H134" i="14"/>
  <c r="L10" i="14"/>
  <c r="L11" i="14"/>
  <c r="L13" i="14"/>
  <c r="L12" i="14"/>
  <c r="C17" i="1" l="1"/>
  <c r="J16" i="1"/>
  <c r="K16" i="1"/>
  <c r="I135" i="14"/>
  <c r="H136" i="14"/>
  <c r="G136" i="14"/>
  <c r="D137" i="14"/>
  <c r="I134" i="14"/>
  <c r="E17" i="1" l="1"/>
  <c r="H17" i="1" s="1"/>
  <c r="D138" i="14"/>
  <c r="H137" i="14"/>
  <c r="I136" i="14"/>
  <c r="B103" i="14"/>
  <c r="B104" i="14" s="1"/>
  <c r="D96" i="14"/>
  <c r="D97" i="14" s="1"/>
  <c r="D95" i="14"/>
  <c r="H95" i="14" s="1"/>
  <c r="H94" i="14"/>
  <c r="G93" i="14"/>
  <c r="B62" i="14"/>
  <c r="B63" i="14" s="1"/>
  <c r="D54" i="14"/>
  <c r="D55" i="14" s="1"/>
  <c r="K52" i="14"/>
  <c r="J52" i="14"/>
  <c r="G52" i="14"/>
  <c r="E53" i="14"/>
  <c r="G53" i="14" s="1"/>
  <c r="F17" i="1" l="1"/>
  <c r="I17" i="1" s="1"/>
  <c r="C18" i="1"/>
  <c r="H138" i="14"/>
  <c r="D139" i="14"/>
  <c r="G138" i="14"/>
  <c r="B144" i="14"/>
  <c r="B145" i="14" s="1"/>
  <c r="B147" i="14" s="1"/>
  <c r="G137" i="14"/>
  <c r="E100" i="14"/>
  <c r="E101" i="14"/>
  <c r="E94" i="14"/>
  <c r="G94" i="14" s="1"/>
  <c r="E95" i="14"/>
  <c r="G95" i="14" s="1"/>
  <c r="E96" i="14"/>
  <c r="G96" i="14" s="1"/>
  <c r="E97" i="14"/>
  <c r="G97" i="14" s="1"/>
  <c r="E98" i="14"/>
  <c r="E99" i="14"/>
  <c r="E59" i="14"/>
  <c r="E60" i="14"/>
  <c r="E58" i="14"/>
  <c r="E57" i="14"/>
  <c r="E56" i="14"/>
  <c r="E55" i="14"/>
  <c r="G55" i="14" s="1"/>
  <c r="E54" i="14"/>
  <c r="G54" i="14" s="1"/>
  <c r="D98" i="14"/>
  <c r="H97" i="14"/>
  <c r="H96" i="14"/>
  <c r="D56" i="14"/>
  <c r="I96" i="14" l="1"/>
  <c r="I95" i="14"/>
  <c r="E18" i="1"/>
  <c r="H18" i="1" s="1"/>
  <c r="F18" i="1"/>
  <c r="I18" i="1" s="1"/>
  <c r="J17" i="1"/>
  <c r="K17" i="1"/>
  <c r="B148" i="14"/>
  <c r="I138" i="14"/>
  <c r="I137" i="14"/>
  <c r="H139" i="14"/>
  <c r="G139" i="14"/>
  <c r="H98" i="14"/>
  <c r="D99" i="14"/>
  <c r="G98" i="14"/>
  <c r="I97" i="14"/>
  <c r="G56" i="14"/>
  <c r="D57" i="14"/>
  <c r="K18" i="1" l="1"/>
  <c r="J18" i="1"/>
  <c r="C19" i="1"/>
  <c r="I139" i="14"/>
  <c r="I131" i="14" s="1"/>
  <c r="G128" i="14"/>
  <c r="G140" i="14"/>
  <c r="B149" i="14"/>
  <c r="D100" i="14"/>
  <c r="H99" i="14"/>
  <c r="I98" i="14"/>
  <c r="D58" i="14"/>
  <c r="G57" i="14"/>
  <c r="E19" i="1" l="1"/>
  <c r="H19" i="1" s="1"/>
  <c r="F19" i="1"/>
  <c r="I19" i="1" s="1"/>
  <c r="L138" i="14"/>
  <c r="L137" i="14"/>
  <c r="L139" i="14"/>
  <c r="B106" i="14"/>
  <c r="B107" i="14" s="1"/>
  <c r="B109" i="14" s="1"/>
  <c r="G99" i="14"/>
  <c r="D101" i="14"/>
  <c r="H100" i="14"/>
  <c r="G100" i="14"/>
  <c r="D59" i="14"/>
  <c r="J19" i="1" l="1"/>
  <c r="K19" i="1"/>
  <c r="C20" i="1"/>
  <c r="J131" i="14"/>
  <c r="L131" i="14"/>
  <c r="B110" i="14"/>
  <c r="I100" i="14"/>
  <c r="I99" i="14"/>
  <c r="H101" i="14"/>
  <c r="G101" i="14"/>
  <c r="G58" i="14"/>
  <c r="B65" i="14"/>
  <c r="B66" i="14" s="1"/>
  <c r="B68" i="14" s="1"/>
  <c r="D60" i="14"/>
  <c r="G60" i="14" s="1"/>
  <c r="G59" i="14"/>
  <c r="E20" i="1" l="1"/>
  <c r="H20" i="1" s="1"/>
  <c r="I101" i="14"/>
  <c r="I93" i="14" s="1"/>
  <c r="G102" i="14"/>
  <c r="J100" i="14" s="1"/>
  <c r="G90" i="14"/>
  <c r="B111" i="14"/>
  <c r="B70" i="14"/>
  <c r="G49" i="14"/>
  <c r="B69" i="14"/>
  <c r="G61" i="14"/>
  <c r="J101" i="14" l="1"/>
  <c r="J99" i="14"/>
  <c r="J97" i="14"/>
  <c r="J96" i="14"/>
  <c r="J95" i="14"/>
  <c r="J98" i="14"/>
  <c r="C21" i="1"/>
  <c r="F20" i="1"/>
  <c r="I20" i="1" s="1"/>
  <c r="L100" i="14"/>
  <c r="L99" i="14"/>
  <c r="L101" i="14"/>
  <c r="I52" i="14" l="1"/>
  <c r="J20" i="1"/>
  <c r="K20" i="1"/>
  <c r="E21" i="1"/>
  <c r="H21" i="1" s="1"/>
  <c r="J93" i="14"/>
  <c r="L93" i="14"/>
  <c r="F21" i="1" l="1"/>
  <c r="I21" i="1" s="1"/>
  <c r="C22" i="1"/>
  <c r="E22" i="1" l="1"/>
  <c r="H22" i="1" s="1"/>
  <c r="F22" i="1"/>
  <c r="I22" i="1" s="1"/>
  <c r="J21" i="1"/>
  <c r="K21" i="1"/>
  <c r="J22" i="1" l="1"/>
  <c r="K22" i="1"/>
  <c r="C23" i="1"/>
  <c r="E23" i="1" l="1"/>
  <c r="H23" i="1" s="1"/>
  <c r="F23" i="1"/>
  <c r="I23" i="1" s="1"/>
  <c r="K23" i="1" l="1"/>
  <c r="J23" i="1"/>
  <c r="C24" i="1"/>
  <c r="E24" i="1" l="1"/>
  <c r="H24" i="1" s="1"/>
  <c r="C25" i="1" l="1"/>
  <c r="G25" i="1"/>
  <c r="F24" i="1"/>
  <c r="I24" i="1" s="1"/>
  <c r="K24" i="1" l="1"/>
  <c r="J24" i="1"/>
  <c r="E25" i="1"/>
  <c r="H25" i="1" s="1"/>
  <c r="F25" i="1" l="1"/>
  <c r="I25" i="1" s="1"/>
  <c r="K25" i="1" l="1"/>
  <c r="K26" i="1" s="1"/>
  <c r="J25" i="1"/>
  <c r="J26" i="1" s="1"/>
  <c r="L15" i="14" l="1"/>
  <c r="M15" i="14"/>
  <c r="N15" i="14" l="1"/>
  <c r="T29" i="1"/>
  <c r="U29" i="1" s="1"/>
  <c r="T28" i="1"/>
  <c r="T27" i="1"/>
  <c r="U27" i="1" s="1"/>
  <c r="V27" i="1" s="1"/>
  <c r="AA27" i="1" s="1"/>
  <c r="T26" i="1"/>
  <c r="T25" i="1"/>
  <c r="T24" i="1"/>
  <c r="T23" i="1"/>
  <c r="T22" i="1"/>
  <c r="U22" i="1" s="1"/>
  <c r="T21" i="1"/>
  <c r="T20" i="1"/>
  <c r="T19" i="1"/>
  <c r="U16" i="1"/>
  <c r="V16" i="1" s="1"/>
  <c r="AA16" i="1" s="1"/>
  <c r="AB16" i="1" s="1"/>
  <c r="T8" i="1"/>
  <c r="T9" i="1"/>
  <c r="T10" i="1"/>
  <c r="T11" i="1"/>
  <c r="T12" i="1"/>
  <c r="T13" i="1"/>
  <c r="T14" i="1"/>
  <c r="T15" i="1"/>
  <c r="T16" i="1"/>
  <c r="T17" i="1"/>
  <c r="U17" i="1" s="1"/>
  <c r="V17" i="1" s="1"/>
  <c r="AA17" i="1" s="1"/>
  <c r="AB17" i="1" s="1"/>
  <c r="F62" i="2"/>
  <c r="F61" i="2"/>
  <c r="F60" i="2"/>
  <c r="C59" i="2"/>
  <c r="U24" i="1" l="1"/>
  <c r="V24" i="1" s="1"/>
  <c r="AA24" i="1" s="1"/>
  <c r="U28" i="1"/>
  <c r="V28" i="1" s="1"/>
  <c r="AA28" i="1" s="1"/>
  <c r="V29" i="1"/>
  <c r="AA29" i="1" s="1"/>
  <c r="U23" i="1"/>
  <c r="V23" i="1" s="1"/>
  <c r="AA23" i="1" s="1"/>
  <c r="U20" i="1"/>
  <c r="X20" i="1" s="1"/>
  <c r="V22" i="1"/>
  <c r="AA22" i="1" s="1"/>
  <c r="U25" i="1"/>
  <c r="V25" i="1" s="1"/>
  <c r="AA25" i="1" s="1"/>
  <c r="U19" i="1"/>
  <c r="V19" i="1" s="1"/>
  <c r="U21" i="1"/>
  <c r="V21" i="1" s="1"/>
  <c r="AA21" i="1" s="1"/>
  <c r="U26" i="1"/>
  <c r="V26" i="1" s="1"/>
  <c r="AA26" i="1" s="1"/>
  <c r="V7" i="1"/>
  <c r="U15" i="1"/>
  <c r="V15" i="1" s="1"/>
  <c r="AA15" i="1" s="1"/>
  <c r="AB15" i="1" s="1"/>
  <c r="U14" i="1"/>
  <c r="V14" i="1" s="1"/>
  <c r="AA14" i="1" s="1"/>
  <c r="AB14" i="1" s="1"/>
  <c r="U13" i="1"/>
  <c r="V13" i="1" s="1"/>
  <c r="AA13" i="1" s="1"/>
  <c r="AB13" i="1" s="1"/>
  <c r="U12" i="1"/>
  <c r="V12" i="1" s="1"/>
  <c r="AA12" i="1" s="1"/>
  <c r="AB12" i="1" s="1"/>
  <c r="U11" i="1"/>
  <c r="V11" i="1" s="1"/>
  <c r="AA11" i="1" s="1"/>
  <c r="AB11" i="1" s="1"/>
  <c r="U10" i="1"/>
  <c r="V10" i="1" s="1"/>
  <c r="AA10" i="1" s="1"/>
  <c r="AB10" i="1" s="1"/>
  <c r="U9" i="1"/>
  <c r="V9" i="1" s="1"/>
  <c r="AA9" i="1" s="1"/>
  <c r="AB9" i="1" s="1"/>
  <c r="U7" i="1"/>
  <c r="U8" i="1"/>
  <c r="F11" i="14"/>
  <c r="F12" i="14"/>
  <c r="F13" i="14"/>
  <c r="G13" i="14" s="1"/>
  <c r="H13" i="14" s="1"/>
  <c r="F14" i="14"/>
  <c r="F10" i="14"/>
  <c r="G12" i="14"/>
  <c r="H12" i="14" s="1"/>
  <c r="G10" i="14"/>
  <c r="H10" i="14" s="1"/>
  <c r="G14" i="14" s="1"/>
  <c r="H14" i="14" s="1"/>
  <c r="G11" i="14"/>
  <c r="H11" i="14" s="1"/>
  <c r="F30" i="14"/>
  <c r="E30" i="14"/>
  <c r="E14" i="14"/>
  <c r="E13" i="14"/>
  <c r="E12" i="14"/>
  <c r="X11" i="14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E11" i="14"/>
  <c r="C10" i="14"/>
  <c r="E10" i="14" s="1"/>
  <c r="AA9" i="14"/>
  <c r="Z9" i="14"/>
  <c r="Y9" i="14"/>
  <c r="H140" i="5"/>
  <c r="H141" i="5"/>
  <c r="H142" i="5"/>
  <c r="H143" i="5"/>
  <c r="H139" i="5"/>
  <c r="G144" i="5"/>
  <c r="G140" i="5"/>
  <c r="G141" i="5"/>
  <c r="G142" i="5"/>
  <c r="G143" i="5"/>
  <c r="G139" i="5"/>
  <c r="F144" i="5"/>
  <c r="F140" i="5"/>
  <c r="F141" i="5"/>
  <c r="F142" i="5"/>
  <c r="F143" i="5"/>
  <c r="F139" i="5"/>
  <c r="E140" i="5"/>
  <c r="E141" i="5"/>
  <c r="E142" i="5"/>
  <c r="E143" i="5"/>
  <c r="C139" i="5"/>
  <c r="E139" i="5" s="1"/>
  <c r="AA138" i="5"/>
  <c r="Z138" i="5"/>
  <c r="Y138" i="5"/>
  <c r="F159" i="5"/>
  <c r="E159" i="5"/>
  <c r="X141" i="5"/>
  <c r="X142" i="5" s="1"/>
  <c r="X143" i="5" s="1"/>
  <c r="X144" i="5" s="1"/>
  <c r="X145" i="5" s="1"/>
  <c r="X146" i="5" s="1"/>
  <c r="X147" i="5" s="1"/>
  <c r="X148" i="5" s="1"/>
  <c r="X149" i="5" s="1"/>
  <c r="X150" i="5" s="1"/>
  <c r="X151" i="5" s="1"/>
  <c r="X152" i="5" s="1"/>
  <c r="X153" i="5" s="1"/>
  <c r="X154" i="5" s="1"/>
  <c r="X155" i="5" s="1"/>
  <c r="X156" i="5" s="1"/>
  <c r="X157" i="5" s="1"/>
  <c r="X158" i="5" s="1"/>
  <c r="X140" i="5"/>
  <c r="M134" i="5"/>
  <c r="N37" i="5"/>
  <c r="M37" i="5"/>
  <c r="J36" i="5"/>
  <c r="I36" i="5"/>
  <c r="H36" i="5"/>
  <c r="E36" i="5"/>
  <c r="D36" i="5"/>
  <c r="C36" i="5"/>
  <c r="N36" i="5"/>
  <c r="M36" i="5"/>
  <c r="N35" i="5"/>
  <c r="M35" i="5"/>
  <c r="L45" i="5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J35" i="5"/>
  <c r="I35" i="5"/>
  <c r="H35" i="5"/>
  <c r="J34" i="5"/>
  <c r="I34" i="5"/>
  <c r="H34" i="5"/>
  <c r="J68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44" i="5"/>
  <c r="I53" i="5"/>
  <c r="I45" i="5"/>
  <c r="I46" i="5"/>
  <c r="I47" i="5"/>
  <c r="I48" i="5"/>
  <c r="I49" i="5"/>
  <c r="I50" i="5"/>
  <c r="I51" i="5"/>
  <c r="I52" i="5"/>
  <c r="I44" i="5"/>
  <c r="H44" i="5"/>
  <c r="E35" i="5"/>
  <c r="D35" i="5"/>
  <c r="C35" i="5"/>
  <c r="E68" i="5"/>
  <c r="D53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52" i="5"/>
  <c r="E51" i="5"/>
  <c r="E50" i="5"/>
  <c r="E49" i="5"/>
  <c r="E48" i="5"/>
  <c r="E47" i="5"/>
  <c r="E46" i="5"/>
  <c r="E45" i="5"/>
  <c r="E44" i="5"/>
  <c r="E34" i="5" s="1"/>
  <c r="D45" i="5"/>
  <c r="D46" i="5"/>
  <c r="D47" i="5"/>
  <c r="D34" i="5" s="1"/>
  <c r="D48" i="5"/>
  <c r="D49" i="5"/>
  <c r="D50" i="5"/>
  <c r="D51" i="5"/>
  <c r="D52" i="5"/>
  <c r="D44" i="5"/>
  <c r="C44" i="5"/>
  <c r="C34" i="5"/>
  <c r="V8" i="1" l="1"/>
  <c r="AA8" i="1" s="1"/>
  <c r="X8" i="1"/>
  <c r="V20" i="1"/>
  <c r="AA20" i="1" s="1"/>
  <c r="Z20" i="1"/>
  <c r="Y20" i="1"/>
  <c r="X21" i="1"/>
  <c r="H15" i="14"/>
  <c r="H3" i="14"/>
  <c r="H6" i="14"/>
  <c r="H135" i="5"/>
  <c r="H132" i="5"/>
  <c r="X2" i="1" l="1"/>
  <c r="AB8" i="1"/>
  <c r="AB7" i="1" s="1"/>
  <c r="AC7" i="1" s="1"/>
  <c r="Y8" i="1"/>
  <c r="X9" i="1"/>
  <c r="Z8" i="1"/>
  <c r="Y21" i="1"/>
  <c r="X22" i="1"/>
  <c r="Z21" i="1"/>
  <c r="F15" i="14"/>
  <c r="X10" i="1" l="1"/>
  <c r="Y9" i="1"/>
  <c r="Z9" i="1"/>
  <c r="Z22" i="1"/>
  <c r="Y22" i="1"/>
  <c r="X23" i="1"/>
  <c r="G15" i="14"/>
  <c r="X11" i="1" l="1"/>
  <c r="Z10" i="1"/>
  <c r="Y10" i="1"/>
  <c r="Z23" i="1"/>
  <c r="X24" i="1"/>
  <c r="Y23" i="1"/>
  <c r="L91" i="11"/>
  <c r="K91" i="11"/>
  <c r="I90" i="11"/>
  <c r="E70" i="11"/>
  <c r="E71" i="11"/>
  <c r="B84" i="11"/>
  <c r="I62" i="11"/>
  <c r="G63" i="11"/>
  <c r="G64" i="11"/>
  <c r="G65" i="11"/>
  <c r="G66" i="11"/>
  <c r="I63" i="11"/>
  <c r="I64" i="11"/>
  <c r="I65" i="11"/>
  <c r="I66" i="11"/>
  <c r="I68" i="11"/>
  <c r="I69" i="11"/>
  <c r="G70" i="11"/>
  <c r="I70" i="11" s="1"/>
  <c r="G71" i="11"/>
  <c r="I71" i="11" s="1"/>
  <c r="D71" i="11"/>
  <c r="D62" i="11"/>
  <c r="C65" i="11"/>
  <c r="C66" i="11" s="1"/>
  <c r="C67" i="11" s="1"/>
  <c r="C68" i="11" s="1"/>
  <c r="C69" i="11" s="1"/>
  <c r="C70" i="11" s="1"/>
  <c r="C71" i="11" s="1"/>
  <c r="L61" i="11"/>
  <c r="K61" i="11"/>
  <c r="G47" i="11"/>
  <c r="X12" i="1" l="1"/>
  <c r="Z11" i="1"/>
  <c r="Y11" i="1"/>
  <c r="Y24" i="1"/>
  <c r="X25" i="1"/>
  <c r="Z24" i="1"/>
  <c r="I67" i="11"/>
  <c r="I60" i="11" s="1"/>
  <c r="B42" i="11"/>
  <c r="B43" i="11" s="1"/>
  <c r="D35" i="11"/>
  <c r="D36" i="11" s="1"/>
  <c r="H34" i="11"/>
  <c r="D34" i="11"/>
  <c r="H33" i="11"/>
  <c r="G32" i="11"/>
  <c r="B32" i="11"/>
  <c r="X13" i="1" l="1"/>
  <c r="Y12" i="1"/>
  <c r="Z12" i="1"/>
  <c r="Y25" i="1"/>
  <c r="Z25" i="1"/>
  <c r="X26" i="1"/>
  <c r="G43" i="11"/>
  <c r="G42" i="11"/>
  <c r="J34" i="11"/>
  <c r="J32" i="11"/>
  <c r="J33" i="11"/>
  <c r="J35" i="11"/>
  <c r="J36" i="11"/>
  <c r="J38" i="11"/>
  <c r="J39" i="11"/>
  <c r="J40" i="11"/>
  <c r="J37" i="11"/>
  <c r="E34" i="11"/>
  <c r="G34" i="11" s="1"/>
  <c r="E37" i="11"/>
  <c r="E38" i="11"/>
  <c r="E40" i="11"/>
  <c r="E35" i="11"/>
  <c r="G35" i="11" s="1"/>
  <c r="E36" i="11"/>
  <c r="G36" i="11" s="1"/>
  <c r="E39" i="11"/>
  <c r="E33" i="11"/>
  <c r="G33" i="11" s="1"/>
  <c r="D37" i="11"/>
  <c r="H36" i="11"/>
  <c r="H35" i="11"/>
  <c r="X14" i="1" l="1"/>
  <c r="Z13" i="1"/>
  <c r="Y13" i="1"/>
  <c r="Z26" i="1"/>
  <c r="Y26" i="1"/>
  <c r="X27" i="1"/>
  <c r="G45" i="11"/>
  <c r="G46" i="11" s="1"/>
  <c r="G48" i="11" s="1"/>
  <c r="D38" i="11"/>
  <c r="H37" i="11"/>
  <c r="G37" i="11"/>
  <c r="X15" i="1" l="1"/>
  <c r="Z14" i="1"/>
  <c r="Y14" i="1"/>
  <c r="X28" i="1"/>
  <c r="Y27" i="1"/>
  <c r="Z27" i="1"/>
  <c r="G49" i="11"/>
  <c r="D39" i="11"/>
  <c r="H38" i="11"/>
  <c r="X16" i="1" l="1"/>
  <c r="Z15" i="1"/>
  <c r="Y15" i="1"/>
  <c r="Z28" i="1"/>
  <c r="X29" i="1"/>
  <c r="Y28" i="1"/>
  <c r="D40" i="11"/>
  <c r="H39" i="11"/>
  <c r="G39" i="11"/>
  <c r="G38" i="11"/>
  <c r="B45" i="11"/>
  <c r="B46" i="11" s="1"/>
  <c r="B48" i="11" s="1"/>
  <c r="X17" i="1" l="1"/>
  <c r="Z16" i="1"/>
  <c r="Y16" i="1"/>
  <c r="Z29" i="1"/>
  <c r="Y29" i="1"/>
  <c r="B49" i="11"/>
  <c r="G40" i="11"/>
  <c r="H40" i="11"/>
  <c r="Z17" i="1" l="1"/>
  <c r="Y17" i="1"/>
  <c r="G29" i="11"/>
  <c r="G50" i="11"/>
  <c r="B50" i="11"/>
  <c r="I36" i="11" s="1"/>
  <c r="I34" i="11" l="1"/>
  <c r="I35" i="11"/>
  <c r="I37" i="11"/>
  <c r="I38" i="11"/>
  <c r="I39" i="11"/>
  <c r="I40" i="11"/>
  <c r="C17" i="11" a="1"/>
  <c r="C17" i="11" s="1"/>
  <c r="D17" i="11" a="1"/>
  <c r="D17" i="11" s="1"/>
  <c r="E17" i="11" a="1"/>
  <c r="E17" i="11" s="1"/>
  <c r="F17" i="11" a="1"/>
  <c r="F17" i="11" s="1"/>
  <c r="G17" i="11" a="1"/>
  <c r="G17" i="11" s="1"/>
  <c r="H17" i="11" a="1"/>
  <c r="H17" i="11" s="1"/>
  <c r="I17" i="11" a="1"/>
  <c r="I17" i="11" s="1"/>
  <c r="B17" i="11" a="1"/>
  <c r="B17" i="11" s="1"/>
  <c r="A17" i="11" l="1"/>
  <c r="I41" i="11"/>
  <c r="A16" i="11" l="1"/>
  <c r="D1" i="11" s="1"/>
  <c r="A19" i="11"/>
  <c r="B173" i="9" l="1"/>
  <c r="B164" i="9"/>
  <c r="B165" i="9" s="1"/>
  <c r="H157" i="9"/>
  <c r="D157" i="9"/>
  <c r="D158" i="9" s="1"/>
  <c r="D156" i="9"/>
  <c r="H156" i="9" s="1"/>
  <c r="H155" i="9"/>
  <c r="E155" i="9"/>
  <c r="G155" i="9" s="1"/>
  <c r="B154" i="9"/>
  <c r="E119" i="9"/>
  <c r="E120" i="9"/>
  <c r="E121" i="9"/>
  <c r="E122" i="9"/>
  <c r="E118" i="9"/>
  <c r="B127" i="9"/>
  <c r="B128" i="9" s="1"/>
  <c r="D120" i="9"/>
  <c r="D121" i="9" s="1"/>
  <c r="I121" i="9" s="1"/>
  <c r="I119" i="9"/>
  <c r="D119" i="9"/>
  <c r="F119" i="9" s="1"/>
  <c r="H119" i="9" s="1"/>
  <c r="I118" i="9"/>
  <c r="H118" i="9"/>
  <c r="F118" i="9"/>
  <c r="B117" i="9"/>
  <c r="J77" i="9"/>
  <c r="H42" i="9"/>
  <c r="H43" i="9"/>
  <c r="H44" i="9"/>
  <c r="H45" i="9"/>
  <c r="H46" i="9"/>
  <c r="H47" i="9"/>
  <c r="H48" i="9"/>
  <c r="H41" i="9"/>
  <c r="G48" i="9"/>
  <c r="G47" i="9"/>
  <c r="G42" i="9"/>
  <c r="G43" i="9"/>
  <c r="G44" i="9"/>
  <c r="G45" i="9"/>
  <c r="G46" i="9"/>
  <c r="G41" i="9"/>
  <c r="E43" i="9"/>
  <c r="E42" i="9"/>
  <c r="H77" i="9"/>
  <c r="J78" i="9"/>
  <c r="D96" i="9"/>
  <c r="B96" i="9"/>
  <c r="B97" i="9" s="1"/>
  <c r="D85" i="9"/>
  <c r="D86" i="9" s="1"/>
  <c r="H84" i="9"/>
  <c r="E84" i="9"/>
  <c r="G84" i="9" s="1"/>
  <c r="D84" i="9"/>
  <c r="H83" i="9"/>
  <c r="D83" i="9"/>
  <c r="E83" i="9" s="1"/>
  <c r="G83" i="9" s="1"/>
  <c r="H82" i="9"/>
  <c r="E82" i="9"/>
  <c r="G82" i="9" s="1"/>
  <c r="B81" i="9"/>
  <c r="H63" i="9"/>
  <c r="D54" i="9"/>
  <c r="D55" i="9" s="1"/>
  <c r="H53" i="9"/>
  <c r="E53" i="9"/>
  <c r="G53" i="9" s="1"/>
  <c r="B52" i="9"/>
  <c r="E48" i="9"/>
  <c r="F28" i="9"/>
  <c r="D20" i="9"/>
  <c r="D21" i="9" s="1"/>
  <c r="D22" i="9" s="1"/>
  <c r="D23" i="9" s="1"/>
  <c r="D24" i="9" s="1"/>
  <c r="D25" i="9" s="1"/>
  <c r="D26" i="9" s="1"/>
  <c r="D27" i="9" s="1"/>
  <c r="D28" i="9" s="1"/>
  <c r="D29" i="9" s="1"/>
  <c r="D30" i="9" s="1"/>
  <c r="D31" i="9" s="1"/>
  <c r="D32" i="9" s="1"/>
  <c r="D33" i="9" s="1"/>
  <c r="B18" i="9"/>
  <c r="H158" i="9" l="1"/>
  <c r="E158" i="9"/>
  <c r="G158" i="9" s="1"/>
  <c r="D159" i="9"/>
  <c r="E157" i="9"/>
  <c r="G157" i="9" s="1"/>
  <c r="E156" i="9"/>
  <c r="G156" i="9" s="1"/>
  <c r="D122" i="9"/>
  <c r="F120" i="9"/>
  <c r="H120" i="9" s="1"/>
  <c r="I120" i="9"/>
  <c r="F121" i="9"/>
  <c r="H121" i="9" s="1"/>
  <c r="J93" i="9"/>
  <c r="J94" i="9" s="1"/>
  <c r="D87" i="9"/>
  <c r="E86" i="9"/>
  <c r="G86" i="9" s="1"/>
  <c r="H86" i="9"/>
  <c r="E85" i="9"/>
  <c r="G85" i="9" s="1"/>
  <c r="H85" i="9"/>
  <c r="D56" i="9"/>
  <c r="H55" i="9"/>
  <c r="E55" i="9"/>
  <c r="G55" i="9" s="1"/>
  <c r="E54" i="9"/>
  <c r="G54" i="9" s="1"/>
  <c r="H54" i="9"/>
  <c r="E159" i="9" l="1"/>
  <c r="G159" i="9" s="1"/>
  <c r="H159" i="9"/>
  <c r="D160" i="9"/>
  <c r="D123" i="9"/>
  <c r="E123" i="9" s="1"/>
  <c r="I122" i="9"/>
  <c r="F122" i="9"/>
  <c r="H122" i="9" s="1"/>
  <c r="D88" i="9"/>
  <c r="H87" i="9"/>
  <c r="E87" i="9"/>
  <c r="D57" i="9"/>
  <c r="H56" i="9"/>
  <c r="E56" i="9"/>
  <c r="G56" i="9" s="1"/>
  <c r="D161" i="9" l="1"/>
  <c r="H160" i="9"/>
  <c r="E160" i="9"/>
  <c r="D124" i="9"/>
  <c r="E124" i="9" s="1"/>
  <c r="I123" i="9"/>
  <c r="F123" i="9"/>
  <c r="B99" i="9"/>
  <c r="B101" i="9" s="1"/>
  <c r="G87" i="9"/>
  <c r="E88" i="9"/>
  <c r="G88" i="9" s="1"/>
  <c r="D89" i="9"/>
  <c r="H88" i="9"/>
  <c r="D58" i="9"/>
  <c r="E57" i="9"/>
  <c r="G57" i="9" s="1"/>
  <c r="H57" i="9"/>
  <c r="B167" i="9" l="1"/>
  <c r="B168" i="9" s="1"/>
  <c r="B174" i="9" s="1"/>
  <c r="G160" i="9"/>
  <c r="H161" i="9"/>
  <c r="E161" i="9"/>
  <c r="G161" i="9" s="1"/>
  <c r="D162" i="9"/>
  <c r="B130" i="9"/>
  <c r="B134" i="9" s="1"/>
  <c r="H123" i="9"/>
  <c r="F124" i="9"/>
  <c r="H124" i="9" s="1"/>
  <c r="D125" i="9"/>
  <c r="E125" i="9" s="1"/>
  <c r="I124" i="9"/>
  <c r="H89" i="9"/>
  <c r="E89" i="9"/>
  <c r="G89" i="9" s="1"/>
  <c r="E58" i="9"/>
  <c r="G58" i="9" s="1"/>
  <c r="D59" i="9"/>
  <c r="H58" i="9"/>
  <c r="H162" i="9" l="1"/>
  <c r="E162" i="9"/>
  <c r="G162" i="9" s="1"/>
  <c r="I125" i="9"/>
  <c r="F125" i="9"/>
  <c r="H125" i="9" s="1"/>
  <c r="D60" i="9"/>
  <c r="H59" i="9"/>
  <c r="E59" i="9"/>
  <c r="G59" i="9" s="1"/>
  <c r="H60" i="9" l="1"/>
  <c r="E60" i="9"/>
  <c r="G60" i="9" s="1"/>
  <c r="I159" i="8" l="1"/>
  <c r="K160" i="8"/>
  <c r="C160" i="8" s="1"/>
  <c r="K161" i="8"/>
  <c r="C161" i="8" s="1"/>
  <c r="K162" i="8"/>
  <c r="C162" i="8" s="1"/>
  <c r="K163" i="8"/>
  <c r="C163" i="8" s="1"/>
  <c r="D163" i="8" s="1"/>
  <c r="K159" i="8"/>
  <c r="C159" i="8" s="1"/>
  <c r="C107" i="8"/>
  <c r="C108" i="8"/>
  <c r="C109" i="8"/>
  <c r="C110" i="8"/>
  <c r="D110" i="8" s="1"/>
  <c r="C111" i="8"/>
  <c r="C112" i="8"/>
  <c r="D112" i="8" s="1"/>
  <c r="C113" i="8"/>
  <c r="D113" i="8" s="1"/>
  <c r="C106" i="8"/>
  <c r="H160" i="8"/>
  <c r="H161" i="8" s="1"/>
  <c r="H162" i="8" s="1"/>
  <c r="E160" i="8"/>
  <c r="E161" i="8" s="1"/>
  <c r="E162" i="8" s="1"/>
  <c r="E107" i="8"/>
  <c r="E108" i="8" s="1"/>
  <c r="H107" i="8"/>
  <c r="H108" i="8" s="1"/>
  <c r="H109" i="8" s="1"/>
  <c r="H110" i="8" s="1"/>
  <c r="H111" i="8" s="1"/>
  <c r="I106" i="8"/>
  <c r="I107" i="8" s="1"/>
  <c r="D111" i="8"/>
  <c r="E26" i="8"/>
  <c r="F26" i="8" s="1"/>
  <c r="G26" i="8" s="1"/>
  <c r="H26" i="8" s="1"/>
  <c r="I26" i="8" s="1"/>
  <c r="AF20" i="8"/>
  <c r="AE20" i="8"/>
  <c r="AD20" i="8"/>
  <c r="AC20" i="8"/>
  <c r="K20" i="8"/>
  <c r="J20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B8" i="8"/>
  <c r="AB20" i="8" s="1"/>
  <c r="B7" i="8"/>
  <c r="B6" i="8"/>
  <c r="B13" i="8" s="1"/>
  <c r="B5" i="8"/>
  <c r="B12" i="8" s="1"/>
  <c r="B4" i="8"/>
  <c r="I20" i="8" l="1"/>
  <c r="I160" i="8"/>
  <c r="I161" i="8" s="1"/>
  <c r="I108" i="8"/>
  <c r="K18" i="8"/>
  <c r="U18" i="8"/>
  <c r="AE18" i="8"/>
  <c r="D109" i="8"/>
  <c r="L20" i="8"/>
  <c r="M20" i="8"/>
  <c r="C18" i="8"/>
  <c r="M18" i="8"/>
  <c r="W18" i="8"/>
  <c r="S20" i="8"/>
  <c r="D18" i="8"/>
  <c r="N18" i="8"/>
  <c r="X18" i="8"/>
  <c r="T20" i="8"/>
  <c r="E18" i="8"/>
  <c r="O18" i="8"/>
  <c r="Y18" i="8"/>
  <c r="U20" i="8"/>
  <c r="F18" i="8"/>
  <c r="P18" i="8"/>
  <c r="Z18" i="8"/>
  <c r="B20" i="8"/>
  <c r="V20" i="8"/>
  <c r="G18" i="8"/>
  <c r="Q18" i="8"/>
  <c r="AA18" i="8"/>
  <c r="C20" i="8"/>
  <c r="W20" i="8"/>
  <c r="D162" i="8"/>
  <c r="E163" i="8"/>
  <c r="E109" i="8"/>
  <c r="E110" i="8" s="1"/>
  <c r="B11" i="8"/>
  <c r="D13" i="8" s="1"/>
  <c r="AC18" i="8"/>
  <c r="AD18" i="8"/>
  <c r="H18" i="8"/>
  <c r="R18" i="8"/>
  <c r="AB18" i="8"/>
  <c r="I18" i="8"/>
  <c r="S18" i="8"/>
  <c r="J18" i="8"/>
  <c r="T18" i="8"/>
  <c r="B18" i="8"/>
  <c r="L18" i="8"/>
  <c r="V18" i="8"/>
  <c r="AF18" i="8"/>
  <c r="D20" i="8"/>
  <c r="N20" i="8"/>
  <c r="X20" i="8"/>
  <c r="E20" i="8"/>
  <c r="O20" i="8"/>
  <c r="Y20" i="8"/>
  <c r="F20" i="8"/>
  <c r="P20" i="8"/>
  <c r="Z20" i="8"/>
  <c r="G20" i="8"/>
  <c r="Q20" i="8"/>
  <c r="AA20" i="8"/>
  <c r="H20" i="8"/>
  <c r="R20" i="8"/>
  <c r="B149" i="4"/>
  <c r="B141" i="4"/>
  <c r="J149" i="4" s="1"/>
  <c r="B132" i="4"/>
  <c r="B121" i="4"/>
  <c r="H87" i="4"/>
  <c r="H88" i="4" s="1"/>
  <c r="G61" i="4"/>
  <c r="I57" i="4"/>
  <c r="G57" i="4" s="1"/>
  <c r="F57" i="4" s="1"/>
  <c r="J69" i="4"/>
  <c r="J71" i="4" s="1"/>
  <c r="I69" i="4"/>
  <c r="I71" i="4" s="1"/>
  <c r="H69" i="4"/>
  <c r="H71" i="4" s="1"/>
  <c r="G69" i="4"/>
  <c r="G71" i="4" s="1"/>
  <c r="F69" i="4"/>
  <c r="F71" i="4" s="1"/>
  <c r="E69" i="4"/>
  <c r="E71" i="4" s="1"/>
  <c r="D69" i="4"/>
  <c r="D71" i="4" s="1"/>
  <c r="C69" i="4"/>
  <c r="B15" i="4"/>
  <c r="H38" i="4"/>
  <c r="H39" i="4"/>
  <c r="H40" i="4"/>
  <c r="H41" i="4"/>
  <c r="H42" i="4"/>
  <c r="H43" i="4"/>
  <c r="H44" i="4"/>
  <c r="H45" i="4"/>
  <c r="H46" i="4" s="1"/>
  <c r="H47" i="4" s="1"/>
  <c r="H48" i="4" s="1"/>
  <c r="H49" i="4" s="1"/>
  <c r="H50" i="4" s="1"/>
  <c r="H51" i="4" s="1"/>
  <c r="H52" i="4" s="1"/>
  <c r="H37" i="4"/>
  <c r="C16" i="4"/>
  <c r="D16" i="4" s="1"/>
  <c r="E16" i="4" s="1"/>
  <c r="F16" i="4" s="1"/>
  <c r="G16" i="4" s="1"/>
  <c r="H16" i="4" s="1"/>
  <c r="I16" i="4" s="1"/>
  <c r="J16" i="4" s="1"/>
  <c r="B7" i="4"/>
  <c r="J15" i="4" s="1"/>
  <c r="I19" i="8" l="1"/>
  <c r="F163" i="8"/>
  <c r="G163" i="8" s="1"/>
  <c r="F162" i="8"/>
  <c r="I162" i="8" s="1"/>
  <c r="F110" i="8"/>
  <c r="G110" i="8" s="1"/>
  <c r="E111" i="8"/>
  <c r="G19" i="8"/>
  <c r="AC19" i="8"/>
  <c r="X19" i="8"/>
  <c r="U19" i="8"/>
  <c r="S19" i="8"/>
  <c r="AE19" i="8"/>
  <c r="Q19" i="8"/>
  <c r="AB19" i="8"/>
  <c r="M19" i="8"/>
  <c r="R19" i="8"/>
  <c r="F19" i="8"/>
  <c r="V19" i="8"/>
  <c r="AA19" i="8"/>
  <c r="K19" i="8"/>
  <c r="B19" i="8"/>
  <c r="C26" i="8" s="1"/>
  <c r="P19" i="8"/>
  <c r="L19" i="8"/>
  <c r="H19" i="8"/>
  <c r="Z19" i="8"/>
  <c r="W19" i="8"/>
  <c r="O19" i="8"/>
  <c r="T19" i="8"/>
  <c r="C19" i="8"/>
  <c r="E19" i="8"/>
  <c r="J19" i="8"/>
  <c r="AF19" i="8"/>
  <c r="N19" i="8"/>
  <c r="Y19" i="8"/>
  <c r="AD19" i="8"/>
  <c r="D19" i="8"/>
  <c r="C149" i="4"/>
  <c r="D149" i="4"/>
  <c r="E149" i="4"/>
  <c r="F149" i="4"/>
  <c r="G149" i="4"/>
  <c r="H149" i="4"/>
  <c r="I149" i="4"/>
  <c r="I87" i="4"/>
  <c r="B77" i="4"/>
  <c r="C71" i="4"/>
  <c r="B74" i="4" s="1"/>
  <c r="I86" i="4"/>
  <c r="K86" i="4" s="1"/>
  <c r="I88" i="4"/>
  <c r="K88" i="4" s="1"/>
  <c r="H89" i="4"/>
  <c r="I89" i="4" s="1"/>
  <c r="K87" i="4"/>
  <c r="I58" i="4"/>
  <c r="J17" i="4"/>
  <c r="C15" i="4"/>
  <c r="E15" i="4"/>
  <c r="E17" i="4" s="1"/>
  <c r="H15" i="4"/>
  <c r="I15" i="4"/>
  <c r="I17" i="4" s="1"/>
  <c r="D15" i="4"/>
  <c r="D17" i="4" s="1"/>
  <c r="F15" i="4"/>
  <c r="F17" i="4" s="1"/>
  <c r="G15" i="4"/>
  <c r="G17" i="4" s="1"/>
  <c r="H163" i="8" l="1"/>
  <c r="J163" i="8" s="1"/>
  <c r="G162" i="8"/>
  <c r="J162" i="8" s="1"/>
  <c r="E112" i="8"/>
  <c r="F111" i="8"/>
  <c r="G111" i="8" s="1"/>
  <c r="B157" i="4"/>
  <c r="B159" i="4" s="1"/>
  <c r="B152" i="4"/>
  <c r="B154" i="4" s="1"/>
  <c r="K89" i="4"/>
  <c r="H90" i="4"/>
  <c r="I90" i="4" s="1"/>
  <c r="G58" i="4"/>
  <c r="F58" i="4" s="1"/>
  <c r="I59" i="4"/>
  <c r="F61" i="4"/>
  <c r="H17" i="4"/>
  <c r="I42" i="4"/>
  <c r="K42" i="4" s="1"/>
  <c r="I52" i="4"/>
  <c r="K52" i="4" s="1"/>
  <c r="I44" i="4"/>
  <c r="K44" i="4" s="1"/>
  <c r="I43" i="4"/>
  <c r="K43" i="4" s="1"/>
  <c r="I36" i="4"/>
  <c r="K36" i="4" s="1"/>
  <c r="I45" i="4"/>
  <c r="K45" i="4" s="1"/>
  <c r="I46" i="4"/>
  <c r="K46" i="4" s="1"/>
  <c r="I37" i="4"/>
  <c r="K37" i="4" s="1"/>
  <c r="I47" i="4"/>
  <c r="K47" i="4" s="1"/>
  <c r="I38" i="4"/>
  <c r="K38" i="4" s="1"/>
  <c r="I48" i="4"/>
  <c r="K48" i="4" s="1"/>
  <c r="I39" i="4"/>
  <c r="K39" i="4" s="1"/>
  <c r="I49" i="4"/>
  <c r="K49" i="4" s="1"/>
  <c r="I40" i="4"/>
  <c r="K40" i="4" s="1"/>
  <c r="I50" i="4"/>
  <c r="K50" i="4" s="1"/>
  <c r="I41" i="4"/>
  <c r="K41" i="4" s="1"/>
  <c r="I51" i="4"/>
  <c r="K51" i="4" s="1"/>
  <c r="A18" i="4"/>
  <c r="C17" i="4"/>
  <c r="B29" i="4"/>
  <c r="B26" i="4"/>
  <c r="B23" i="4"/>
  <c r="I163" i="8" l="1"/>
  <c r="F112" i="8"/>
  <c r="G112" i="8" s="1"/>
  <c r="E113" i="8"/>
  <c r="F113" i="8" s="1"/>
  <c r="G113" i="8" s="1"/>
  <c r="F109" i="8"/>
  <c r="I109" i="8" s="1"/>
  <c r="I110" i="8" s="1"/>
  <c r="B20" i="4"/>
  <c r="H91" i="4"/>
  <c r="I91" i="4" s="1"/>
  <c r="K90" i="4"/>
  <c r="I60" i="4"/>
  <c r="G59" i="4"/>
  <c r="F59" i="4" s="1"/>
  <c r="I111" i="8" l="1"/>
  <c r="G109" i="8"/>
  <c r="J109" i="8" s="1"/>
  <c r="H92" i="4"/>
  <c r="I92" i="4" s="1"/>
  <c r="K91" i="4"/>
  <c r="G60" i="4"/>
  <c r="F60" i="4" s="1"/>
  <c r="I62" i="4"/>
  <c r="I112" i="8" l="1"/>
  <c r="I113" i="8" s="1"/>
  <c r="J110" i="8"/>
  <c r="K92" i="4"/>
  <c r="H93" i="4"/>
  <c r="I93" i="4" s="1"/>
  <c r="I63" i="4"/>
  <c r="G62" i="4"/>
  <c r="F62" i="4" s="1"/>
  <c r="H94" i="4" l="1"/>
  <c r="I94" i="4" s="1"/>
  <c r="K93" i="4"/>
  <c r="G63" i="4"/>
  <c r="F63" i="4" s="1"/>
  <c r="I64" i="4"/>
  <c r="J111" i="8" l="1"/>
  <c r="H95" i="4"/>
  <c r="I95" i="4" s="1"/>
  <c r="K94" i="4"/>
  <c r="I65" i="4"/>
  <c r="G64" i="4"/>
  <c r="F64" i="4" s="1"/>
  <c r="H96" i="4" l="1"/>
  <c r="I96" i="4" s="1"/>
  <c r="K95" i="4"/>
  <c r="E32" i="2"/>
  <c r="E31" i="2"/>
  <c r="E30" i="2"/>
  <c r="I31" i="2"/>
  <c r="I32" i="2"/>
  <c r="I30" i="2"/>
  <c r="H33" i="2"/>
  <c r="D33" i="2"/>
  <c r="C22" i="2"/>
  <c r="B17" i="2" s="1"/>
  <c r="D13" i="2"/>
  <c r="D14" i="2"/>
  <c r="D12" i="2"/>
  <c r="D11" i="2" s="1"/>
  <c r="E11" i="2" s="1"/>
  <c r="D6" i="2"/>
  <c r="D7" i="2"/>
  <c r="D5" i="2"/>
  <c r="C15" i="2"/>
  <c r="C8" i="2"/>
  <c r="I76" i="1"/>
  <c r="C59" i="1"/>
  <c r="N58" i="1"/>
  <c r="C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34" i="1"/>
  <c r="D4" i="2" l="1"/>
  <c r="E4" i="2" s="1"/>
  <c r="D19" i="2"/>
  <c r="D20" i="2"/>
  <c r="D21" i="2"/>
  <c r="J112" i="8"/>
  <c r="H97" i="4"/>
  <c r="I97" i="4" s="1"/>
  <c r="K96" i="4"/>
  <c r="D18" i="2"/>
  <c r="E18" i="2" s="1"/>
  <c r="I29" i="2"/>
  <c r="J29" i="2" s="1"/>
  <c r="E29" i="2"/>
  <c r="F29" i="2" s="1"/>
  <c r="E59" i="1"/>
  <c r="H59" i="1" s="1"/>
  <c r="C60" i="1" s="1"/>
  <c r="E34" i="1"/>
  <c r="H34" i="1" s="1"/>
  <c r="H98" i="4" l="1"/>
  <c r="I98" i="4" s="1"/>
  <c r="K97" i="4"/>
  <c r="F59" i="1"/>
  <c r="I59" i="1" s="1"/>
  <c r="J59" i="1" s="1"/>
  <c r="C35" i="1"/>
  <c r="F34" i="1"/>
  <c r="I34" i="1" s="1"/>
  <c r="H99" i="4" l="1"/>
  <c r="I99" i="4" s="1"/>
  <c r="K98" i="4"/>
  <c r="K34" i="1"/>
  <c r="J34" i="1"/>
  <c r="E60" i="1"/>
  <c r="H60" i="1" s="1"/>
  <c r="C61" i="1" s="1"/>
  <c r="E35" i="1"/>
  <c r="H35" i="1" s="1"/>
  <c r="K99" i="4" l="1"/>
  <c r="H100" i="4"/>
  <c r="I100" i="4" s="1"/>
  <c r="F60" i="1"/>
  <c r="I60" i="1" s="1"/>
  <c r="C36" i="1"/>
  <c r="F35" i="1"/>
  <c r="I35" i="1" s="1"/>
  <c r="H101" i="4" l="1"/>
  <c r="I101" i="4" s="1"/>
  <c r="K100" i="4"/>
  <c r="J60" i="1"/>
  <c r="K60" i="1"/>
  <c r="J35" i="1"/>
  <c r="K35" i="1"/>
  <c r="E61" i="1"/>
  <c r="H61" i="1" s="1"/>
  <c r="C62" i="1" s="1"/>
  <c r="E36" i="1"/>
  <c r="H36" i="1" s="1"/>
  <c r="H102" i="4" l="1"/>
  <c r="K101" i="4"/>
  <c r="F61" i="1"/>
  <c r="I61" i="1" s="1"/>
  <c r="K61" i="1" s="1"/>
  <c r="C37" i="1"/>
  <c r="F36" i="1"/>
  <c r="I36" i="1" s="1"/>
  <c r="I102" i="4" l="1"/>
  <c r="K102" i="4" s="1"/>
  <c r="J61" i="1"/>
  <c r="K36" i="1"/>
  <c r="J36" i="1"/>
  <c r="E62" i="1"/>
  <c r="H62" i="1" s="1"/>
  <c r="C63" i="1" s="1"/>
  <c r="E37" i="1"/>
  <c r="H37" i="1" s="1"/>
  <c r="F62" i="1" l="1"/>
  <c r="I62" i="1" s="1"/>
  <c r="F37" i="1"/>
  <c r="I37" i="1" s="1"/>
  <c r="C38" i="1"/>
  <c r="J62" i="1" l="1"/>
  <c r="K62" i="1"/>
  <c r="K37" i="1"/>
  <c r="J37" i="1"/>
  <c r="E63" i="1"/>
  <c r="H63" i="1" s="1"/>
  <c r="C64" i="1" s="1"/>
  <c r="F63" i="1"/>
  <c r="I63" i="1" s="1"/>
  <c r="E38" i="1"/>
  <c r="H38" i="1" s="1"/>
  <c r="J63" i="1" l="1"/>
  <c r="K63" i="1"/>
  <c r="C39" i="1"/>
  <c r="F38" i="1"/>
  <c r="I38" i="1" s="1"/>
  <c r="K38" i="1" l="1"/>
  <c r="J38" i="1"/>
  <c r="E64" i="1"/>
  <c r="H64" i="1" s="1"/>
  <c r="C65" i="1" s="1"/>
  <c r="E39" i="1"/>
  <c r="H39" i="1" s="1"/>
  <c r="F64" i="1" l="1"/>
  <c r="I64" i="1" s="1"/>
  <c r="C40" i="1"/>
  <c r="F39" i="1"/>
  <c r="I39" i="1" s="1"/>
  <c r="J64" i="1" l="1"/>
  <c r="K64" i="1"/>
  <c r="J39" i="1"/>
  <c r="K39" i="1"/>
  <c r="E65" i="1"/>
  <c r="H65" i="1" s="1"/>
  <c r="C66" i="1" s="1"/>
  <c r="E40" i="1"/>
  <c r="H40" i="1" s="1"/>
  <c r="F65" i="1" l="1"/>
  <c r="I65" i="1" s="1"/>
  <c r="C41" i="1"/>
  <c r="F40" i="1"/>
  <c r="I40" i="1" s="1"/>
  <c r="J65" i="1" l="1"/>
  <c r="K65" i="1"/>
  <c r="J40" i="1"/>
  <c r="K40" i="1"/>
  <c r="E66" i="1"/>
  <c r="H66" i="1" s="1"/>
  <c r="C67" i="1" s="1"/>
  <c r="E41" i="1"/>
  <c r="H41" i="1" s="1"/>
  <c r="F66" i="1" l="1"/>
  <c r="I66" i="1" s="1"/>
  <c r="C42" i="1"/>
  <c r="F41" i="1"/>
  <c r="I41" i="1" s="1"/>
  <c r="J66" i="1" l="1"/>
  <c r="K66" i="1"/>
  <c r="K41" i="1"/>
  <c r="J41" i="1"/>
  <c r="E67" i="1"/>
  <c r="H67" i="1" s="1"/>
  <c r="C68" i="1" s="1"/>
  <c r="E42" i="1"/>
  <c r="H42" i="1" s="1"/>
  <c r="C43" i="1" s="1"/>
  <c r="F42" i="1" l="1"/>
  <c r="I42" i="1" s="1"/>
  <c r="F67" i="1"/>
  <c r="I67" i="1" s="1"/>
  <c r="E43" i="1"/>
  <c r="H43" i="1" s="1"/>
  <c r="C44" i="1" s="1"/>
  <c r="F43" i="1" l="1"/>
  <c r="I43" i="1" s="1"/>
  <c r="J67" i="1"/>
  <c r="K67" i="1"/>
  <c r="J43" i="1"/>
  <c r="K43" i="1"/>
  <c r="J42" i="1"/>
  <c r="K42" i="1"/>
  <c r="E68" i="1"/>
  <c r="H68" i="1" s="1"/>
  <c r="C69" i="1" s="1"/>
  <c r="F69" i="1" s="1"/>
  <c r="E44" i="1"/>
  <c r="H44" i="1" s="1"/>
  <c r="C45" i="1" s="1"/>
  <c r="F44" i="1"/>
  <c r="I44" i="1" s="1"/>
  <c r="G69" i="1" l="1"/>
  <c r="I69" i="1" s="1"/>
  <c r="K44" i="1"/>
  <c r="J44" i="1"/>
  <c r="F68" i="1"/>
  <c r="I68" i="1" s="1"/>
  <c r="E45" i="1"/>
  <c r="H45" i="1" s="1"/>
  <c r="C46" i="1" s="1"/>
  <c r="J68" i="1" l="1"/>
  <c r="K68" i="1"/>
  <c r="K69" i="1"/>
  <c r="K70" i="1" s="1"/>
  <c r="I74" i="1" s="1"/>
  <c r="N74" i="1" s="1"/>
  <c r="J78" i="1" s="1"/>
  <c r="J69" i="1"/>
  <c r="H69" i="1"/>
  <c r="E46" i="1"/>
  <c r="H46" i="1" s="1"/>
  <c r="C47" i="1" s="1"/>
  <c r="F45" i="1"/>
  <c r="I45" i="1" s="1"/>
  <c r="J70" i="1" l="1"/>
  <c r="J45" i="1"/>
  <c r="K45" i="1"/>
  <c r="F46" i="1"/>
  <c r="I46" i="1" s="1"/>
  <c r="E47" i="1"/>
  <c r="H47" i="1" s="1"/>
  <c r="C48" i="1" s="1"/>
  <c r="J46" i="1" l="1"/>
  <c r="K46" i="1"/>
  <c r="F47" i="1"/>
  <c r="I47" i="1" s="1"/>
  <c r="E48" i="1"/>
  <c r="H48" i="1" s="1"/>
  <c r="C49" i="1" s="1"/>
  <c r="F48" i="1" l="1"/>
  <c r="I48" i="1" s="1"/>
  <c r="K48" i="1" s="1"/>
  <c r="J48" i="1"/>
  <c r="K47" i="1"/>
  <c r="J47" i="1"/>
  <c r="E49" i="1"/>
  <c r="H49" i="1" s="1"/>
  <c r="C50" i="1" s="1"/>
  <c r="F49" i="1" l="1"/>
  <c r="I49" i="1" s="1"/>
  <c r="K49" i="1"/>
  <c r="J49" i="1"/>
  <c r="E50" i="1"/>
  <c r="H50" i="1" s="1"/>
  <c r="C51" i="1" s="1"/>
  <c r="F50" i="1" l="1"/>
  <c r="I50" i="1" s="1"/>
  <c r="E51" i="1"/>
  <c r="H51" i="1" s="1"/>
  <c r="C52" i="1" s="1"/>
  <c r="K50" i="1" l="1"/>
  <c r="J50" i="1"/>
  <c r="E52" i="1"/>
  <c r="H52" i="1" s="1"/>
  <c r="F51" i="1"/>
  <c r="I51" i="1" s="1"/>
  <c r="J51" i="1" l="1"/>
  <c r="K51" i="1"/>
  <c r="F52" i="1"/>
  <c r="I52" i="1" s="1"/>
  <c r="C53" i="1"/>
  <c r="G53" i="1"/>
  <c r="E53" i="1"/>
  <c r="H53" i="1" s="1"/>
  <c r="K52" i="1" l="1"/>
  <c r="J52" i="1"/>
  <c r="F53" i="1"/>
  <c r="I53" i="1" s="1"/>
  <c r="J53" i="1" l="1"/>
  <c r="J54" i="1" s="1"/>
  <c r="K53" i="1"/>
  <c r="K54" i="1" s="1"/>
  <c r="J113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<sst xmlns="http://schemas.openxmlformats.org/spreadsheetml/2006/main" count="1052" uniqueCount="465">
  <si>
    <t>t</t>
  </si>
  <si>
    <t>GD30: step-up, tasa cupon aumenta con el tiempo</t>
  </si>
  <si>
    <t>capital residual</t>
  </si>
  <si>
    <t>cupon rate anual</t>
  </si>
  <si>
    <t>intereses devengados</t>
  </si>
  <si>
    <t>flujo intereses</t>
  </si>
  <si>
    <t>% capitalización</t>
  </si>
  <si>
    <t>Capitalizacion</t>
  </si>
  <si>
    <t>Amortizacion</t>
  </si>
  <si>
    <t>ASUMIENDO QUE ES BULLET</t>
  </si>
  <si>
    <t>flujo</t>
  </si>
  <si>
    <t>valor</t>
  </si>
  <si>
    <t>k (descuento)</t>
  </si>
  <si>
    <t>(cotiza bajo la par porque el descuento es mayor que la tasa de cupon)</t>
  </si>
  <si>
    <t>Precio</t>
  </si>
  <si>
    <t>descuento del mercado</t>
  </si>
  <si>
    <t>k descuento</t>
  </si>
  <si>
    <t>nuestra</t>
  </si>
  <si>
    <t>Curernt yield</t>
  </si>
  <si>
    <t>Capital gain</t>
  </si>
  <si>
    <t>parte de la tir que se cobre en cupones</t>
  </si>
  <si>
    <t>invertir</t>
  </si>
  <si>
    <t>flujo al año</t>
  </si>
  <si>
    <t>: current yield, rentabilidad proveniento de los flujos del bono</t>
  </si>
  <si>
    <t xml:space="preserve">capital gain : venta a menor precio despues de un yield - </t>
  </si>
  <si>
    <t>total return</t>
  </si>
  <si>
    <t>Supongamos que se está considerando una inversión con los siguientes flujos de efectivo: Año 0: -$10,000 (inversión inicial) Año 1: +$3,000 Año 2: +$4,000 Año 3: +$5,000</t>
  </si>
  <si>
    <t>Calcular la TIR y el VAN, asumiendo una tasa de descuento del 10%.</t>
  </si>
  <si>
    <t>r</t>
  </si>
  <si>
    <t>Proyecto A: Año 0: -$15,000 (inversión inicial) Año 1: +$6,000 Año 2: +$6,000 Año 3: +$6,000</t>
  </si>
  <si>
    <t>Proyecto B: Año 0: -$10,000 (inversión inicial) Año 1: +$4,000 Año 2: +$5,000 Año 3: +$6,000</t>
  </si>
  <si>
    <t>A</t>
  </si>
  <si>
    <t>B</t>
  </si>
  <si>
    <t>DESCUENTO &gt; TIR</t>
  </si>
  <si>
    <t>DESCUENTO &lt; TIR</t>
  </si>
  <si>
    <t>Si descontas a una tasa mayor a la tir, el valor actual de cada flujo va a ser mas chico que lo seria si descontas a la tir</t>
  </si>
  <si>
    <t>por eso el VAN es negativo se el descuento es mayor a la tir</t>
  </si>
  <si>
    <t xml:space="preserve">VALUCION DE BONO </t>
  </si>
  <si>
    <t>Inputs</t>
  </si>
  <si>
    <t>Tasa de Cupón Anual (CR)</t>
  </si>
  <si>
    <t>Valor Nominal (FV)</t>
  </si>
  <si>
    <t>Cupon (PMT)</t>
  </si>
  <si>
    <t>Tasa de descuento (k)</t>
  </si>
  <si>
    <t>Número de pagos / año (NOP)</t>
  </si>
  <si>
    <t>Número de años al Vencimiento (T)</t>
  </si>
  <si>
    <t>Precio de Mercado</t>
  </si>
  <si>
    <t>Chart Outputs</t>
  </si>
  <si>
    <t>Período</t>
  </si>
  <si>
    <t>Cash Flow</t>
  </si>
  <si>
    <t>Tasa de descuento</t>
  </si>
  <si>
    <t>Valor Presente del Cash Flow</t>
  </si>
  <si>
    <t>PRECIO DEL BONO</t>
  </si>
  <si>
    <r>
      <t xml:space="preserve">PRECIO DEL BONO </t>
    </r>
    <r>
      <rPr>
        <i/>
        <sz val="10"/>
        <rFont val="Calibri"/>
        <family val="2"/>
        <scheme val="minor"/>
      </rPr>
      <t>(usando formula de Anualidad)</t>
    </r>
  </si>
  <si>
    <r>
      <t xml:space="preserve">PRECIO DEL BONO </t>
    </r>
    <r>
      <rPr>
        <i/>
        <sz val="10"/>
        <rFont val="Calibri"/>
        <family val="2"/>
        <scheme val="minor"/>
      </rPr>
      <t>(usando fx VA())</t>
    </r>
  </si>
  <si>
    <t xml:space="preserve">VA() calcula el valor actual de un préstamo o una inversión a partir de una tasa de interés constante. </t>
  </si>
  <si>
    <t xml:space="preserve">Puede usar VA con pagos periódicos y constantes (como una hipoteca u otro préstamo), </t>
  </si>
  <si>
    <t>o con un valor futuro que sea su objetivo de inversión.</t>
  </si>
  <si>
    <r>
      <t xml:space="preserve">PRECIO DEL BONO </t>
    </r>
    <r>
      <rPr>
        <i/>
        <sz val="10"/>
        <rFont val="Calibri"/>
        <family val="2"/>
        <scheme val="minor"/>
      </rPr>
      <t>(usando fx VA() completa)</t>
    </r>
  </si>
  <si>
    <t>Supongamos que la tasa de interés cambió de 9%, bajando a 5% o aumentando a 15%. ¿Cómo afectarían esos cambios al valor del bono?</t>
  </si>
  <si>
    <t>Tasa de Descuento</t>
  </si>
  <si>
    <t xml:space="preserve">Precio Teórico </t>
  </si>
  <si>
    <t>Precio Mercado</t>
  </si>
  <si>
    <t>VAN</t>
  </si>
  <si>
    <t>CAPM, por ejemplo</t>
  </si>
  <si>
    <t>sobre la par</t>
  </si>
  <si>
    <t>PERPETUIDAD Y ANUALIDAD</t>
  </si>
  <si>
    <t>Valor presente = Pago anual / Tasa de descuento</t>
  </si>
  <si>
    <t>VP = C / r</t>
  </si>
  <si>
    <t>Donde:</t>
  </si>
  <si>
    <t>VP es el valor presente de la perpetuidad</t>
  </si>
  <si>
    <t>C es el pago anual constante (monto de los flujos de efectivo)</t>
  </si>
  <si>
    <t>r es la tasa de descuento (tasa de interés)</t>
  </si>
  <si>
    <t>Una perpetuidad es un flujo de efectivo constante que se recibe indefinidamente.</t>
  </si>
  <si>
    <t>Anualidad vencida (valor presente de una anualidad):</t>
  </si>
  <si>
    <t>Valor presente = Pago anual * (1 - (1 + Tasa de descuento)^(-n)) / Tasa de descuento</t>
  </si>
  <si>
    <t>VP = C * (1 - (1 + r)^(-n)) / r</t>
  </si>
  <si>
    <t>VP es el valor presente de la anualidad</t>
  </si>
  <si>
    <t>n es el número de períodos</t>
  </si>
  <si>
    <t xml:space="preserve">Una anualidad es un flujo de efectivo constante que se recibe durante un número </t>
  </si>
  <si>
    <t>específico de períodos. La fórmula para calcular el valor presente de una anualidad vencida es:</t>
  </si>
  <si>
    <t>Si tenemos amortizaciones periodicas…..</t>
  </si>
  <si>
    <t>Tasa de Cupón (CR)</t>
  </si>
  <si>
    <t>Amortización 4 últimos períodos</t>
  </si>
  <si>
    <t>Precio de Mercado (MP)</t>
  </si>
  <si>
    <r>
      <t xml:space="preserve">PRECIO DEL BONO </t>
    </r>
    <r>
      <rPr>
        <i/>
        <sz val="10"/>
        <rFont val="Calibri"/>
        <family val="2"/>
        <scheme val="minor"/>
      </rPr>
      <t>(usando fx VNA())</t>
    </r>
  </si>
  <si>
    <t xml:space="preserve">VNA() Calcula el valor neto presente de una inversión a partir de una tasa de descuento y una serie de pagos </t>
  </si>
  <si>
    <t>futuros (valores negativos) e ingresos (valores positivos).</t>
  </si>
  <si>
    <t>AMORTIZACION AMERICANA</t>
  </si>
  <si>
    <t>BULLET</t>
  </si>
  <si>
    <t>AMORTIZACION ALEMAN</t>
  </si>
  <si>
    <t>sobre el saldo</t>
  </si>
  <si>
    <t>vn</t>
  </si>
  <si>
    <t>tasa cupon</t>
  </si>
  <si>
    <t>amortizado</t>
  </si>
  <si>
    <t>cupon</t>
  </si>
  <si>
    <t>saldo</t>
  </si>
  <si>
    <t>VALUACION DE BONO</t>
  </si>
  <si>
    <t>Si tenemos Fechas…..</t>
  </si>
  <si>
    <t>Usando Precio() para obtener el precio de Mercado</t>
  </si>
  <si>
    <t>Fecha de Liquidación</t>
  </si>
  <si>
    <t>Fecha de Vencimiento</t>
  </si>
  <si>
    <t>TIR</t>
  </si>
  <si>
    <t>Usando Rendto() para obtener la TIR</t>
  </si>
  <si>
    <t>RATE</t>
  </si>
  <si>
    <t>YIELD</t>
  </si>
  <si>
    <t>MATURITY</t>
  </si>
  <si>
    <t>SETTLEMENT</t>
  </si>
  <si>
    <t>PR</t>
  </si>
  <si>
    <t>RENDIMIENTO DE BONO</t>
  </si>
  <si>
    <t xml:space="preserve">Precio de Mercado </t>
  </si>
  <si>
    <t>RENDIMIENTO DEL BONO</t>
  </si>
  <si>
    <t>PRECIO DEL BONO usando la TIR</t>
  </si>
  <si>
    <t>Precio del Bono</t>
  </si>
  <si>
    <t>FACE VALUE</t>
  </si>
  <si>
    <t>NEGATIVO</t>
  </si>
  <si>
    <t>PRECIO</t>
  </si>
  <si>
    <t>POSITIVO</t>
  </si>
  <si>
    <t>PAGOS PMT</t>
  </si>
  <si>
    <t>VALUCION DE BONO EN EL TIEMPO</t>
  </si>
  <si>
    <t>Convención de tasa: 1 = Efec., 0 = TNA</t>
  </si>
  <si>
    <t>TIR (anualizada) (y)</t>
  </si>
  <si>
    <t>Outputs</t>
  </si>
  <si>
    <t>TIR Periodica ()</t>
  </si>
  <si>
    <t>Cupón (PMT)</t>
  </si>
  <si>
    <t>Tasa Efectiva Anual</t>
  </si>
  <si>
    <t>Dynamic Chart Outputs</t>
  </si>
  <si>
    <t>Tiempo al Vencimiento</t>
  </si>
  <si>
    <t>Número de Períodos Restantes</t>
  </si>
  <si>
    <t>Precio del FV del Bono</t>
  </si>
  <si>
    <t>VALOR DEL BONO EN DIFERENTES CONDICIONES</t>
  </si>
  <si>
    <t>TASA DE CUPON</t>
  </si>
  <si>
    <t xml:space="preserve">TIR Periodica </t>
  </si>
  <si>
    <t>CONDICIONES DE EMISION</t>
  </si>
  <si>
    <t>INDICADORES EN UN BONO</t>
  </si>
  <si>
    <t>VALOR ACTUAL - PRECIO</t>
  </si>
  <si>
    <t>GANANCIA DE BONOS</t>
  </si>
  <si>
    <t>CUPONES</t>
  </si>
  <si>
    <t>PRECIO : SOBRE O BAJO LA PAR</t>
  </si>
  <si>
    <t>TIR DE UN BONO</t>
  </si>
  <si>
    <t>DESCONTAR LOS FLUJOS TAL QUE EL PV SEA IGUAL AL PRECIO</t>
  </si>
  <si>
    <t>IGUALAR LOS FLUJOS DESCONTADOS AL PRECIO</t>
  </si>
  <si>
    <t>PROSPECTOS DE EMISION</t>
  </si>
  <si>
    <t>indenture</t>
  </si>
  <si>
    <t>DENOMINACION MINIMA</t>
  </si>
  <si>
    <t>la cantidad minima que hay que comprar</t>
  </si>
  <si>
    <t>ej .  a partir de 10 000 dolares</t>
  </si>
  <si>
    <t>denominaciones altas ; pagan un poco mas de tasa</t>
  </si>
  <si>
    <t>ESQUEMA DE AMORTIZACION</t>
  </si>
  <si>
    <t>Todo al vencimiento</t>
  </si>
  <si>
    <t>los mas comunes</t>
  </si>
  <si>
    <t>PERIODICOS</t>
  </si>
  <si>
    <t>amortizables</t>
  </si>
  <si>
    <t>los pagos pueden no coincidir con los periodos de pagos de inereses</t>
  </si>
  <si>
    <t>AL29</t>
  </si>
  <si>
    <t>AL30</t>
  </si>
  <si>
    <t>irregular</t>
  </si>
  <si>
    <t>AL41</t>
  </si>
  <si>
    <t>PAGOS DE INTERESES</t>
  </si>
  <si>
    <t>TASA FIJA</t>
  </si>
  <si>
    <t>se abona tasa cupon fijada sobre VN</t>
  </si>
  <si>
    <t>YPCUO</t>
  </si>
  <si>
    <t>arg : usualmente entre 1 y 1 000</t>
  </si>
  <si>
    <t>TASA FLOTANTE</t>
  </si>
  <si>
    <t>esta atada a otra cosa; ajustada a la badlar (tasa del plazo fijo)</t>
  </si>
  <si>
    <t>PR15</t>
  </si>
  <si>
    <t>TASA STEP UP</t>
  </si>
  <si>
    <t>interes creciente</t>
  </si>
  <si>
    <t>GD30</t>
  </si>
  <si>
    <t>AUNQUE suba la tasa de interes, el bono esta menos afcetado por subas en la TIR</t>
  </si>
  <si>
    <t>CAPITALIZACION</t>
  </si>
  <si>
    <t xml:space="preserve"> TOTAL O PARCIAL</t>
  </si>
  <si>
    <t>Una parte se capitaliza y otra va a al interes</t>
  </si>
  <si>
    <t>EJEMPLO</t>
  </si>
  <si>
    <t>EJEMPLO: YCA6O</t>
  </si>
  <si>
    <t>EMISION</t>
  </si>
  <si>
    <t>VENCIMIENTO</t>
  </si>
  <si>
    <t>TASA ANUAL</t>
  </si>
  <si>
    <t>PAGOS ANUALES</t>
  </si>
  <si>
    <t>1er PAGO</t>
  </si>
  <si>
    <t>Ultimo PAGO</t>
  </si>
  <si>
    <t>AMORTIZACION</t>
  </si>
  <si>
    <t>PROXIMO PAGO</t>
  </si>
  <si>
    <t>VN</t>
  </si>
  <si>
    <t>El capital que quedaba pagar-</t>
  </si>
  <si>
    <t>lo que se amortizo+</t>
  </si>
  <si>
    <t>lo que se capitalizo</t>
  </si>
  <si>
    <t>EJEMPLO: TB23P</t>
  </si>
  <si>
    <t>BADLAR + 0,0525</t>
  </si>
  <si>
    <t>BADLAR</t>
  </si>
  <si>
    <t>LEYES APLICABLES</t>
  </si>
  <si>
    <t>MONEDA DE EMISION</t>
  </si>
  <si>
    <t>MONEDA DE PAGO</t>
  </si>
  <si>
    <t>moneda en la que te terminan pagando</t>
  </si>
  <si>
    <t>moneda en la que se compra</t>
  </si>
  <si>
    <t>INDICADORES DE BONOS</t>
  </si>
  <si>
    <t>Para reclamar si no te pagan por ejemplo</t>
  </si>
  <si>
    <t>VALOR RESIDUAL</t>
  </si>
  <si>
    <t>Proporcion sin amortizar</t>
  </si>
  <si>
    <t>Se reduce cada periodo de amortizacion</t>
  </si>
  <si>
    <t>Principales Condiciones de Emisión</t>
  </si>
  <si>
    <t>Fecha de Emisión=</t>
  </si>
  <si>
    <t>Fecha de Vencimiento=</t>
  </si>
  <si>
    <t>VN=</t>
  </si>
  <si>
    <t>Amortización=</t>
  </si>
  <si>
    <t>6 cuotas semestrales</t>
  </si>
  <si>
    <t>Tasa de Cupon =</t>
  </si>
  <si>
    <t>Numero de pagos por año=</t>
  </si>
  <si>
    <t>SEMESTRAL</t>
  </si>
  <si>
    <t>Precio Mercado=</t>
  </si>
  <si>
    <r>
      <t>Cupón= CF</t>
    </r>
    <r>
      <rPr>
        <b/>
        <vertAlign val="subscript"/>
        <sz val="11"/>
        <rFont val="Calibri"/>
        <family val="2"/>
        <scheme val="minor"/>
      </rPr>
      <t>t</t>
    </r>
  </si>
  <si>
    <t>CUPON %</t>
  </si>
  <si>
    <t xml:space="preserve"> VALOR RESIDUAL</t>
  </si>
  <si>
    <t>AMORTIZ.</t>
  </si>
  <si>
    <t>RENTA ANUAL</t>
  </si>
  <si>
    <t>CUPON DE INTERES / VN</t>
  </si>
  <si>
    <t>Renta anual% * VR($) = renta anual en moneda</t>
  </si>
  <si>
    <t>4 CUOTAS IGUALES</t>
  </si>
  <si>
    <t>Tasa de Cupon=</t>
  </si>
  <si>
    <t>INTERESES</t>
  </si>
  <si>
    <t>SERVICIO</t>
  </si>
  <si>
    <t>RENTA ANUAL ($)</t>
  </si>
  <si>
    <t>INTERESES CORRIDOS</t>
  </si>
  <si>
    <t>Vto.</t>
  </si>
  <si>
    <t>HOY:</t>
  </si>
  <si>
    <t>Dias Corridos:</t>
  </si>
  <si>
    <t>Dias del año:</t>
  </si>
  <si>
    <t>Int. Corridos:</t>
  </si>
  <si>
    <t>=4*(295/360)</t>
  </si>
  <si>
    <t>PRECIO DIRTY</t>
  </si>
  <si>
    <t>PRECIO CLEAN</t>
  </si>
  <si>
    <t>tasa del cupon basicamente</t>
  </si>
  <si>
    <t>Valor Técnico:</t>
  </si>
  <si>
    <t>VR $ + Intereses corridos</t>
  </si>
  <si>
    <t xml:space="preserve"> VALOR RESIDUAL $</t>
  </si>
  <si>
    <t>PARIDAD</t>
  </si>
  <si>
    <t>Relacion entre precio y valor tecnico</t>
  </si>
  <si>
    <t>INVERSION / VALOR TECNICO</t>
  </si>
  <si>
    <t>=0,04*(295/360)</t>
  </si>
  <si>
    <t>=100+3.278</t>
  </si>
  <si>
    <t>Precio M.=</t>
  </si>
  <si>
    <t>Paridad=</t>
  </si>
  <si>
    <t>=98/103.278</t>
  </si>
  <si>
    <t>01-jun.-18</t>
  </si>
  <si>
    <t>01-jun.-25</t>
  </si>
  <si>
    <t>05-may.-23</t>
  </si>
  <si>
    <t xml:space="preserve">                       -  </t>
  </si>
  <si>
    <t xml:space="preserve">                      -  </t>
  </si>
  <si>
    <t>01-jun.-19</t>
  </si>
  <si>
    <t>01-jun.-20</t>
  </si>
  <si>
    <t>01-jun.-21</t>
  </si>
  <si>
    <t>01-jun.-22</t>
  </si>
  <si>
    <t>01-jun.-23</t>
  </si>
  <si>
    <t>01-jun.-24</t>
  </si>
  <si>
    <t>04-may.-23</t>
  </si>
  <si>
    <t>=100+1.7</t>
  </si>
  <si>
    <t>=98/101.7</t>
  </si>
  <si>
    <t>Yield Anual=</t>
  </si>
  <si>
    <t>=4/(98-3.278)</t>
  </si>
  <si>
    <t>YIELD ANUAL</t>
  </si>
  <si>
    <t>TASA CUPON * V RESIDUAL</t>
  </si>
  <si>
    <t>Como tasa de rendimiento</t>
  </si>
  <si>
    <t>EL PRECIO @ MATURITY</t>
  </si>
  <si>
    <t>valor de ese dinero capitalizado a la maturity</t>
  </si>
  <si>
    <t>colocar el precio hasta la maturity a la tasa tir</t>
  </si>
  <si>
    <t>DINERO AL VENCIMIENTO</t>
  </si>
  <si>
    <t>YTM</t>
  </si>
  <si>
    <t>YIELD TO MATURITY</t>
  </si>
  <si>
    <t>bono leo</t>
  </si>
  <si>
    <t>VA DE FLUJOS A TIR</t>
  </si>
  <si>
    <t>TIR=</t>
  </si>
  <si>
    <t>FECHA</t>
  </si>
  <si>
    <t>BONO:</t>
  </si>
  <si>
    <t>TX24</t>
  </si>
  <si>
    <t>DURATION</t>
  </si>
  <si>
    <t xml:space="preserve">CONCERTACION </t>
  </si>
  <si>
    <t>LIQUIDACION</t>
  </si>
  <si>
    <t>ARTX243=BA</t>
  </si>
  <si>
    <t>Mackaulay</t>
  </si>
  <si>
    <t>Modified</t>
  </si>
  <si>
    <t>CUPON #</t>
  </si>
  <si>
    <t>RESIDUAL</t>
  </si>
  <si>
    <t>Verificacion</t>
  </si>
  <si>
    <t>DATOS DE EMISION</t>
  </si>
  <si>
    <t>ANTERIOR</t>
  </si>
  <si>
    <t>PROXIMO</t>
  </si>
  <si>
    <t>1.RENTA</t>
  </si>
  <si>
    <t>2.AMORTIZACION</t>
  </si>
  <si>
    <t>EMISOR</t>
  </si>
  <si>
    <t>LEGISLACION</t>
  </si>
  <si>
    <t>DATOS DE MERCADO</t>
  </si>
  <si>
    <t>DOLARES</t>
  </si>
  <si>
    <t>PESOS</t>
  </si>
  <si>
    <t>VALOR TECNICO</t>
  </si>
  <si>
    <t>CAP RESIDUAL</t>
  </si>
  <si>
    <t>ACCRUED</t>
  </si>
  <si>
    <t>Semestral</t>
  </si>
  <si>
    <t>A vencimiento</t>
  </si>
  <si>
    <t>ARS31M33=BA</t>
  </si>
  <si>
    <t>VAR</t>
  </si>
  <si>
    <t>DESVIO</t>
  </si>
  <si>
    <t>RIESGO DE TASA</t>
  </si>
  <si>
    <t>Un movimeinto en la tir causa un cambio en el precio</t>
  </si>
  <si>
    <t>Supongamos estos tres bonos:</t>
  </si>
  <si>
    <t xml:space="preserve">BONO A </t>
  </si>
  <si>
    <t xml:space="preserve">BONO B </t>
  </si>
  <si>
    <t>BONO C</t>
  </si>
  <si>
    <t>TASA CUPON=</t>
  </si>
  <si>
    <t>T=</t>
  </si>
  <si>
    <t>Supongamos que la tasa sube de 10% a 11%,</t>
  </si>
  <si>
    <t>TIR REQUERIDA</t>
  </si>
  <si>
    <t>Cambio %</t>
  </si>
  <si>
    <t>FLUJOS:</t>
  </si>
  <si>
    <t xml:space="preserve">Extremo: Supongo bonos cero cupon y los comparo </t>
  </si>
  <si>
    <t>con el ejemplo anterior.</t>
  </si>
  <si>
    <t>PLAZO DE VENCIMIENTO</t>
  </si>
  <si>
    <t>TAMAÑO DEL CUPON</t>
  </si>
  <si>
    <t>Supongo bonos:</t>
  </si>
  <si>
    <t>FRECUENCIA=</t>
  </si>
  <si>
    <t>FFRECUENCIA DEL CUPON</t>
  </si>
  <si>
    <t>RIESGO</t>
  </si>
  <si>
    <t>&lt;</t>
  </si>
  <si>
    <t>PONDERACION DEL TIEMPO</t>
  </si>
  <si>
    <t>CR=</t>
  </si>
  <si>
    <t>FV=</t>
  </si>
  <si>
    <t>Otra forma TASA()</t>
  </si>
  <si>
    <t>AMORTIZACIÓN AL VENC.</t>
  </si>
  <si>
    <t>Pm=</t>
  </si>
  <si>
    <t>AMORTIZAC.</t>
  </si>
  <si>
    <t>VERIFICACIÓN</t>
  </si>
  <si>
    <t>DURATION MODIFICADA</t>
  </si>
  <si>
    <t>Δ precio en función de la Δ yield</t>
  </si>
  <si>
    <t>Capital.</t>
  </si>
  <si>
    <t>Actualiz.</t>
  </si>
  <si>
    <t>Monto</t>
  </si>
  <si>
    <t>k</t>
  </si>
  <si>
    <t>1.</t>
  </si>
  <si>
    <t>Es una medida de la vida media ponderada del bono.</t>
  </si>
  <si>
    <t>2.</t>
  </si>
  <si>
    <t>Referencia acerca de la volatilidad precio del bono</t>
  </si>
  <si>
    <t>3.</t>
  </si>
  <si>
    <t xml:space="preserve">También puede entenderse como el momento en que recuperamos la Inversión, </t>
  </si>
  <si>
    <t>incluyendo el rendimiento que habrámos obtenido si hubiéramos invertido 100</t>
  </si>
  <si>
    <t>DUR MOD</t>
  </si>
  <si>
    <t>PRECIO DE UN BONO</t>
  </si>
  <si>
    <t>cuanto menor sea el precio, mayor deberá ser k para que se mantenga la igualdad entre el precio del bono y el valor presente de su flujo de caja futuro.</t>
  </si>
  <si>
    <t xml:space="preserve">cuanto mayor sea la tasa de interés k, menor será el precio del bono, o inversamente, </t>
  </si>
  <si>
    <t xml:space="preserve">función precio del bono es una ecuación de arbitraje: </t>
  </si>
  <si>
    <t>dada una TIR exigida por el inversor (representada por k en la ecuación) menor será el precio,</t>
  </si>
  <si>
    <t xml:space="preserve"> o a menor precio, mayor será por definición la TIR exigida por el inversor.</t>
  </si>
  <si>
    <t>tir</t>
  </si>
  <si>
    <t>Bullet : valor residual siempre es igual al valor nominal</t>
  </si>
  <si>
    <t>Cuando el precio del bono es igual a su valor residual, se dice que cotiza "a la par" y</t>
  </si>
  <si>
    <t xml:space="preserve"> en ese caso la TIR es exactamente igual a la tasa de contrato del cupón.</t>
  </si>
  <si>
    <t>OTRAS TIR</t>
  </si>
  <si>
    <t xml:space="preserve"> </t>
  </si>
  <si>
    <t>igual a tasa de contrato</t>
  </si>
  <si>
    <t>PORTFOLIO</t>
  </si>
  <si>
    <t>BONO A</t>
  </si>
  <si>
    <t>BONO B</t>
  </si>
  <si>
    <t>AMORTIZA</t>
  </si>
  <si>
    <t>TC</t>
  </si>
  <si>
    <t>VENCE</t>
  </si>
  <si>
    <t>t = 10</t>
  </si>
  <si>
    <t>t = 11</t>
  </si>
  <si>
    <t>DESCUENTO</t>
  </si>
  <si>
    <t>TASA CUPON</t>
  </si>
  <si>
    <t>CAPITALIZA</t>
  </si>
  <si>
    <t>INTERES</t>
  </si>
  <si>
    <t>CAPITALIZADO</t>
  </si>
  <si>
    <t>CUPON</t>
  </si>
  <si>
    <t>FLUJOS</t>
  </si>
  <si>
    <t>AMORTIZADO</t>
  </si>
  <si>
    <t>RESID</t>
  </si>
  <si>
    <t>resid</t>
  </si>
  <si>
    <t>VIDA MEDIA PONDERADA</t>
  </si>
  <si>
    <t>depende de lo que pasa con la tir</t>
  </si>
  <si>
    <t>es una fecha</t>
  </si>
  <si>
    <t>PPV</t>
  </si>
  <si>
    <t>IMUNIZACION</t>
  </si>
  <si>
    <t>para imunizarse hay que encontrar la cartera de bonos que tenga una duration igual a la fecha en la que vence la obligacion</t>
  </si>
  <si>
    <t>tres amortizaciones</t>
  </si>
  <si>
    <t>TUTORIAL</t>
  </si>
  <si>
    <t>PV</t>
  </si>
  <si>
    <t>CON PORFOLIO</t>
  </si>
  <si>
    <t>SERIVICIO</t>
  </si>
  <si>
    <t>RESIDUAL $</t>
  </si>
  <si>
    <t>RESIDUAL %</t>
  </si>
  <si>
    <t>% CAPITALIZA</t>
  </si>
  <si>
    <t>INTERES DEVENGADO</t>
  </si>
  <si>
    <t>DICY</t>
  </si>
  <si>
    <t>% INTERES SEMESTRAL</t>
  </si>
  <si>
    <t>YCA6O</t>
  </si>
  <si>
    <t>EMSION</t>
  </si>
  <si>
    <t>CER</t>
  </si>
  <si>
    <t>simularlo</t>
  </si>
  <si>
    <t>actualizo hasta el momento y suponer que en adelante no hay inflacion</t>
  </si>
  <si>
    <t>pagos reales y tir REAL</t>
  </si>
  <si>
    <t>fijarse el cer incial (</t>
  </si>
  <si>
    <t>fijarse el cer final (ahora)</t>
  </si>
  <si>
    <t>diez dias antes de la compra</t>
  </si>
  <si>
    <t>DUR MOD: calculas cuanto cmabia el precio si se mueve la tasa</t>
  </si>
  <si>
    <t>CAPITAL GAIN</t>
  </si>
  <si>
    <t>CARTERA</t>
  </si>
  <si>
    <t>BONO D</t>
  </si>
  <si>
    <t xml:space="preserve">Se desea inmunizar una obligación que ha contraido su empresa por </t>
  </si>
  <si>
    <t>Fecha</t>
  </si>
  <si>
    <t>Flujos</t>
  </si>
  <si>
    <t>Duration</t>
  </si>
  <si>
    <t>Cupones Reinvertidos</t>
  </si>
  <si>
    <t>PV de Cupones Restantes</t>
  </si>
  <si>
    <t>Flujos B</t>
  </si>
  <si>
    <t>Flujos D</t>
  </si>
  <si>
    <t>flujos totales</t>
  </si>
  <si>
    <t>que vence en</t>
  </si>
  <si>
    <t>años. La tasa de interes de esta obligación es</t>
  </si>
  <si>
    <t>En 10 años dicha obligación valdrá:</t>
  </si>
  <si>
    <t>Usted dispone de los siguientes bonos:</t>
  </si>
  <si>
    <t>TIR INICIAL:</t>
  </si>
  <si>
    <t>TIR POST</t>
  </si>
  <si>
    <t>% de B</t>
  </si>
  <si>
    <t>% de C</t>
  </si>
  <si>
    <t>VALOR NOMINAL</t>
  </si>
  <si>
    <t>Calcular la duration y la modified duration</t>
  </si>
  <si>
    <t>precio</t>
  </si>
  <si>
    <t>Canitidades "unitarias" del bono</t>
  </si>
  <si>
    <t>TOTAL</t>
  </si>
  <si>
    <t>% adquirido cada 1000 de mv</t>
  </si>
  <si>
    <t>valor en 10 años</t>
  </si>
  <si>
    <t>Tasa de interes</t>
  </si>
  <si>
    <t>Guillermo López Dumrauf "Cálculo Financiero Aplicado" (Un enfoque Profesional), 2º Ed. actualizada y ampliada. Edit. La Ley, 2006 (reimpresión 2009) Capitulo 12</t>
  </si>
  <si>
    <t>Fabozzi, Frank J. . “Fixed income analysis for the chartered financial analyst program” New Hope, Pa. ; 2000. Capítulo 5 y 6. IAMC. Análisis de bonos. 1998. Sección I</t>
  </si>
  <si>
    <t>Guillermo López Dumrauf "Cálculo Financiero Aplicado" (Un enfoque Profesional), 2º Ed. actualizada y ampliada. Edit. La Ley, 2006 (reimpresión 2009). Capítulo 13.</t>
  </si>
  <si>
    <t>Fabozzi, Frank J. . “Fixed income analysis for the chartered financial analyst program” New Hope, Pa. ; 2000. Capítulo 7.</t>
  </si>
  <si>
    <t>Guillermo López Dumrauf “Análisis cuantitativo de BONOS”. Alfaomega, 2014. Capítulo 3 y 4.</t>
  </si>
  <si>
    <t>Otras medidas tradicionales de rentabilidad. Medidas de riesgo. Carteras de Renta Fija. Inmunización de primer grado. Estrategias en función de expectativa de tasa.</t>
  </si>
  <si>
    <t>Principales Instrumentos: Bonos, Letras, Cauciones. Construcción de flujos de fondos. Valuación de Instrumentos de Renta fija. Medidas tradicionales de rentabilidad.</t>
  </si>
  <si>
    <r>
      <t>4.</t>
    </r>
    <r>
      <rPr>
        <b/>
        <i/>
        <sz val="11"/>
        <color theme="1"/>
        <rFont val="Helvetica"/>
        <family val="2"/>
      </rPr>
      <t xml:space="preserve"> Mercados de Renta Fija II. </t>
    </r>
  </si>
  <si>
    <r>
      <t>3.</t>
    </r>
    <r>
      <rPr>
        <b/>
        <i/>
        <sz val="11"/>
        <color theme="1"/>
        <rFont val="Helvetica"/>
        <family val="2"/>
      </rPr>
      <t xml:space="preserve"> Mercados de Renta Fija. </t>
    </r>
  </si>
  <si>
    <t>FLUJO</t>
  </si>
  <si>
    <t>T</t>
  </si>
  <si>
    <t>TASA</t>
  </si>
  <si>
    <t>NUMERADOR</t>
  </si>
  <si>
    <t>DENOMINADOR</t>
  </si>
  <si>
    <t xml:space="preserve">osea tir esta entre </t>
  </si>
  <si>
    <t>y</t>
  </si>
  <si>
    <t xml:space="preserve">osea que la tir tiene que ser </t>
  </si>
  <si>
    <t>0,1 + x</t>
  </si>
  <si>
    <t>y q va a ser menor a 0,1</t>
  </si>
  <si>
    <t>Cantidad de valores que compro con 1000$ de cada bono</t>
  </si>
  <si>
    <t>INTERPOLACION LINEAL</t>
  </si>
  <si>
    <t>flujo1</t>
  </si>
  <si>
    <t>flujo2</t>
  </si>
  <si>
    <t>Prueba 1</t>
  </si>
  <si>
    <t xml:space="preserve">tasa </t>
  </si>
  <si>
    <t xml:space="preserve">Entonces, </t>
  </si>
  <si>
    <t>devuelvo algo mas</t>
  </si>
  <si>
    <t>alto</t>
  </si>
  <si>
    <t>por lo que probamos otra tasa que de algo mas</t>
  </si>
  <si>
    <t>bajo</t>
  </si>
  <si>
    <t>por ej</t>
  </si>
  <si>
    <t>Ahora calculamos qye</t>
  </si>
  <si>
    <t xml:space="preserve">dif de tasas </t>
  </si>
  <si>
    <t>dif de van</t>
  </si>
  <si>
    <t>dif buscada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</si>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</sst>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3">
    <numFmt numFmtId="8" formatCode="&quot;$&quot;\ #,##0.00_);[Red]\(&quot;$&quot;\ #,##0.00\)"/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0.0%"/>
    <numFmt numFmtId="165" formatCode="0.000%"/>
    <numFmt numFmtId="166" formatCode="0.00000%"/>
    <numFmt numFmtId="167" formatCode="0.000000%"/>
    <numFmt numFmtId="168" formatCode="_-* #,##0.00_-;\-* #,##0.00_-;_-* &quot;-&quot;??_-;_-@_-"/>
    <numFmt numFmtId="169" formatCode="&quot;$&quot;#,##0_);\(&quot;$&quot;#,##0\)"/>
    <numFmt numFmtId="170" formatCode="&quot;$&quot;#,##0_);[Red]\(&quot;$&quot;#,##0\)"/>
    <numFmt numFmtId="171" formatCode="&quot;$&quot;#,##0.00_);\(&quot;$&quot;#,##0.00\)"/>
    <numFmt numFmtId="172" formatCode="_-* #,##0_-;\-* #,##0_-;_-* &quot;-&quot;??_-;_-@_-"/>
    <numFmt numFmtId="173" formatCode="&quot;$&quot;\ #,##0.00;[Red]\-&quot;$&quot;\ #,##0.00"/>
    <numFmt numFmtId="174" formatCode="_-* #,##0.000_-;\-* #,##0.000_-;_-* &quot;-&quot;??_-;_-@_-"/>
    <numFmt numFmtId="176" formatCode="0.000"/>
    <numFmt numFmtId="177" formatCode="&quot;$&quot;#,##0.00"/>
    <numFmt numFmtId="178" formatCode="&quot;$&quot;\ #,##0.00"/>
    <numFmt numFmtId="179" formatCode="[$-1540A]dd\-mmm\-yy;@"/>
    <numFmt numFmtId="180" formatCode="_-* #,##0.000_-;\-* #,##0.000_-;_-* &quot;-&quot;???_-;_-@_-"/>
    <numFmt numFmtId="181" formatCode="_(* #,##0.000_);_(* \(#,##0.000\);_(* &quot;-&quot;???_);_(@_)"/>
    <numFmt numFmtId="182" formatCode="_(* #,##0.000_);_(* \(#,##0.000\);_(* &quot;-&quot;??_);_(@_)"/>
    <numFmt numFmtId="183" formatCode="_ * #,##0.00_ ;_ * \-#,##0.00_ ;_ * &quot;-&quot;??_ ;_ @_ "/>
    <numFmt numFmtId="184" formatCode="_-* #,##0.00_-;\-* #,##0.00_-;_-* &quot;-&quot;??_-;_-@"/>
    <numFmt numFmtId="185" formatCode="0.0000"/>
    <numFmt numFmtId="186" formatCode="[$-1540A]m/d/yyyy;@"/>
    <numFmt numFmtId="187" formatCode="[$-1540A]dd\-mmm\-yy"/>
    <numFmt numFmtId="188" formatCode="&quot;$&quot;\ #,##0.00000_);[Red]\(&quot;$&quot;\ #,##0.00000\)"/>
    <numFmt numFmtId="191" formatCode="0.0000%"/>
    <numFmt numFmtId="193" formatCode="_(* #,##0.0000_);_(* \(#,##0.0000\);_(* &quot;-&quot;??_);_(@_)"/>
    <numFmt numFmtId="194" formatCode="_(* #,##0.00000_);_(* \(#,##0.00000\);_(* &quot;-&quot;??_);_(@_)"/>
    <numFmt numFmtId="196" formatCode="_(* #,##0.0000000_);_(* \(#,##0.0000000\);_(* &quot;-&quot;??_);_(@_)"/>
    <numFmt numFmtId="197" formatCode="_(* #,##0.00000000_);_(* \(#,##0.00000000\);_(* &quot;-&quot;??_);_(@_)"/>
    <numFmt numFmtId="200" formatCode="_(* #,##0.000000000_);_(* \(#,##0.000000000\);_(* &quot;-&quot;??_);_(@_)"/>
  </numFmts>
  <fonts count="3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Arial"/>
      <family val="2"/>
    </font>
    <font>
      <b/>
      <sz val="14"/>
      <color theme="0"/>
      <name val="Arial"/>
      <family val="2"/>
    </font>
    <font>
      <sz val="11"/>
      <color theme="0"/>
      <name val="Arial"/>
      <family val="2"/>
    </font>
    <font>
      <b/>
      <sz val="18"/>
      <color indexed="10"/>
      <name val="Arial"/>
      <family val="2"/>
    </font>
    <font>
      <sz val="11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0"/>
      <name val="Arial"/>
      <family val="2"/>
    </font>
    <font>
      <b/>
      <sz val="10"/>
      <name val="Times New Roman"/>
      <family val="1"/>
    </font>
    <font>
      <b/>
      <sz val="11"/>
      <name val="Calibri"/>
      <family val="2"/>
      <scheme val="minor"/>
    </font>
    <font>
      <sz val="10"/>
      <name val="Times New Roman"/>
      <family val="1"/>
    </font>
    <font>
      <sz val="10"/>
      <color theme="1"/>
      <name val="Times New Roman"/>
      <family val="1"/>
    </font>
    <font>
      <b/>
      <i/>
      <u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vertAlign val="subscript"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0"/>
      <name val="Calibri"/>
      <family val="2"/>
    </font>
    <font>
      <b/>
      <sz val="10"/>
      <color theme="0"/>
      <name val="Calibri"/>
      <family val="2"/>
    </font>
    <font>
      <i/>
      <sz val="10"/>
      <color theme="1"/>
      <name val="Calibri"/>
      <family val="2"/>
      <scheme val="minor"/>
    </font>
    <font>
      <sz val="11"/>
      <color theme="1"/>
      <name val="Helvetica"/>
      <family val="2"/>
    </font>
    <font>
      <i/>
      <sz val="11"/>
      <color theme="1"/>
      <name val="Helvetica"/>
      <family val="2"/>
    </font>
    <font>
      <b/>
      <i/>
      <sz val="11"/>
      <color theme="1"/>
      <name val="Helvetica"/>
      <family val="2"/>
    </font>
    <font>
      <b/>
      <i/>
      <sz val="10"/>
      <color theme="1"/>
      <name val="Calibri"/>
      <family val="2"/>
      <scheme val="minor"/>
    </font>
    <font>
      <b/>
      <sz val="20"/>
      <color rgb="FF1E4E79"/>
      <name val="Helvetica"/>
      <family val="2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C9C9C9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244061"/>
        <bgColor rgb="FF244061"/>
      </patternFill>
    </fill>
    <fill>
      <patternFill patternType="solid">
        <fgColor theme="0"/>
        <bgColor theme="0"/>
      </patternFill>
    </fill>
    <fill>
      <patternFill patternType="solid">
        <fgColor indexed="9"/>
        <bgColor indexed="64"/>
      </patternFill>
    </fill>
    <fill>
      <patternFill patternType="solid">
        <fgColor rgb="FFA9D08E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5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rgb="FF244061"/>
      </bottom>
      <diagonal/>
    </border>
    <border>
      <left/>
      <right/>
      <top style="medium">
        <color indexed="64"/>
      </top>
      <bottom style="thin">
        <color rgb="FF244061"/>
      </bottom>
      <diagonal/>
    </border>
    <border>
      <left/>
      <right style="medium">
        <color indexed="64"/>
      </right>
      <top style="medium">
        <color indexed="64"/>
      </top>
      <bottom style="thin">
        <color rgb="FF244061"/>
      </bottom>
      <diagonal/>
    </border>
    <border>
      <left style="medium">
        <color indexed="64"/>
      </left>
      <right/>
      <top style="thin">
        <color rgb="FF244061"/>
      </top>
      <bottom style="thin">
        <color rgb="FF244061"/>
      </bottom>
      <diagonal/>
    </border>
    <border>
      <left/>
      <right/>
      <top style="thin">
        <color rgb="FF244061"/>
      </top>
      <bottom style="thin">
        <color rgb="FF244061"/>
      </bottom>
      <diagonal/>
    </border>
    <border>
      <left/>
      <right style="medium">
        <color indexed="64"/>
      </right>
      <top style="thin">
        <color rgb="FF244061"/>
      </top>
      <bottom style="thin">
        <color rgb="FF24406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244061"/>
      </top>
      <bottom style="medium">
        <color indexed="64"/>
      </bottom>
      <diagonal/>
    </border>
    <border>
      <left/>
      <right style="medium">
        <color indexed="64"/>
      </right>
      <top style="thin">
        <color rgb="FF24406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auto="1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244061"/>
      </left>
      <right/>
      <top style="thin">
        <color rgb="FF244061"/>
      </top>
      <bottom style="thin">
        <color rgb="FF24406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11">
    <xf numFmtId="0" fontId="0" fillId="0" borderId="0" xfId="0"/>
    <xf numFmtId="0" fontId="0" fillId="2" borderId="0" xfId="0" applyFill="1"/>
    <xf numFmtId="9" fontId="0" fillId="0" borderId="0" xfId="0" applyNumberFormat="1"/>
    <xf numFmtId="10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applyAlignment="1">
      <alignment horizontal="center"/>
    </xf>
    <xf numFmtId="0" fontId="3" fillId="0" borderId="0" xfId="0" applyFont="1"/>
    <xf numFmtId="0" fontId="5" fillId="0" borderId="0" xfId="0" applyFont="1"/>
    <xf numFmtId="0" fontId="6" fillId="0" borderId="0" xfId="0" applyFont="1" applyAlignment="1">
      <alignment horizontal="left" vertical="center"/>
    </xf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horizontal="center"/>
    </xf>
    <xf numFmtId="0" fontId="9" fillId="0" borderId="0" xfId="0" applyFont="1"/>
    <xf numFmtId="0" fontId="10" fillId="0" borderId="0" xfId="0" applyFont="1"/>
    <xf numFmtId="37" fontId="7" fillId="0" borderId="0" xfId="1" applyNumberFormat="1" applyFont="1" applyFill="1" applyBorder="1"/>
    <xf numFmtId="164" fontId="10" fillId="4" borderId="2" xfId="3" applyNumberFormat="1" applyFont="1" applyFill="1" applyBorder="1"/>
    <xf numFmtId="169" fontId="10" fillId="4" borderId="2" xfId="2" applyNumberFormat="1" applyFont="1" applyFill="1" applyBorder="1"/>
    <xf numFmtId="170" fontId="10" fillId="4" borderId="2" xfId="0" applyNumberFormat="1" applyFont="1" applyFill="1" applyBorder="1"/>
    <xf numFmtId="171" fontId="7" fillId="0" borderId="0" xfId="0" applyNumberFormat="1" applyFont="1"/>
    <xf numFmtId="37" fontId="10" fillId="4" borderId="2" xfId="1" applyNumberFormat="1" applyFont="1" applyFill="1" applyBorder="1"/>
    <xf numFmtId="172" fontId="9" fillId="0" borderId="3" xfId="1" applyNumberFormat="1" applyFont="1" applyBorder="1"/>
    <xf numFmtId="172" fontId="7" fillId="0" borderId="3" xfId="1" applyNumberFormat="1" applyFont="1" applyBorder="1"/>
    <xf numFmtId="172" fontId="10" fillId="0" borderId="3" xfId="1" applyNumberFormat="1" applyFont="1" applyBorder="1"/>
    <xf numFmtId="172" fontId="7" fillId="0" borderId="0" xfId="1" applyNumberFormat="1" applyFont="1"/>
    <xf numFmtId="172" fontId="9" fillId="0" borderId="0" xfId="1" applyNumberFormat="1" applyFont="1"/>
    <xf numFmtId="172" fontId="10" fillId="0" borderId="0" xfId="1" applyNumberFormat="1" applyFont="1"/>
    <xf numFmtId="43" fontId="10" fillId="0" borderId="0" xfId="1" applyFont="1"/>
    <xf numFmtId="49" fontId="12" fillId="3" borderId="4" xfId="0" applyNumberFormat="1" applyFont="1" applyFill="1" applyBorder="1" applyAlignment="1">
      <alignment horizontal="left" vertical="center" wrapText="1"/>
    </xf>
    <xf numFmtId="168" fontId="12" fillId="3" borderId="5" xfId="0" applyNumberFormat="1" applyFont="1" applyFill="1" applyBorder="1" applyAlignment="1">
      <alignment horizontal="center" vertical="center" wrapText="1"/>
    </xf>
    <xf numFmtId="49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center" vertical="center" wrapText="1"/>
    </xf>
    <xf numFmtId="172" fontId="7" fillId="0" borderId="0" xfId="1" applyNumberFormat="1" applyFont="1" applyFill="1"/>
    <xf numFmtId="43" fontId="7" fillId="0" borderId="0" xfId="1" applyFont="1"/>
    <xf numFmtId="173" fontId="12" fillId="3" borderId="5" xfId="1" applyNumberFormat="1" applyFont="1" applyFill="1" applyBorder="1" applyAlignment="1">
      <alignment horizontal="center" vertical="center" wrapText="1"/>
    </xf>
    <xf numFmtId="49" fontId="14" fillId="3" borderId="1" xfId="0" applyNumberFormat="1" applyFont="1" applyFill="1" applyBorder="1" applyAlignment="1">
      <alignment horizontal="center" vertical="center" wrapText="1"/>
    </xf>
    <xf numFmtId="169" fontId="7" fillId="0" borderId="0" xfId="0" applyNumberFormat="1" applyFont="1"/>
    <xf numFmtId="9" fontId="7" fillId="0" borderId="0" xfId="3" applyFont="1"/>
    <xf numFmtId="168" fontId="7" fillId="0" borderId="0" xfId="0" applyNumberFormat="1" applyFont="1"/>
    <xf numFmtId="174" fontId="10" fillId="0" borderId="0" xfId="1" applyNumberFormat="1" applyFont="1"/>
    <xf numFmtId="43" fontId="7" fillId="0" borderId="0" xfId="0" applyNumberFormat="1" applyFont="1"/>
    <xf numFmtId="0" fontId="0" fillId="5" borderId="0" xfId="0" applyFill="1"/>
    <xf numFmtId="168" fontId="12" fillId="3" borderId="0" xfId="0" applyNumberFormat="1" applyFont="1" applyFill="1" applyAlignment="1">
      <alignment horizontal="center" vertical="center" wrapText="1"/>
    </xf>
    <xf numFmtId="168" fontId="12" fillId="3" borderId="6" xfId="0" applyNumberFormat="1" applyFont="1" applyFill="1" applyBorder="1" applyAlignment="1">
      <alignment vertical="center" wrapText="1"/>
    </xf>
    <xf numFmtId="168" fontId="12" fillId="3" borderId="0" xfId="0" applyNumberFormat="1" applyFont="1" applyFill="1" applyAlignment="1">
      <alignment vertical="center" wrapText="1"/>
    </xf>
    <xf numFmtId="0" fontId="11" fillId="0" borderId="0" xfId="0" applyFont="1"/>
    <xf numFmtId="0" fontId="7" fillId="2" borderId="0" xfId="0" applyFont="1" applyFill="1"/>
    <xf numFmtId="2" fontId="10" fillId="0" borderId="0" xfId="1" applyNumberFormat="1" applyFont="1"/>
    <xf numFmtId="165" fontId="7" fillId="0" borderId="0" xfId="3" applyNumberFormat="1" applyFont="1"/>
    <xf numFmtId="8" fontId="7" fillId="0" borderId="0" xfId="1" applyNumberFormat="1" applyFont="1"/>
    <xf numFmtId="8" fontId="7" fillId="0" borderId="0" xfId="0" applyNumberFormat="1" applyFont="1"/>
    <xf numFmtId="9" fontId="7" fillId="2" borderId="0" xfId="3" applyFont="1" applyFill="1"/>
    <xf numFmtId="8" fontId="7" fillId="2" borderId="0" xfId="1" applyNumberFormat="1" applyFont="1" applyFill="1"/>
    <xf numFmtId="8" fontId="7" fillId="2" borderId="0" xfId="0" applyNumberFormat="1" applyFont="1" applyFill="1"/>
    <xf numFmtId="168" fontId="12" fillId="3" borderId="3" xfId="0" applyNumberFormat="1" applyFont="1" applyFill="1" applyBorder="1" applyAlignment="1">
      <alignment vertical="center" wrapText="1"/>
    </xf>
    <xf numFmtId="173" fontId="12" fillId="3" borderId="5" xfId="0" applyNumberFormat="1" applyFont="1" applyFill="1" applyBorder="1" applyAlignment="1">
      <alignment horizontal="center" vertical="center" wrapText="1"/>
    </xf>
    <xf numFmtId="0" fontId="10" fillId="2" borderId="0" xfId="0" applyFont="1" applyFill="1"/>
    <xf numFmtId="2" fontId="0" fillId="0" borderId="0" xfId="0" applyNumberFormat="1"/>
    <xf numFmtId="1" fontId="0" fillId="0" borderId="0" xfId="0" applyNumberFormat="1"/>
    <xf numFmtId="10" fontId="0" fillId="0" borderId="0" xfId="3" applyNumberFormat="1" applyFont="1"/>
    <xf numFmtId="14" fontId="0" fillId="0" borderId="2" xfId="0" applyNumberFormat="1" applyBorder="1"/>
    <xf numFmtId="9" fontId="0" fillId="0" borderId="2" xfId="0" applyNumberFormat="1" applyBorder="1"/>
    <xf numFmtId="1" fontId="0" fillId="0" borderId="2" xfId="0" applyNumberFormat="1" applyBorder="1"/>
    <xf numFmtId="0" fontId="0" fillId="0" borderId="2" xfId="0" applyBorder="1"/>
    <xf numFmtId="0" fontId="10" fillId="6" borderId="7" xfId="0" applyFont="1" applyFill="1" applyBorder="1"/>
    <xf numFmtId="2" fontId="0" fillId="6" borderId="8" xfId="0" applyNumberFormat="1" applyFill="1" applyBorder="1"/>
    <xf numFmtId="0" fontId="0" fillId="6" borderId="7" xfId="0" applyFill="1" applyBorder="1"/>
    <xf numFmtId="10" fontId="0" fillId="6" borderId="8" xfId="3" applyNumberFormat="1" applyFont="1" applyFill="1" applyBorder="1"/>
    <xf numFmtId="165" fontId="0" fillId="0" borderId="2" xfId="0" applyNumberFormat="1" applyBorder="1"/>
    <xf numFmtId="49" fontId="4" fillId="3" borderId="1" xfId="0" applyNumberFormat="1" applyFont="1" applyFill="1" applyBorder="1" applyAlignment="1">
      <alignment horizontal="center" vertical="center" wrapText="1"/>
    </xf>
    <xf numFmtId="49" fontId="15" fillId="3" borderId="1" xfId="0" applyNumberFormat="1" applyFont="1" applyFill="1" applyBorder="1" applyAlignment="1">
      <alignment horizontal="center" vertical="center" wrapText="1"/>
    </xf>
    <xf numFmtId="49" fontId="16" fillId="3" borderId="4" xfId="0" applyNumberFormat="1" applyFont="1" applyFill="1" applyBorder="1" applyAlignment="1">
      <alignment horizontal="left" vertical="center" wrapText="1"/>
    </xf>
    <xf numFmtId="10" fontId="12" fillId="3" borderId="5" xfId="0" applyNumberFormat="1" applyFont="1" applyFill="1" applyBorder="1" applyAlignment="1">
      <alignment horizontal="center" vertical="center" wrapText="1"/>
    </xf>
    <xf numFmtId="172" fontId="17" fillId="0" borderId="0" xfId="1" applyNumberFormat="1" applyFont="1"/>
    <xf numFmtId="8" fontId="12" fillId="3" borderId="5" xfId="1" applyNumberFormat="1" applyFont="1" applyFill="1" applyBorder="1" applyAlignment="1">
      <alignment horizontal="center" vertical="center" wrapText="1"/>
    </xf>
    <xf numFmtId="164" fontId="0" fillId="0" borderId="0" xfId="3" applyNumberFormat="1" applyFont="1"/>
    <xf numFmtId="169" fontId="0" fillId="0" borderId="0" xfId="0" applyNumberFormat="1"/>
    <xf numFmtId="170" fontId="0" fillId="0" borderId="0" xfId="0" applyNumberFormat="1"/>
    <xf numFmtId="0" fontId="0" fillId="0" borderId="3" xfId="0" applyBorder="1"/>
    <xf numFmtId="173" fontId="0" fillId="0" borderId="0" xfId="1" applyNumberFormat="1" applyFont="1"/>
    <xf numFmtId="43" fontId="0" fillId="0" borderId="0" xfId="1" applyFont="1"/>
    <xf numFmtId="0" fontId="0" fillId="6" borderId="9" xfId="0" applyFill="1" applyBorder="1"/>
    <xf numFmtId="0" fontId="19" fillId="6" borderId="12" xfId="0" applyFont="1" applyFill="1" applyBorder="1" applyAlignment="1">
      <alignment vertical="center" textRotation="90"/>
    </xf>
    <xf numFmtId="0" fontId="0" fillId="6" borderId="0" xfId="0" applyFill="1"/>
    <xf numFmtId="177" fontId="18" fillId="6" borderId="14" xfId="0" applyNumberFormat="1" applyFont="1" applyFill="1" applyBorder="1" applyAlignment="1">
      <alignment horizontal="right"/>
    </xf>
    <xf numFmtId="9" fontId="18" fillId="6" borderId="15" xfId="3" applyFont="1" applyFill="1" applyBorder="1"/>
    <xf numFmtId="9" fontId="18" fillId="6" borderId="15" xfId="3" applyFont="1" applyFill="1" applyBorder="1" applyAlignment="1"/>
    <xf numFmtId="9" fontId="18" fillId="6" borderId="8" xfId="3" applyFont="1" applyFill="1" applyBorder="1" applyAlignment="1"/>
    <xf numFmtId="9" fontId="18" fillId="0" borderId="16" xfId="3" applyFont="1" applyBorder="1"/>
    <xf numFmtId="178" fontId="20" fillId="0" borderId="0" xfId="0" applyNumberFormat="1" applyFont="1"/>
    <xf numFmtId="178" fontId="20" fillId="0" borderId="13" xfId="0" applyNumberFormat="1" applyFont="1" applyBorder="1"/>
    <xf numFmtId="9" fontId="18" fillId="0" borderId="16" xfId="0" applyNumberFormat="1" applyFont="1" applyBorder="1"/>
    <xf numFmtId="9" fontId="18" fillId="0" borderId="16" xfId="3" applyFont="1" applyBorder="1" applyAlignment="1"/>
    <xf numFmtId="9" fontId="18" fillId="0" borderId="17" xfId="3" applyFont="1" applyBorder="1" applyAlignment="1"/>
    <xf numFmtId="178" fontId="21" fillId="0" borderId="3" xfId="0" applyNumberFormat="1" applyFont="1" applyBorder="1"/>
    <xf numFmtId="178" fontId="21" fillId="0" borderId="18" xfId="0" applyNumberFormat="1" applyFont="1" applyBorder="1"/>
    <xf numFmtId="165" fontId="0" fillId="0" borderId="0" xfId="3" applyNumberFormat="1" applyFont="1"/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wrapText="1"/>
    </xf>
    <xf numFmtId="14" fontId="0" fillId="0" borderId="0" xfId="0" applyNumberFormat="1"/>
    <xf numFmtId="14" fontId="0" fillId="2" borderId="0" xfId="0" applyNumberFormat="1" applyFill="1"/>
    <xf numFmtId="0" fontId="2" fillId="0" borderId="0" xfId="0" applyFont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2" fillId="0" borderId="0" xfId="0" applyFont="1"/>
    <xf numFmtId="0" fontId="0" fillId="4" borderId="0" xfId="0" applyFill="1"/>
    <xf numFmtId="0" fontId="23" fillId="4" borderId="0" xfId="0" applyFont="1" applyFill="1"/>
    <xf numFmtId="179" fontId="0" fillId="2" borderId="0" xfId="0" applyNumberFormat="1" applyFill="1"/>
    <xf numFmtId="173" fontId="0" fillId="4" borderId="0" xfId="0" applyNumberFormat="1" applyFill="1"/>
    <xf numFmtId="0" fontId="19" fillId="8" borderId="0" xfId="0" applyFont="1" applyFill="1" applyAlignment="1">
      <alignment horizontal="center" vertical="center" wrapText="1"/>
    </xf>
    <xf numFmtId="179" fontId="0" fillId="4" borderId="19" xfId="0" applyNumberFormat="1" applyFill="1" applyBorder="1"/>
    <xf numFmtId="0" fontId="0" fillId="4" borderId="20" xfId="0" applyFill="1" applyBorder="1"/>
    <xf numFmtId="179" fontId="0" fillId="4" borderId="20" xfId="0" applyNumberFormat="1" applyFill="1" applyBorder="1"/>
    <xf numFmtId="10" fontId="0" fillId="4" borderId="20" xfId="0" applyNumberFormat="1" applyFill="1" applyBorder="1"/>
    <xf numFmtId="43" fontId="0" fillId="4" borderId="20" xfId="1" applyFont="1" applyFill="1" applyBorder="1"/>
    <xf numFmtId="179" fontId="0" fillId="2" borderId="20" xfId="0" applyNumberFormat="1" applyFill="1" applyBorder="1"/>
    <xf numFmtId="10" fontId="0" fillId="2" borderId="20" xfId="0" applyNumberFormat="1" applyFill="1" applyBorder="1"/>
    <xf numFmtId="43" fontId="0" fillId="2" borderId="20" xfId="1" applyFont="1" applyFill="1" applyBorder="1"/>
    <xf numFmtId="0" fontId="0" fillId="0" borderId="12" xfId="0" applyBorder="1"/>
    <xf numFmtId="179" fontId="0" fillId="4" borderId="0" xfId="0" applyNumberFormat="1" applyFill="1"/>
    <xf numFmtId="174" fontId="0" fillId="4" borderId="20" xfId="1" applyNumberFormat="1" applyFont="1" applyFill="1" applyBorder="1"/>
    <xf numFmtId="179" fontId="0" fillId="2" borderId="19" xfId="0" applyNumberFormat="1" applyFill="1" applyBorder="1"/>
    <xf numFmtId="174" fontId="0" fillId="2" borderId="20" xfId="1" applyNumberFormat="1" applyFont="1" applyFill="1" applyBorder="1"/>
    <xf numFmtId="0" fontId="25" fillId="4" borderId="0" xfId="0" applyFont="1" applyFill="1"/>
    <xf numFmtId="174" fontId="25" fillId="4" borderId="0" xfId="1" applyNumberFormat="1" applyFont="1" applyFill="1"/>
    <xf numFmtId="49" fontId="0" fillId="4" borderId="0" xfId="0" applyNumberFormat="1" applyFill="1"/>
    <xf numFmtId="0" fontId="26" fillId="4" borderId="0" xfId="0" applyFont="1" applyFill="1"/>
    <xf numFmtId="180" fontId="0" fillId="4" borderId="0" xfId="0" applyNumberFormat="1" applyFill="1"/>
    <xf numFmtId="14" fontId="0" fillId="4" borderId="0" xfId="0" applyNumberFormat="1" applyFill="1"/>
    <xf numFmtId="181" fontId="0" fillId="4" borderId="0" xfId="0" applyNumberFormat="1" applyFill="1"/>
    <xf numFmtId="181" fontId="2" fillId="4" borderId="0" xfId="0" applyNumberFormat="1" applyFont="1" applyFill="1"/>
    <xf numFmtId="174" fontId="11" fillId="4" borderId="0" xfId="1" applyNumberFormat="1" applyFont="1" applyFill="1"/>
    <xf numFmtId="164" fontId="0" fillId="4" borderId="0" xfId="3" applyNumberFormat="1" applyFont="1" applyFill="1"/>
    <xf numFmtId="0" fontId="27" fillId="9" borderId="0" xfId="0" applyFont="1" applyFill="1"/>
    <xf numFmtId="0" fontId="28" fillId="9" borderId="0" xfId="0" applyFont="1" applyFill="1"/>
    <xf numFmtId="179" fontId="28" fillId="9" borderId="0" xfId="0" applyNumberFormat="1" applyFont="1" applyFill="1"/>
    <xf numFmtId="173" fontId="28" fillId="9" borderId="0" xfId="0" applyNumberFormat="1" applyFont="1" applyFill="1"/>
    <xf numFmtId="0" fontId="19" fillId="10" borderId="0" xfId="0" applyFont="1" applyFill="1" applyAlignment="1">
      <alignment horizontal="center" vertical="center" wrapText="1"/>
    </xf>
    <xf numFmtId="179" fontId="28" fillId="9" borderId="19" xfId="0" applyNumberFormat="1" applyFont="1" applyFill="1" applyBorder="1"/>
    <xf numFmtId="0" fontId="28" fillId="9" borderId="20" xfId="0" applyFont="1" applyFill="1" applyBorder="1"/>
    <xf numFmtId="10" fontId="28" fillId="9" borderId="20" xfId="0" applyNumberFormat="1" applyFont="1" applyFill="1" applyBorder="1"/>
    <xf numFmtId="168" fontId="28" fillId="9" borderId="20" xfId="0" applyNumberFormat="1" applyFont="1" applyFill="1" applyBorder="1"/>
    <xf numFmtId="174" fontId="28" fillId="9" borderId="20" xfId="0" applyNumberFormat="1" applyFont="1" applyFill="1" applyBorder="1"/>
    <xf numFmtId="0" fontId="28" fillId="9" borderId="19" xfId="0" applyFont="1" applyFill="1" applyBorder="1"/>
    <xf numFmtId="10" fontId="28" fillId="9" borderId="19" xfId="0" applyNumberFormat="1" applyFont="1" applyFill="1" applyBorder="1"/>
    <xf numFmtId="168" fontId="28" fillId="9" borderId="19" xfId="0" applyNumberFormat="1" applyFont="1" applyFill="1" applyBorder="1"/>
    <xf numFmtId="174" fontId="28" fillId="9" borderId="19" xfId="0" applyNumberFormat="1" applyFont="1" applyFill="1" applyBorder="1"/>
    <xf numFmtId="174" fontId="28" fillId="9" borderId="0" xfId="0" applyNumberFormat="1" applyFont="1" applyFill="1"/>
    <xf numFmtId="49" fontId="28" fillId="9" borderId="0" xfId="0" applyNumberFormat="1" applyFont="1" applyFill="1"/>
    <xf numFmtId="0" fontId="29" fillId="9" borderId="0" xfId="0" applyFont="1" applyFill="1"/>
    <xf numFmtId="180" fontId="29" fillId="9" borderId="0" xfId="0" applyNumberFormat="1" applyFont="1" applyFill="1"/>
    <xf numFmtId="49" fontId="29" fillId="9" borderId="0" xfId="0" applyNumberFormat="1" applyFont="1" applyFill="1"/>
    <xf numFmtId="173" fontId="29" fillId="9" borderId="0" xfId="0" applyNumberFormat="1" applyFont="1" applyFill="1"/>
    <xf numFmtId="164" fontId="29" fillId="9" borderId="0" xfId="0" applyNumberFormat="1" applyFont="1" applyFill="1"/>
    <xf numFmtId="10" fontId="28" fillId="9" borderId="0" xfId="0" applyNumberFormat="1" applyFont="1" applyFill="1"/>
    <xf numFmtId="10" fontId="0" fillId="4" borderId="0" xfId="3" applyNumberFormat="1" applyFont="1" applyFill="1"/>
    <xf numFmtId="179" fontId="0" fillId="11" borderId="20" xfId="0" applyNumberFormat="1" applyFill="1" applyBorder="1"/>
    <xf numFmtId="43" fontId="0" fillId="11" borderId="20" xfId="1" applyFont="1" applyFill="1" applyBorder="1"/>
    <xf numFmtId="174" fontId="25" fillId="4" borderId="14" xfId="1" applyNumberFormat="1" applyFont="1" applyFill="1" applyBorder="1"/>
    <xf numFmtId="174" fontId="25" fillId="2" borderId="14" xfId="1" applyNumberFormat="1" applyFont="1" applyFill="1" applyBorder="1"/>
    <xf numFmtId="2" fontId="0" fillId="4" borderId="0" xfId="0" applyNumberFormat="1" applyFill="1"/>
    <xf numFmtId="43" fontId="0" fillId="4" borderId="0" xfId="0" applyNumberFormat="1" applyFill="1"/>
    <xf numFmtId="182" fontId="0" fillId="4" borderId="0" xfId="0" applyNumberFormat="1" applyFill="1"/>
    <xf numFmtId="0" fontId="16" fillId="12" borderId="22" xfId="0" applyFont="1" applyFill="1" applyBorder="1" applyAlignment="1">
      <alignment horizontal="center"/>
    </xf>
    <xf numFmtId="0" fontId="16" fillId="12" borderId="23" xfId="0" applyFont="1" applyFill="1" applyBorder="1" applyAlignment="1">
      <alignment horizontal="center"/>
    </xf>
    <xf numFmtId="0" fontId="16" fillId="12" borderId="24" xfId="0" applyFont="1" applyFill="1" applyBorder="1" applyAlignment="1">
      <alignment horizontal="center"/>
    </xf>
    <xf numFmtId="0" fontId="16" fillId="12" borderId="25" xfId="0" applyFont="1" applyFill="1" applyBorder="1" applyAlignment="1">
      <alignment horizontal="center"/>
    </xf>
    <xf numFmtId="9" fontId="16" fillId="12" borderId="25" xfId="3" applyFont="1" applyFill="1" applyBorder="1" applyAlignment="1">
      <alignment horizontal="center"/>
    </xf>
    <xf numFmtId="0" fontId="16" fillId="12" borderId="26" xfId="0" applyFont="1" applyFill="1" applyBorder="1" applyAlignment="1">
      <alignment horizontal="center"/>
    </xf>
    <xf numFmtId="179" fontId="12" fillId="4" borderId="27" xfId="0" applyNumberFormat="1" applyFont="1" applyFill="1" applyBorder="1"/>
    <xf numFmtId="179" fontId="12" fillId="4" borderId="28" xfId="0" applyNumberFormat="1" applyFont="1" applyFill="1" applyBorder="1"/>
    <xf numFmtId="0" fontId="16" fillId="12" borderId="29" xfId="0" applyFont="1" applyFill="1" applyBorder="1" applyAlignment="1">
      <alignment horizontal="center"/>
    </xf>
    <xf numFmtId="2" fontId="16" fillId="12" borderId="29" xfId="0" applyNumberFormat="1" applyFont="1" applyFill="1" applyBorder="1" applyAlignment="1">
      <alignment horizontal="center"/>
    </xf>
    <xf numFmtId="2" fontId="16" fillId="12" borderId="30" xfId="0" applyNumberFormat="1" applyFont="1" applyFill="1" applyBorder="1" applyAlignment="1">
      <alignment horizontal="center"/>
    </xf>
    <xf numFmtId="0" fontId="12" fillId="4" borderId="0" xfId="0" applyFont="1" applyFill="1"/>
    <xf numFmtId="0" fontId="0" fillId="4" borderId="19" xfId="0" applyFill="1" applyBorder="1"/>
    <xf numFmtId="179" fontId="25" fillId="4" borderId="31" xfId="0" applyNumberFormat="1" applyFont="1" applyFill="1" applyBorder="1"/>
    <xf numFmtId="4" fontId="0" fillId="4" borderId="19" xfId="0" applyNumberFormat="1" applyFill="1" applyBorder="1"/>
    <xf numFmtId="43" fontId="0" fillId="4" borderId="19" xfId="1" applyFont="1" applyFill="1" applyBorder="1"/>
    <xf numFmtId="183" fontId="0" fillId="4" borderId="20" xfId="1" applyNumberFormat="1" applyFont="1" applyFill="1" applyBorder="1"/>
    <xf numFmtId="184" fontId="0" fillId="13" borderId="32" xfId="0" applyNumberFormat="1" applyFill="1" applyBorder="1"/>
    <xf numFmtId="179" fontId="12" fillId="4" borderId="33" xfId="0" applyNumberFormat="1" applyFont="1" applyFill="1" applyBorder="1"/>
    <xf numFmtId="179" fontId="12" fillId="4" borderId="34" xfId="0" applyNumberFormat="1" applyFont="1" applyFill="1" applyBorder="1"/>
    <xf numFmtId="179" fontId="12" fillId="4" borderId="35" xfId="0" applyNumberFormat="1" applyFont="1" applyFill="1" applyBorder="1"/>
    <xf numFmtId="10" fontId="0" fillId="4" borderId="36" xfId="3" applyNumberFormat="1" applyFont="1" applyFill="1" applyBorder="1"/>
    <xf numFmtId="0" fontId="12" fillId="4" borderId="37" xfId="0" applyFont="1" applyFill="1" applyBorder="1"/>
    <xf numFmtId="0" fontId="12" fillId="4" borderId="27" xfId="0" applyFont="1" applyFill="1" applyBorder="1" applyAlignment="1">
      <alignment horizontal="center"/>
    </xf>
    <xf numFmtId="0" fontId="12" fillId="4" borderId="28" xfId="0" applyFont="1" applyFill="1" applyBorder="1"/>
    <xf numFmtId="4" fontId="12" fillId="4" borderId="40" xfId="0" applyNumberFormat="1" applyFont="1" applyFill="1" applyBorder="1"/>
    <xf numFmtId="176" fontId="30" fillId="14" borderId="41" xfId="3" applyNumberFormat="1" applyFont="1" applyFill="1" applyBorder="1" applyAlignment="1">
      <alignment horizontal="center"/>
    </xf>
    <xf numFmtId="4" fontId="0" fillId="13" borderId="42" xfId="0" applyNumberFormat="1" applyFill="1" applyBorder="1"/>
    <xf numFmtId="2" fontId="0" fillId="13" borderId="43" xfId="0" applyNumberFormat="1" applyFill="1" applyBorder="1"/>
    <xf numFmtId="10" fontId="12" fillId="4" borderId="27" xfId="0" applyNumberFormat="1" applyFont="1" applyFill="1" applyBorder="1"/>
    <xf numFmtId="4" fontId="12" fillId="4" borderId="44" xfId="0" applyNumberFormat="1" applyFont="1" applyFill="1" applyBorder="1"/>
    <xf numFmtId="0" fontId="31" fillId="12" borderId="45" xfId="0" applyFont="1" applyFill="1" applyBorder="1" applyAlignment="1">
      <alignment horizontal="center"/>
    </xf>
    <xf numFmtId="0" fontId="31" fillId="12" borderId="45" xfId="0" applyFont="1" applyFill="1" applyBorder="1"/>
    <xf numFmtId="10" fontId="31" fillId="12" borderId="45" xfId="3" applyNumberFormat="1" applyFont="1" applyFill="1" applyBorder="1" applyAlignment="1">
      <alignment horizontal="center"/>
    </xf>
    <xf numFmtId="185" fontId="31" fillId="12" borderId="45" xfId="0" applyNumberFormat="1" applyFont="1" applyFill="1" applyBorder="1" applyAlignment="1">
      <alignment horizontal="center"/>
    </xf>
    <xf numFmtId="179" fontId="25" fillId="4" borderId="46" xfId="0" applyNumberFormat="1" applyFont="1" applyFill="1" applyBorder="1"/>
    <xf numFmtId="4" fontId="0" fillId="4" borderId="20" xfId="0" applyNumberFormat="1" applyFill="1" applyBorder="1"/>
    <xf numFmtId="186" fontId="12" fillId="4" borderId="4" xfId="0" applyNumberFormat="1" applyFont="1" applyFill="1" applyBorder="1"/>
    <xf numFmtId="186" fontId="12" fillId="4" borderId="14" xfId="0" applyNumberFormat="1" applyFont="1" applyFill="1" applyBorder="1"/>
    <xf numFmtId="187" fontId="0" fillId="13" borderId="47" xfId="0" applyNumberFormat="1" applyFill="1" applyBorder="1"/>
    <xf numFmtId="0" fontId="12" fillId="4" borderId="48" xfId="0" applyFont="1" applyFill="1" applyBorder="1"/>
    <xf numFmtId="0" fontId="0" fillId="3" borderId="0" xfId="0" applyFill="1"/>
    <xf numFmtId="0" fontId="25" fillId="3" borderId="0" xfId="0" applyFont="1" applyFill="1" applyAlignment="1">
      <alignment horizontal="center"/>
    </xf>
    <xf numFmtId="0" fontId="25" fillId="3" borderId="0" xfId="0" applyFont="1" applyFill="1"/>
    <xf numFmtId="9" fontId="0" fillId="4" borderId="0" xfId="0" applyNumberFormat="1" applyFill="1"/>
    <xf numFmtId="172" fontId="0" fillId="4" borderId="0" xfId="1" applyNumberFormat="1" applyFont="1" applyFill="1"/>
    <xf numFmtId="9" fontId="25" fillId="3" borderId="0" xfId="0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8" fontId="0" fillId="4" borderId="0" xfId="0" applyNumberFormat="1" applyFill="1"/>
    <xf numFmtId="172" fontId="0" fillId="4" borderId="0" xfId="0" applyNumberFormat="1" applyFill="1"/>
    <xf numFmtId="8" fontId="0" fillId="0" borderId="0" xfId="0" applyNumberFormat="1"/>
    <xf numFmtId="188" fontId="0" fillId="0" borderId="0" xfId="0" applyNumberFormat="1"/>
    <xf numFmtId="43" fontId="0" fillId="4" borderId="0" xfId="1" applyFont="1" applyFill="1"/>
    <xf numFmtId="0" fontId="15" fillId="4" borderId="0" xfId="0" applyFont="1" applyFill="1"/>
    <xf numFmtId="2" fontId="0" fillId="4" borderId="0" xfId="0" applyNumberFormat="1" applyFill="1" applyAlignment="1">
      <alignment horizontal="center" vertical="center" wrapText="1"/>
    </xf>
    <xf numFmtId="2" fontId="19" fillId="3" borderId="3" xfId="0" applyNumberFormat="1" applyFont="1" applyFill="1" applyBorder="1" applyAlignment="1">
      <alignment horizontal="center" vertical="center" wrapText="1"/>
    </xf>
    <xf numFmtId="2" fontId="8" fillId="4" borderId="0" xfId="0" applyNumberFormat="1" applyFont="1" applyFill="1" applyAlignment="1">
      <alignment horizontal="center" vertical="center" wrapText="1"/>
    </xf>
    <xf numFmtId="43" fontId="19" fillId="3" borderId="3" xfId="1" applyFont="1" applyFill="1" applyBorder="1" applyAlignment="1">
      <alignment horizontal="center" vertical="center" wrapText="1"/>
    </xf>
    <xf numFmtId="168" fontId="0" fillId="4" borderId="0" xfId="0" applyNumberFormat="1" applyFill="1"/>
    <xf numFmtId="168" fontId="25" fillId="4" borderId="0" xfId="0" applyNumberFormat="1" applyFont="1" applyFill="1"/>
    <xf numFmtId="165" fontId="0" fillId="4" borderId="0" xfId="3" applyNumberFormat="1" applyFont="1" applyFill="1"/>
    <xf numFmtId="174" fontId="0" fillId="4" borderId="0" xfId="1" applyNumberFormat="1" applyFont="1" applyFill="1" applyBorder="1"/>
    <xf numFmtId="9" fontId="0" fillId="4" borderId="0" xfId="3" applyFont="1" applyFill="1"/>
    <xf numFmtId="174" fontId="25" fillId="4" borderId="0" xfId="1" applyNumberFormat="1" applyFont="1" applyFill="1" applyBorder="1"/>
    <xf numFmtId="0" fontId="2" fillId="2" borderId="0" xfId="0" applyFont="1" applyFill="1"/>
    <xf numFmtId="9" fontId="0" fillId="0" borderId="0" xfId="3" applyFont="1"/>
    <xf numFmtId="44" fontId="0" fillId="0" borderId="0" xfId="0" applyNumberFormat="1"/>
    <xf numFmtId="44" fontId="23" fillId="0" borderId="0" xfId="0" applyNumberFormat="1" applyFont="1"/>
    <xf numFmtId="20" fontId="0" fillId="0" borderId="0" xfId="0" applyNumberFormat="1"/>
    <xf numFmtId="49" fontId="15" fillId="3" borderId="1" xfId="0" applyNumberFormat="1" applyFont="1" applyFill="1" applyBorder="1" applyAlignment="1">
      <alignment horizontal="center" vertical="center"/>
    </xf>
    <xf numFmtId="43" fontId="0" fillId="17" borderId="0" xfId="1" applyFont="1" applyFill="1" applyAlignment="1">
      <alignment vertical="center"/>
    </xf>
    <xf numFmtId="43" fontId="0" fillId="18" borderId="0" xfId="1" applyFont="1" applyFill="1" applyAlignment="1">
      <alignment vertical="center"/>
    </xf>
    <xf numFmtId="43" fontId="0" fillId="16" borderId="0" xfId="1" applyFont="1" applyFill="1" applyAlignment="1">
      <alignment vertical="center"/>
    </xf>
    <xf numFmtId="43" fontId="0" fillId="2" borderId="0" xfId="1" applyFont="1" applyFill="1" applyAlignment="1">
      <alignment vertical="center"/>
    </xf>
    <xf numFmtId="43" fontId="25" fillId="0" borderId="0" xfId="1" applyFont="1"/>
    <xf numFmtId="43" fontId="0" fillId="19" borderId="0" xfId="1" applyFont="1" applyFill="1" applyAlignment="1">
      <alignment vertical="center"/>
    </xf>
    <xf numFmtId="14" fontId="0" fillId="20" borderId="0" xfId="0" applyNumberFormat="1" applyFill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32" fillId="20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left" vertical="center" indent="3"/>
    </xf>
    <xf numFmtId="0" fontId="34" fillId="0" borderId="0" xfId="0" applyFont="1" applyAlignment="1">
      <alignment horizontal="left" vertical="center" wrapText="1" indent="1"/>
    </xf>
    <xf numFmtId="0" fontId="36" fillId="20" borderId="0" xfId="0" applyFont="1" applyFill="1" applyAlignment="1">
      <alignment horizontal="left" vertical="center" wrapText="1"/>
    </xf>
    <xf numFmtId="191" fontId="0" fillId="0" borderId="0" xfId="0" applyNumberFormat="1"/>
    <xf numFmtId="49" fontId="4" fillId="3" borderId="1" xfId="0" applyNumberFormat="1" applyFont="1" applyFill="1" applyBorder="1" applyAlignment="1">
      <alignment horizontal="center" vertical="center" wrapText="1"/>
    </xf>
    <xf numFmtId="168" fontId="12" fillId="3" borderId="6" xfId="0" applyNumberFormat="1" applyFont="1" applyFill="1" applyBorder="1" applyAlignment="1">
      <alignment horizontal="center" vertical="center" wrapText="1"/>
    </xf>
    <xf numFmtId="168" fontId="12" fillId="3" borderId="0" xfId="0" applyNumberFormat="1" applyFont="1" applyFill="1" applyAlignment="1">
      <alignment horizontal="center" vertical="center" wrapText="1"/>
    </xf>
    <xf numFmtId="168" fontId="12" fillId="3" borderId="3" xfId="0" applyNumberFormat="1" applyFont="1" applyFill="1" applyBorder="1" applyAlignment="1">
      <alignment horizontal="center" vertical="center" wrapText="1"/>
    </xf>
    <xf numFmtId="168" fontId="12" fillId="15" borderId="6" xfId="0" applyNumberFormat="1" applyFont="1" applyFill="1" applyBorder="1" applyAlignment="1">
      <alignment horizontal="center" vertical="center" wrapText="1"/>
    </xf>
    <xf numFmtId="168" fontId="12" fillId="15" borderId="0" xfId="0" applyNumberFormat="1" applyFont="1" applyFill="1" applyAlignment="1">
      <alignment horizontal="center" vertical="center" wrapText="1"/>
    </xf>
    <xf numFmtId="168" fontId="12" fillId="15" borderId="49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left" vertical="center" wrapText="1"/>
    </xf>
    <xf numFmtId="49" fontId="4" fillId="3" borderId="1" xfId="0" applyNumberFormat="1" applyFont="1" applyFill="1" applyBorder="1" applyAlignment="1">
      <alignment horizontal="left" vertical="center"/>
    </xf>
    <xf numFmtId="177" fontId="18" fillId="6" borderId="10" xfId="0" applyNumberFormat="1" applyFont="1" applyFill="1" applyBorder="1" applyAlignment="1">
      <alignment horizontal="center"/>
    </xf>
    <xf numFmtId="177" fontId="18" fillId="6" borderId="11" xfId="0" applyNumberFormat="1" applyFont="1" applyFill="1" applyBorder="1" applyAlignment="1">
      <alignment horizontal="center"/>
    </xf>
    <xf numFmtId="0" fontId="18" fillId="6" borderId="0" xfId="0" applyFont="1" applyFill="1" applyAlignment="1">
      <alignment horizontal="center"/>
    </xf>
    <xf numFmtId="0" fontId="18" fillId="6" borderId="13" xfId="0" applyFont="1" applyFill="1" applyBorder="1" applyAlignment="1">
      <alignment horizontal="center"/>
    </xf>
    <xf numFmtId="0" fontId="19" fillId="6" borderId="16" xfId="0" applyFont="1" applyFill="1" applyBorder="1" applyAlignment="1">
      <alignment horizontal="center" vertical="center" textRotation="90"/>
    </xf>
    <xf numFmtId="0" fontId="19" fillId="6" borderId="17" xfId="0" applyFont="1" applyFill="1" applyBorder="1" applyAlignment="1">
      <alignment horizontal="center" vertical="center" textRotation="90"/>
    </xf>
    <xf numFmtId="0" fontId="16" fillId="12" borderId="24" xfId="0" applyFont="1" applyFill="1" applyBorder="1" applyAlignment="1">
      <alignment horizontal="center"/>
    </xf>
    <xf numFmtId="0" fontId="16" fillId="12" borderId="26" xfId="0" applyFont="1" applyFill="1" applyBorder="1" applyAlignment="1">
      <alignment horizontal="center"/>
    </xf>
    <xf numFmtId="0" fontId="16" fillId="12" borderId="21" xfId="0" applyFont="1" applyFill="1" applyBorder="1" applyAlignment="1">
      <alignment horizontal="center"/>
    </xf>
    <xf numFmtId="0" fontId="16" fillId="12" borderId="22" xfId="0" applyFont="1" applyFill="1" applyBorder="1" applyAlignment="1">
      <alignment horizontal="center"/>
    </xf>
    <xf numFmtId="0" fontId="16" fillId="12" borderId="23" xfId="0" applyFont="1" applyFill="1" applyBorder="1" applyAlignment="1">
      <alignment horizontal="center"/>
    </xf>
    <xf numFmtId="0" fontId="31" fillId="12" borderId="45" xfId="0" applyFont="1" applyFill="1" applyBorder="1" applyAlignment="1">
      <alignment horizontal="center"/>
    </xf>
    <xf numFmtId="0" fontId="31" fillId="12" borderId="25" xfId="0" applyFont="1" applyFill="1" applyBorder="1" applyAlignment="1">
      <alignment horizontal="center"/>
    </xf>
    <xf numFmtId="10" fontId="12" fillId="4" borderId="38" xfId="0" applyNumberFormat="1" applyFont="1" applyFill="1" applyBorder="1" applyAlignment="1">
      <alignment horizontal="center"/>
    </xf>
    <xf numFmtId="10" fontId="12" fillId="4" borderId="39" xfId="0" applyNumberFormat="1" applyFont="1" applyFill="1" applyBorder="1" applyAlignment="1">
      <alignment horizontal="center"/>
    </xf>
    <xf numFmtId="2" fontId="19" fillId="3" borderId="3" xfId="0" applyNumberFormat="1" applyFont="1" applyFill="1" applyBorder="1" applyAlignment="1">
      <alignment horizontal="center" vertical="center" wrapText="1"/>
    </xf>
    <xf numFmtId="43" fontId="22" fillId="0" borderId="0" xfId="1" applyFont="1"/>
    <xf numFmtId="43" fontId="2" fillId="16" borderId="0" xfId="1" applyFont="1" applyFill="1" applyAlignment="1">
      <alignment horizontal="center"/>
    </xf>
    <xf numFmtId="43" fontId="2" fillId="17" borderId="0" xfId="1" applyFont="1" applyFill="1" applyAlignment="1">
      <alignment horizontal="center"/>
    </xf>
    <xf numFmtId="43" fontId="2" fillId="18" borderId="0" xfId="1" applyFont="1" applyFill="1" applyAlignment="1">
      <alignment horizontal="center"/>
    </xf>
    <xf numFmtId="43" fontId="2" fillId="2" borderId="0" xfId="1" applyFont="1" applyFill="1" applyAlignment="1">
      <alignment horizontal="center"/>
    </xf>
    <xf numFmtId="43" fontId="0" fillId="0" borderId="0" xfId="1" applyFont="1" applyAlignment="1">
      <alignment vertical="center"/>
    </xf>
    <xf numFmtId="43" fontId="0" fillId="0" borderId="0" xfId="1" applyFont="1" applyAlignment="1">
      <alignment wrapText="1"/>
    </xf>
    <xf numFmtId="43" fontId="0" fillId="0" borderId="0" xfId="1" applyFont="1" applyAlignment="1">
      <alignment horizontal="center" vertical="center" wrapText="1"/>
    </xf>
    <xf numFmtId="43" fontId="0" fillId="16" borderId="0" xfId="1" applyFont="1" applyFill="1" applyAlignment="1">
      <alignment vertical="center" wrapText="1"/>
    </xf>
    <xf numFmtId="43" fontId="0" fillId="17" borderId="0" xfId="1" applyFont="1" applyFill="1" applyAlignment="1">
      <alignment vertical="center" wrapText="1"/>
    </xf>
    <xf numFmtId="43" fontId="0" fillId="18" borderId="0" xfId="1" applyFont="1" applyFill="1" applyAlignment="1">
      <alignment vertical="center" wrapText="1"/>
    </xf>
    <xf numFmtId="43" fontId="0" fillId="2" borderId="0" xfId="1" applyFont="1" applyFill="1" applyAlignment="1">
      <alignment vertical="center" wrapText="1"/>
    </xf>
    <xf numFmtId="43" fontId="2" fillId="16" borderId="0" xfId="1" applyFont="1" applyFill="1" applyAlignment="1">
      <alignment vertical="center"/>
    </xf>
    <xf numFmtId="43" fontId="25" fillId="0" borderId="3" xfId="1" applyFont="1" applyBorder="1" applyAlignment="1">
      <alignment horizontal="center"/>
    </xf>
    <xf numFmtId="43" fontId="25" fillId="0" borderId="0" xfId="1" applyFont="1" applyAlignment="1">
      <alignment horizontal="center"/>
    </xf>
    <xf numFmtId="43" fontId="25" fillId="0" borderId="3" xfId="1" applyFont="1" applyBorder="1"/>
    <xf numFmtId="43" fontId="0" fillId="19" borderId="0" xfId="1" applyFont="1" applyFill="1"/>
    <xf numFmtId="43" fontId="0" fillId="0" borderId="0" xfId="1" applyFont="1" applyAlignment="1"/>
    <xf numFmtId="43" fontId="0" fillId="0" borderId="0" xfId="1" applyFont="1" applyAlignment="1">
      <alignment horizontal="center"/>
    </xf>
    <xf numFmtId="193" fontId="0" fillId="0" borderId="0" xfId="1" applyNumberFormat="1" applyFont="1"/>
    <xf numFmtId="194" fontId="0" fillId="0" borderId="0" xfId="1" applyNumberFormat="1" applyFont="1"/>
    <xf numFmtId="165" fontId="0" fillId="0" borderId="0" xfId="1" applyNumberFormat="1" applyFont="1"/>
    <xf numFmtId="196" fontId="0" fillId="0" borderId="0" xfId="1" applyNumberFormat="1" applyFont="1"/>
    <xf numFmtId="0" fontId="37" fillId="0" borderId="0" xfId="0" applyFont="1" applyAlignment="1">
      <alignment vertical="center"/>
    </xf>
    <xf numFmtId="165" fontId="0" fillId="0" borderId="0" xfId="0" applyNumberFormat="1"/>
    <xf numFmtId="197" fontId="0" fillId="0" borderId="0" xfId="1" applyNumberFormat="1" applyFont="1"/>
    <xf numFmtId="2" fontId="0" fillId="0" borderId="0" xfId="1" applyNumberFormat="1" applyFont="1"/>
    <xf numFmtId="43" fontId="0" fillId="0" borderId="0" xfId="0" applyNumberFormat="1"/>
    <xf numFmtId="14" fontId="0" fillId="0" borderId="0" xfId="1" applyNumberFormat="1" applyFont="1"/>
    <xf numFmtId="200" fontId="0" fillId="0" borderId="0" xfId="1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R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B_01_C4_VAL!$K$35</c:f>
              <c:strCache>
                <c:ptCount val="1"/>
                <c:pt idx="0">
                  <c:v>VAN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B_01_C4_VAL!$H$36:$H$52</c:f>
              <c:numCache>
                <c:formatCode>0%</c:formatCode>
                <c:ptCount val="17"/>
                <c:pt idx="0" formatCode="General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</c:numCache>
            </c:numRef>
          </c:xVal>
          <c:yVal>
            <c:numRef>
              <c:f>B_01_C4_VAL!$K$36:$K$52</c:f>
              <c:numCache>
                <c:formatCode>"$"#,##0.00_);[Red]\("$"#,##0.00\)</c:formatCode>
                <c:ptCount val="17"/>
                <c:pt idx="0">
                  <c:v>600</c:v>
                </c:pt>
                <c:pt idx="1">
                  <c:v>514.77516627653199</c:v>
                </c:pt>
                <c:pt idx="2">
                  <c:v>436.62740720247211</c:v>
                </c:pt>
                <c:pt idx="3">
                  <c:v>364.90153905232273</c:v>
                </c:pt>
                <c:pt idx="4">
                  <c:v>299.00882687574392</c:v>
                </c:pt>
                <c:pt idx="5">
                  <c:v>238.4196810143435</c:v>
                </c:pt>
                <c:pt idx="6">
                  <c:v>182.65721661606551</c:v>
                </c:pt>
                <c:pt idx="7">
                  <c:v>131.29156722038192</c:v>
                </c:pt>
                <c:pt idx="8">
                  <c:v>83.934858095108325</c:v>
                </c:pt>
                <c:pt idx="9">
                  <c:v>40.236757541443694</c:v>
                </c:pt>
                <c:pt idx="10">
                  <c:v>-0.11946484270015389</c:v>
                </c:pt>
                <c:pt idx="11">
                  <c:v>-37.420434678801598</c:v>
                </c:pt>
                <c:pt idx="12">
                  <c:v>-71.925777849665678</c:v>
                </c:pt>
                <c:pt idx="13">
                  <c:v>-103.87088091664452</c:v>
                </c:pt>
                <c:pt idx="14">
                  <c:v>-133.46934780116072</c:v>
                </c:pt>
                <c:pt idx="15">
                  <c:v>-160.91518846152701</c:v>
                </c:pt>
                <c:pt idx="16">
                  <c:v>-186.38477082667055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6A-9D48-9170-10A3B9417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224440"/>
        <c:axId val="474217384"/>
      </c:scatterChart>
      <c:valAx>
        <c:axId val="474224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474217384"/>
        <c:crosses val="autoZero"/>
        <c:crossBetween val="midCat"/>
      </c:valAx>
      <c:valAx>
        <c:axId val="47421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47422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B_01_C4_VAL!$H$86:$H$102</c:f>
              <c:numCache>
                <c:formatCode>0%</c:formatCode>
                <c:ptCount val="17"/>
                <c:pt idx="0" formatCode="General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</c:numCache>
            </c:numRef>
          </c:xVal>
          <c:yVal>
            <c:numRef>
              <c:f>B_01_C4_VAL!$K$86:$K$102</c:f>
              <c:numCache>
                <c:formatCode>"$"#,##0.00_);[Red]\("$"#,##0.00\)</c:formatCode>
                <c:ptCount val="17"/>
                <c:pt idx="0">
                  <c:v>562.5</c:v>
                </c:pt>
                <c:pt idx="1">
                  <c:v>493.85792498109868</c:v>
                </c:pt>
                <c:pt idx="2">
                  <c:v>430.14045363624155</c:v>
                </c:pt>
                <c:pt idx="3">
                  <c:v>370.94140778021278</c:v>
                </c:pt>
                <c:pt idx="4">
                  <c:v>315.89215475251967</c:v>
                </c:pt>
                <c:pt idx="5">
                  <c:v>264.65778190798653</c:v>
                </c:pt>
                <c:pt idx="6">
                  <c:v>216.93369558102631</c:v>
                </c:pt>
                <c:pt idx="7">
                  <c:v>172.4425937097908</c:v>
                </c:pt>
                <c:pt idx="8">
                  <c:v>130.9317678201661</c:v>
                </c:pt>
                <c:pt idx="9">
                  <c:v>92.170695694686174</c:v>
                </c:pt>
                <c:pt idx="10">
                  <c:v>55.948890916257028</c:v>
                </c:pt>
                <c:pt idx="11">
                  <c:v>22.073979689943371</c:v>
                </c:pt>
                <c:pt idx="12">
                  <c:v>-9.6300209996716148</c:v>
                </c:pt>
                <c:pt idx="13">
                  <c:v>-39.324246664224916</c:v>
                </c:pt>
                <c:pt idx="14">
                  <c:v>-67.156370028898664</c:v>
                </c:pt>
                <c:pt idx="15">
                  <c:v>-93.261844796019432</c:v>
                </c:pt>
                <c:pt idx="16">
                  <c:v>-117.76502396356068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47-4946-921A-2D3E64E4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222480"/>
        <c:axId val="474218560"/>
      </c:scatterChart>
      <c:valAx>
        <c:axId val="474222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474218560"/>
        <c:crosses val="autoZero"/>
        <c:crossBetween val="midCat"/>
      </c:valAx>
      <c:valAx>
        <c:axId val="47421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474222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Precio del bono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'[1]BONO EN t'!$B$19:$AF$19</c:f>
              <c:numCache>
                <c:formatCode>General</c:formatCode>
                <c:ptCount val="31"/>
                <c:pt idx="0">
                  <c:v>470.57726002535293</c:v>
                </c:pt>
                <c:pt idx="1">
                  <c:v>471.12491294296831</c:v>
                </c:pt>
                <c:pt idx="2">
                  <c:v>471.77661991493051</c:v>
                </c:pt>
                <c:pt idx="3">
                  <c:v>472.5521512115655</c:v>
                </c:pt>
                <c:pt idx="4">
                  <c:v>473.47503345456113</c:v>
                </c:pt>
                <c:pt idx="5">
                  <c:v>474.57326332372605</c:v>
                </c:pt>
                <c:pt idx="6">
                  <c:v>475.88015686803226</c:v>
                </c:pt>
                <c:pt idx="7">
                  <c:v>477.43536018575656</c:v>
                </c:pt>
                <c:pt idx="8">
                  <c:v>479.28605213384856</c:v>
                </c:pt>
                <c:pt idx="9">
                  <c:v>481.48837555207803</c:v>
                </c:pt>
                <c:pt idx="10">
                  <c:v>484.10914041977105</c:v>
                </c:pt>
                <c:pt idx="11">
                  <c:v>487.22785061232588</c:v>
                </c:pt>
                <c:pt idx="12">
                  <c:v>490.93911574146603</c:v>
                </c:pt>
                <c:pt idx="13">
                  <c:v>495.35552124514277</c:v>
                </c:pt>
                <c:pt idx="14">
                  <c:v>500.61104379451808</c:v>
                </c:pt>
                <c:pt idx="15">
                  <c:v>506.86511562827479</c:v>
                </c:pt>
                <c:pt idx="16">
                  <c:v>514.30746111044516</c:v>
                </c:pt>
                <c:pt idx="17">
                  <c:v>523.1638522342281</c:v>
                </c:pt>
                <c:pt idx="18">
                  <c:v>533.70295767152959</c:v>
                </c:pt>
                <c:pt idx="19">
                  <c:v>546.2444931419185</c:v>
                </c:pt>
                <c:pt idx="20">
                  <c:v>561.16892035168132</c:v>
                </c:pt>
                <c:pt idx="21">
                  <c:v>578.92898873129889</c:v>
                </c:pt>
                <c:pt idx="22">
                  <c:v>600.06347010304398</c:v>
                </c:pt>
                <c:pt idx="23">
                  <c:v>625.21350293542071</c:v>
                </c:pt>
                <c:pt idx="24">
                  <c:v>655.14204200594872</c:v>
                </c:pt>
                <c:pt idx="25">
                  <c:v>690.75700349987721</c:v>
                </c:pt>
                <c:pt idx="26">
                  <c:v>733.13880767765204</c:v>
                </c:pt>
                <c:pt idx="27">
                  <c:v>783.57315464920418</c:v>
                </c:pt>
                <c:pt idx="28">
                  <c:v>843.59002754535129</c:v>
                </c:pt>
                <c:pt idx="29">
                  <c:v>915.01010629176619</c:v>
                </c:pt>
                <c:pt idx="30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8-1A40-8B3C-B7D905A98266}"/>
            </c:ext>
          </c:extLst>
        </c:ser>
        <c:ser>
          <c:idx val="1"/>
          <c:order val="1"/>
          <c:tx>
            <c:strRef>
              <c:f>'[1]BONO EN t'!$A$20</c:f>
              <c:strCache>
                <c:ptCount val="1"/>
                <c:pt idx="0">
                  <c:v>Precio del FV del Bono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'[1]BONO EN t'!$B$20:$AF$20</c:f>
              <c:numCache>
                <c:formatCode>General</c:formatCode>
                <c:ptCount val="31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8-1A40-8B3C-B7D905A98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697632"/>
        <c:axId val="512696064"/>
      </c:scatterChart>
      <c:valAx>
        <c:axId val="51269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512696064"/>
        <c:crosses val="autoZero"/>
        <c:crossBetween val="midCat"/>
      </c:valAx>
      <c:valAx>
        <c:axId val="512696064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51269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Capitalizaciones,</a:t>
            </a:r>
            <a:r>
              <a:rPr lang="es-AR" baseline="0"/>
              <a:t> Actualizaciones y Monto ante cambio e TIR - Horizonte = Duration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[2]DURATION!$M$10</c:f>
              <c:strCache>
                <c:ptCount val="1"/>
                <c:pt idx="0">
                  <c:v>Capital.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F60-8F4E-A900-825EE44B48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[2]DURATION!$M$20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1-1F60-8F4E-A900-825EE44B48BE}"/>
            </c:ext>
          </c:extLst>
        </c:ser>
        <c:ser>
          <c:idx val="1"/>
          <c:order val="1"/>
          <c:tx>
            <c:strRef>
              <c:f>[2]DURATION!$N$10</c:f>
              <c:strCache>
                <c:ptCount val="1"/>
                <c:pt idx="0">
                  <c:v>Actualiz.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F60-8F4E-A900-825EE44B48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[2]DURATION!$N$20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1F60-8F4E-A900-825EE44B48BE}"/>
            </c:ext>
          </c:extLst>
        </c:ser>
        <c:ser>
          <c:idx val="2"/>
          <c:order val="2"/>
          <c:tx>
            <c:strRef>
              <c:f>[2]DURATION!$O$10</c:f>
              <c:strCache>
                <c:ptCount val="1"/>
                <c:pt idx="0">
                  <c:v>Monto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F60-8F4E-A900-825EE44B48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[2]DURATION!$O$20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5-1F60-8F4E-A900-825EE44B4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394440"/>
        <c:axId val="137395224"/>
      </c:barChart>
      <c:catAx>
        <c:axId val="13739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137395224"/>
        <c:crosses val="autoZero"/>
        <c:auto val="1"/>
        <c:lblAlgn val="ctr"/>
        <c:lblOffset val="100"/>
        <c:noMultiLvlLbl val="0"/>
      </c:catAx>
      <c:valAx>
        <c:axId val="137395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137394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Valor en Duration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[2]DURATION!$Y$12:$Y$31</c:f>
              <c:numCache>
                <c:formatCode>General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</c:numCache>
            </c:numRef>
          </c:xVal>
          <c:yVal>
            <c:numRef>
              <c:f>[2]DURATION!$AB$12:$AB$31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35-D046-8770-308E1AB33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417968"/>
        <c:axId val="137392088"/>
      </c:scatterChart>
      <c:valAx>
        <c:axId val="50541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137392088"/>
        <c:crosses val="autoZero"/>
        <c:crossBetween val="midCat"/>
      </c:valAx>
      <c:valAx>
        <c:axId val="137392088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50541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Capitalizaciones,</a:t>
            </a:r>
            <a:r>
              <a:rPr lang="es-AR" baseline="0"/>
              <a:t> Actualizaciones y Monto ante cambio e TIR - Horizonte = Duration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BR_02_C8_PPV_IM!$L$15</c:f>
              <c:numCache>
                <c:formatCode>_(* #,##0.00_);_(* \(#,##0.00\);_(* "-"??_);_(@_)</c:formatCode>
                <c:ptCount val="1"/>
                <c:pt idx="0">
                  <c:v>56.248763029452711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0D-4A4A-963A-FDE6549C9C1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BR_02_C8_PPV_IM!$M$15</c:f>
              <c:numCache>
                <c:formatCode>_(* #,##0.00_);_(* \(#,##0.00\);_(* "-"??_);_(@_)</c:formatCode>
                <c:ptCount val="1"/>
                <c:pt idx="0">
                  <c:v>93.900885710080516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0D-4A4A-963A-FDE6549C9C1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BR_02_C8_PPV_IM!$N$15</c:f>
              <c:numCache>
                <c:formatCode>General</c:formatCode>
                <c:ptCount val="1"/>
                <c:pt idx="0">
                  <c:v>150.14964873953323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0D-4A4A-963A-FDE6549C9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394440"/>
        <c:axId val="137395224"/>
      </c:barChart>
      <c:catAx>
        <c:axId val="13739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137395224"/>
        <c:crosses val="autoZero"/>
        <c:auto val="1"/>
        <c:lblAlgn val="ctr"/>
        <c:lblOffset val="100"/>
        <c:noMultiLvlLbl val="0"/>
      </c:catAx>
      <c:valAx>
        <c:axId val="137395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137394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Valor en Duration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[2]DURATION!$Y$12:$Y$31</c:f>
              <c:numCache>
                <c:formatCode>General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</c:numCache>
            </c:numRef>
          </c:xVal>
          <c:yVal>
            <c:numRef>
              <c:f>[2]DURATION!$AB$12:$AB$31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7E-B449-9AC3-42B533306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417968"/>
        <c:axId val="137392088"/>
      </c:scatterChart>
      <c:valAx>
        <c:axId val="50541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137392088"/>
        <c:crosses val="autoZero"/>
        <c:crossBetween val="midCat"/>
      </c:valAx>
      <c:valAx>
        <c:axId val="137392088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50541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15" fmlaLink="D6" max="30000" page="10" val="20"/>
</file>

<file path=xl/ctrlProps/ctrlProp2.xml><?xml version="1.0" encoding="utf-8"?>
<formControlPr xmlns="http://schemas.microsoft.com/office/spreadsheetml/2009/9/main" objectType="Spin" dx="15" fmlaLink="D7" max="30000" min="1" page="10" val="2"/>
</file>

<file path=xl/ctrlProps/ctrlProp3.xml><?xml version="1.0" encoding="utf-8"?>
<formControlPr xmlns="http://schemas.microsoft.com/office/spreadsheetml/2009/9/main" objectType="Spin" dx="15" fmlaLink="D8" max="30000" min="1" page="10" val="20"/>
</file>

<file path=xl/ctrlProps/ctrlProp4.xml><?xml version="1.0" encoding="utf-8"?>
<formControlPr xmlns="http://schemas.microsoft.com/office/spreadsheetml/2009/9/main" objectType="Spin" dx="15" fmlaLink="D5" max="30000" page="10" val="16"/>
</file>

<file path=xl/ctrlProps/ctrlProp5.xml><?xml version="1.0" encoding="utf-8"?>
<formControlPr xmlns="http://schemas.microsoft.com/office/spreadsheetml/2009/9/main" objectType="Spin" dx="15" fmlaLink="D4" max="30000" page="10"/>
</file>

<file path=xl/ctrlProps/ctrlProp6.xml><?xml version="1.0" encoding="utf-8"?>
<formControlPr xmlns="http://schemas.microsoft.com/office/spreadsheetml/2009/9/main" objectType="Spin" dx="22" fmlaLink="$N$4" max="100" page="10" val="0"/>
</file>

<file path=xl/ctrlProps/ctrlProp7.xml><?xml version="1.0" encoding="utf-8"?>
<formControlPr xmlns="http://schemas.microsoft.com/office/spreadsheetml/2009/9/main" objectType="Spin" dx="22" fmlaLink="$N$4" max="100" page="10" val="42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ustomXml" Target="../ink/ink3.xml"/><Relationship Id="rId13" Type="http://schemas.openxmlformats.org/officeDocument/2006/relationships/chart" Target="../charts/chart4.xml"/><Relationship Id="rId3" Type="http://schemas.openxmlformats.org/officeDocument/2006/relationships/image" Target="../media/image22.png"/><Relationship Id="rId7" Type="http://schemas.openxmlformats.org/officeDocument/2006/relationships/image" Target="../media/image220.png"/><Relationship Id="rId12" Type="http://schemas.openxmlformats.org/officeDocument/2006/relationships/image" Target="../media/image25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customXml" Target="../ink/ink2.xml"/><Relationship Id="rId11" Type="http://schemas.openxmlformats.org/officeDocument/2006/relationships/image" Target="../media/image24.png"/><Relationship Id="rId5" Type="http://schemas.openxmlformats.org/officeDocument/2006/relationships/image" Target="../media/image210.png"/><Relationship Id="rId15" Type="http://schemas.openxmlformats.org/officeDocument/2006/relationships/image" Target="../media/image26.png"/><Relationship Id="rId10" Type="http://schemas.openxmlformats.org/officeDocument/2006/relationships/customXml" Target="../ink/ink4.xml"/><Relationship Id="rId4" Type="http://schemas.openxmlformats.org/officeDocument/2006/relationships/customXml" Target="../ink/ink1.xml"/><Relationship Id="rId9" Type="http://schemas.openxmlformats.org/officeDocument/2006/relationships/image" Target="../media/image23.png"/><Relationship Id="rId14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ustomXml" Target="../ink/ink5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114586</xdr:colOff>
      <xdr:row>42</xdr:row>
      <xdr:rowOff>143233</xdr:rowOff>
    </xdr:from>
    <xdr:to>
      <xdr:col>5</xdr:col>
      <xdr:colOff>946770</xdr:colOff>
      <xdr:row>48</xdr:row>
      <xdr:rowOff>70375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586" y="8794511"/>
          <a:ext cx="4508500" cy="113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79308</xdr:rowOff>
    </xdr:from>
    <xdr:to>
      <xdr:col>6</xdr:col>
      <xdr:colOff>1336842</xdr:colOff>
      <xdr:row>93</xdr:row>
      <xdr:rowOff>139704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383519"/>
          <a:ext cx="6407293" cy="472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171880</xdr:rowOff>
    </xdr:from>
    <xdr:to>
      <xdr:col>8</xdr:col>
      <xdr:colOff>424477</xdr:colOff>
      <xdr:row>116</xdr:row>
      <xdr:rowOff>192574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310451"/>
          <a:ext cx="7773766" cy="36301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8</xdr:col>
      <xdr:colOff>629920</xdr:colOff>
      <xdr:row>151</xdr:row>
      <xdr:rowOff>65989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" y="27686000"/>
          <a:ext cx="7772400" cy="3520389"/>
        </a:xfrm>
        <a:prstGeom prst="rect">
          <a:avLst/>
        </a:prstGeom>
      </xdr:spPr>
    </xdr:pic>
    <xdr:clientData/>
  </xdr:twoCellAnchor>
  <xdr:twoCellAnchor editAs="oneCell">
    <xdr:from>
      <xdr:col>0</xdr:col>
      <xdr:colOff>229913</xdr:colOff>
      <xdr:row>151</xdr:row>
      <xdr:rowOff>197068</xdr:rowOff>
    </xdr:from>
    <xdr:to>
      <xdr:col>8</xdr:col>
      <xdr:colOff>634123</xdr:colOff>
      <xdr:row>171</xdr:row>
      <xdr:rowOff>42075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913" y="32056551"/>
          <a:ext cx="7772400" cy="4005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141112</xdr:rowOff>
    </xdr:from>
    <xdr:to>
      <xdr:col>8</xdr:col>
      <xdr:colOff>400479</xdr:colOff>
      <xdr:row>187</xdr:row>
      <xdr:rowOff>7147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049186"/>
          <a:ext cx="7804109" cy="3177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87587</xdr:rowOff>
    </xdr:from>
    <xdr:to>
      <xdr:col>8</xdr:col>
      <xdr:colOff>404210</xdr:colOff>
      <xdr:row>229</xdr:row>
      <xdr:rowOff>124510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701811"/>
          <a:ext cx="7772400" cy="3573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50584</xdr:rowOff>
    </xdr:from>
    <xdr:to>
      <xdr:col>8</xdr:col>
      <xdr:colOff>1158130</xdr:colOff>
      <xdr:row>205</xdr:row>
      <xdr:rowOff>162128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366329"/>
          <a:ext cx="8521428" cy="1948991"/>
        </a:xfrm>
        <a:prstGeom prst="rect">
          <a:avLst/>
        </a:prstGeom>
      </xdr:spPr>
    </xdr:pic>
    <xdr:clientData/>
  </xdr:twoCellAnchor>
  <xdr:twoCellAnchor editAs="oneCell">
    <xdr:from>
      <xdr:col>1</xdr:col>
      <xdr:colOff>53878</xdr:colOff>
      <xdr:row>232</xdr:row>
      <xdr:rowOff>53880</xdr:rowOff>
    </xdr:from>
    <xdr:to>
      <xdr:col>4</xdr:col>
      <xdr:colOff>364451</xdr:colOff>
      <xdr:row>237</xdr:row>
      <xdr:rowOff>5774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2484" y="47066971"/>
          <a:ext cx="27813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162127</xdr:rowOff>
    </xdr:from>
    <xdr:to>
      <xdr:col>8</xdr:col>
      <xdr:colOff>409102</xdr:colOff>
      <xdr:row>257</xdr:row>
      <xdr:rowOff>79584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9408404"/>
          <a:ext cx="7772400" cy="33626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6</xdr:col>
      <xdr:colOff>1104089</xdr:colOff>
      <xdr:row>270</xdr:row>
      <xdr:rowOff>183205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91489" y="53299468"/>
          <a:ext cx="42926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8</xdr:col>
      <xdr:colOff>652293</xdr:colOff>
      <xdr:row>318</xdr:row>
      <xdr:rowOff>35668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191" y="61203191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22</xdr:col>
      <xdr:colOff>706336</xdr:colOff>
      <xdr:row>23</xdr:row>
      <xdr:rowOff>162378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26489" y="918723"/>
          <a:ext cx="7772400" cy="40669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</xdr:colOff>
      <xdr:row>0</xdr:row>
      <xdr:rowOff>81280</xdr:rowOff>
    </xdr:from>
    <xdr:to>
      <xdr:col>9</xdr:col>
      <xdr:colOff>402477</xdr:colOff>
      <xdr:row>41</xdr:row>
      <xdr:rowOff>59708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" y="81280"/>
          <a:ext cx="7727837" cy="830962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24</xdr:col>
      <xdr:colOff>365760</xdr:colOff>
      <xdr:row>23</xdr:row>
      <xdr:rowOff>19384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4400" y="0"/>
          <a:ext cx="7772400" cy="46929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426720</xdr:colOff>
      <xdr:row>1</xdr:row>
      <xdr:rowOff>121920</xdr:rowOff>
    </xdr:from>
    <xdr:to>
      <xdr:col>6</xdr:col>
      <xdr:colOff>1935480</xdr:colOff>
      <xdr:row>12</xdr:row>
      <xdr:rowOff>196620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9680" y="325120"/>
          <a:ext cx="7767320" cy="2513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645583</xdr:colOff>
      <xdr:row>21</xdr:row>
      <xdr:rowOff>125943</xdr:rowOff>
    </xdr:from>
    <xdr:to>
      <xdr:col>7</xdr:col>
      <xdr:colOff>1126067</xdr:colOff>
      <xdr:row>23</xdr:row>
      <xdr:rowOff>135467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38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SpPr txBox="1"/>
          </xdr:nvSpPr>
          <xdr:spPr>
            <a:xfrm>
              <a:off x="5852583" y="4562476"/>
              <a:ext cx="2969684" cy="6360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wrap="square" lIns="0" tIns="0" rIns="0" bIns="0" rtlCol="0">
              <a:no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AR" sz="1200" b="0" i="1">
                        <a:latin typeface="Cambria Math" panose="02040503050406030204" pitchFamily="18" charset="0"/>
                      </a:rPr>
                      <m:t>𝑉</m:t>
                    </m:r>
                    <m:r>
                      <a:rPr lang="es-AR" sz="12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AR" sz="1200" b="0" i="1">
                        <a:latin typeface="Cambria Math" panose="02040503050406030204" pitchFamily="18" charset="0"/>
                      </a:rPr>
                      <m:t>𝐶𝐹</m:t>
                    </m:r>
                    <m:d>
                      <m:dPr>
                        <m:begChr m:val="["/>
                        <m:endChr m:val="]"/>
                        <m:ctrlPr>
                          <a:rPr lang="es-AR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s-AR" sz="12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(1+</m:t>
                                </m:r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𝑟</m:t>
                                </m:r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)</m:t>
                                </m:r>
                              </m:e>
                              <m:sup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𝑁</m:t>
                                </m:r>
                              </m:sup>
                            </m:sSup>
                            <m:r>
                              <a:rPr lang="es-AR" sz="1200" b="0" i="1">
                                <a:latin typeface="Cambria Math" panose="02040503050406030204" pitchFamily="18" charset="0"/>
                              </a:rPr>
                              <m:t>−1</m:t>
                            </m:r>
                          </m:num>
                          <m:den>
                            <m:sSup>
                              <m:sSupPr>
                                <m:ctrlP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(1+</m:t>
                                </m:r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𝑟</m:t>
                                </m:r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)</m:t>
                                </m:r>
                              </m:e>
                              <m:sup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𝑁</m:t>
                                </m:r>
                              </m:sup>
                            </m:sSup>
                            <m:r>
                              <a:rPr lang="es-AR" sz="12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den>
                        </m:f>
                      </m:e>
                    </m:d>
                    <m:r>
                      <a:rPr lang="es-AR" sz="12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AR" sz="1200" b="0" i="1">
                        <a:latin typeface="Cambria Math" panose="02040503050406030204" pitchFamily="18" charset="0"/>
                      </a:rPr>
                      <m:t>𝐶𝐹</m:t>
                    </m:r>
                    <m:d>
                      <m:dPr>
                        <m:begChr m:val="["/>
                        <m:endChr m:val="]"/>
                        <m:ctrlPr>
                          <a:rPr lang="en-US" sz="12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12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200" i="1">
                                <a:latin typeface="Cambria Math"/>
                              </a:rPr>
                              <m:t>1−</m:t>
                            </m:r>
                            <m:f>
                              <m:fPr>
                                <m:ctrlPr>
                                  <a:rPr lang="en-US" sz="120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200" i="1">
                                    <a:latin typeface="Cambria Math"/>
                                  </a:rPr>
                                  <m:t>1</m:t>
                                </m:r>
                              </m:num>
                              <m:den>
                                <m:d>
                                  <m:dPr>
                                    <m:ctrlPr>
                                      <a:rPr lang="en-US" sz="120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US" sz="1200" i="1">
                                        <a:latin typeface="Cambria Math"/>
                                      </a:rPr>
                                      <m:t>1+</m:t>
                                    </m:r>
                                    <m:r>
                                      <a:rPr lang="en-US" sz="1200" i="1">
                                        <a:latin typeface="Cambria Math"/>
                                      </a:rPr>
                                      <m:t>𝑟</m:t>
                                    </m:r>
                                  </m:e>
                                </m:d>
                                <m:r>
                                  <a:rPr lang="en-US" sz="1200" i="1" baseline="30000">
                                    <a:latin typeface="Cambria Math"/>
                                  </a:rPr>
                                  <m:t>𝑁</m:t>
                                </m:r>
                              </m:den>
                            </m:f>
                          </m:num>
                          <m:den>
                            <m:r>
                              <a:rPr lang="en-US" sz="1200" i="1">
                                <a:latin typeface="Cambria Math"/>
                              </a:rPr>
                              <m:t>𝑟</m:t>
                            </m:r>
                          </m:den>
                        </m:f>
                      </m:e>
                    </m:d>
                  </m:oMath>
                </m:oMathPara>
              </a14:m>
              <a:endParaRPr lang="es-AR" sz="1200"/>
            </a:p>
          </xdr:txBody>
        </xdr:sp>
      </mc:Choice>
      <mc:Fallback xmlns="">
        <xdr:sp macro="" textlink="">
          <xdr:nvSpPr>
            <xdr:cNvPr id="2" name="CuadroTexto 38">
              <a:extLst>
                <a:ext uri="{FF2B5EF4-FFF2-40B4-BE49-F238E27FC236}">
                  <a16:creationId xmlns:a16="http://schemas.microsoft.com/office/drawing/2014/main" id="{2B50E523-F26B-E64D-8A8A-AC057672B607}"/>
                </a:ext>
              </a:extLst>
            </xdr:cNvPr>
            <xdr:cNvSpPr txBox="1"/>
          </xdr:nvSpPr>
          <xdr:spPr>
            <a:xfrm>
              <a:off x="5852583" y="4562476"/>
              <a:ext cx="2969684" cy="6360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wrap="square" lIns="0" tIns="0" rIns="0" bIns="0" rtlCol="0">
              <a:no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AR" sz="1200" b="0" i="0">
                  <a:latin typeface="Cambria Math" panose="02040503050406030204" pitchFamily="18" charset="0"/>
                </a:rPr>
                <a:t>𝑉=𝐶𝐹[(〖(1+𝑟)〗^𝑁−1)/(〖(1+𝑟)〗^𝑁 𝑟)]=𝐶𝐹</a:t>
              </a:r>
              <a:r>
                <a:rPr lang="en-US" sz="1200" i="0">
                  <a:latin typeface="Cambria Math" panose="02040503050406030204" pitchFamily="18" charset="0"/>
                </a:rPr>
                <a:t>[(</a:t>
              </a:r>
              <a:r>
                <a:rPr lang="en-US" sz="1200" i="0">
                  <a:latin typeface="Cambria Math"/>
                </a:rPr>
                <a:t>1−1</a:t>
              </a:r>
              <a:r>
                <a:rPr lang="en-US" sz="1200" i="0">
                  <a:latin typeface="Cambria Math" panose="02040503050406030204" pitchFamily="18" charset="0"/>
                </a:rPr>
                <a:t>/(</a:t>
              </a:r>
              <a:r>
                <a:rPr lang="en-US" sz="1200" i="0">
                  <a:latin typeface="Cambria Math"/>
                </a:rPr>
                <a:t>1+𝑟</a:t>
              </a:r>
              <a:r>
                <a:rPr lang="en-US" sz="1200" i="0">
                  <a:latin typeface="Cambria Math" panose="02040503050406030204" pitchFamily="18" charset="0"/>
                </a:rPr>
                <a:t>)</a:t>
              </a:r>
              <a:r>
                <a:rPr lang="en-US" sz="1200" i="0" baseline="30000">
                  <a:latin typeface="Cambria Math"/>
                </a:rPr>
                <a:t>𝑁</a:t>
              </a:r>
              <a:r>
                <a:rPr lang="en-US" sz="1200" i="0" baseline="30000">
                  <a:latin typeface="Cambria Math" panose="02040503050406030204" pitchFamily="18" charset="0"/>
                </a:rPr>
                <a:t>)/</a:t>
              </a:r>
              <a:r>
                <a:rPr lang="en-US" sz="1200" i="0">
                  <a:latin typeface="Cambria Math"/>
                </a:rPr>
                <a:t>𝑟</a:t>
              </a:r>
              <a:r>
                <a:rPr lang="en-US" sz="1200" i="0">
                  <a:latin typeface="Cambria Math" panose="02040503050406030204" pitchFamily="18" charset="0"/>
                </a:rPr>
                <a:t>]</a:t>
              </a:r>
              <a:endParaRPr lang="es-AR" sz="1200"/>
            </a:p>
          </xdr:txBody>
        </xdr:sp>
      </mc:Fallback>
    </mc:AlternateContent>
    <xdr:clientData/>
  </xdr:twoCellAnchor>
  <xdr:twoCellAnchor>
    <xdr:from>
      <xdr:col>2</xdr:col>
      <xdr:colOff>57150</xdr:colOff>
      <xdr:row>22</xdr:row>
      <xdr:rowOff>219075</xdr:rowOff>
    </xdr:from>
    <xdr:to>
      <xdr:col>4</xdr:col>
      <xdr:colOff>552450</xdr:colOff>
      <xdr:row>22</xdr:row>
      <xdr:rowOff>228600</xdr:rowOff>
    </xdr:to>
    <xdr:cxnSp macro="">
      <xdr:nvCxnSpPr>
        <xdr:cNvPr id="3" name="Conector recto de flecha 5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4260850" y="4473575"/>
          <a:ext cx="2349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407131</xdr:colOff>
      <xdr:row>34</xdr:row>
      <xdr:rowOff>7627</xdr:rowOff>
    </xdr:from>
    <xdr:to>
      <xdr:col>4</xdr:col>
      <xdr:colOff>541774</xdr:colOff>
      <xdr:row>49</xdr:row>
      <xdr:rowOff>148016</xdr:rowOff>
    </xdr:to>
    <xdr:graphicFrame macro="">
      <xdr:nvGraphicFramePr>
        <xdr:cNvPr id="4" name="Gráfico 1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1076325</xdr:colOff>
      <xdr:row>84</xdr:row>
      <xdr:rowOff>23812</xdr:rowOff>
    </xdr:from>
    <xdr:to>
      <xdr:col>4</xdr:col>
      <xdr:colOff>571500</xdr:colOff>
      <xdr:row>97</xdr:row>
      <xdr:rowOff>80962</xdr:rowOff>
    </xdr:to>
    <xdr:graphicFrame macro="">
      <xdr:nvGraphicFramePr>
        <xdr:cNvPr id="5" name="Gráfico 3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38100</xdr:colOff>
          <xdr:row>5</xdr:row>
          <xdr:rowOff>38100</xdr:rowOff>
        </xdr:from>
        <xdr:to>
          <xdr:col>2</xdr:col>
          <xdr:colOff>482600</xdr:colOff>
          <xdr:row>5</xdr:row>
          <xdr:rowOff>342900</xdr:rowOff>
        </xdr:to>
        <xdr:sp macro="" textlink="">
          <xdr:nvSpPr>
            <xdr:cNvPr id="8193" name="Spinner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5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38100</xdr:colOff>
          <xdr:row>6</xdr:row>
          <xdr:rowOff>38100</xdr:rowOff>
        </xdr:from>
        <xdr:to>
          <xdr:col>2</xdr:col>
          <xdr:colOff>482600</xdr:colOff>
          <xdr:row>6</xdr:row>
          <xdr:rowOff>342900</xdr:rowOff>
        </xdr:to>
        <xdr:sp macro="" textlink="">
          <xdr:nvSpPr>
            <xdr:cNvPr id="8194" name="Spinner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5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38100</xdr:colOff>
          <xdr:row>7</xdr:row>
          <xdr:rowOff>38100</xdr:rowOff>
        </xdr:from>
        <xdr:to>
          <xdr:col>2</xdr:col>
          <xdr:colOff>482600</xdr:colOff>
          <xdr:row>7</xdr:row>
          <xdr:rowOff>342900</xdr:rowOff>
        </xdr:to>
        <xdr:sp macro="" textlink="">
          <xdr:nvSpPr>
            <xdr:cNvPr id="8195" name="Spinner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5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38100</xdr:colOff>
          <xdr:row>4</xdr:row>
          <xdr:rowOff>38100</xdr:rowOff>
        </xdr:from>
        <xdr:to>
          <xdr:col>2</xdr:col>
          <xdr:colOff>482600</xdr:colOff>
          <xdr:row>4</xdr:row>
          <xdr:rowOff>342900</xdr:rowOff>
        </xdr:to>
        <xdr:sp macro="" textlink="">
          <xdr:nvSpPr>
            <xdr:cNvPr id="8196" name="Spinner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5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38100</xdr:colOff>
          <xdr:row>3</xdr:row>
          <xdr:rowOff>38100</xdr:rowOff>
        </xdr:from>
        <xdr:to>
          <xdr:col>2</xdr:col>
          <xdr:colOff>482600</xdr:colOff>
          <xdr:row>3</xdr:row>
          <xdr:rowOff>342900</xdr:rowOff>
        </xdr:to>
        <xdr:sp macro="" textlink="">
          <xdr:nvSpPr>
            <xdr:cNvPr id="8197" name="Spinner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5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254001</xdr:colOff>
      <xdr:row>3</xdr:row>
      <xdr:rowOff>33302</xdr:rowOff>
    </xdr:from>
    <xdr:to>
      <xdr:col>10</xdr:col>
      <xdr:colOff>224692</xdr:colOff>
      <xdr:row>12</xdr:row>
      <xdr:rowOff>109502</xdr:rowOff>
    </xdr:to>
    <xdr:graphicFrame macro="">
      <xdr:nvGraphicFramePr>
        <xdr:cNvPr id="2" name="Gráfico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72</xdr:row>
      <xdr:rowOff>39076</xdr:rowOff>
    </xdr:from>
    <xdr:to>
      <xdr:col>9</xdr:col>
      <xdr:colOff>293076</xdr:colOff>
      <xdr:row>94</xdr:row>
      <xdr:rowOff>55216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422076"/>
          <a:ext cx="9691076" cy="4529525"/>
        </a:xfrm>
        <a:prstGeom prst="rect">
          <a:avLst/>
        </a:prstGeom>
      </xdr:spPr>
    </xdr:pic>
    <xdr:clientData/>
  </xdr:twoCellAnchor>
  <xdr:twoCellAnchor editAs="oneCell">
    <xdr:from>
      <xdr:col>0</xdr:col>
      <xdr:colOff>117231</xdr:colOff>
      <xdr:row>118</xdr:row>
      <xdr:rowOff>166077</xdr:rowOff>
    </xdr:from>
    <xdr:to>
      <xdr:col>12</xdr:col>
      <xdr:colOff>58616</xdr:colOff>
      <xdr:row>146</xdr:row>
      <xdr:rowOff>98933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231" y="24178846"/>
          <a:ext cx="11537462" cy="56771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51</xdr:row>
      <xdr:rowOff>133350</xdr:rowOff>
    </xdr:from>
    <xdr:to>
      <xdr:col>8</xdr:col>
      <xdr:colOff>161925</xdr:colOff>
      <xdr:row>58</xdr:row>
      <xdr:rowOff>0</xdr:rowOff>
    </xdr:to>
    <xdr:cxnSp macro="">
      <xdr:nvCxnSpPr>
        <xdr:cNvPr id="2" name="Conector recto de flecha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CxnSpPr/>
      </xdr:nvCxnSpPr>
      <xdr:spPr>
        <a:xfrm>
          <a:off x="9299575" y="2736850"/>
          <a:ext cx="19050" cy="120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247650</xdr:colOff>
      <xdr:row>53</xdr:row>
      <xdr:rowOff>28575</xdr:rowOff>
    </xdr:from>
    <xdr:to>
      <xdr:col>10</xdr:col>
      <xdr:colOff>104775</xdr:colOff>
      <xdr:row>56</xdr:row>
      <xdr:rowOff>123825</xdr:rowOff>
    </xdr:to>
    <xdr:sp macro="" textlink="">
      <xdr:nvSpPr>
        <xdr:cNvPr id="3" name="Rectángulo 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9404350" y="3013075"/>
          <a:ext cx="1635125" cy="666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100"/>
            <a:t>Disminuye</a:t>
          </a:r>
          <a:r>
            <a:rPr lang="es-AR" sz="1100" baseline="0"/>
            <a:t> conforme disminuye el valor residual</a:t>
          </a:r>
          <a:endParaRPr lang="es-AR" sz="1100"/>
        </a:p>
      </xdr:txBody>
    </xdr:sp>
    <xdr:clientData/>
  </xdr:twoCellAnchor>
  <xdr:twoCellAnchor>
    <xdr:from>
      <xdr:col>1</xdr:col>
      <xdr:colOff>76200</xdr:colOff>
      <xdr:row>62</xdr:row>
      <xdr:rowOff>0</xdr:rowOff>
    </xdr:from>
    <xdr:to>
      <xdr:col>7</xdr:col>
      <xdr:colOff>35409</xdr:colOff>
      <xdr:row>63</xdr:row>
      <xdr:rowOff>59953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00000000-0008-0000-0600-000004000000}"/>
                </a:ext>
              </a:extLst>
            </xdr:cNvPr>
            <xdr:cNvSpPr txBox="1"/>
          </xdr:nvSpPr>
          <xdr:spPr>
            <a:xfrm>
              <a:off x="1828800" y="4699000"/>
              <a:ext cx="6588609" cy="25045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AR" sz="1600" b="0" i="1">
                        <a:latin typeface="Cambria Math" panose="02040503050406030204" pitchFamily="18" charset="0"/>
                      </a:rPr>
                      <m:t>𝑅𝑒𝑛𝑡𝑎</m:t>
                    </m:r>
                    <m:r>
                      <a:rPr lang="es-AR" sz="16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AR" sz="1600" b="0" i="1">
                        <a:latin typeface="Cambria Math" panose="02040503050406030204" pitchFamily="18" charset="0"/>
                      </a:rPr>
                      <m:t>𝑎𝑛𝑢𝑎𝑙</m:t>
                    </m:r>
                    <m:d>
                      <m:dPr>
                        <m:ctrlPr>
                          <a:rPr lang="es-AR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AR" sz="1600" b="0" i="1">
                            <a:latin typeface="Cambria Math" panose="02040503050406030204" pitchFamily="18" charset="0"/>
                          </a:rPr>
                          <m:t>$</m:t>
                        </m:r>
                      </m:e>
                    </m:d>
                    <m:r>
                      <a:rPr lang="es-AR" sz="16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AR" sz="1600" b="0" i="1">
                        <a:latin typeface="Cambria Math" panose="02040503050406030204" pitchFamily="18" charset="0"/>
                      </a:rPr>
                      <m:t>𝑅𝑒𝑛𝑡𝑎</m:t>
                    </m:r>
                    <m:r>
                      <a:rPr lang="es-AR" sz="16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AR" sz="1600" b="0" i="1">
                        <a:latin typeface="Cambria Math" panose="02040503050406030204" pitchFamily="18" charset="0"/>
                      </a:rPr>
                      <m:t>𝑎𝑛𝑢𝑎𝑙</m:t>
                    </m:r>
                    <m:r>
                      <a:rPr lang="es-AR" sz="16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AR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AR" sz="1600" b="0" i="1">
                            <a:latin typeface="Cambria Math" panose="02040503050406030204" pitchFamily="18" charset="0"/>
                          </a:rPr>
                          <m:t>%</m:t>
                        </m:r>
                      </m:e>
                    </m:d>
                    <m:r>
                      <a:rPr lang="es-AR" sz="16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es-AR" sz="1600" b="0" i="1">
                        <a:latin typeface="Cambria Math" panose="02040503050406030204" pitchFamily="18" charset="0"/>
                      </a:rPr>
                      <m:t>𝑉𝑅</m:t>
                    </m:r>
                    <m:r>
                      <a:rPr lang="es-AR" sz="1600" b="0" i="1">
                        <a:latin typeface="Cambria Math" panose="02040503050406030204" pitchFamily="18" charset="0"/>
                      </a:rPr>
                      <m:t>($)</m:t>
                    </m:r>
                  </m:oMath>
                </m:oMathPara>
              </a14:m>
              <a:endParaRPr lang="es-AR" sz="1600"/>
            </a:p>
          </xdr:txBody>
        </xdr:sp>
      </mc:Choice>
      <mc:Fallback xmlns="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05F02EA7-F9DE-7D43-AC01-DEDD9A653511}"/>
                </a:ext>
              </a:extLst>
            </xdr:cNvPr>
            <xdr:cNvSpPr txBox="1"/>
          </xdr:nvSpPr>
          <xdr:spPr>
            <a:xfrm>
              <a:off x="1828800" y="4699000"/>
              <a:ext cx="6588609" cy="25045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AR" sz="1600" b="0" i="0">
                  <a:latin typeface="Cambria Math" panose="02040503050406030204" pitchFamily="18" charset="0"/>
                </a:rPr>
                <a:t>𝑅𝑒𝑛𝑡𝑎 𝑎𝑛𝑢𝑎𝑙($)=𝑅𝑒𝑛𝑡𝑎 𝑎𝑛𝑢𝑎𝑙 (%)∗𝑉𝑅($)</a:t>
              </a:r>
              <a:endParaRPr lang="es-AR" sz="1600"/>
            </a:p>
          </xdr:txBody>
        </xdr:sp>
      </mc:Fallback>
    </mc:AlternateContent>
    <xdr:clientData/>
  </xdr:twoCellAnchor>
  <xdr:twoCellAnchor>
    <xdr:from>
      <xdr:col>0</xdr:col>
      <xdr:colOff>9525</xdr:colOff>
      <xdr:row>90</xdr:row>
      <xdr:rowOff>161925</xdr:rowOff>
    </xdr:from>
    <xdr:to>
      <xdr:col>8</xdr:col>
      <xdr:colOff>742950</xdr:colOff>
      <xdr:row>93</xdr:row>
      <xdr:rowOff>92870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00000000-0008-0000-0600-000005000000}"/>
                </a:ext>
              </a:extLst>
            </xdr:cNvPr>
            <xdr:cNvSpPr/>
          </xdr:nvSpPr>
          <xdr:spPr>
            <a:xfrm>
              <a:off x="885825" y="4873625"/>
              <a:ext cx="8353425" cy="502445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AR" sz="1400" b="0" i="1">
                        <a:latin typeface="Cambria Math" panose="02040503050406030204" pitchFamily="18" charset="0"/>
                      </a:rPr>
                      <m:t>𝐼𝑛𝑡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. 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𝐶𝑜𝑟𝑟𝑖𝑑𝑜𝑠</m:t>
                    </m:r>
                    <m:d>
                      <m:dPr>
                        <m:ctrlPr>
                          <a:rPr lang="es-AR" sz="14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$</m:t>
                        </m:r>
                      </m:e>
                    </m:d>
                    <m:r>
                      <a:rPr lang="es-AR" sz="14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𝑅𝑒𝑛𝑡𝑎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𝑎𝑛𝑢𝑎𝑙</m:t>
                    </m:r>
                    <m:d>
                      <m:dPr>
                        <m:ctrlPr>
                          <a:rPr lang="es-AR" sz="14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$</m:t>
                        </m:r>
                      </m:e>
                    </m:d>
                    <m:r>
                      <a:rPr lang="es-AR" sz="1400" b="0" i="1">
                        <a:latin typeface="Cambria Math" panose="02040503050406030204" pitchFamily="18" charset="0"/>
                      </a:rPr>
                      <m:t>∗</m:t>
                    </m:r>
                    <m:f>
                      <m:fPr>
                        <m:ctrlPr>
                          <a:rPr lang="es-AR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𝑑𝑖𝑎𝑠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𝑐𝑜𝑟𝑟𝑖𝑑𝑜𝑠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𝑒𝑛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𝑒𝑙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𝑝𝑒𝑟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𝑜𝑑𝑜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𝑐𝑜𝑟𝑟𝑖𝑒𝑛𝑡𝑒</m:t>
                        </m:r>
                      </m:num>
                      <m:den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𝑑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𝑎𝑠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𝑑𝑒𝑙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𝑎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ñ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𝑜</m:t>
                        </m:r>
                      </m:den>
                    </m:f>
                  </m:oMath>
                </m:oMathPara>
              </a14:m>
              <a:endParaRPr lang="es-AR" sz="1400"/>
            </a:p>
          </xdr:txBody>
        </xdr:sp>
      </mc:Choice>
      <mc:Fallback xmlns=""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9C2DEADC-AEDA-BE46-BB96-47BFB87F25A4}"/>
                </a:ext>
              </a:extLst>
            </xdr:cNvPr>
            <xdr:cNvSpPr/>
          </xdr:nvSpPr>
          <xdr:spPr>
            <a:xfrm>
              <a:off x="885825" y="4873625"/>
              <a:ext cx="8353425" cy="502445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AR" sz="1400" b="0" i="0">
                  <a:latin typeface="Cambria Math" panose="02040503050406030204" pitchFamily="18" charset="0"/>
                </a:rPr>
                <a:t>𝐼𝑛𝑡. 𝐶𝑜𝑟𝑟𝑖𝑑𝑜𝑠($)=𝑅𝑒𝑛𝑡𝑎 𝑎𝑛𝑢𝑎𝑙($)∗(𝑑𝑖𝑎𝑠 𝑐𝑜𝑟𝑟𝑖𝑑𝑜𝑠 𝑒𝑛 𝑒𝑙 𝑝𝑒𝑟í𝑜𝑑𝑜 𝑐𝑜𝑟𝑟𝑖𝑒𝑛𝑡𝑒)/(𝑑í𝑎𝑠 𝑑𝑒𝑙 𝑎ñ𝑜)</a:t>
              </a:r>
              <a:endParaRPr lang="es-AR" sz="1400"/>
            </a:p>
          </xdr:txBody>
        </xdr:sp>
      </mc:Fallback>
    </mc:AlternateContent>
    <xdr:clientData/>
  </xdr:twoCellAnchor>
  <xdr:twoCellAnchor>
    <xdr:from>
      <xdr:col>0</xdr:col>
      <xdr:colOff>647700</xdr:colOff>
      <xdr:row>130</xdr:row>
      <xdr:rowOff>142875</xdr:rowOff>
    </xdr:from>
    <xdr:to>
      <xdr:col>5</xdr:col>
      <xdr:colOff>5715</xdr:colOff>
      <xdr:row>132</xdr:row>
      <xdr:rowOff>88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2">
              <a:extLst>
                <a:ext uri="{FF2B5EF4-FFF2-40B4-BE49-F238E27FC236}">
                  <a16:creationId xmlns:a16="http://schemas.microsoft.com/office/drawing/2014/main" id="{00000000-0008-0000-0600-000006000000}"/>
                </a:ext>
              </a:extLst>
            </xdr:cNvPr>
            <xdr:cNvSpPr txBox="1"/>
          </xdr:nvSpPr>
          <xdr:spPr>
            <a:xfrm>
              <a:off x="1524000" y="5616575"/>
              <a:ext cx="4806315" cy="23821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AR" sz="1400" b="0" i="1">
                        <a:latin typeface="Cambria Math" panose="02040503050406030204" pitchFamily="18" charset="0"/>
                      </a:rPr>
                      <m:t>𝑉𝑎𝑙𝑜𝑟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é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𝑐𝑛𝑖𝑐𝑜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𝑉𝑅</m:t>
                    </m:r>
                    <m:d>
                      <m:dPr>
                        <m:ctrlPr>
                          <a:rPr lang="es-AR" sz="14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$</m:t>
                        </m:r>
                      </m:e>
                    </m:d>
                    <m:r>
                      <a:rPr lang="es-AR" sz="14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𝐼𝑛𝑡𝑒𝑟𝑒𝑠𝑒𝑠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𝐶𝑜𝑟𝑟𝑖𝑑𝑜𝑠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($)</m:t>
                    </m:r>
                  </m:oMath>
                </m:oMathPara>
              </a14:m>
              <a:endParaRPr lang="es-AR" sz="1400"/>
            </a:p>
          </xdr:txBody>
        </xdr:sp>
      </mc:Choice>
      <mc:Fallback xmlns="">
        <xdr:sp macro="" textlink="">
          <xdr:nvSpPr>
            <xdr:cNvPr id="6" name="CuadroTexto 2">
              <a:extLst>
                <a:ext uri="{FF2B5EF4-FFF2-40B4-BE49-F238E27FC236}">
                  <a16:creationId xmlns:a16="http://schemas.microsoft.com/office/drawing/2014/main" id="{85E98BEB-E743-3843-A906-0FFEC7943014}"/>
                </a:ext>
              </a:extLst>
            </xdr:cNvPr>
            <xdr:cNvSpPr txBox="1"/>
          </xdr:nvSpPr>
          <xdr:spPr>
            <a:xfrm>
              <a:off x="1524000" y="5616575"/>
              <a:ext cx="4806315" cy="23821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AR" sz="1400" b="0" i="0">
                  <a:latin typeface="Cambria Math" panose="02040503050406030204" pitchFamily="18" charset="0"/>
                </a:rPr>
                <a:t>𝑉𝑎𝑙𝑜𝑟 𝑇é𝑐𝑛𝑖𝑐𝑜=𝑉𝑅($)+𝐼𝑛𝑡𝑒𝑟𝑒𝑠𝑒𝑠 𝐶𝑜𝑟𝑟𝑖𝑑𝑜𝑠($)</a:t>
              </a:r>
              <a:endParaRPr lang="es-AR" sz="1400"/>
            </a:p>
          </xdr:txBody>
        </xdr:sp>
      </mc:Fallback>
    </mc:AlternateContent>
    <xdr:clientData/>
  </xdr:twoCellAnchor>
  <xdr:twoCellAnchor>
    <xdr:from>
      <xdr:col>0</xdr:col>
      <xdr:colOff>419100</xdr:colOff>
      <xdr:row>168</xdr:row>
      <xdr:rowOff>104775</xdr:rowOff>
    </xdr:from>
    <xdr:to>
      <xdr:col>4</xdr:col>
      <xdr:colOff>76201</xdr:colOff>
      <xdr:row>171</xdr:row>
      <xdr:rowOff>2058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2">
              <a:extLst>
                <a:ext uri="{FF2B5EF4-FFF2-40B4-BE49-F238E27FC236}">
                  <a16:creationId xmlns:a16="http://schemas.microsoft.com/office/drawing/2014/main" id="{00000000-0008-0000-0600-000007000000}"/>
                </a:ext>
              </a:extLst>
            </xdr:cNvPr>
            <xdr:cNvSpPr txBox="1"/>
          </xdr:nvSpPr>
          <xdr:spPr>
            <a:xfrm>
              <a:off x="419100" y="5768975"/>
              <a:ext cx="5207001" cy="46878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AR" sz="1600" b="0" i="1">
                        <a:latin typeface="Cambria Math" panose="02040503050406030204" pitchFamily="18" charset="0"/>
                      </a:rPr>
                      <m:t>𝑃𝑎𝑟𝑖𝑑𝑎𝑑</m:t>
                    </m:r>
                    <m:d>
                      <m:dPr>
                        <m:ctrlPr>
                          <a:rPr lang="es-AR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AR" sz="1600" b="0" i="1">
                            <a:latin typeface="Cambria Math" panose="02040503050406030204" pitchFamily="18" charset="0"/>
                          </a:rPr>
                          <m:t>%</m:t>
                        </m:r>
                      </m:e>
                    </m:d>
                    <m:r>
                      <a:rPr lang="es-AR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AR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AR" sz="1600" b="0" i="1">
                            <a:latin typeface="Cambria Math" panose="02040503050406030204" pitchFamily="18" charset="0"/>
                          </a:rPr>
                          <m:t>𝐼𝑛𝑣𝑒𝑟𝑠𝑖</m:t>
                        </m:r>
                        <m:r>
                          <a:rPr lang="es-AR" sz="1600" b="0" i="1">
                            <a:latin typeface="Cambria Math" panose="02040503050406030204" pitchFamily="18" charset="0"/>
                          </a:rPr>
                          <m:t>ó</m:t>
                        </m:r>
                        <m:r>
                          <a:rPr lang="es-AR" sz="16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es-AR" sz="16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AR" sz="1600" b="0" i="1">
                            <a:latin typeface="Cambria Math" panose="02040503050406030204" pitchFamily="18" charset="0"/>
                          </a:rPr>
                          <m:t>𝐼𝑛𝑖𝑐𝑖𝑎𝑙</m:t>
                        </m:r>
                      </m:num>
                      <m:den>
                        <m:r>
                          <a:rPr lang="es-AR" sz="1600" b="0" i="1">
                            <a:latin typeface="Cambria Math" panose="02040503050406030204" pitchFamily="18" charset="0"/>
                          </a:rPr>
                          <m:t>𝑉𝑎𝑙𝑜𝑟</m:t>
                        </m:r>
                        <m:r>
                          <a:rPr lang="es-AR" sz="16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AR" sz="1600" b="0" i="1">
                            <a:latin typeface="Cambria Math" panose="02040503050406030204" pitchFamily="18" charset="0"/>
                          </a:rPr>
                          <m:t>𝑇</m:t>
                        </m:r>
                        <m:r>
                          <a:rPr lang="es-AR" sz="1600" b="0" i="1">
                            <a:latin typeface="Cambria Math" panose="02040503050406030204" pitchFamily="18" charset="0"/>
                          </a:rPr>
                          <m:t>é</m:t>
                        </m:r>
                        <m:r>
                          <a:rPr lang="es-AR" sz="1600" b="0" i="1">
                            <a:latin typeface="Cambria Math" panose="02040503050406030204" pitchFamily="18" charset="0"/>
                          </a:rPr>
                          <m:t>𝑐𝑛𝑖𝑐𝑜</m:t>
                        </m:r>
                      </m:den>
                    </m:f>
                  </m:oMath>
                </m:oMathPara>
              </a14:m>
              <a:endParaRPr lang="es-AR" sz="1600"/>
            </a:p>
          </xdr:txBody>
        </xdr:sp>
      </mc:Choice>
      <mc:Fallback xmlns="">
        <xdr:sp macro="" textlink="">
          <xdr:nvSpPr>
            <xdr:cNvPr id="7" name="CuadroTexto 2">
              <a:extLst>
                <a:ext uri="{FF2B5EF4-FFF2-40B4-BE49-F238E27FC236}">
                  <a16:creationId xmlns:a16="http://schemas.microsoft.com/office/drawing/2014/main" id="{D493FBBB-F83A-6B45-962D-F7AEE9A282A4}"/>
                </a:ext>
              </a:extLst>
            </xdr:cNvPr>
            <xdr:cNvSpPr txBox="1"/>
          </xdr:nvSpPr>
          <xdr:spPr>
            <a:xfrm>
              <a:off x="419100" y="5768975"/>
              <a:ext cx="5207001" cy="46878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AR" sz="1600" b="0" i="0">
                  <a:latin typeface="Cambria Math" panose="02040503050406030204" pitchFamily="18" charset="0"/>
                </a:rPr>
                <a:t>𝑃𝑎𝑟𝑖𝑑𝑎𝑑(%)=(𝐼𝑛𝑣𝑒𝑟𝑠𝑖ó𝑛 𝐼𝑛𝑖𝑐𝑖𝑎𝑙)/(𝑉𝑎𝑙𝑜𝑟 𝑇é𝑐𝑛𝑖𝑐𝑜)</a:t>
              </a:r>
              <a:endParaRPr lang="es-AR" sz="1600"/>
            </a:p>
          </xdr:txBody>
        </xdr:sp>
      </mc:Fallback>
    </mc:AlternateContent>
    <xdr:clientData/>
  </xdr:twoCellAnchor>
  <xdr:twoCellAnchor editAs="oneCell">
    <xdr:from>
      <xdr:col>0</xdr:col>
      <xdr:colOff>203200</xdr:colOff>
      <xdr:row>206</xdr:row>
      <xdr:rowOff>63500</xdr:rowOff>
    </xdr:from>
    <xdr:to>
      <xdr:col>2</xdr:col>
      <xdr:colOff>497020</xdr:colOff>
      <xdr:row>208</xdr:row>
      <xdr:rowOff>157939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Rectángulo 2">
              <a:extLst>
                <a:ext uri="{FF2B5EF4-FFF2-40B4-BE49-F238E27FC236}">
                  <a16:creationId xmlns:a16="http://schemas.microsoft.com/office/drawing/2014/main" id="{00000000-0008-0000-0600-000008000000}"/>
                </a:ext>
              </a:extLst>
            </xdr:cNvPr>
            <xdr:cNvSpPr/>
          </xdr:nvSpPr>
          <xdr:spPr>
            <a:xfrm>
              <a:off x="1092200" y="6116638"/>
              <a:ext cx="3688184" cy="510076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AR" sz="1400" b="0" i="1">
                        <a:latin typeface="Cambria Math" panose="02040503050406030204" pitchFamily="18" charset="0"/>
                      </a:rPr>
                      <m:t>𝑌𝑖𝑒𝑙𝑑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AR" sz="1400" b="0" i="1">
                        <a:latin typeface="Cambria Math" panose="02040503050406030204" pitchFamily="18" charset="0"/>
                      </a:rPr>
                      <m:t>𝑎𝑛𝑢𝑎𝑙</m:t>
                    </m:r>
                    <m:d>
                      <m:dPr>
                        <m:ctrlPr>
                          <a:rPr lang="es-AR" sz="14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%</m:t>
                        </m:r>
                      </m:e>
                    </m:d>
                    <m:r>
                      <a:rPr lang="es-AR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AR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𝑅𝑒𝑛𝑡𝑎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𝐴𝑛𝑢𝑎𝑙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($)</m:t>
                        </m:r>
                      </m:num>
                      <m:den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𝐶𝑜𝑡𝑖𝑧𝑎𝑐𝑖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ó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 −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𝐼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. </m:t>
                        </m:r>
                        <m:r>
                          <a:rPr lang="es-AR" sz="1400" b="0" i="1">
                            <a:latin typeface="Cambria Math" panose="02040503050406030204" pitchFamily="18" charset="0"/>
                          </a:rPr>
                          <m:t>𝐶𝑜𝑟𝑟𝑖𝑑𝑜𝑠</m:t>
                        </m:r>
                      </m:den>
                    </m:f>
                  </m:oMath>
                </m:oMathPara>
              </a14:m>
              <a:endParaRPr lang="es-AR" sz="1400"/>
            </a:p>
          </xdr:txBody>
        </xdr:sp>
      </mc:Choice>
      <mc:Fallback xmlns="">
        <xdr:sp macro="" textlink="">
          <xdr:nvSpPr>
            <xdr:cNvPr id="8" name="Rectángulo 2">
              <a:extLst>
                <a:ext uri="{FF2B5EF4-FFF2-40B4-BE49-F238E27FC236}">
                  <a16:creationId xmlns:a16="http://schemas.microsoft.com/office/drawing/2014/main" id="{00000000-0008-0000-0600-000003000000}"/>
                </a:ext>
              </a:extLst>
            </xdr:cNvPr>
            <xdr:cNvSpPr/>
          </xdr:nvSpPr>
          <xdr:spPr>
            <a:xfrm>
              <a:off x="1092200" y="6116638"/>
              <a:ext cx="3688184" cy="510076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AR" sz="1400" b="0" i="0">
                  <a:latin typeface="Cambria Math" panose="02040503050406030204" pitchFamily="18" charset="0"/>
                </a:rPr>
                <a:t>𝑌𝑖𝑒𝑙𝑑 𝑎𝑛𝑢𝑎𝑙(%)=(𝑅𝑒𝑛𝑡𝑎 𝐴𝑛𝑢𝑎𝑙($))/(𝐶𝑜𝑡𝑖𝑧𝑎𝑐𝑖ó𝑛 −𝐼. 𝐶𝑜𝑟𝑟𝑖𝑑𝑜𝑠)</a:t>
              </a:r>
              <a:endParaRPr lang="es-AR" sz="1400"/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536222</xdr:colOff>
      <xdr:row>3</xdr:row>
      <xdr:rowOff>62416</xdr:rowOff>
    </xdr:from>
    <xdr:to>
      <xdr:col>2</xdr:col>
      <xdr:colOff>472723</xdr:colOff>
      <xdr:row>13</xdr:row>
      <xdr:rowOff>104110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22" y="739749"/>
          <a:ext cx="3059760" cy="21113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61272</xdr:colOff>
      <xdr:row>2</xdr:row>
      <xdr:rowOff>100263</xdr:rowOff>
    </xdr:from>
    <xdr:to>
      <xdr:col>1</xdr:col>
      <xdr:colOff>745512</xdr:colOff>
      <xdr:row>13</xdr:row>
      <xdr:rowOff>78874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2" y="568158"/>
          <a:ext cx="3530600" cy="21844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288150</xdr:colOff>
      <xdr:row>74</xdr:row>
      <xdr:rowOff>202772</xdr:rowOff>
    </xdr:from>
    <xdr:to>
      <xdr:col>5</xdr:col>
      <xdr:colOff>618990</xdr:colOff>
      <xdr:row>96</xdr:row>
      <xdr:rowOff>122903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150" y="15485461"/>
          <a:ext cx="6467395" cy="4381139"/>
        </a:xfrm>
        <a:prstGeom prst="rect">
          <a:avLst/>
        </a:prstGeom>
      </xdr:spPr>
    </xdr:pic>
    <xdr:clientData/>
  </xdr:twoCellAnchor>
  <xdr:twoCellAnchor editAs="oneCell">
    <xdr:from>
      <xdr:col>0</xdr:col>
      <xdr:colOff>277480</xdr:colOff>
      <xdr:row>96</xdr:row>
      <xdr:rowOff>64034</xdr:rowOff>
    </xdr:from>
    <xdr:to>
      <xdr:col>5</xdr:col>
      <xdr:colOff>565631</xdr:colOff>
      <xdr:row>108</xdr:row>
      <xdr:rowOff>119378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480" y="19807731"/>
          <a:ext cx="6424706" cy="2488622"/>
        </a:xfrm>
        <a:prstGeom prst="rect">
          <a:avLst/>
        </a:prstGeom>
      </xdr:spPr>
    </xdr:pic>
    <xdr:clientData/>
  </xdr:twoCellAnchor>
  <xdr:twoCellAnchor editAs="oneCell">
    <xdr:from>
      <xdr:col>5</xdr:col>
      <xdr:colOff>467645</xdr:colOff>
      <xdr:row>101</xdr:row>
      <xdr:rowOff>163837</xdr:rowOff>
    </xdr:from>
    <xdr:to>
      <xdr:col>6</xdr:col>
      <xdr:colOff>201081</xdr:colOff>
      <xdr:row>103</xdr:row>
      <xdr:rowOff>83731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00000000-0008-0000-0800-000009000000}"/>
                </a:ext>
              </a:extLst>
            </xdr14:cNvPr>
            <xdr14:cNvContentPartPr/>
          </xdr14:nvContentPartPr>
          <xdr14:nvPr macro=""/>
          <xdr14:xfrm>
            <a:off x="6604200" y="20921400"/>
            <a:ext cx="636480" cy="32544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F154A988-1E03-6813-56FA-EDBD27AD3CB2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599880" y="20917080"/>
              <a:ext cx="645120" cy="33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266161</xdr:colOff>
      <xdr:row>100</xdr:row>
      <xdr:rowOff>80410</xdr:rowOff>
    </xdr:from>
    <xdr:to>
      <xdr:col>6</xdr:col>
      <xdr:colOff>364081</xdr:colOff>
      <xdr:row>102</xdr:row>
      <xdr:rowOff>159424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0000000-0008-0000-0800-00000A000000}"/>
                </a:ext>
              </a:extLst>
            </xdr14:cNvPr>
            <xdr14:cNvContentPartPr/>
          </xdr14:nvContentPartPr>
          <xdr14:nvPr macro=""/>
          <xdr14:xfrm>
            <a:off x="7224480" y="20635200"/>
            <a:ext cx="97920" cy="4845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301E2AAD-54AE-4F53-DFBA-B92D85C9F287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220160" y="20630880"/>
              <a:ext cx="106560" cy="49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272281</xdr:colOff>
      <xdr:row>99</xdr:row>
      <xdr:rowOff>43423</xdr:rowOff>
    </xdr:from>
    <xdr:to>
      <xdr:col>10</xdr:col>
      <xdr:colOff>339702</xdr:colOff>
      <xdr:row>104</xdr:row>
      <xdr:rowOff>57718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00000000-0008-0000-0800-00001E000000}"/>
                </a:ext>
              </a:extLst>
            </xdr14:cNvPr>
            <xdr14:cNvContentPartPr/>
          </xdr14:nvContentPartPr>
          <xdr14:nvPr macro=""/>
          <xdr14:xfrm>
            <a:off x="7230600" y="20395440"/>
            <a:ext cx="3354480" cy="10281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D54A6842-91FA-9977-00EC-1141BBDC5BF9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7226305" y="20391140"/>
              <a:ext cx="3363069" cy="10367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1018800</xdr:colOff>
      <xdr:row>110</xdr:row>
      <xdr:rowOff>43479</xdr:rowOff>
    </xdr:from>
    <xdr:to>
      <xdr:col>0</xdr:col>
      <xdr:colOff>1028520</xdr:colOff>
      <xdr:row>110</xdr:row>
      <xdr:rowOff>47079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00000000-0008-0000-0800-00001F000000}"/>
                </a:ext>
              </a:extLst>
            </xdr14:cNvPr>
            <xdr14:cNvContentPartPr/>
          </xdr14:nvContentPartPr>
          <xdr14:nvPr macro=""/>
          <xdr14:xfrm>
            <a:off x="1018800" y="22626000"/>
            <a:ext cx="9720" cy="360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52DA134C-8C92-1263-4AAB-B54631E9D6B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014480" y="22621680"/>
              <a:ext cx="18360" cy="1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245463</xdr:colOff>
      <xdr:row>113</xdr:row>
      <xdr:rowOff>138739</xdr:rowOff>
    </xdr:from>
    <xdr:to>
      <xdr:col>5</xdr:col>
      <xdr:colOff>807252</xdr:colOff>
      <xdr:row>125</xdr:row>
      <xdr:rowOff>64033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5463" y="23329579"/>
          <a:ext cx="6698344" cy="2358572"/>
        </a:xfrm>
        <a:prstGeom prst="rect">
          <a:avLst/>
        </a:prstGeom>
      </xdr:spPr>
    </xdr:pic>
    <xdr:clientData/>
  </xdr:twoCellAnchor>
  <xdr:twoCellAnchor>
    <xdr:from>
      <xdr:col>0</xdr:col>
      <xdr:colOff>685800</xdr:colOff>
      <xdr:row>150</xdr:row>
      <xdr:rowOff>19050</xdr:rowOff>
    </xdr:from>
    <xdr:to>
      <xdr:col>5</xdr:col>
      <xdr:colOff>323850</xdr:colOff>
      <xdr:row>152</xdr:row>
      <xdr:rowOff>141971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00000000-0008-0000-0800-000054000000}"/>
                </a:ext>
              </a:extLst>
            </xdr:cNvPr>
            <xdr:cNvSpPr txBox="1"/>
          </xdr:nvSpPr>
          <xdr:spPr>
            <a:xfrm>
              <a:off x="1562100" y="4832350"/>
              <a:ext cx="3663950" cy="503921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AR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AR" sz="12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AR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f>
                          <m:fPr>
                            <m:ctrlPr>
                              <a:rPr lang="es-AR" sz="12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s-AR" sz="12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  <m:r>
                                  <a:rPr lang="es-AR" sz="1200" i="1">
                                    <a:latin typeface="Cambria Math" panose="02040503050406030204" pitchFamily="18" charset="0"/>
                                  </a:rPr>
                                  <m:t>𝐶𝐹</m:t>
                                </m:r>
                              </m:e>
                              <m:sub>
                                <m:r>
                                  <a:rPr lang="es-AR" sz="120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num>
                          <m:den>
                            <m:sSup>
                              <m:sSupPr>
                                <m:ctrlPr>
                                  <a:rPr lang="es-AR" sz="12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  <m:t>1+</m:t>
                                    </m:r>
                                    <m: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  <m:t>𝑇𝐼𝑅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sup>
                            </m:sSup>
                          </m:den>
                        </m:f>
                        <m:r>
                          <a:rPr lang="es-AR" sz="1200" i="1"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es-AR" sz="12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s-AR" sz="12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  <m:r>
                                  <a:rPr lang="es-AR" sz="1200" i="1">
                                    <a:latin typeface="Cambria Math" panose="02040503050406030204" pitchFamily="18" charset="0"/>
                                  </a:rPr>
                                  <m:t>𝐶𝐹</m:t>
                                </m:r>
                              </m:e>
                              <m:sub>
                                <m:r>
                                  <a:rPr lang="es-AR" sz="120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num>
                          <m:den>
                            <m:sSup>
                              <m:sSupPr>
                                <m:ctrlPr>
                                  <a:rPr lang="es-AR" sz="12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  <m:t>1+</m:t>
                                    </m:r>
                                    <m: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  <m:t>𝑇𝐼𝑅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  <m:r>
                          <a:rPr lang="es-AR" sz="1200" i="1">
                            <a:latin typeface="Cambria Math" panose="02040503050406030204" pitchFamily="18" charset="0"/>
                          </a:rPr>
                          <m:t>+…+</m:t>
                        </m:r>
                        <m:f>
                          <m:fPr>
                            <m:ctrlPr>
                              <a:rPr lang="es-AR" sz="12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s-AR" sz="12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  <m:r>
                                  <a:rPr lang="es-AR" sz="1200" i="1">
                                    <a:latin typeface="Cambria Math" panose="02040503050406030204" pitchFamily="18" charset="0"/>
                                  </a:rPr>
                                  <m:t>𝐶𝐹</m:t>
                                </m:r>
                              </m:e>
                              <m:sub>
                                <m:r>
                                  <a:rPr lang="es-AR" sz="1200" i="1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</m:sub>
                            </m:sSub>
                          </m:num>
                          <m:den>
                            <m:sSup>
                              <m:sSupPr>
                                <m:ctrlPr>
                                  <a:rPr lang="es-AR" sz="12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  <m:t>1+</m:t>
                                    </m:r>
                                    <m: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  <m:t>𝑇𝐼𝑅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s-AR" sz="1200" i="1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</m:sup>
                            </m:sSup>
                          </m:den>
                        </m:f>
                      </m:num>
                      <m:den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𝑃</m:t>
                        </m:r>
                      </m:den>
                    </m:f>
                  </m:oMath>
                </m:oMathPara>
              </a14:m>
              <a:endParaRPr lang="es-AR" sz="1200"/>
            </a:p>
          </xdr:txBody>
        </xdr:sp>
      </mc:Choice>
      <mc:Fallback xmlns="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5997DBEA-59F2-134A-95F5-A51197892CF6}"/>
                </a:ext>
              </a:extLst>
            </xdr:cNvPr>
            <xdr:cNvSpPr txBox="1"/>
          </xdr:nvSpPr>
          <xdr:spPr>
            <a:xfrm>
              <a:off x="1562100" y="4832350"/>
              <a:ext cx="3663950" cy="503921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AR" sz="1200" i="0">
                  <a:latin typeface="Cambria Math" panose="02040503050406030204" pitchFamily="18" charset="0"/>
                </a:rPr>
                <a:t>𝐷=(〖</a:t>
              </a:r>
              <a:r>
                <a:rPr lang="es-AR" sz="1200" b="0" i="0">
                  <a:latin typeface="Cambria Math" panose="02040503050406030204" pitchFamily="18" charset="0"/>
                </a:rPr>
                <a:t>1</a:t>
              </a:r>
              <a:r>
                <a:rPr lang="es-AR" sz="1200" i="0">
                  <a:latin typeface="Cambria Math" panose="02040503050406030204" pitchFamily="18" charset="0"/>
                </a:rPr>
                <a:t>𝐶𝐹〗_1/(1+𝑇𝐼𝑅)^</a:t>
              </a:r>
              <a:r>
                <a:rPr lang="es-AR" sz="1200" b="0" i="0">
                  <a:latin typeface="Cambria Math" panose="02040503050406030204" pitchFamily="18" charset="0"/>
                </a:rPr>
                <a:t>1 </a:t>
              </a:r>
              <a:r>
                <a:rPr lang="es-AR" sz="1200" i="0">
                  <a:latin typeface="Cambria Math" panose="02040503050406030204" pitchFamily="18" charset="0"/>
                </a:rPr>
                <a:t>+〖</a:t>
              </a:r>
              <a:r>
                <a:rPr lang="es-AR" sz="1200" b="0" i="0">
                  <a:latin typeface="Cambria Math" panose="02040503050406030204" pitchFamily="18" charset="0"/>
                </a:rPr>
                <a:t>2</a:t>
              </a:r>
              <a:r>
                <a:rPr lang="es-AR" sz="1200" i="0">
                  <a:latin typeface="Cambria Math" panose="02040503050406030204" pitchFamily="18" charset="0"/>
                </a:rPr>
                <a:t>𝐶𝐹〗_2/(1+𝑇𝐼𝑅)^</a:t>
              </a:r>
              <a:r>
                <a:rPr lang="es-AR" sz="1200" b="0" i="0">
                  <a:latin typeface="Cambria Math" panose="02040503050406030204" pitchFamily="18" charset="0"/>
                </a:rPr>
                <a:t>2 </a:t>
              </a:r>
              <a:r>
                <a:rPr lang="es-AR" sz="1200" i="0">
                  <a:latin typeface="Cambria Math" panose="02040503050406030204" pitchFamily="18" charset="0"/>
                </a:rPr>
                <a:t>+…+〖</a:t>
              </a:r>
              <a:r>
                <a:rPr lang="es-AR" sz="1200" b="0" i="0">
                  <a:latin typeface="Cambria Math" panose="02040503050406030204" pitchFamily="18" charset="0"/>
                </a:rPr>
                <a:t>𝑇</a:t>
              </a:r>
              <a:r>
                <a:rPr lang="es-AR" sz="1200" i="0">
                  <a:latin typeface="Cambria Math" panose="02040503050406030204" pitchFamily="18" charset="0"/>
                </a:rPr>
                <a:t>𝐶𝐹〗_𝑇/(1+𝑇𝐼𝑅)^𝑇 )/</a:t>
              </a:r>
              <a:r>
                <a:rPr lang="es-AR" sz="1200" b="0" i="0">
                  <a:latin typeface="Cambria Math" panose="02040503050406030204" pitchFamily="18" charset="0"/>
                </a:rPr>
                <a:t>𝑃</a:t>
              </a:r>
              <a:endParaRPr lang="es-AR" sz="1200"/>
            </a:p>
          </xdr:txBody>
        </xdr:sp>
      </mc:Fallback>
    </mc:AlternateContent>
    <xdr:clientData/>
  </xdr:twoCellAnchor>
  <xdr:oneCellAnchor>
    <xdr:from>
      <xdr:col>0</xdr:col>
      <xdr:colOff>709612</xdr:colOff>
      <xdr:row>163</xdr:row>
      <xdr:rowOff>147637</xdr:rowOff>
    </xdr:from>
    <xdr:ext cx="6030690" cy="2811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uadroTexto 2">
              <a:extLst>
                <a:ext uri="{FF2B5EF4-FFF2-40B4-BE49-F238E27FC236}">
                  <a16:creationId xmlns:a16="http://schemas.microsoft.com/office/drawing/2014/main" id="{00000000-0008-0000-0800-000055000000}"/>
                </a:ext>
              </a:extLst>
            </xdr:cNvPr>
            <xdr:cNvSpPr txBox="1"/>
          </xdr:nvSpPr>
          <xdr:spPr>
            <a:xfrm>
              <a:off x="1585912" y="7437437"/>
              <a:ext cx="6030690" cy="2811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es-AR" sz="1200" b="0" i="1">
                      <a:latin typeface="Cambria Math" panose="02040503050406030204" pitchFamily="18" charset="0"/>
                    </a:rPr>
                    <m:t>10</m:t>
                  </m:r>
                  <m:sSup>
                    <m:sSupPr>
                      <m:ctrlPr>
                        <a:rPr lang="es-AR" sz="12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d>
                        <m:dPr>
                          <m:ctrlPr>
                            <a:rPr lang="es-AR" sz="1200" b="0" i="1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r>
                            <a:rPr lang="es-AR" sz="1200" b="0" i="1">
                              <a:latin typeface="Cambria Math" panose="02040503050406030204" pitchFamily="18" charset="0"/>
                            </a:rPr>
                            <m:t>1,10</m:t>
                          </m:r>
                        </m:e>
                      </m:d>
                    </m:e>
                    <m:sup>
                      <m:r>
                        <a:rPr lang="es-AR" sz="1200" b="0" i="1">
                          <a:latin typeface="Cambria Math" panose="02040503050406030204" pitchFamily="18" charset="0"/>
                        </a:rPr>
                        <m:t>3,17</m:t>
                      </m:r>
                    </m:sup>
                  </m:sSup>
                  <m:r>
                    <a:rPr lang="es-AR" sz="1200" b="0" i="1">
                      <a:latin typeface="Cambria Math" panose="02040503050406030204" pitchFamily="18" charset="0"/>
                    </a:rPr>
                    <m:t>+10</m:t>
                  </m:r>
                  <m:sSup>
                    <m:sSupPr>
                      <m:ctrlPr>
                        <a:rPr lang="es-AR" sz="12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d>
                        <m:dPr>
                          <m:ctrlPr>
                            <a:rPr lang="es-AR" sz="1200" b="0" i="1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r>
                            <a:rPr lang="es-AR" sz="1200" b="0" i="1">
                              <a:latin typeface="Cambria Math" panose="02040503050406030204" pitchFamily="18" charset="0"/>
                            </a:rPr>
                            <m:t>1,10</m:t>
                          </m:r>
                        </m:e>
                      </m:d>
                    </m:e>
                    <m:sup>
                      <m:r>
                        <a:rPr lang="es-AR" sz="1200" b="0" i="1">
                          <a:latin typeface="Cambria Math" panose="02040503050406030204" pitchFamily="18" charset="0"/>
                        </a:rPr>
                        <m:t>2,17</m:t>
                      </m:r>
                    </m:sup>
                  </m:sSup>
                  <m:r>
                    <a:rPr lang="es-AR" sz="1200" b="0" i="1">
                      <a:latin typeface="Cambria Math" panose="02040503050406030204" pitchFamily="18" charset="0"/>
                    </a:rPr>
                    <m:t>+</m:t>
                  </m:r>
                  <m:r>
                    <a:rPr lang="es-AR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10</m:t>
                  </m:r>
                  <m:sSup>
                    <m:sSupPr>
                      <m:ctrlPr>
                        <a:rPr lang="es-AR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es-AR" sz="12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r>
                            <a:rPr lang="es-AR" sz="12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1,10</m:t>
                          </m:r>
                        </m:e>
                      </m:d>
                    </m:e>
                    <m:sup>
                      <m:r>
                        <a:rPr lang="es-AR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1,17</m:t>
                      </m:r>
                    </m:sup>
                  </m:sSup>
                </m:oMath>
              </a14:m>
              <a:r>
                <a:rPr lang="es-AR" sz="1200"/>
                <a:t>+</a:t>
              </a:r>
              <a14:m>
                <m:oMath xmlns:m="http://schemas.openxmlformats.org/officeDocument/2006/math">
                  <m:r>
                    <a:rPr lang="es-AR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10</m:t>
                  </m:r>
                  <m:sSup>
                    <m:sSupPr>
                      <m:ctrlPr>
                        <a:rPr lang="es-AR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es-AR" sz="12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r>
                            <a:rPr lang="es-AR" sz="12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1,10</m:t>
                          </m:r>
                        </m:e>
                      </m:d>
                    </m:e>
                    <m:sup>
                      <m:r>
                        <a:rPr lang="es-AR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0,17</m:t>
                      </m:r>
                    </m:sup>
                  </m:sSup>
                  <m:r>
                    <a:rPr lang="es-AR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f>
                    <m:fPr>
                      <m:ctrlPr>
                        <a:rPr lang="es-AR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s-AR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110</m:t>
                      </m:r>
                    </m:num>
                    <m:den>
                      <m:sSup>
                        <m:sSupPr>
                          <m:ctrlPr>
                            <a:rPr lang="es-AR" sz="12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d>
                            <m:dPr>
                              <m:ctrlPr>
                                <a:rPr lang="es-AR" sz="12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s-AR" sz="12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1,10</m:t>
                              </m:r>
                            </m:e>
                          </m:d>
                        </m:e>
                        <m:sup>
                          <m:r>
                            <a:rPr lang="es-AR" sz="12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0,83</m:t>
                          </m:r>
                        </m:sup>
                      </m:sSup>
                    </m:den>
                  </m:f>
                  <m:r>
                    <a:rPr lang="es-AR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=100</m:t>
                  </m:r>
                  <m:sSup>
                    <m:sSupPr>
                      <m:ctrlPr>
                        <a:rPr lang="es-AR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es-AR" sz="12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r>
                            <a:rPr lang="es-AR" sz="12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1,10</m:t>
                          </m:r>
                        </m:e>
                      </m:d>
                    </m:e>
                    <m:sup>
                      <m:r>
                        <a:rPr lang="es-AR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4,17</m:t>
                      </m:r>
                    </m:sup>
                  </m:sSup>
                  <m:r>
                    <a:rPr lang="es-AR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=148,8</m:t>
                  </m:r>
                </m:oMath>
              </a14:m>
              <a:endParaRPr lang="es-AR" sz="1200"/>
            </a:p>
          </xdr:txBody>
        </xdr:sp>
      </mc:Choice>
      <mc:Fallback xmlns="">
        <xdr:sp macro="" textlink="">
          <xdr:nvSpPr>
            <xdr:cNvPr id="85" name="CuadroTexto 2">
              <a:extLst>
                <a:ext uri="{FF2B5EF4-FFF2-40B4-BE49-F238E27FC236}">
                  <a16:creationId xmlns:a16="http://schemas.microsoft.com/office/drawing/2014/main" id="{A22E2B24-A3E7-C74B-82BC-55F8B0E46CF7}"/>
                </a:ext>
              </a:extLst>
            </xdr:cNvPr>
            <xdr:cNvSpPr txBox="1"/>
          </xdr:nvSpPr>
          <xdr:spPr>
            <a:xfrm>
              <a:off x="1585912" y="7437437"/>
              <a:ext cx="6030690" cy="2811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AR" sz="1200" b="0" i="0">
                  <a:latin typeface="Cambria Math" panose="02040503050406030204" pitchFamily="18" charset="0"/>
                </a:rPr>
                <a:t>10(1,10)^3,17+10(1,10)^2,17+</a:t>
              </a:r>
              <a:r>
                <a:rPr lang="es-AR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10(1,10)^1,17</a:t>
              </a:r>
              <a:r>
                <a:rPr lang="es-AR" sz="1200"/>
                <a:t>+</a:t>
              </a:r>
              <a:r>
                <a:rPr lang="es-AR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10(1,10)^0,17+110/(1,10)^0,83 =100(1,10)^4,17=148,8</a:t>
              </a:r>
              <a:endParaRPr lang="es-AR" sz="1200"/>
            </a:p>
          </xdr:txBody>
        </xdr:sp>
      </mc:Fallback>
    </mc:AlternateContent>
    <xdr:clientData/>
  </xdr:oneCellAnchor>
  <xdr:twoCellAnchor>
    <xdr:from>
      <xdr:col>0</xdr:col>
      <xdr:colOff>676275</xdr:colOff>
      <xdr:row>155</xdr:row>
      <xdr:rowOff>171450</xdr:rowOff>
    </xdr:from>
    <xdr:to>
      <xdr:col>3</xdr:col>
      <xdr:colOff>523875</xdr:colOff>
      <xdr:row>157</xdr:row>
      <xdr:rowOff>167156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uadroTexto 4">
              <a:extLst>
                <a:ext uri="{FF2B5EF4-FFF2-40B4-BE49-F238E27FC236}">
                  <a16:creationId xmlns:a16="http://schemas.microsoft.com/office/drawing/2014/main" id="{00000000-0008-0000-0800-000056000000}"/>
                </a:ext>
              </a:extLst>
            </xdr:cNvPr>
            <xdr:cNvSpPr txBox="1"/>
          </xdr:nvSpPr>
          <xdr:spPr>
            <a:xfrm>
              <a:off x="1552575" y="5937250"/>
              <a:ext cx="2235200" cy="376706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s-AR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𝑑𝑃</m:t>
                        </m:r>
                      </m:num>
                      <m:den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𝑃</m:t>
                        </m:r>
                      </m:den>
                    </m:f>
                    <m:r>
                      <a:rPr lang="es-AR" sz="120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s-AR" sz="12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f>
                      <m:fPr>
                        <m:ctrlPr>
                          <a:rPr lang="es-AR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num>
                      <m:den>
                        <m:d>
                          <m:dPr>
                            <m:ctrlPr>
                              <a:rPr lang="es-AR" sz="12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AR" sz="1200" i="1">
                                <a:latin typeface="Cambria Math" panose="02040503050406030204" pitchFamily="18" charset="0"/>
                              </a:rPr>
                              <m:t>1+</m:t>
                            </m:r>
                            <m:r>
                              <a:rPr lang="es-AR" sz="1200" i="1">
                                <a:latin typeface="Cambria Math" panose="02040503050406030204" pitchFamily="18" charset="0"/>
                              </a:rPr>
                              <m:t>𝑇𝐼𝑅</m:t>
                            </m:r>
                          </m:e>
                        </m:d>
                      </m:den>
                    </m:f>
                    <m:d>
                      <m:dPr>
                        <m:ctrlPr>
                          <a:rPr lang="es-AR" sz="12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𝑑𝑇𝐼𝑅</m:t>
                        </m:r>
                      </m:e>
                    </m:d>
                  </m:oMath>
                </m:oMathPara>
              </a14:m>
              <a:endParaRPr lang="es-AR" sz="1200"/>
            </a:p>
          </xdr:txBody>
        </xdr:sp>
      </mc:Choice>
      <mc:Fallback xmlns="">
        <xdr:sp macro="" textlink="">
          <xdr:nvSpPr>
            <xdr:cNvPr id="86" name="CuadroTexto 4">
              <a:extLst>
                <a:ext uri="{FF2B5EF4-FFF2-40B4-BE49-F238E27FC236}">
                  <a16:creationId xmlns:a16="http://schemas.microsoft.com/office/drawing/2014/main" id="{1540A785-9343-8941-A912-00A440888857}"/>
                </a:ext>
              </a:extLst>
            </xdr:cNvPr>
            <xdr:cNvSpPr txBox="1"/>
          </xdr:nvSpPr>
          <xdr:spPr>
            <a:xfrm>
              <a:off x="1552575" y="5937250"/>
              <a:ext cx="2235200" cy="376706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AR" sz="1200" b="0" i="0">
                  <a:latin typeface="Cambria Math" panose="02040503050406030204" pitchFamily="18" charset="0"/>
                </a:rPr>
                <a:t>𝑑𝑃/𝑃</a:t>
              </a:r>
              <a:r>
                <a:rPr lang="es-AR" sz="1200" i="0">
                  <a:latin typeface="Cambria Math" panose="02040503050406030204" pitchFamily="18" charset="0"/>
                </a:rPr>
                <a:t>=(</a:t>
              </a:r>
              <a:r>
                <a:rPr lang="es-AR" sz="1200" b="0" i="0">
                  <a:latin typeface="Cambria Math" panose="02040503050406030204" pitchFamily="18" charset="0"/>
                </a:rPr>
                <a:t>−1)  𝐷/((</a:t>
              </a:r>
              <a:r>
                <a:rPr lang="es-AR" sz="1200" i="0">
                  <a:latin typeface="Cambria Math" panose="02040503050406030204" pitchFamily="18" charset="0"/>
                </a:rPr>
                <a:t>1+𝑇𝐼𝑅) ) (</a:t>
              </a:r>
              <a:r>
                <a:rPr lang="es-AR" sz="1200" b="0" i="0">
                  <a:latin typeface="Cambria Math" panose="02040503050406030204" pitchFamily="18" charset="0"/>
                </a:rPr>
                <a:t>𝑑𝑇𝐼𝑅)</a:t>
              </a:r>
              <a:endParaRPr lang="es-AR" sz="1200"/>
            </a:p>
          </xdr:txBody>
        </xdr:sp>
      </mc:Fallback>
    </mc:AlternateContent>
    <xdr:clientData/>
  </xdr:twoCellAnchor>
  <xdr:twoCellAnchor>
    <xdr:from>
      <xdr:col>6</xdr:col>
      <xdr:colOff>619124</xdr:colOff>
      <xdr:row>155</xdr:row>
      <xdr:rowOff>180975</xdr:rowOff>
    </xdr:from>
    <xdr:to>
      <xdr:col>9</xdr:col>
      <xdr:colOff>426330</xdr:colOff>
      <xdr:row>157</xdr:row>
      <xdr:rowOff>171808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uadroTexto 7">
              <a:extLst>
                <a:ext uri="{FF2B5EF4-FFF2-40B4-BE49-F238E27FC236}">
                  <a16:creationId xmlns:a16="http://schemas.microsoft.com/office/drawing/2014/main" id="{00000000-0008-0000-0800-000057000000}"/>
                </a:ext>
              </a:extLst>
            </xdr:cNvPr>
            <xdr:cNvSpPr txBox="1"/>
          </xdr:nvSpPr>
          <xdr:spPr>
            <a:xfrm>
              <a:off x="6702424" y="5946775"/>
              <a:ext cx="2448806" cy="37183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AR" sz="1200" b="0" i="1">
                        <a:latin typeface="Cambria Math" panose="02040503050406030204" pitchFamily="18" charset="0"/>
                      </a:rPr>
                      <m:t>𝑑𝑃</m:t>
                    </m:r>
                    <m:r>
                      <a:rPr lang="es-AR" sz="120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s-AR" sz="12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f>
                      <m:fPr>
                        <m:ctrlPr>
                          <a:rPr lang="es-AR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num>
                      <m:den>
                        <m:d>
                          <m:dPr>
                            <m:ctrlPr>
                              <a:rPr lang="es-AR" sz="12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AR" sz="1200" i="1">
                                <a:latin typeface="Cambria Math" panose="02040503050406030204" pitchFamily="18" charset="0"/>
                              </a:rPr>
                              <m:t>1+</m:t>
                            </m:r>
                            <m:r>
                              <a:rPr lang="es-AR" sz="1200" i="1">
                                <a:latin typeface="Cambria Math" panose="02040503050406030204" pitchFamily="18" charset="0"/>
                              </a:rPr>
                              <m:t>𝑇𝐼𝑅</m:t>
                            </m:r>
                          </m:e>
                        </m:d>
                      </m:den>
                    </m:f>
                    <m:d>
                      <m:dPr>
                        <m:ctrlPr>
                          <a:rPr lang="es-AR" sz="12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𝑑𝑇𝐼𝑅</m:t>
                        </m:r>
                      </m:e>
                    </m:d>
                    <m:r>
                      <a:rPr lang="es-AR" sz="1200" b="0" i="1">
                        <a:latin typeface="Cambria Math" panose="02040503050406030204" pitchFamily="18" charset="0"/>
                      </a:rPr>
                      <m:t>𝑃</m:t>
                    </m:r>
                  </m:oMath>
                </m:oMathPara>
              </a14:m>
              <a:endParaRPr lang="es-AR" sz="1200"/>
            </a:p>
          </xdr:txBody>
        </xdr:sp>
      </mc:Choice>
      <mc:Fallback xmlns="">
        <xdr:sp macro="" textlink="">
          <xdr:nvSpPr>
            <xdr:cNvPr id="87" name="CuadroTexto 7">
              <a:extLst>
                <a:ext uri="{FF2B5EF4-FFF2-40B4-BE49-F238E27FC236}">
                  <a16:creationId xmlns:a16="http://schemas.microsoft.com/office/drawing/2014/main" id="{D8858ED5-01D3-A54D-8D4A-053A0B6E61D3}"/>
                </a:ext>
              </a:extLst>
            </xdr:cNvPr>
            <xdr:cNvSpPr txBox="1"/>
          </xdr:nvSpPr>
          <xdr:spPr>
            <a:xfrm>
              <a:off x="6702424" y="5946775"/>
              <a:ext cx="2448806" cy="37183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AR" sz="1200" b="0" i="0">
                  <a:latin typeface="Cambria Math" panose="02040503050406030204" pitchFamily="18" charset="0"/>
                </a:rPr>
                <a:t>𝑑𝑃</a:t>
              </a:r>
              <a:r>
                <a:rPr lang="es-AR" sz="1200" i="0">
                  <a:latin typeface="Cambria Math" panose="02040503050406030204" pitchFamily="18" charset="0"/>
                </a:rPr>
                <a:t>=(</a:t>
              </a:r>
              <a:r>
                <a:rPr lang="es-AR" sz="1200" b="0" i="0">
                  <a:latin typeface="Cambria Math" panose="02040503050406030204" pitchFamily="18" charset="0"/>
                </a:rPr>
                <a:t>−1)  𝐷/((</a:t>
              </a:r>
              <a:r>
                <a:rPr lang="es-AR" sz="1200" i="0">
                  <a:latin typeface="Cambria Math" panose="02040503050406030204" pitchFamily="18" charset="0"/>
                </a:rPr>
                <a:t>1+𝑇𝐼𝑅) ) (</a:t>
              </a:r>
              <a:r>
                <a:rPr lang="es-AR" sz="1200" b="0" i="0">
                  <a:latin typeface="Cambria Math" panose="02040503050406030204" pitchFamily="18" charset="0"/>
                </a:rPr>
                <a:t>𝑑𝑇𝐼𝑅)𝑃</a:t>
              </a:r>
              <a:endParaRPr lang="es-AR" sz="1200"/>
            </a:p>
          </xdr:txBody>
        </xdr:sp>
      </mc:Fallback>
    </mc:AlternateContent>
    <xdr:clientData/>
  </xdr:twoCellAnchor>
  <xdr:twoCellAnchor>
    <xdr:from>
      <xdr:col>14</xdr:col>
      <xdr:colOff>552450</xdr:colOff>
      <xdr:row>135</xdr:row>
      <xdr:rowOff>23812</xdr:rowOff>
    </xdr:from>
    <xdr:to>
      <xdr:col>20</xdr:col>
      <xdr:colOff>666750</xdr:colOff>
      <xdr:row>147</xdr:row>
      <xdr:rowOff>100012</xdr:rowOff>
    </xdr:to>
    <xdr:graphicFrame macro="">
      <xdr:nvGraphicFramePr>
        <xdr:cNvPr id="88" name="Gráfico 7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330200</xdr:colOff>
          <xdr:row>132</xdr:row>
          <xdr:rowOff>88900</xdr:rowOff>
        </xdr:from>
        <xdr:to>
          <xdr:col>13</xdr:col>
          <xdr:colOff>698500</xdr:colOff>
          <xdr:row>134</xdr:row>
          <xdr:rowOff>127000</xdr:rowOff>
        </xdr:to>
        <xdr:sp macro="" textlink="">
          <xdr:nvSpPr>
            <xdr:cNvPr id="5121" name="Spinner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8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27</xdr:col>
      <xdr:colOff>295275</xdr:colOff>
      <xdr:row>136</xdr:row>
      <xdr:rowOff>33337</xdr:rowOff>
    </xdr:from>
    <xdr:to>
      <xdr:col>33</xdr:col>
      <xdr:colOff>295275</xdr:colOff>
      <xdr:row>148</xdr:row>
      <xdr:rowOff>109537</xdr:rowOff>
    </xdr:to>
    <xdr:graphicFrame macro="">
      <xdr:nvGraphicFramePr>
        <xdr:cNvPr id="89" name="Gráfico 6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4</xdr:col>
      <xdr:colOff>396240</xdr:colOff>
      <xdr:row>1</xdr:row>
      <xdr:rowOff>142240</xdr:rowOff>
    </xdr:from>
    <xdr:to>
      <xdr:col>11</xdr:col>
      <xdr:colOff>91440</xdr:colOff>
      <xdr:row>16</xdr:row>
      <xdr:rowOff>66842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09920" y="406400"/>
          <a:ext cx="5537200" cy="297260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685800</xdr:colOff>
      <xdr:row>21</xdr:row>
      <xdr:rowOff>19050</xdr:rowOff>
    </xdr:from>
    <xdr:to>
      <xdr:col>5</xdr:col>
      <xdr:colOff>323850</xdr:colOff>
      <xdr:row>23</xdr:row>
      <xdr:rowOff>141971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5">
              <a:extLst>
                <a:ext uri="{FF2B5EF4-FFF2-40B4-BE49-F238E27FC236}">
                  <a16:creationId xmlns:a16="http://schemas.microsoft.com/office/drawing/2014/main" id="{00000000-0008-0000-0900-000002000000}"/>
                </a:ext>
              </a:extLst>
            </xdr:cNvPr>
            <xdr:cNvSpPr txBox="1"/>
          </xdr:nvSpPr>
          <xdr:spPr>
            <a:xfrm>
              <a:off x="685800" y="31210250"/>
              <a:ext cx="5784850" cy="529321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AR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AR" sz="12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AR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f>
                          <m:fPr>
                            <m:ctrlPr>
                              <a:rPr lang="es-AR" sz="12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s-AR" sz="12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  <m:r>
                                  <a:rPr lang="es-AR" sz="1200" i="1">
                                    <a:latin typeface="Cambria Math" panose="02040503050406030204" pitchFamily="18" charset="0"/>
                                  </a:rPr>
                                  <m:t>𝐶𝐹</m:t>
                                </m:r>
                              </m:e>
                              <m:sub>
                                <m:r>
                                  <a:rPr lang="es-AR" sz="120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num>
                          <m:den>
                            <m:sSup>
                              <m:sSupPr>
                                <m:ctrlPr>
                                  <a:rPr lang="es-AR" sz="12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  <m:t>1+</m:t>
                                    </m:r>
                                    <m: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  <m:t>𝑇𝐼𝑅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sup>
                            </m:sSup>
                          </m:den>
                        </m:f>
                        <m:r>
                          <a:rPr lang="es-AR" sz="1200" i="1"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es-AR" sz="12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s-AR" sz="12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  <m:r>
                                  <a:rPr lang="es-AR" sz="1200" i="1">
                                    <a:latin typeface="Cambria Math" panose="02040503050406030204" pitchFamily="18" charset="0"/>
                                  </a:rPr>
                                  <m:t>𝐶𝐹</m:t>
                                </m:r>
                              </m:e>
                              <m:sub>
                                <m:r>
                                  <a:rPr lang="es-AR" sz="120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num>
                          <m:den>
                            <m:sSup>
                              <m:sSupPr>
                                <m:ctrlPr>
                                  <a:rPr lang="es-AR" sz="12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  <m:t>1+</m:t>
                                    </m:r>
                                    <m: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  <m:t>𝑇𝐼𝑅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  <m:r>
                          <a:rPr lang="es-AR" sz="1200" i="1">
                            <a:latin typeface="Cambria Math" panose="02040503050406030204" pitchFamily="18" charset="0"/>
                          </a:rPr>
                          <m:t>+…+</m:t>
                        </m:r>
                        <m:f>
                          <m:fPr>
                            <m:ctrlPr>
                              <a:rPr lang="es-AR" sz="12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s-AR" sz="12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AR" sz="1200" b="0" i="1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  <m:r>
                                  <a:rPr lang="es-AR" sz="1200" i="1">
                                    <a:latin typeface="Cambria Math" panose="02040503050406030204" pitchFamily="18" charset="0"/>
                                  </a:rPr>
                                  <m:t>𝐶𝐹</m:t>
                                </m:r>
                              </m:e>
                              <m:sub>
                                <m:r>
                                  <a:rPr lang="es-AR" sz="1200" i="1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</m:sub>
                            </m:sSub>
                          </m:num>
                          <m:den>
                            <m:sSup>
                              <m:sSupPr>
                                <m:ctrlPr>
                                  <a:rPr lang="es-AR" sz="12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  <m:t>1+</m:t>
                                    </m:r>
                                    <m:r>
                                      <a:rPr lang="es-AR" sz="1200" i="1">
                                        <a:latin typeface="Cambria Math" panose="02040503050406030204" pitchFamily="18" charset="0"/>
                                      </a:rPr>
                                      <m:t>𝑇𝐼𝑅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s-AR" sz="1200" i="1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</m:sup>
                            </m:sSup>
                          </m:den>
                        </m:f>
                      </m:num>
                      <m:den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𝑃</m:t>
                        </m:r>
                      </m:den>
                    </m:f>
                  </m:oMath>
                </m:oMathPara>
              </a14:m>
              <a:endParaRPr lang="es-AR" sz="1200"/>
            </a:p>
          </xdr:txBody>
        </xdr:sp>
      </mc:Choice>
      <mc:Fallback xmlns="">
        <xdr:sp macro="" textlink="">
          <xdr:nvSpPr>
            <xdr:cNvPr id="2" name="CuadroTexto 5">
              <a:extLst>
                <a:ext uri="{FF2B5EF4-FFF2-40B4-BE49-F238E27FC236}">
                  <a16:creationId xmlns:a16="http://schemas.microsoft.com/office/drawing/2014/main" id="{52776448-1B86-C742-9309-18EC86F9B8BF}"/>
                </a:ext>
              </a:extLst>
            </xdr:cNvPr>
            <xdr:cNvSpPr txBox="1"/>
          </xdr:nvSpPr>
          <xdr:spPr>
            <a:xfrm>
              <a:off x="685800" y="31210250"/>
              <a:ext cx="5784850" cy="529321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AR" sz="1200" i="0">
                  <a:latin typeface="Cambria Math" panose="02040503050406030204" pitchFamily="18" charset="0"/>
                </a:rPr>
                <a:t>𝐷=(〖</a:t>
              </a:r>
              <a:r>
                <a:rPr lang="es-AR" sz="1200" b="0" i="0">
                  <a:latin typeface="Cambria Math" panose="02040503050406030204" pitchFamily="18" charset="0"/>
                </a:rPr>
                <a:t>1</a:t>
              </a:r>
              <a:r>
                <a:rPr lang="es-AR" sz="1200" i="0">
                  <a:latin typeface="Cambria Math" panose="02040503050406030204" pitchFamily="18" charset="0"/>
                </a:rPr>
                <a:t>𝐶𝐹〗_1/(1+𝑇𝐼𝑅)^</a:t>
              </a:r>
              <a:r>
                <a:rPr lang="es-AR" sz="1200" b="0" i="0">
                  <a:latin typeface="Cambria Math" panose="02040503050406030204" pitchFamily="18" charset="0"/>
                </a:rPr>
                <a:t>1 </a:t>
              </a:r>
              <a:r>
                <a:rPr lang="es-AR" sz="1200" i="0">
                  <a:latin typeface="Cambria Math" panose="02040503050406030204" pitchFamily="18" charset="0"/>
                </a:rPr>
                <a:t>+〖</a:t>
              </a:r>
              <a:r>
                <a:rPr lang="es-AR" sz="1200" b="0" i="0">
                  <a:latin typeface="Cambria Math" panose="02040503050406030204" pitchFamily="18" charset="0"/>
                </a:rPr>
                <a:t>2</a:t>
              </a:r>
              <a:r>
                <a:rPr lang="es-AR" sz="1200" i="0">
                  <a:latin typeface="Cambria Math" panose="02040503050406030204" pitchFamily="18" charset="0"/>
                </a:rPr>
                <a:t>𝐶𝐹〗_2/(1+𝑇𝐼𝑅)^</a:t>
              </a:r>
              <a:r>
                <a:rPr lang="es-AR" sz="1200" b="0" i="0">
                  <a:latin typeface="Cambria Math" panose="02040503050406030204" pitchFamily="18" charset="0"/>
                </a:rPr>
                <a:t>2 </a:t>
              </a:r>
              <a:r>
                <a:rPr lang="es-AR" sz="1200" i="0">
                  <a:latin typeface="Cambria Math" panose="02040503050406030204" pitchFamily="18" charset="0"/>
                </a:rPr>
                <a:t>+…+〖</a:t>
              </a:r>
              <a:r>
                <a:rPr lang="es-AR" sz="1200" b="0" i="0">
                  <a:latin typeface="Cambria Math" panose="02040503050406030204" pitchFamily="18" charset="0"/>
                </a:rPr>
                <a:t>𝑇</a:t>
              </a:r>
              <a:r>
                <a:rPr lang="es-AR" sz="1200" i="0">
                  <a:latin typeface="Cambria Math" panose="02040503050406030204" pitchFamily="18" charset="0"/>
                </a:rPr>
                <a:t>𝐶𝐹〗_𝑇/(1+𝑇𝐼𝑅)^𝑇 )/</a:t>
              </a:r>
              <a:r>
                <a:rPr lang="es-AR" sz="1200" b="0" i="0">
                  <a:latin typeface="Cambria Math" panose="02040503050406030204" pitchFamily="18" charset="0"/>
                </a:rPr>
                <a:t>𝑃</a:t>
              </a:r>
              <a:endParaRPr lang="es-AR" sz="1200"/>
            </a:p>
          </xdr:txBody>
        </xdr:sp>
      </mc:Fallback>
    </mc:AlternateContent>
    <xdr:clientData/>
  </xdr:twoCellAnchor>
  <xdr:oneCellAnchor>
    <xdr:from>
      <xdr:col>0</xdr:col>
      <xdr:colOff>709612</xdr:colOff>
      <xdr:row>34</xdr:row>
      <xdr:rowOff>147637</xdr:rowOff>
    </xdr:from>
    <xdr:ext cx="6030690" cy="2811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900-000003000000}"/>
                </a:ext>
              </a:extLst>
            </xdr:cNvPr>
            <xdr:cNvSpPr txBox="1"/>
          </xdr:nvSpPr>
          <xdr:spPr>
            <a:xfrm>
              <a:off x="709612" y="33980437"/>
              <a:ext cx="6030690" cy="2811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es-AR" sz="1200" b="0" i="1">
                      <a:latin typeface="Cambria Math" panose="02040503050406030204" pitchFamily="18" charset="0"/>
                    </a:rPr>
                    <m:t>10</m:t>
                  </m:r>
                  <m:sSup>
                    <m:sSupPr>
                      <m:ctrlPr>
                        <a:rPr lang="es-AR" sz="12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d>
                        <m:dPr>
                          <m:ctrlPr>
                            <a:rPr lang="es-AR" sz="1200" b="0" i="1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r>
                            <a:rPr lang="es-AR" sz="1200" b="0" i="1">
                              <a:latin typeface="Cambria Math" panose="02040503050406030204" pitchFamily="18" charset="0"/>
                            </a:rPr>
                            <m:t>1,10</m:t>
                          </m:r>
                        </m:e>
                      </m:d>
                    </m:e>
                    <m:sup>
                      <m:r>
                        <a:rPr lang="es-AR" sz="1200" b="0" i="1">
                          <a:latin typeface="Cambria Math" panose="02040503050406030204" pitchFamily="18" charset="0"/>
                        </a:rPr>
                        <m:t>3,17</m:t>
                      </m:r>
                    </m:sup>
                  </m:sSup>
                  <m:r>
                    <a:rPr lang="es-AR" sz="1200" b="0" i="1">
                      <a:latin typeface="Cambria Math" panose="02040503050406030204" pitchFamily="18" charset="0"/>
                    </a:rPr>
                    <m:t>+10</m:t>
                  </m:r>
                  <m:sSup>
                    <m:sSupPr>
                      <m:ctrlPr>
                        <a:rPr lang="es-AR" sz="12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d>
                        <m:dPr>
                          <m:ctrlPr>
                            <a:rPr lang="es-AR" sz="1200" b="0" i="1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r>
                            <a:rPr lang="es-AR" sz="1200" b="0" i="1">
                              <a:latin typeface="Cambria Math" panose="02040503050406030204" pitchFamily="18" charset="0"/>
                            </a:rPr>
                            <m:t>1,10</m:t>
                          </m:r>
                        </m:e>
                      </m:d>
                    </m:e>
                    <m:sup>
                      <m:r>
                        <a:rPr lang="es-AR" sz="1200" b="0" i="1">
                          <a:latin typeface="Cambria Math" panose="02040503050406030204" pitchFamily="18" charset="0"/>
                        </a:rPr>
                        <m:t>2,17</m:t>
                      </m:r>
                    </m:sup>
                  </m:sSup>
                  <m:r>
                    <a:rPr lang="es-AR" sz="1200" b="0" i="1">
                      <a:latin typeface="Cambria Math" panose="02040503050406030204" pitchFamily="18" charset="0"/>
                    </a:rPr>
                    <m:t>+</m:t>
                  </m:r>
                  <m:r>
                    <a:rPr lang="es-AR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10</m:t>
                  </m:r>
                  <m:sSup>
                    <m:sSupPr>
                      <m:ctrlPr>
                        <a:rPr lang="es-AR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es-AR" sz="12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r>
                            <a:rPr lang="es-AR" sz="12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1,10</m:t>
                          </m:r>
                        </m:e>
                      </m:d>
                    </m:e>
                    <m:sup>
                      <m:r>
                        <a:rPr lang="es-AR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1,17</m:t>
                      </m:r>
                    </m:sup>
                  </m:sSup>
                </m:oMath>
              </a14:m>
              <a:r>
                <a:rPr lang="es-AR" sz="1200"/>
                <a:t>+</a:t>
              </a:r>
              <a14:m>
                <m:oMath xmlns:m="http://schemas.openxmlformats.org/officeDocument/2006/math">
                  <m:r>
                    <a:rPr lang="es-AR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10</m:t>
                  </m:r>
                  <m:sSup>
                    <m:sSupPr>
                      <m:ctrlPr>
                        <a:rPr lang="es-AR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es-AR" sz="12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r>
                            <a:rPr lang="es-AR" sz="12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1,10</m:t>
                          </m:r>
                        </m:e>
                      </m:d>
                    </m:e>
                    <m:sup>
                      <m:r>
                        <a:rPr lang="es-AR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0,17</m:t>
                      </m:r>
                    </m:sup>
                  </m:sSup>
                  <m:r>
                    <a:rPr lang="es-AR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f>
                    <m:fPr>
                      <m:ctrlPr>
                        <a:rPr lang="es-AR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s-AR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110</m:t>
                      </m:r>
                    </m:num>
                    <m:den>
                      <m:sSup>
                        <m:sSupPr>
                          <m:ctrlPr>
                            <a:rPr lang="es-AR" sz="12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d>
                            <m:dPr>
                              <m:ctrlPr>
                                <a:rPr lang="es-AR" sz="12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s-AR" sz="12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1,10</m:t>
                              </m:r>
                            </m:e>
                          </m:d>
                        </m:e>
                        <m:sup>
                          <m:r>
                            <a:rPr lang="es-AR" sz="12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0,83</m:t>
                          </m:r>
                        </m:sup>
                      </m:sSup>
                    </m:den>
                  </m:f>
                  <m:r>
                    <a:rPr lang="es-AR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=100</m:t>
                  </m:r>
                  <m:sSup>
                    <m:sSupPr>
                      <m:ctrlPr>
                        <a:rPr lang="es-AR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es-AR" sz="12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r>
                            <a:rPr lang="es-AR" sz="12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1,10</m:t>
                          </m:r>
                        </m:e>
                      </m:d>
                    </m:e>
                    <m:sup>
                      <m:r>
                        <a:rPr lang="es-AR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4,17</m:t>
                      </m:r>
                    </m:sup>
                  </m:sSup>
                  <m:r>
                    <a:rPr lang="es-AR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=148,8</m:t>
                  </m:r>
                </m:oMath>
              </a14:m>
              <a:endParaRPr lang="es-AR" sz="12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76315750-9719-4D44-B7C4-A354C6CDE5A3}"/>
                </a:ext>
              </a:extLst>
            </xdr:cNvPr>
            <xdr:cNvSpPr txBox="1"/>
          </xdr:nvSpPr>
          <xdr:spPr>
            <a:xfrm>
              <a:off x="709612" y="33980437"/>
              <a:ext cx="6030690" cy="2811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AR" sz="1200" b="0" i="0">
                  <a:latin typeface="Cambria Math" panose="02040503050406030204" pitchFamily="18" charset="0"/>
                </a:rPr>
                <a:t>10(1,10)^3,17+10(1,10)^2,17+</a:t>
              </a:r>
              <a:r>
                <a:rPr lang="es-AR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10(1,10)^1,17</a:t>
              </a:r>
              <a:r>
                <a:rPr lang="es-AR" sz="1200"/>
                <a:t>+</a:t>
              </a:r>
              <a:r>
                <a:rPr lang="es-AR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10(1,10)^0,17+110/(1,10)^0,83 =100(1,10)^4,17=148,8</a:t>
              </a:r>
              <a:endParaRPr lang="es-AR" sz="1200"/>
            </a:p>
          </xdr:txBody>
        </xdr:sp>
      </mc:Fallback>
    </mc:AlternateContent>
    <xdr:clientData/>
  </xdr:oneCellAnchor>
  <xdr:twoCellAnchor>
    <xdr:from>
      <xdr:col>0</xdr:col>
      <xdr:colOff>676275</xdr:colOff>
      <xdr:row>26</xdr:row>
      <xdr:rowOff>171450</xdr:rowOff>
    </xdr:from>
    <xdr:to>
      <xdr:col>3</xdr:col>
      <xdr:colOff>523875</xdr:colOff>
      <xdr:row>28</xdr:row>
      <xdr:rowOff>167156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4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SpPr txBox="1"/>
          </xdr:nvSpPr>
          <xdr:spPr>
            <a:xfrm>
              <a:off x="676275" y="32378650"/>
              <a:ext cx="4343400" cy="402106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s-AR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𝑑𝑃</m:t>
                        </m:r>
                      </m:num>
                      <m:den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𝑃</m:t>
                        </m:r>
                      </m:den>
                    </m:f>
                    <m:r>
                      <a:rPr lang="es-AR" sz="120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s-AR" sz="12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f>
                      <m:fPr>
                        <m:ctrlPr>
                          <a:rPr lang="es-AR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num>
                      <m:den>
                        <m:d>
                          <m:dPr>
                            <m:ctrlPr>
                              <a:rPr lang="es-AR" sz="12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AR" sz="1200" i="1">
                                <a:latin typeface="Cambria Math" panose="02040503050406030204" pitchFamily="18" charset="0"/>
                              </a:rPr>
                              <m:t>1+</m:t>
                            </m:r>
                            <m:r>
                              <a:rPr lang="es-AR" sz="1200" i="1">
                                <a:latin typeface="Cambria Math" panose="02040503050406030204" pitchFamily="18" charset="0"/>
                              </a:rPr>
                              <m:t>𝑇𝐼𝑅</m:t>
                            </m:r>
                          </m:e>
                        </m:d>
                      </m:den>
                    </m:f>
                    <m:d>
                      <m:dPr>
                        <m:ctrlPr>
                          <a:rPr lang="es-AR" sz="12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𝑑𝑇𝐼𝑅</m:t>
                        </m:r>
                      </m:e>
                    </m:d>
                  </m:oMath>
                </m:oMathPara>
              </a14:m>
              <a:endParaRPr lang="es-AR" sz="1200"/>
            </a:p>
          </xdr:txBody>
        </xdr:sp>
      </mc:Choice>
      <mc:Fallback xmlns="">
        <xdr:sp macro="" textlink="">
          <xdr:nvSpPr>
            <xdr:cNvPr id="4" name="CuadroTexto 4">
              <a:extLst>
                <a:ext uri="{FF2B5EF4-FFF2-40B4-BE49-F238E27FC236}">
                  <a16:creationId xmlns:a16="http://schemas.microsoft.com/office/drawing/2014/main" id="{18995654-E9E9-554D-9507-2448A68B75D4}"/>
                </a:ext>
              </a:extLst>
            </xdr:cNvPr>
            <xdr:cNvSpPr txBox="1"/>
          </xdr:nvSpPr>
          <xdr:spPr>
            <a:xfrm>
              <a:off x="676275" y="32378650"/>
              <a:ext cx="4343400" cy="402106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AR" sz="1200" b="0" i="0">
                  <a:latin typeface="Cambria Math" panose="02040503050406030204" pitchFamily="18" charset="0"/>
                </a:rPr>
                <a:t>𝑑𝑃/𝑃</a:t>
              </a:r>
              <a:r>
                <a:rPr lang="es-AR" sz="1200" i="0">
                  <a:latin typeface="Cambria Math" panose="02040503050406030204" pitchFamily="18" charset="0"/>
                </a:rPr>
                <a:t>=(</a:t>
              </a:r>
              <a:r>
                <a:rPr lang="es-AR" sz="1200" b="0" i="0">
                  <a:latin typeface="Cambria Math" panose="02040503050406030204" pitchFamily="18" charset="0"/>
                </a:rPr>
                <a:t>−1)  𝐷/((</a:t>
              </a:r>
              <a:r>
                <a:rPr lang="es-AR" sz="1200" i="0">
                  <a:latin typeface="Cambria Math" panose="02040503050406030204" pitchFamily="18" charset="0"/>
                </a:rPr>
                <a:t>1+𝑇𝐼𝑅) ) (</a:t>
              </a:r>
              <a:r>
                <a:rPr lang="es-AR" sz="1200" b="0" i="0">
                  <a:latin typeface="Cambria Math" panose="02040503050406030204" pitchFamily="18" charset="0"/>
                </a:rPr>
                <a:t>𝑑𝑇𝐼𝑅)</a:t>
              </a:r>
              <a:endParaRPr lang="es-AR" sz="1200"/>
            </a:p>
          </xdr:txBody>
        </xdr:sp>
      </mc:Fallback>
    </mc:AlternateContent>
    <xdr:clientData/>
  </xdr:twoCellAnchor>
  <xdr:twoCellAnchor>
    <xdr:from>
      <xdr:col>6</xdr:col>
      <xdr:colOff>619124</xdr:colOff>
      <xdr:row>26</xdr:row>
      <xdr:rowOff>180975</xdr:rowOff>
    </xdr:from>
    <xdr:to>
      <xdr:col>9</xdr:col>
      <xdr:colOff>426330</xdr:colOff>
      <xdr:row>28</xdr:row>
      <xdr:rowOff>171808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7">
              <a:extLst>
                <a:ext uri="{FF2B5EF4-FFF2-40B4-BE49-F238E27FC236}">
                  <a16:creationId xmlns:a16="http://schemas.microsoft.com/office/drawing/2014/main" id="{00000000-0008-0000-0900-000005000000}"/>
                </a:ext>
              </a:extLst>
            </xdr:cNvPr>
            <xdr:cNvSpPr txBox="1"/>
          </xdr:nvSpPr>
          <xdr:spPr>
            <a:xfrm>
              <a:off x="7667624" y="32388175"/>
              <a:ext cx="2283706" cy="39723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AR" sz="1200" b="0" i="1">
                        <a:latin typeface="Cambria Math" panose="02040503050406030204" pitchFamily="18" charset="0"/>
                      </a:rPr>
                      <m:t>𝑑𝑃</m:t>
                    </m:r>
                    <m:r>
                      <a:rPr lang="es-AR" sz="120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s-AR" sz="12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f>
                      <m:fPr>
                        <m:ctrlPr>
                          <a:rPr lang="es-AR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num>
                      <m:den>
                        <m:d>
                          <m:dPr>
                            <m:ctrlPr>
                              <a:rPr lang="es-AR" sz="12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AR" sz="1200" i="1">
                                <a:latin typeface="Cambria Math" panose="02040503050406030204" pitchFamily="18" charset="0"/>
                              </a:rPr>
                              <m:t>1+</m:t>
                            </m:r>
                            <m:r>
                              <a:rPr lang="es-AR" sz="1200" i="1">
                                <a:latin typeface="Cambria Math" panose="02040503050406030204" pitchFamily="18" charset="0"/>
                              </a:rPr>
                              <m:t>𝑇𝐼𝑅</m:t>
                            </m:r>
                          </m:e>
                        </m:d>
                      </m:den>
                    </m:f>
                    <m:d>
                      <m:dPr>
                        <m:ctrlPr>
                          <a:rPr lang="es-AR" sz="12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AR" sz="1200" b="0" i="1">
                            <a:latin typeface="Cambria Math" panose="02040503050406030204" pitchFamily="18" charset="0"/>
                          </a:rPr>
                          <m:t>𝑑𝑇𝐼𝑅</m:t>
                        </m:r>
                      </m:e>
                    </m:d>
                    <m:r>
                      <a:rPr lang="es-AR" sz="1200" b="0" i="1">
                        <a:latin typeface="Cambria Math" panose="02040503050406030204" pitchFamily="18" charset="0"/>
                      </a:rPr>
                      <m:t>𝑃</m:t>
                    </m:r>
                  </m:oMath>
                </m:oMathPara>
              </a14:m>
              <a:endParaRPr lang="es-AR" sz="1200"/>
            </a:p>
          </xdr:txBody>
        </xdr:sp>
      </mc:Choice>
      <mc:Fallback xmlns="">
        <xdr:sp macro="" textlink="">
          <xdr:nvSpPr>
            <xdr:cNvPr id="5" name="CuadroTexto 7">
              <a:extLst>
                <a:ext uri="{FF2B5EF4-FFF2-40B4-BE49-F238E27FC236}">
                  <a16:creationId xmlns:a16="http://schemas.microsoft.com/office/drawing/2014/main" id="{4FF11A6C-FB18-304F-89D6-7D23EC19B992}"/>
                </a:ext>
              </a:extLst>
            </xdr:cNvPr>
            <xdr:cNvSpPr txBox="1"/>
          </xdr:nvSpPr>
          <xdr:spPr>
            <a:xfrm>
              <a:off x="7667624" y="32388175"/>
              <a:ext cx="2283706" cy="39723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AR" sz="1200" b="0" i="0">
                  <a:latin typeface="Cambria Math" panose="02040503050406030204" pitchFamily="18" charset="0"/>
                </a:rPr>
                <a:t>𝑑𝑃</a:t>
              </a:r>
              <a:r>
                <a:rPr lang="es-AR" sz="1200" i="0">
                  <a:latin typeface="Cambria Math" panose="02040503050406030204" pitchFamily="18" charset="0"/>
                </a:rPr>
                <a:t>=(</a:t>
              </a:r>
              <a:r>
                <a:rPr lang="es-AR" sz="1200" b="0" i="0">
                  <a:latin typeface="Cambria Math" panose="02040503050406030204" pitchFamily="18" charset="0"/>
                </a:rPr>
                <a:t>−1)  𝐷/((</a:t>
              </a:r>
              <a:r>
                <a:rPr lang="es-AR" sz="1200" i="0">
                  <a:latin typeface="Cambria Math" panose="02040503050406030204" pitchFamily="18" charset="0"/>
                </a:rPr>
                <a:t>1+𝑇𝐼𝑅) ) (</a:t>
              </a:r>
              <a:r>
                <a:rPr lang="es-AR" sz="1200" b="0" i="0">
                  <a:latin typeface="Cambria Math" panose="02040503050406030204" pitchFamily="18" charset="0"/>
                </a:rPr>
                <a:t>𝑑𝑇𝐼𝑅)𝑃</a:t>
              </a:r>
              <a:endParaRPr lang="es-AR" sz="1200"/>
            </a:p>
          </xdr:txBody>
        </xdr:sp>
      </mc:Fallback>
    </mc:AlternateContent>
    <xdr:clientData/>
  </xdr:twoCellAnchor>
  <xdr:twoCellAnchor>
    <xdr:from>
      <xdr:col>14</xdr:col>
      <xdr:colOff>552450</xdr:colOff>
      <xdr:row>6</xdr:row>
      <xdr:rowOff>23812</xdr:rowOff>
    </xdr:from>
    <xdr:to>
      <xdr:col>20</xdr:col>
      <xdr:colOff>666750</xdr:colOff>
      <xdr:row>18</xdr:row>
      <xdr:rowOff>100012</xdr:rowOff>
    </xdr:to>
    <xdr:graphicFrame macro="">
      <xdr:nvGraphicFramePr>
        <xdr:cNvPr id="6" name="Gráfico 7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330200</xdr:colOff>
          <xdr:row>3</xdr:row>
          <xdr:rowOff>88900</xdr:rowOff>
        </xdr:from>
        <xdr:to>
          <xdr:col>13</xdr:col>
          <xdr:colOff>698500</xdr:colOff>
          <xdr:row>5</xdr:row>
          <xdr:rowOff>127000</xdr:rowOff>
        </xdr:to>
        <xdr:sp macro="" textlink="">
          <xdr:nvSpPr>
            <xdr:cNvPr id="13313" name="Spinner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9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27</xdr:col>
      <xdr:colOff>295275</xdr:colOff>
      <xdr:row>7</xdr:row>
      <xdr:rowOff>33337</xdr:rowOff>
    </xdr:from>
    <xdr:to>
      <xdr:col>33</xdr:col>
      <xdr:colOff>295275</xdr:colOff>
      <xdr:row>19</xdr:row>
      <xdr:rowOff>109537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309960</xdr:colOff>
      <xdr:row>16</xdr:row>
      <xdr:rowOff>84480</xdr:rowOff>
    </xdr:from>
    <xdr:to>
      <xdr:col>7</xdr:col>
      <xdr:colOff>312840</xdr:colOff>
      <xdr:row>16</xdr:row>
      <xdr:rowOff>87360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3338" name="Ink 13337">
              <a:extLst>
                <a:ext uri="{FF2B5EF4-FFF2-40B4-BE49-F238E27FC236}">
                  <a16:creationId xmlns:a16="http://schemas.microsoft.com/office/drawing/2014/main" id="{00000000-0008-0000-0900-00001A340000}"/>
                </a:ext>
              </a:extLst>
            </xdr14:cNvPr>
            <xdr14:cNvContentPartPr/>
          </xdr14:nvContentPartPr>
          <xdr14:nvPr macro=""/>
          <xdr14:xfrm>
            <a:off x="5247720" y="3803040"/>
            <a:ext cx="2880" cy="2880"/>
          </xdr14:xfrm>
        </xdr:contentPart>
      </mc:Choice>
      <mc:Fallback xmlns="">
        <xdr:pic>
          <xdr:nvPicPr>
            <xdr:cNvPr id="13338" name="Ink 13337">
              <a:extLst>
                <a:ext uri="{FF2B5EF4-FFF2-40B4-BE49-F238E27FC236}">
                  <a16:creationId xmlns:a16="http://schemas.microsoft.com/office/drawing/2014/main" id="{01529A64-7208-0FBE-A8DC-3CE5DC8B505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243400" y="3798720"/>
              <a:ext cx="11520" cy="11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11</xdr:col>
      <xdr:colOff>297180</xdr:colOff>
      <xdr:row>49</xdr:row>
      <xdr:rowOff>110490</xdr:rowOff>
    </xdr:from>
    <xdr:to>
      <xdr:col>17</xdr:col>
      <xdr:colOff>410784</xdr:colOff>
      <xdr:row>51</xdr:row>
      <xdr:rowOff>136659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39" name="CuadroTexto 5">
              <a:extLst>
                <a:ext uri="{FF2B5EF4-FFF2-40B4-BE49-F238E27FC236}">
                  <a16:creationId xmlns:a16="http://schemas.microsoft.com/office/drawing/2014/main" id="{00000000-0008-0000-0900-00001B340000}"/>
                </a:ext>
              </a:extLst>
            </xdr:cNvPr>
            <xdr:cNvSpPr txBox="1"/>
          </xdr:nvSpPr>
          <xdr:spPr>
            <a:xfrm>
              <a:off x="12006580" y="2117090"/>
              <a:ext cx="5371404" cy="635769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AR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AR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AR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f>
                          <m:fPr>
                            <m:ctrlPr>
                              <a:rPr lang="es-AR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s-AR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AR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  <m:r>
                                  <a:rPr lang="es-AR" i="1">
                                    <a:latin typeface="Cambria Math" panose="02040503050406030204" pitchFamily="18" charset="0"/>
                                  </a:rPr>
                                  <m:t>𝐶𝐹</m:t>
                                </m:r>
                              </m:e>
                              <m:sub>
                                <m:r>
                                  <a:rPr lang="es-AR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num>
                          <m:den>
                            <m:sSup>
                              <m:sSupPr>
                                <m:ctrlPr>
                                  <a:rPr lang="es-AR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s-AR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s-AR" i="1">
                                        <a:latin typeface="Cambria Math" panose="02040503050406030204" pitchFamily="18" charset="0"/>
                                      </a:rPr>
                                      <m:t>1+</m:t>
                                    </m:r>
                                    <m:r>
                                      <a:rPr lang="es-AR" i="1">
                                        <a:latin typeface="Cambria Math" panose="02040503050406030204" pitchFamily="18" charset="0"/>
                                      </a:rPr>
                                      <m:t>𝑇𝐼𝑅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s-AR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sup>
                            </m:sSup>
                          </m:den>
                        </m:f>
                        <m:r>
                          <a:rPr lang="es-AR" i="1"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es-AR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s-AR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AR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  <m:r>
                                  <a:rPr lang="es-AR" i="1">
                                    <a:latin typeface="Cambria Math" panose="02040503050406030204" pitchFamily="18" charset="0"/>
                                  </a:rPr>
                                  <m:t>𝐶𝐹</m:t>
                                </m:r>
                              </m:e>
                              <m:sub>
                                <m:r>
                                  <a:rPr lang="es-AR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num>
                          <m:den>
                            <m:sSup>
                              <m:sSupPr>
                                <m:ctrlPr>
                                  <a:rPr lang="es-AR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s-AR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s-AR" i="1">
                                        <a:latin typeface="Cambria Math" panose="02040503050406030204" pitchFamily="18" charset="0"/>
                                      </a:rPr>
                                      <m:t>1+</m:t>
                                    </m:r>
                                    <m:r>
                                      <a:rPr lang="es-AR" i="1">
                                        <a:latin typeface="Cambria Math" panose="02040503050406030204" pitchFamily="18" charset="0"/>
                                      </a:rPr>
                                      <m:t>𝑇𝐼𝑅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s-AR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  <m:r>
                          <a:rPr lang="es-AR" i="1">
                            <a:latin typeface="Cambria Math" panose="02040503050406030204" pitchFamily="18" charset="0"/>
                          </a:rPr>
                          <m:t>+…+</m:t>
                        </m:r>
                        <m:f>
                          <m:fPr>
                            <m:ctrlPr>
                              <a:rPr lang="es-AR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s-AR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AR" b="0" i="1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  <m:r>
                                  <a:rPr lang="es-AR" i="1">
                                    <a:latin typeface="Cambria Math" panose="02040503050406030204" pitchFamily="18" charset="0"/>
                                  </a:rPr>
                                  <m:t>𝐶𝐹</m:t>
                                </m:r>
                              </m:e>
                              <m:sub>
                                <m:r>
                                  <a:rPr lang="es-AR" i="1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</m:sub>
                            </m:sSub>
                          </m:num>
                          <m:den>
                            <m:sSup>
                              <m:sSupPr>
                                <m:ctrlPr>
                                  <a:rPr lang="es-AR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s-AR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s-AR" i="1">
                                        <a:latin typeface="Cambria Math" panose="02040503050406030204" pitchFamily="18" charset="0"/>
                                      </a:rPr>
                                      <m:t>1+</m:t>
                                    </m:r>
                                    <m:r>
                                      <a:rPr lang="es-AR" i="1">
                                        <a:latin typeface="Cambria Math" panose="02040503050406030204" pitchFamily="18" charset="0"/>
                                      </a:rPr>
                                      <m:t>𝑇𝐼𝑅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s-AR" i="1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</m:sup>
                            </m:sSup>
                          </m:den>
                        </m:f>
                      </m:num>
                      <m:den>
                        <m:r>
                          <a:rPr lang="es-AR" b="0" i="1">
                            <a:latin typeface="Cambria Math" panose="02040503050406030204" pitchFamily="18" charset="0"/>
                          </a:rPr>
                          <m:t>𝑃</m:t>
                        </m:r>
                      </m:den>
                    </m:f>
                  </m:oMath>
                </m:oMathPara>
              </a14:m>
              <a:endParaRPr lang="es-AR"/>
            </a:p>
          </xdr:txBody>
        </xdr:sp>
      </mc:Choice>
      <mc:Fallback xmlns="">
        <xdr:sp macro="" textlink="">
          <xdr:nvSpPr>
            <xdr:cNvPr id="13339" name="CuadroTexto 5">
              <a:extLst>
                <a:ext uri="{FF2B5EF4-FFF2-40B4-BE49-F238E27FC236}">
                  <a16:creationId xmlns:a16="http://schemas.microsoft.com/office/drawing/2014/main" id="{B14822F2-CB43-7F43-8E88-3CE3B264F60E}"/>
                </a:ext>
              </a:extLst>
            </xdr:cNvPr>
            <xdr:cNvSpPr txBox="1"/>
          </xdr:nvSpPr>
          <xdr:spPr>
            <a:xfrm>
              <a:off x="12006580" y="2117090"/>
              <a:ext cx="5371404" cy="635769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AR" i="0">
                  <a:latin typeface="Cambria Math" panose="02040503050406030204" pitchFamily="18" charset="0"/>
                </a:rPr>
                <a:t>𝐷=(〖</a:t>
              </a:r>
              <a:r>
                <a:rPr lang="es-AR" b="0" i="0">
                  <a:latin typeface="Cambria Math" panose="02040503050406030204" pitchFamily="18" charset="0"/>
                </a:rPr>
                <a:t>1</a:t>
              </a:r>
              <a:r>
                <a:rPr lang="es-AR" i="0">
                  <a:latin typeface="Cambria Math" panose="02040503050406030204" pitchFamily="18" charset="0"/>
                </a:rPr>
                <a:t>𝐶𝐹〗_1/(1+𝑇𝐼𝑅)^</a:t>
              </a:r>
              <a:r>
                <a:rPr lang="es-AR" b="0" i="0">
                  <a:latin typeface="Cambria Math" panose="02040503050406030204" pitchFamily="18" charset="0"/>
                </a:rPr>
                <a:t>1 </a:t>
              </a:r>
              <a:r>
                <a:rPr lang="es-AR" i="0">
                  <a:latin typeface="Cambria Math" panose="02040503050406030204" pitchFamily="18" charset="0"/>
                </a:rPr>
                <a:t>+〖</a:t>
              </a:r>
              <a:r>
                <a:rPr lang="es-AR" b="0" i="0">
                  <a:latin typeface="Cambria Math" panose="02040503050406030204" pitchFamily="18" charset="0"/>
                </a:rPr>
                <a:t>2</a:t>
              </a:r>
              <a:r>
                <a:rPr lang="es-AR" i="0">
                  <a:latin typeface="Cambria Math" panose="02040503050406030204" pitchFamily="18" charset="0"/>
                </a:rPr>
                <a:t>𝐶𝐹〗_2/(1+𝑇𝐼𝑅)^</a:t>
              </a:r>
              <a:r>
                <a:rPr lang="es-AR" b="0" i="0">
                  <a:latin typeface="Cambria Math" panose="02040503050406030204" pitchFamily="18" charset="0"/>
                </a:rPr>
                <a:t>2 </a:t>
              </a:r>
              <a:r>
                <a:rPr lang="es-AR" i="0">
                  <a:latin typeface="Cambria Math" panose="02040503050406030204" pitchFamily="18" charset="0"/>
                </a:rPr>
                <a:t>+…+〖</a:t>
              </a:r>
              <a:r>
                <a:rPr lang="es-AR" b="0" i="0">
                  <a:latin typeface="Cambria Math" panose="02040503050406030204" pitchFamily="18" charset="0"/>
                </a:rPr>
                <a:t>𝑇</a:t>
              </a:r>
              <a:r>
                <a:rPr lang="es-AR" i="0">
                  <a:latin typeface="Cambria Math" panose="02040503050406030204" pitchFamily="18" charset="0"/>
                </a:rPr>
                <a:t>𝐶𝐹〗_𝑇/(1+𝑇𝐼𝑅)^𝑇 )/</a:t>
              </a:r>
              <a:r>
                <a:rPr lang="es-AR" b="0" i="0">
                  <a:latin typeface="Cambria Math" panose="02040503050406030204" pitchFamily="18" charset="0"/>
                </a:rPr>
                <a:t>𝑃</a:t>
              </a:r>
              <a:endParaRPr lang="es-AR"/>
            </a:p>
          </xdr:txBody>
        </xdr:sp>
      </mc:Fallback>
    </mc:AlternateContent>
    <xdr:clientData/>
  </xdr:twoCellAnchor>
  <xdr:twoCellAnchor>
    <xdr:from>
      <xdr:col>2</xdr:col>
      <xdr:colOff>691515</xdr:colOff>
      <xdr:row>71</xdr:row>
      <xdr:rowOff>28575</xdr:rowOff>
    </xdr:from>
    <xdr:to>
      <xdr:col>12</xdr:col>
      <xdr:colOff>338103</xdr:colOff>
      <xdr:row>74</xdr:row>
      <xdr:rowOff>102037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40" name="TextBox 7">
              <a:extLst>
                <a:ext uri="{FF2B5EF4-FFF2-40B4-BE49-F238E27FC236}">
                  <a16:creationId xmlns:a16="http://schemas.microsoft.com/office/drawing/2014/main" id="{00000000-0008-0000-0900-00001C340000}"/>
                </a:ext>
              </a:extLst>
            </xdr:cNvPr>
            <xdr:cNvSpPr txBox="1"/>
          </xdr:nvSpPr>
          <xdr:spPr>
            <a:xfrm>
              <a:off x="4412615" y="6492875"/>
              <a:ext cx="8511188" cy="644962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b="0" i="1">
                        <a:latin typeface="Cambria Math" panose="02040503050406030204" pitchFamily="18" charset="0"/>
                      </a:rPr>
                      <m:t>𝑃𝑃𝑉</m:t>
                    </m:r>
                    <m:r>
                      <a:rPr lang="en-US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b="0" i="1">
                            <a:latin typeface="Cambria Math" panose="02040503050406030204" pitchFamily="18" charset="0"/>
                          </a:rPr>
                          <m:t>1</m:t>
                        </m:r>
                      </m:e>
                    </m:d>
                    <m:d>
                      <m:dPr>
                        <m:begChr m:val="["/>
                        <m:endChr m:val="]"/>
                        <m:ctrlPr>
                          <a:rPr lang="en-U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d>
                              <m:dPr>
                                <m:ctrlPr>
                                  <a:rPr lang="en-US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  <m:t>𝐴</m:t>
                                    </m:r>
                                  </m:e>
                                  <m:sub>
                                    <m:r>
                                      <a:rPr lang="en-US" b="0" i="1">
                                        <a:latin typeface="Cambria Math" panose="02040503050406030204" pitchFamily="18" charset="0"/>
                                      </a:rPr>
                                      <m:t>1</m:t>
                                    </m:r>
                                  </m:sub>
                                </m:sSub>
                                <m:r>
                                  <a:rPr lang="en-US" i="1">
                                    <a:latin typeface="Cambria Math" panose="02040503050406030204" pitchFamily="18" charset="0"/>
                                  </a:rPr>
                                  <m:t>+</m:t>
                                </m:r>
                                <m:sSub>
                                  <m:sSubPr>
                                    <m:ctrlP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  <m:t>𝑅</m:t>
                                    </m:r>
                                  </m:e>
                                  <m:sub>
                                    <m:r>
                                      <a:rPr lang="en-US" b="0" i="1">
                                        <a:latin typeface="Cambria Math" panose="02040503050406030204" pitchFamily="18" charset="0"/>
                                      </a:rPr>
                                      <m:t>1</m:t>
                                    </m:r>
                                  </m:sub>
                                </m:sSub>
                              </m:e>
                            </m:d>
                          </m:num>
                          <m:den>
                            <m:nary>
                              <m:naryPr>
                                <m:chr m:val="∑"/>
                                <m:ctrlPr>
                                  <a:rPr lang="en-US" i="1">
                                    <a:latin typeface="Cambria Math" panose="02040503050406030204" pitchFamily="18" charset="0"/>
                                  </a:rPr>
                                </m:ctrlPr>
                              </m:naryPr>
                              <m:sub>
                                <m:r>
                                  <m:rPr>
                                    <m:brk m:alnAt="23"/>
                                  </m:rPr>
                                  <a:rPr lang="en-US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  <m:r>
                                  <a:rPr lang="en-US" i="1">
                                    <a:latin typeface="Cambria Math" panose="02040503050406030204" pitchFamily="18" charset="0"/>
                                  </a:rPr>
                                  <m:t>=1</m:t>
                                </m:r>
                              </m:sub>
                              <m:sup>
                                <m:r>
                                  <a:rPr lang="en-US" b="0" i="1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</m:sup>
                              <m:e>
                                <m:d>
                                  <m:dPr>
                                    <m:ctrlP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sSub>
                                      <m:sSubPr>
                                        <m:ctrlPr>
                                          <a:rPr lang="en-US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i="1">
                                            <a:latin typeface="Cambria Math" panose="02040503050406030204" pitchFamily="18" charset="0"/>
                                          </a:rPr>
                                          <m:t>𝐴</m:t>
                                        </m:r>
                                      </m:e>
                                      <m:sub>
                                        <m:r>
                                          <a:rPr lang="en-US" b="0" i="1">
                                            <a:latin typeface="Cambria Math" panose="02040503050406030204" pitchFamily="18" charset="0"/>
                                          </a:rPr>
                                          <m:t>1</m:t>
                                        </m:r>
                                      </m:sub>
                                    </m:sSub>
                                    <m: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  <m:t>+</m:t>
                                    </m:r>
                                    <m:sSub>
                                      <m:sSubPr>
                                        <m:ctrlPr>
                                          <a:rPr lang="en-US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i="1">
                                            <a:latin typeface="Cambria Math" panose="02040503050406030204" pitchFamily="18" charset="0"/>
                                          </a:rPr>
                                          <m:t>𝑅</m:t>
                                        </m:r>
                                      </m:e>
                                      <m:sub>
                                        <m:r>
                                          <a:rPr lang="en-US" b="0" i="1">
                                            <a:latin typeface="Cambria Math" panose="02040503050406030204" pitchFamily="18" charset="0"/>
                                          </a:rPr>
                                          <m:t>1</m:t>
                                        </m:r>
                                      </m:sub>
                                    </m:sSub>
                                  </m:e>
                                </m:d>
                              </m:e>
                            </m:nary>
                          </m:den>
                        </m:f>
                      </m:e>
                    </m:d>
                    <m:r>
                      <a:rPr lang="en-US" b="0" i="0">
                        <a:latin typeface="Cambria Math" panose="02040503050406030204" pitchFamily="18" charset="0"/>
                      </a:rPr>
                      <m:t>+</m:t>
                    </m:r>
                    <m:d>
                      <m:dPr>
                        <m:ctrlPr>
                          <a:rPr lang="en-US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b="0" i="1">
                            <a:latin typeface="Cambria Math" panose="02040503050406030204" pitchFamily="18" charset="0"/>
                          </a:rPr>
                          <m:t>2</m:t>
                        </m:r>
                      </m:e>
                    </m:d>
                    <m:d>
                      <m:dPr>
                        <m:begChr m:val="["/>
                        <m:endChr m:val="]"/>
                        <m:ctrlPr>
                          <a:rPr lang="en-US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d>
                              <m:dPr>
                                <m:ctrlPr>
                                  <a:rPr lang="en-US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  <m:t>𝐴</m:t>
                                    </m:r>
                                  </m:e>
                                  <m:sub>
                                    <m:r>
                                      <a:rPr lang="en-US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b>
                                </m:sSub>
                                <m:r>
                                  <a:rPr lang="en-US" i="1">
                                    <a:latin typeface="Cambria Math" panose="02040503050406030204" pitchFamily="18" charset="0"/>
                                  </a:rPr>
                                  <m:t>+</m:t>
                                </m:r>
                                <m:sSub>
                                  <m:sSubPr>
                                    <m:ctrlP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  <m:t>𝑅</m:t>
                                    </m:r>
                                  </m:e>
                                  <m:sub>
                                    <m:r>
                                      <a:rPr lang="en-US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b>
                                </m:sSub>
                              </m:e>
                            </m:d>
                          </m:num>
                          <m:den>
                            <m:nary>
                              <m:naryPr>
                                <m:chr m:val="∑"/>
                                <m:ctrlPr>
                                  <a:rPr lang="en-US" i="1">
                                    <a:latin typeface="Cambria Math" panose="02040503050406030204" pitchFamily="18" charset="0"/>
                                  </a:rPr>
                                </m:ctrlPr>
                              </m:naryPr>
                              <m:sub>
                                <m:r>
                                  <m:rPr>
                                    <m:brk m:alnAt="23"/>
                                  </m:rPr>
                                  <a:rPr lang="en-US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  <m:r>
                                  <a:rPr lang="en-US" i="1">
                                    <a:latin typeface="Cambria Math" panose="02040503050406030204" pitchFamily="18" charset="0"/>
                                  </a:rPr>
                                  <m:t>=1</m:t>
                                </m:r>
                              </m:sub>
                              <m:sup>
                                <m:r>
                                  <a:rPr lang="en-US" b="0" i="1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</m:sup>
                              <m:e>
                                <m:d>
                                  <m:dPr>
                                    <m:ctrlP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sSub>
                                      <m:sSubPr>
                                        <m:ctrlPr>
                                          <a:rPr lang="en-US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i="1">
                                            <a:latin typeface="Cambria Math" panose="02040503050406030204" pitchFamily="18" charset="0"/>
                                          </a:rPr>
                                          <m:t>𝐴</m:t>
                                        </m:r>
                                      </m:e>
                                      <m:sub>
                                        <m:r>
                                          <a:rPr lang="en-US" b="0" i="1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b>
                                    </m:sSub>
                                    <m: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  <m:t>+</m:t>
                                    </m:r>
                                    <m:sSub>
                                      <m:sSubPr>
                                        <m:ctrlPr>
                                          <a:rPr lang="en-US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i="1">
                                            <a:latin typeface="Cambria Math" panose="02040503050406030204" pitchFamily="18" charset="0"/>
                                          </a:rPr>
                                          <m:t>𝑅</m:t>
                                        </m:r>
                                      </m:e>
                                      <m:sub>
                                        <m:r>
                                          <a:rPr lang="en-US" b="0" i="1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b>
                                    </m:sSub>
                                  </m:e>
                                </m:d>
                              </m:e>
                            </m:nary>
                          </m:den>
                        </m:f>
                      </m:e>
                    </m:d>
                    <m:r>
                      <a:rPr lang="en-US" b="0" i="1">
                        <a:latin typeface="Cambria Math" panose="02040503050406030204" pitchFamily="18" charset="0"/>
                      </a:rPr>
                      <m:t>+..+</m:t>
                    </m:r>
                    <m:d>
                      <m:dPr>
                        <m:ctrlPr>
                          <a:rPr lang="en-US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</m:d>
                    <m:d>
                      <m:dPr>
                        <m:begChr m:val="["/>
                        <m:endChr m:val="]"/>
                        <m:ctrlPr>
                          <a:rPr lang="en-US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d>
                              <m:dPr>
                                <m:ctrlPr>
                                  <a:rPr lang="en-US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  <m:t>𝐴</m:t>
                                    </m:r>
                                  </m:e>
                                  <m:sub>
                                    <m:r>
                                      <a:rPr lang="en-US" b="0" i="1">
                                        <a:latin typeface="Cambria Math" panose="02040503050406030204" pitchFamily="18" charset="0"/>
                                      </a:rPr>
                                      <m:t>𝑇</m:t>
                                    </m:r>
                                  </m:sub>
                                </m:sSub>
                                <m:r>
                                  <a:rPr lang="en-US" i="1">
                                    <a:latin typeface="Cambria Math" panose="02040503050406030204" pitchFamily="18" charset="0"/>
                                  </a:rPr>
                                  <m:t>+</m:t>
                                </m:r>
                                <m:sSub>
                                  <m:sSubPr>
                                    <m:ctrlP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  <m:t>𝑅</m:t>
                                    </m:r>
                                  </m:e>
                                  <m:sub>
                                    <m:r>
                                      <a:rPr lang="en-US" b="0" i="1">
                                        <a:latin typeface="Cambria Math" panose="02040503050406030204" pitchFamily="18" charset="0"/>
                                      </a:rPr>
                                      <m:t>𝑇</m:t>
                                    </m:r>
                                  </m:sub>
                                </m:sSub>
                              </m:e>
                            </m:d>
                          </m:num>
                          <m:den>
                            <m:nary>
                              <m:naryPr>
                                <m:chr m:val="∑"/>
                                <m:ctrlPr>
                                  <a:rPr lang="en-US" i="1">
                                    <a:latin typeface="Cambria Math" panose="02040503050406030204" pitchFamily="18" charset="0"/>
                                  </a:rPr>
                                </m:ctrlPr>
                              </m:naryPr>
                              <m:sub>
                                <m:r>
                                  <m:rPr>
                                    <m:brk m:alnAt="23"/>
                                  </m:rPr>
                                  <a:rPr lang="en-US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  <m:r>
                                  <a:rPr lang="en-US" i="1">
                                    <a:latin typeface="Cambria Math" panose="02040503050406030204" pitchFamily="18" charset="0"/>
                                  </a:rPr>
                                  <m:t>=1</m:t>
                                </m:r>
                              </m:sub>
                              <m:sup>
                                <m:r>
                                  <a:rPr lang="en-US" b="0" i="1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</m:sup>
                              <m:e>
                                <m:d>
                                  <m:dPr>
                                    <m:ctrlP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sSub>
                                      <m:sSubPr>
                                        <m:ctrlPr>
                                          <a:rPr lang="en-US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i="1">
                                            <a:latin typeface="Cambria Math" panose="02040503050406030204" pitchFamily="18" charset="0"/>
                                          </a:rPr>
                                          <m:t>𝐴</m:t>
                                        </m:r>
                                      </m:e>
                                      <m:sub>
                                        <m:r>
                                          <a:rPr lang="en-US" b="0" i="1">
                                            <a:latin typeface="Cambria Math" panose="02040503050406030204" pitchFamily="18" charset="0"/>
                                          </a:rPr>
                                          <m:t>𝑇</m:t>
                                        </m:r>
                                      </m:sub>
                                    </m:sSub>
                                    <m:r>
                                      <a:rPr lang="en-US" i="1">
                                        <a:latin typeface="Cambria Math" panose="02040503050406030204" pitchFamily="18" charset="0"/>
                                      </a:rPr>
                                      <m:t>+</m:t>
                                    </m:r>
                                    <m:sSub>
                                      <m:sSubPr>
                                        <m:ctrlPr>
                                          <a:rPr lang="en-US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i="1">
                                            <a:latin typeface="Cambria Math" panose="02040503050406030204" pitchFamily="18" charset="0"/>
                                          </a:rPr>
                                          <m:t>𝑅</m:t>
                                        </m:r>
                                      </m:e>
                                      <m:sub>
                                        <m:r>
                                          <a:rPr lang="en-US" b="0" i="1">
                                            <a:latin typeface="Cambria Math" panose="02040503050406030204" pitchFamily="18" charset="0"/>
                                          </a:rPr>
                                          <m:t>𝑇</m:t>
                                        </m:r>
                                      </m:sub>
                                    </m:sSub>
                                  </m:e>
                                </m:d>
                              </m:e>
                            </m:nary>
                          </m:den>
                        </m:f>
                      </m:e>
                    </m:d>
                  </m:oMath>
                </m:oMathPara>
              </a14:m>
              <a:endParaRPr lang="en-US"/>
            </a:p>
          </xdr:txBody>
        </xdr:sp>
      </mc:Choice>
      <mc:Fallback xmlns="">
        <xdr:sp macro="" textlink="">
          <xdr:nvSpPr>
            <xdr:cNvPr id="13340" name="TextBox 7">
              <a:extLst>
                <a:ext uri="{FF2B5EF4-FFF2-40B4-BE49-F238E27FC236}">
                  <a16:creationId xmlns:a16="http://schemas.microsoft.com/office/drawing/2014/main" id="{B4A3ACC1-F1AF-2742-9192-C379FA82B093}"/>
                </a:ext>
              </a:extLst>
            </xdr:cNvPr>
            <xdr:cNvSpPr txBox="1"/>
          </xdr:nvSpPr>
          <xdr:spPr>
            <a:xfrm>
              <a:off x="4412615" y="6492875"/>
              <a:ext cx="8511188" cy="644962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AR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b="0" i="0">
                  <a:latin typeface="Cambria Math" panose="02040503050406030204" pitchFamily="18" charset="0"/>
                </a:rPr>
                <a:t>𝑃𝑃𝑉=(1)[((</a:t>
              </a:r>
              <a:r>
                <a:rPr lang="en-US" i="0">
                  <a:latin typeface="Cambria Math" panose="02040503050406030204" pitchFamily="18" charset="0"/>
                </a:rPr>
                <a:t>𝐴_</a:t>
              </a:r>
              <a:r>
                <a:rPr lang="en-US" b="0" i="0">
                  <a:latin typeface="Cambria Math" panose="02040503050406030204" pitchFamily="18" charset="0"/>
                </a:rPr>
                <a:t>1</a:t>
              </a:r>
              <a:r>
                <a:rPr lang="en-US" i="0">
                  <a:latin typeface="Cambria Math" panose="02040503050406030204" pitchFamily="18" charset="0"/>
                </a:rPr>
                <a:t>+𝑅_</a:t>
              </a:r>
              <a:r>
                <a:rPr lang="en-US" b="0" i="0">
                  <a:latin typeface="Cambria Math" panose="02040503050406030204" pitchFamily="18" charset="0"/>
                </a:rPr>
                <a:t>1 ))/(∑_(</a:t>
              </a:r>
              <a:r>
                <a:rPr lang="en-US" i="0">
                  <a:latin typeface="Cambria Math" panose="02040503050406030204" pitchFamily="18" charset="0"/>
                </a:rPr>
                <a:t>𝑡=1)</a:t>
              </a:r>
              <a:r>
                <a:rPr lang="en-US" b="0" i="0">
                  <a:latin typeface="Cambria Math" panose="02040503050406030204" pitchFamily="18" charset="0"/>
                </a:rPr>
                <a:t>^𝑇▒(</a:t>
              </a:r>
              <a:r>
                <a:rPr lang="en-US" i="0">
                  <a:latin typeface="Cambria Math" panose="02040503050406030204" pitchFamily="18" charset="0"/>
                </a:rPr>
                <a:t>𝐴_</a:t>
              </a:r>
              <a:r>
                <a:rPr lang="en-US" b="0" i="0">
                  <a:latin typeface="Cambria Math" panose="02040503050406030204" pitchFamily="18" charset="0"/>
                </a:rPr>
                <a:t>1</a:t>
              </a:r>
              <a:r>
                <a:rPr lang="en-US" i="0">
                  <a:latin typeface="Cambria Math" panose="02040503050406030204" pitchFamily="18" charset="0"/>
                </a:rPr>
                <a:t>+𝑅_</a:t>
              </a:r>
              <a:r>
                <a:rPr lang="en-US" b="0" i="0">
                  <a:latin typeface="Cambria Math" panose="02040503050406030204" pitchFamily="18" charset="0"/>
                </a:rPr>
                <a:t>1 ) )]+</a:t>
              </a:r>
              <a:r>
                <a:rPr lang="en-US" i="0">
                  <a:latin typeface="Cambria Math" panose="02040503050406030204" pitchFamily="18" charset="0"/>
                </a:rPr>
                <a:t>(</a:t>
              </a:r>
              <a:r>
                <a:rPr lang="en-US" b="0" i="0">
                  <a:latin typeface="Cambria Math" panose="02040503050406030204" pitchFamily="18" charset="0"/>
                </a:rPr>
                <a:t>2)</a:t>
              </a:r>
              <a:r>
                <a:rPr lang="en-US" i="0">
                  <a:latin typeface="Cambria Math" panose="02040503050406030204" pitchFamily="18" charset="0"/>
                </a:rPr>
                <a:t>[((𝐴_</a:t>
              </a:r>
              <a:r>
                <a:rPr lang="en-US" b="0" i="0">
                  <a:latin typeface="Cambria Math" panose="02040503050406030204" pitchFamily="18" charset="0"/>
                </a:rPr>
                <a:t>2</a:t>
              </a:r>
              <a:r>
                <a:rPr lang="en-US" i="0">
                  <a:latin typeface="Cambria Math" panose="02040503050406030204" pitchFamily="18" charset="0"/>
                </a:rPr>
                <a:t>+𝑅_</a:t>
              </a:r>
              <a:r>
                <a:rPr lang="en-US" b="0" i="0">
                  <a:latin typeface="Cambria Math" panose="02040503050406030204" pitchFamily="18" charset="0"/>
                </a:rPr>
                <a:t>2 ))/(∑_(</a:t>
              </a:r>
              <a:r>
                <a:rPr lang="en-US" i="0">
                  <a:latin typeface="Cambria Math" panose="02040503050406030204" pitchFamily="18" charset="0"/>
                </a:rPr>
                <a:t>𝑡=1)</a:t>
              </a:r>
              <a:r>
                <a:rPr lang="en-US" b="0" i="0">
                  <a:latin typeface="Cambria Math" panose="02040503050406030204" pitchFamily="18" charset="0"/>
                </a:rPr>
                <a:t>^𝑇▒(</a:t>
              </a:r>
              <a:r>
                <a:rPr lang="en-US" i="0">
                  <a:latin typeface="Cambria Math" panose="02040503050406030204" pitchFamily="18" charset="0"/>
                </a:rPr>
                <a:t>𝐴_</a:t>
              </a:r>
              <a:r>
                <a:rPr lang="en-US" b="0" i="0">
                  <a:latin typeface="Cambria Math" panose="02040503050406030204" pitchFamily="18" charset="0"/>
                </a:rPr>
                <a:t>2</a:t>
              </a:r>
              <a:r>
                <a:rPr lang="en-US" i="0">
                  <a:latin typeface="Cambria Math" panose="02040503050406030204" pitchFamily="18" charset="0"/>
                </a:rPr>
                <a:t>+𝑅_</a:t>
              </a:r>
              <a:r>
                <a:rPr lang="en-US" b="0" i="0">
                  <a:latin typeface="Cambria Math" panose="02040503050406030204" pitchFamily="18" charset="0"/>
                </a:rPr>
                <a:t>2 ) )]+..+</a:t>
              </a:r>
              <a:r>
                <a:rPr lang="en-US" i="0">
                  <a:latin typeface="Cambria Math" panose="02040503050406030204" pitchFamily="18" charset="0"/>
                </a:rPr>
                <a:t>(</a:t>
              </a:r>
              <a:r>
                <a:rPr lang="en-US" b="0" i="0">
                  <a:latin typeface="Cambria Math" panose="02040503050406030204" pitchFamily="18" charset="0"/>
                </a:rPr>
                <a:t>𝑇)</a:t>
              </a:r>
              <a:r>
                <a:rPr lang="en-US" i="0">
                  <a:latin typeface="Cambria Math" panose="02040503050406030204" pitchFamily="18" charset="0"/>
                </a:rPr>
                <a:t>[((𝐴_</a:t>
              </a:r>
              <a:r>
                <a:rPr lang="en-US" b="0" i="0">
                  <a:latin typeface="Cambria Math" panose="02040503050406030204" pitchFamily="18" charset="0"/>
                </a:rPr>
                <a:t>𝑇</a:t>
              </a:r>
              <a:r>
                <a:rPr lang="en-US" i="0">
                  <a:latin typeface="Cambria Math" panose="02040503050406030204" pitchFamily="18" charset="0"/>
                </a:rPr>
                <a:t>+𝑅_</a:t>
              </a:r>
              <a:r>
                <a:rPr lang="en-US" b="0" i="0">
                  <a:latin typeface="Cambria Math" panose="02040503050406030204" pitchFamily="18" charset="0"/>
                </a:rPr>
                <a:t>𝑇 ))/(∑_(</a:t>
              </a:r>
              <a:r>
                <a:rPr lang="en-US" i="0">
                  <a:latin typeface="Cambria Math" panose="02040503050406030204" pitchFamily="18" charset="0"/>
                </a:rPr>
                <a:t>𝑡=1)</a:t>
              </a:r>
              <a:r>
                <a:rPr lang="en-US" b="0" i="0">
                  <a:latin typeface="Cambria Math" panose="02040503050406030204" pitchFamily="18" charset="0"/>
                </a:rPr>
                <a:t>^𝑇▒(</a:t>
              </a:r>
              <a:r>
                <a:rPr lang="en-US" i="0">
                  <a:latin typeface="Cambria Math" panose="02040503050406030204" pitchFamily="18" charset="0"/>
                </a:rPr>
                <a:t>𝐴_</a:t>
              </a:r>
              <a:r>
                <a:rPr lang="en-US" b="0" i="0">
                  <a:latin typeface="Cambria Math" panose="02040503050406030204" pitchFamily="18" charset="0"/>
                </a:rPr>
                <a:t>𝑇</a:t>
              </a:r>
              <a:r>
                <a:rPr lang="en-US" i="0">
                  <a:latin typeface="Cambria Math" panose="02040503050406030204" pitchFamily="18" charset="0"/>
                </a:rPr>
                <a:t>+𝑅_</a:t>
              </a:r>
              <a:r>
                <a:rPr lang="en-US" b="0" i="0">
                  <a:latin typeface="Cambria Math" panose="02040503050406030204" pitchFamily="18" charset="0"/>
                </a:rPr>
                <a:t>𝑇 ) )]</a:t>
              </a:r>
              <a:endParaRPr lang="en-US"/>
            </a:p>
          </xdr:txBody>
        </xdr:sp>
      </mc:Fallback>
    </mc:AlternateContent>
    <xdr:clientData/>
  </xdr:twoCellAnchor>
  <xdr:twoCellAnchor editAs="oneCell">
    <xdr:from>
      <xdr:col>5</xdr:col>
      <xdr:colOff>97488</xdr:colOff>
      <xdr:row>103</xdr:row>
      <xdr:rowOff>91108</xdr:rowOff>
    </xdr:from>
    <xdr:to>
      <xdr:col>15</xdr:col>
      <xdr:colOff>359246</xdr:colOff>
      <xdr:row>106</xdr:row>
      <xdr:rowOff>129725</xdr:rowOff>
    </xdr:to>
    <xdr:pic>
      <xdr:nvPicPr>
        <xdr:cNvPr id="13341" name="Picture 13340">
          <a:extLst>
            <a:ext uri="{FF2B5EF4-FFF2-40B4-BE49-F238E27FC236}">
              <a16:creationId xmlns:a16="http://schemas.microsoft.com/office/drawing/2014/main" id="{00000000-0008-0000-0900-00001D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93588" y="4815508"/>
          <a:ext cx="8516758" cy="648217"/>
        </a:xfrm>
        <a:prstGeom prst="rect">
          <a:avLst/>
        </a:prstGeom>
      </xdr:spPr>
    </xdr:pic>
    <xdr:clientData/>
  </xdr:twoCellAnchor>
  <xdr:twoCellAnchor editAs="oneCell">
    <xdr:from>
      <xdr:col>5</xdr:col>
      <xdr:colOff>97488</xdr:colOff>
      <xdr:row>141</xdr:row>
      <xdr:rowOff>91108</xdr:rowOff>
    </xdr:from>
    <xdr:to>
      <xdr:col>15</xdr:col>
      <xdr:colOff>359246</xdr:colOff>
      <xdr:row>144</xdr:row>
      <xdr:rowOff>129725</xdr:rowOff>
    </xdr:to>
    <xdr:pic>
      <xdr:nvPicPr>
        <xdr:cNvPr id="13342" name="Picture 13341">
          <a:extLst>
            <a:ext uri="{FF2B5EF4-FFF2-40B4-BE49-F238E27FC236}">
              <a16:creationId xmlns:a16="http://schemas.microsoft.com/office/drawing/2014/main" id="{00000000-0008-0000-0900-00001E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93588" y="4815508"/>
          <a:ext cx="8516758" cy="6482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177425</xdr:colOff>
      <xdr:row>2</xdr:row>
      <xdr:rowOff>56028</xdr:rowOff>
    </xdr:from>
    <xdr:to>
      <xdr:col>1</xdr:col>
      <xdr:colOff>3216157</xdr:colOff>
      <xdr:row>22</xdr:row>
      <xdr:rowOff>162061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425" y="532278"/>
          <a:ext cx="4108823" cy="4214857"/>
        </a:xfrm>
        <a:prstGeom prst="rect">
          <a:avLst/>
        </a:prstGeom>
      </xdr:spPr>
    </xdr:pic>
    <xdr:clientData/>
  </xdr:twoCellAnchor>
  <xdr:twoCellAnchor editAs="oneCell">
    <xdr:from>
      <xdr:col>0</xdr:col>
      <xdr:colOff>205441</xdr:colOff>
      <xdr:row>19</xdr:row>
      <xdr:rowOff>177425</xdr:rowOff>
    </xdr:from>
    <xdr:to>
      <xdr:col>1</xdr:col>
      <xdr:colOff>3247848</xdr:colOff>
      <xdr:row>32</xdr:row>
      <xdr:rowOff>104214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441" y="4146175"/>
          <a:ext cx="4112498" cy="2726765"/>
        </a:xfrm>
        <a:prstGeom prst="rect">
          <a:avLst/>
        </a:prstGeom>
      </xdr:spPr>
    </xdr:pic>
    <xdr:clientData/>
  </xdr:twoCellAnchor>
  <xdr:twoCellAnchor editAs="oneCell">
    <xdr:from>
      <xdr:col>0</xdr:col>
      <xdr:colOff>233455</xdr:colOff>
      <xdr:row>31</xdr:row>
      <xdr:rowOff>84044</xdr:rowOff>
    </xdr:from>
    <xdr:to>
      <xdr:col>1</xdr:col>
      <xdr:colOff>3253953</xdr:colOff>
      <xdr:row>41</xdr:row>
      <xdr:rowOff>158750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455" y="6518088"/>
          <a:ext cx="4090589" cy="2129118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46</xdr:row>
      <xdr:rowOff>84045</xdr:rowOff>
    </xdr:from>
    <xdr:to>
      <xdr:col>2</xdr:col>
      <xdr:colOff>632594</xdr:colOff>
      <xdr:row>67</xdr:row>
      <xdr:rowOff>176681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06" y="9599707"/>
          <a:ext cx="6070600" cy="44069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edelopez/Downloads/Clase%204%20&#8211;%20Bonos%20Convergencia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edelopez/Downloads/CLASE%207%202023%20A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NO EN t"/>
    </sheetNames>
    <sheetDataSet>
      <sheetData sheetId="0">
        <row r="19">
          <cell r="B19">
            <v>470.57726002535293</v>
          </cell>
          <cell r="C19">
            <v>471.12491294296831</v>
          </cell>
          <cell r="D19">
            <v>471.77661991493051</v>
          </cell>
          <cell r="E19">
            <v>472.5521512115655</v>
          </cell>
          <cell r="F19">
            <v>473.47503345456113</v>
          </cell>
          <cell r="G19">
            <v>474.57326332372605</v>
          </cell>
          <cell r="H19">
            <v>475.88015686803226</v>
          </cell>
          <cell r="I19">
            <v>477.43536018575656</v>
          </cell>
          <cell r="J19">
            <v>479.28605213384856</v>
          </cell>
          <cell r="K19">
            <v>481.48837555207803</v>
          </cell>
          <cell r="L19">
            <v>484.10914041977105</v>
          </cell>
          <cell r="M19">
            <v>487.22785061232588</v>
          </cell>
          <cell r="N19">
            <v>490.93911574146603</v>
          </cell>
          <cell r="O19">
            <v>495.35552124514277</v>
          </cell>
          <cell r="P19">
            <v>500.61104379451808</v>
          </cell>
          <cell r="Q19">
            <v>506.86511562827479</v>
          </cell>
          <cell r="R19">
            <v>514.30746111044516</v>
          </cell>
          <cell r="S19">
            <v>523.1638522342281</v>
          </cell>
          <cell r="T19">
            <v>533.70295767152959</v>
          </cell>
          <cell r="U19">
            <v>546.2444931419185</v>
          </cell>
          <cell r="V19">
            <v>561.16892035168132</v>
          </cell>
          <cell r="W19">
            <v>578.92898873129889</v>
          </cell>
          <cell r="X19">
            <v>600.06347010304398</v>
          </cell>
          <cell r="Y19">
            <v>625.21350293542071</v>
          </cell>
          <cell r="Z19">
            <v>655.14204200594872</v>
          </cell>
          <cell r="AA19">
            <v>690.75700349987721</v>
          </cell>
          <cell r="AB19">
            <v>733.13880767765204</v>
          </cell>
          <cell r="AC19">
            <v>783.57315464920418</v>
          </cell>
          <cell r="AD19">
            <v>843.59002754535129</v>
          </cell>
          <cell r="AE19">
            <v>915.01010629176619</v>
          </cell>
          <cell r="AF19">
            <v>1000</v>
          </cell>
        </row>
        <row r="20">
          <cell r="A20" t="str">
            <v>Precio del FV del Bono</v>
          </cell>
          <cell r="B20">
            <v>1000</v>
          </cell>
          <cell r="C20">
            <v>1000</v>
          </cell>
          <cell r="D20">
            <v>1000</v>
          </cell>
          <cell r="E20">
            <v>1000</v>
          </cell>
          <cell r="F20">
            <v>1000</v>
          </cell>
          <cell r="G20">
            <v>1000</v>
          </cell>
          <cell r="H20">
            <v>1000</v>
          </cell>
          <cell r="I20">
            <v>1000</v>
          </cell>
          <cell r="J20">
            <v>1000</v>
          </cell>
          <cell r="K20">
            <v>1000</v>
          </cell>
          <cell r="L20">
            <v>1000</v>
          </cell>
          <cell r="M20">
            <v>1000</v>
          </cell>
          <cell r="N20">
            <v>1000</v>
          </cell>
          <cell r="O20">
            <v>1000</v>
          </cell>
          <cell r="P20">
            <v>1000</v>
          </cell>
          <cell r="Q20">
            <v>1000</v>
          </cell>
          <cell r="R20">
            <v>1000</v>
          </cell>
          <cell r="S20">
            <v>1000</v>
          </cell>
          <cell r="T20">
            <v>1000</v>
          </cell>
          <cell r="U20">
            <v>1000</v>
          </cell>
          <cell r="V20">
            <v>1000</v>
          </cell>
          <cell r="W20">
            <v>1000</v>
          </cell>
          <cell r="X20">
            <v>1000</v>
          </cell>
          <cell r="Y20">
            <v>1000</v>
          </cell>
          <cell r="Z20">
            <v>1000</v>
          </cell>
          <cell r="AA20">
            <v>1000</v>
          </cell>
          <cell r="AB20">
            <v>1000</v>
          </cell>
          <cell r="AC20">
            <v>1000</v>
          </cell>
          <cell r="AD20">
            <v>1000</v>
          </cell>
          <cell r="AE20">
            <v>1000</v>
          </cell>
          <cell r="AF20">
            <v>1000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ZO DE VENCIMIENTO"/>
      <sheetName val="TAMAÑO DE CUPÓN"/>
      <sheetName val="FRECUENCIA DE CUPON"/>
      <sheetName val="DURATION"/>
    </sheetNames>
    <sheetDataSet>
      <sheetData sheetId="0"/>
      <sheetData sheetId="1"/>
      <sheetData sheetId="2"/>
      <sheetData sheetId="3">
        <row r="10">
          <cell r="M10" t="str">
            <v>Capital.</v>
          </cell>
          <cell r="N10" t="str">
            <v>Actualiz.</v>
          </cell>
          <cell r="O10" t="str">
            <v>Monto</v>
          </cell>
        </row>
        <row r="12">
          <cell r="Y12">
            <v>0.01</v>
          </cell>
          <cell r="AB12">
            <v>0</v>
          </cell>
        </row>
        <row r="13">
          <cell r="Y13">
            <v>0.02</v>
          </cell>
          <cell r="AB13">
            <v>0</v>
          </cell>
        </row>
        <row r="14">
          <cell r="Y14">
            <v>0.03</v>
          </cell>
          <cell r="AB14">
            <v>0</v>
          </cell>
        </row>
        <row r="15">
          <cell r="Y15">
            <v>0.04</v>
          </cell>
          <cell r="AB15">
            <v>0</v>
          </cell>
        </row>
        <row r="16">
          <cell r="Y16">
            <v>0.05</v>
          </cell>
          <cell r="AB16">
            <v>0</v>
          </cell>
        </row>
        <row r="17">
          <cell r="Y17">
            <v>6.0000000000000005E-2</v>
          </cell>
          <cell r="AB17">
            <v>0</v>
          </cell>
        </row>
        <row r="18">
          <cell r="Y18">
            <v>7.0000000000000007E-2</v>
          </cell>
          <cell r="AB18">
            <v>0</v>
          </cell>
        </row>
        <row r="19">
          <cell r="Y19">
            <v>0.08</v>
          </cell>
          <cell r="AB19">
            <v>0</v>
          </cell>
        </row>
        <row r="20">
          <cell r="M20"/>
          <cell r="N20"/>
          <cell r="O20"/>
          <cell r="Y20">
            <v>0.09</v>
          </cell>
          <cell r="AB20">
            <v>0</v>
          </cell>
        </row>
        <row r="21">
          <cell r="Y21">
            <v>9.9999999999999992E-2</v>
          </cell>
          <cell r="AB21">
            <v>0</v>
          </cell>
        </row>
        <row r="22">
          <cell r="Y22">
            <v>0.10999999999999999</v>
          </cell>
          <cell r="AB22">
            <v>0</v>
          </cell>
        </row>
        <row r="23">
          <cell r="Y23">
            <v>0.11999999999999998</v>
          </cell>
          <cell r="AB23">
            <v>0</v>
          </cell>
        </row>
        <row r="24">
          <cell r="Y24">
            <v>0.12999999999999998</v>
          </cell>
          <cell r="AB24">
            <v>0</v>
          </cell>
        </row>
        <row r="25">
          <cell r="Y25">
            <v>0.13999999999999999</v>
          </cell>
          <cell r="AB25">
            <v>0</v>
          </cell>
        </row>
        <row r="26">
          <cell r="Y26">
            <v>0.15</v>
          </cell>
          <cell r="AB26">
            <v>0</v>
          </cell>
        </row>
        <row r="27">
          <cell r="Y27">
            <v>0.16</v>
          </cell>
          <cell r="AB27">
            <v>0</v>
          </cell>
        </row>
        <row r="28">
          <cell r="Y28">
            <v>0.17</v>
          </cell>
          <cell r="AB28">
            <v>0</v>
          </cell>
        </row>
        <row r="29">
          <cell r="Y29">
            <v>0.18000000000000002</v>
          </cell>
          <cell r="AB29">
            <v>0</v>
          </cell>
        </row>
        <row r="30">
          <cell r="Y30">
            <v>0.19000000000000003</v>
          </cell>
          <cell r="AB30">
            <v>0</v>
          </cell>
        </row>
        <row r="31">
          <cell r="Y31">
            <v>0.20000000000000004</v>
          </cell>
          <cell r="AB31">
            <v>0</v>
          </cell>
        </row>
      </sheetData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5-02T07:06:12.489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11005 1011 24575,'8'-20'0,"14"-8"0,10-9 0,26-10 0,-2-6 0,12-4 0,-1 7 0,-4-10 0,7 27 0,-1-20 0,2 21 0,12-18-766,-10 18 766,16-5 0,-9 7 0,9 3 0,-22 3 0,8 1 175,-25 2-175,26 1 0,-17-6 0,10 9 0,-14 0 0,-7 1 0,-7 6 576,-12 1-576,-8 4 15,-8 1-15,-1 4 0,-4 0 0,-4 0 0,-1 0 0</inkml:trace>
  <inkml:trace contextRef="#ctx0" brushRef="#br0" timeOffset="1132">12772 158 24575,'-8'0'0,"1"0"0,-5 0 0,-1 0 0,0 0 0,-3 0 0,3 0 0,-4 0 0,-5 0 0,4 0 0,-9 0 0,9 0 0,-9 0 0,9 0 0,-4 0 0,9 0 0,-7 0 0,6 0 0,-8 0 0,5-7 0,4 5 0,-3-9 0,3 10 0,-4-7 0,0 3 0,4 1 0,1-3 0,4 6 0,7-3 0,2 4 0,6 0 0,5 4 0,-3-3 0,3 6 0,-5-6 0,1 3 0,-4-4 0,0 0 0</inkml:trace>
  <inkml:trace contextRef="#ctx0" brushRef="#br0" timeOffset="2299">12577 218 22267,'-6'0'0,"3"0"1119,-16 4-1119,1 1 389,0 4-389,-4 0 197,5-1-197,-5 1 603,4 0-603,-9 0 0,9 0 0,-4 4 0,0-4 0,4 4 0,-14 1 0,12 0 0,-7 4 0,5 0 0,3-5 0,-2 0 0,8-4 0,-3 3 0,-8 2 0,5 3 0,-9-2 0,15 1 0,-3-6 0,7 2 0,-4 0 0,6-3 0,-6 3 0,4 0 0,-7-3 0,7 8 0,-3-8 0,7 3 0,-2-5 0,3 1 0,-1 0 0,2 0 0,3-4 0,0-1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5-02T07:06:17.99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271 1345 24575,'-1'-9'0,"0"-2"0,-1 0 0,-1-5 0,0 0 0,-4-8 0,-4-10 0,-2-3 0,-3-12 0,0-1 0,1-1 0,0-6 0,2 4 0,0 3 0,0-3 0,-1 0 0,3 5 0,0-3 0,1 5 0,3 8 0,0-3 0,0 5 0,0-2 0,-2-6 0,1 2 0,1 0 0,1 1 0,2 8 0,2 2 0,1 2 0,1 4 0,0-3 0,0 3 0,0 1 0,0 1 0,0 4 0,0 4 0,0 3 0,0 1 0,1 1 0,0 3 0,-1 2 0,0 3 0,-4 0 0,-2 1 0,1 0 0,1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5-02T07:06:28.137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0 702 24575,'19'0'0,"11"0"0,-6 0 0,15 0 0,-9 0 0,3 0 0,31 0 0,-27 0 0,63 0 0,-37 0 0,27 0 0,-18 0 0,-22 0 0,9 6 0,-15 5 0,12 6 0,-3 10 0,-10-5 0,5 16 0,-11-11 0,-6 10 0,-1-1 0,-13 1 0,4 5 0,-11-1 0,1 23 0,-5-4 0,0 28 0,-6-6 0,0 8-1508,-18 9 1508,7-45 0,-3 2 0,-5 0 0,-3 0 0,-2 13 0,-2 1 0,1-8 0,-1 0 0,-3 9 0,0-1 0,1-8 0,0-2 0,-4 3 0,0-4-478,-9 21 478,9-29 0,0-3 0,-6 8 0,-18 20 0,10-23 0,1-7 0,7-8 0,-4-11 0,5-1 1470,-4-10-1470,19-15 0,4-67 0,24-19 103,3 19 0,2 1 0,-1-5 1,8 21-1</inkml:trace>
  <inkml:trace contextRef="#ctx0" brushRef="#br0" timeOffset="1319">1330 758 24575,'0'28'0,"0"-6"0,0 31 0,0-9 0,0 12 0,0 7 0,0 10 0,0 8 0,0 10 0,0-23 0,0 2 0,0-13 0,0-1 0,0 1 0,0-14 0,0 3 0,8-15 0,-2 10 0,23-5 0,-12-6 0,33 22 0,-27-25 0,22 24 0,-10-24 0,0 11 0,12-5 0,-11-6 0,13-5 0,-7-7 0,13-3 0,0-6 0,-10-1 0,14-5 0,-14-22 0,-5-2 0,3-22 0,-20-1 0,6-29 0,-11 7 0,-5-27 0,-8 14 0,-5-17 0,-6-1 0,-4 40 0,-1 1-950,-4-30 950,-4 32 0,-1 2 0,-5-15-148,9 22 0,-1 0 148,-17-19 0,10 3 0,3 16 0,7 17 0,5 3 0,4 15 0,1 1 936,4 2-936,0 2 0,0 1 0,0 2 0</inkml:trace>
  <inkml:trace contextRef="#ctx0" brushRef="#br0" timeOffset="2937">2410 768 8191,'0'53'0,"0"-1"5063,0 11-5063,0 2 0,0 8 2818,0-21-2818,0 15 1719,0-21-1719,0 17 0,0-7 0,0-6 6784,0-3-6784,5-5 0,-4 0 0,8-7 0,-8-19 0,3-31 0,-4-28 0,-5-22 0,-2-7 0,-5 7 0,1 2 0,0 13 0,-5-11 0,4 10 0,-5-6 0,7 16 0,1 11 0,0 8 0,4 9 0,-3 4 0,4 2 0,-3 7 0,-5-7 0,3 2 0,-7-3 0,7 4 0,-7-4 0,7 4 0,-3-1 0,4-2 0,1 6 0,-1-6 0,4 3 0,1-3 0,3-1 0,0 1 0,0-10 0,18 2 0,11-15 0,26 7 0,9-11 0,15 2 0,-13 6 0,12-2 0,-14 15 0,-1 0 0,-7 4 0,-9 7 0,-17-2 0,3 4 0,-19 0 0,3 0 0,-10 0 0,-3 3 0,-4 10 0,-21 9 0,-8 14 0,-23 13 0,5-7 0,8-7 0,1 1 0,-7 2 0,-22 24 0,27-23 0,-4 2 0,6-5 0,7-4 0,7-8 0,10-2 0,2-8 0,8-2 0,0-4 0,4 0 0,0 0 0,0-1 0,13 2 0,14 1 0,31 1 0,8 6 0,30 9 0,-34-5-223,-3 1 1,2 2 222,7 11 0,-13-9 0,0 4 0,21 27 0,-6 2 0,-7 11 0,-13-1 0,-7 5 0,-12 6 0,-7 11 0,-5 1 0,-12-8 0,-1 3 0,-6-21 0,0 7 0,0-22 0,0-11 0,0-15 0,0-8 0,0-5 0,0-4 0,0-4 0,0 0 0</inkml:trace>
  <inkml:trace contextRef="#ctx0" brushRef="#br0" timeOffset="3949">3358 1957 22227,'0'-2'0,"0"-14"1138,0-20-1138,0-29 0,0-9-389,0 21 1,0-2 388,0-1 0,0-1 0,0-3 0,0-1 0,0-4 0,0 1 0,0 12 0,0 1 0,0-8 0,0 2 172,0-36-172,0-5 0,0 29 0,0-16 0,0 39 577,0-17-577,0 27 0,0 8 0,0 9 908,0 7-908,0 11 330,4 11-330,1 16 0,11 22 0,7 11 0,9 30-255,-13-39 1,2 2 254,2 7 0,2 4-1210,1 11 1,2 3 1209,6 4 0,2 0 0,-2 10 0,-2-2 0,-4-20 0,-1-2-262,2 7 0,-2-3 262,7 15 0,-11-35 0,0-1 0,7 23 0,-7-22 0,-7-10 434,-8-22-434,1-2 2407,-2-9-2407,-2-1 0,-2-2 0,-3-2 0</inkml:trace>
  <inkml:trace contextRef="#ctx0" brushRef="#br0" timeOffset="4661">3208 1639 15663,'13'-9'0,"8"3"3582,29 6-3582,7 0 0,14 0 0,8 0 0,-20 0 0,17-5 1602,-26-2-1602,12 1 863,-13-3-863,-8 3 2703,-2 0-2703,-14-2 162,2 7-162,-5-11 0,-8 10 0,4-7 0,-6 6 0,-4 2 0,5-11 0,-6 11 0,1-7 0,0 8 0,-4 0 0,0 0 0</inkml:trace>
  <inkml:trace contextRef="#ctx0" brushRef="#br0" timeOffset="5365">4321 247 18523,'0'16'0,"0"4"2762,0 10-2762,0 20 1033,0 7-1033,0 16 0,0 25 0,0-2-325,0-33 1,0 3 324,0-6 0,0 0 0,0 11 0,0 0 0,-1-4 0,2 0 0,4 3 0,2 1 0,-2-9 0,0-3 0,9 36 1364,-8-8-1364,-6-30 0,0 0 0,0-20 0,0-9 0,0-14 1281,0-22-1281,0-17 261,0-29-261,0-19 0,0-1 0,0 26 0,0 17 0</inkml:trace>
  <inkml:trace contextRef="#ctx0" brushRef="#br0" timeOffset="6045">3838 442 24575,'9'0'0,"3"0"0,35 0 0,5 0 0,36 0 0,-38 0 0,1 0-401,3 0 0,2 0 401,12 0 0,1 0-788,-8 0 1,0 0 787,10 0 0,-3 0 0,23 0-190,2 0 190,-42 0 0,4 0 0,-13 0 545,-18 0-545,-3 0 1807,-8 0-1807,0 0 215,-2 0-215,-3-3 0,-4 2 0,-1-2 0</inkml:trace>
  <inkml:trace contextRef="#ctx0" brushRef="#br0" timeOffset="6749">5754 253 24575,'0'15'0,"0"1"0,0 7 0,0 12 0,0 9 0,0 12 0,0 15 0,0-4 0,0 29 0,0-2 0,0-39 0,0 0-559,0 45 559,0-45 0,0-2 0,0 18 0,0 14 0,0-27 0,0 1 0,0-10 0,0-9 0,0-19 0,0 9 559,0-16-559,0 12 0,0-18 0,13 3 0,-10-14 0,10 3 0</inkml:trace>
  <inkml:trace contextRef="#ctx0" brushRef="#br0" timeOffset="7704">6549 522 8191,'-61'35'0,"18"-9"5063,3-2-5063,21-3 2818,-17 10-2818,19-6 1719,-12 10-1719,23-11 6784,-8 11-6784,13 0 0,-3-6 0,4 25 0,0-8 0,0 9 0,0 7 0,5-11 0,7 20 0,10-14 0,26 10 0,-4-8 0,28-1 0,-18-10 0,26-5 0,-15-13 0,31-10 0,-12-4-322,-32-14 1,1-2 321,38 5 0,6-5 0,1-6 0,-8-6 0,2-25 0,-10-11 0,-27-1 0,12-17 0,-36 11 0,15-19-103,-26 9 103,2-5 0,-11 12 0,-5-5 0,-1 7 0,-15-7 640,-13 12-640,-19-8 0,-10 12 0,-15-2 0,13 13 0,8 2 0,0 2 0,-4 3 0,6 0 0,-2-2 0,-11 3 106,-14-9-106,7 8 0,-6 5 0,13 12 0,-5 7 0,7 5 0,-1 0 0,7 0 0,-4 5 0,15 10 0,-10 9 0,16 7 0,-4 2 0,10-4 0,2 7 0,4-1 0,9-15 0,2-6 0,9-25 0,3-3 0,-2 5 0,3 1 0</inkml:trace>
  <inkml:trace contextRef="#ctx0" brushRef="#br0" timeOffset="9177">8362 1827 24575,'0'-22'0,"0"-11"0,0-15 0,0-15 0,0 5 0,0-20 0,0 3 0,0 17 0,0-2 0,0-2 0,0-1-760,0-11 0,0 3 760,0 17 0,0 1 0,0-43 369,0 31-369,0 6 0,0 16 0,0 14 0,0 16 0,4 15 1151,11 21-1151,9 33 0,19 28-952,-5-12 0,1 4 952,-8-16 0,0 1 0,3 1 0,3 5 0,-2-4 0,3 8 0,2-1 0,12 15 0,1-4 0,-18-22 0,0-4 0,11 5 0,0-4 0,-1 7 0,25 11 0,-28-22 0,1-18 0,-13-7 0,-7-14 0,-1-8 0,-9-1 1904,3-4-1904,-3-12 0,2-16 0,-6-23 0,-4-30 0,-4 16 0,-2-6-1312,2-3 0,-2-3 1312,-8-23 0,-4-1 0,2 21 0,-3 0 0,-1 10 0,-2-1 0,-2 2 0,-8-18 0,-1 0 0,8 13 0,-1 0 0,1 4 0,-4-5 0,0 4-476,-3-10 1,3 5 475,-3-11-38,11 36 0,-2 3 38,-5-19 0,11 18 0,-1 24 2473,12 8-2473,-2 9 271,6 4 1,-3 0-1,4 4 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5-02T07:06:40.664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26 1 8191,'-14'5'0,"2"-1"0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5-03T01:20:07.86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 0 18104,'-4'4'0,"1"-1"0</inkml:trace>
</inkml: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47ED0-8A1D-9D4B-9C00-51D41ADFF22A}">
  <dimension ref="A1:G23"/>
  <sheetViews>
    <sheetView topLeftCell="A2" zoomScale="142" workbookViewId="0">
      <selection activeCell="C6" sqref="C6"/>
    </sheetView>
  </sheetViews>
  <sheetFormatPr baseColWidth="10" defaultRowHeight="16"/>
  <cols>
    <col min="1" max="1" width="3.83203125" style="106" customWidth="1"/>
    <col min="2" max="2" width="10.83203125" style="248"/>
    <col min="3" max="3" width="22.1640625" style="106" customWidth="1"/>
    <col min="4" max="4" width="28.1640625" style="106" customWidth="1"/>
    <col min="5" max="5" width="2" style="248" customWidth="1"/>
    <col min="6" max="6" width="17.1640625" style="106" bestFit="1" customWidth="1"/>
    <col min="7" max="7" width="65.6640625" style="250" customWidth="1"/>
  </cols>
  <sheetData>
    <row r="1" spans="1:7" ht="32">
      <c r="A1" s="106">
        <v>1</v>
      </c>
      <c r="B1" s="247"/>
      <c r="C1" s="99"/>
      <c r="D1" s="99"/>
      <c r="F1" s="254" t="s">
        <v>437</v>
      </c>
      <c r="G1" s="249" t="s">
        <v>435</v>
      </c>
    </row>
    <row r="2" spans="1:7" ht="48">
      <c r="A2" s="106">
        <v>2</v>
      </c>
      <c r="B2" s="247"/>
      <c r="C2" s="99"/>
      <c r="D2" s="99"/>
      <c r="F2" s="251"/>
      <c r="G2" s="253" t="s">
        <v>429</v>
      </c>
    </row>
    <row r="3" spans="1:7" ht="48">
      <c r="A3" s="106">
        <v>3</v>
      </c>
      <c r="B3" s="247"/>
      <c r="C3" s="99"/>
      <c r="D3" s="99"/>
      <c r="G3" s="253" t="s">
        <v>430</v>
      </c>
    </row>
    <row r="4" spans="1:7">
      <c r="A4" s="106">
        <v>4</v>
      </c>
      <c r="B4" s="247"/>
      <c r="F4" s="252"/>
    </row>
    <row r="5" spans="1:7" ht="32">
      <c r="A5" s="106">
        <v>5</v>
      </c>
      <c r="B5" s="247"/>
      <c r="F5" s="254" t="s">
        <v>436</v>
      </c>
      <c r="G5" s="249" t="s">
        <v>434</v>
      </c>
    </row>
    <row r="6" spans="1:7" ht="48">
      <c r="A6" s="106">
        <v>6</v>
      </c>
      <c r="B6" s="247"/>
      <c r="F6" s="251"/>
      <c r="G6" s="253" t="s">
        <v>431</v>
      </c>
    </row>
    <row r="7" spans="1:7" ht="32">
      <c r="A7" s="106">
        <v>7</v>
      </c>
      <c r="B7" s="247"/>
      <c r="F7" s="251"/>
      <c r="G7" s="253" t="s">
        <v>432</v>
      </c>
    </row>
    <row r="8" spans="1:7" ht="32">
      <c r="A8" s="106">
        <v>8</v>
      </c>
      <c r="B8" s="247"/>
      <c r="G8" s="253" t="s">
        <v>433</v>
      </c>
    </row>
    <row r="9" spans="1:7">
      <c r="A9" s="106">
        <v>9</v>
      </c>
      <c r="B9" s="247"/>
      <c r="F9" s="251"/>
    </row>
    <row r="10" spans="1:7">
      <c r="B10" s="247"/>
    </row>
    <row r="11" spans="1:7">
      <c r="B11" s="247"/>
      <c r="F11" s="252"/>
    </row>
    <row r="13" spans="1:7">
      <c r="F13" s="252"/>
    </row>
    <row r="15" spans="1:7">
      <c r="F15" s="250"/>
    </row>
    <row r="16" spans="1:7">
      <c r="F16" s="250"/>
    </row>
    <row r="17" spans="6:6">
      <c r="F17" s="250"/>
    </row>
    <row r="18" spans="6:6">
      <c r="F18" s="250"/>
    </row>
    <row r="19" spans="6:6">
      <c r="F19" s="250"/>
    </row>
    <row r="20" spans="6:6">
      <c r="F20" s="250"/>
    </row>
    <row r="21" spans="6:6">
      <c r="F21" s="250"/>
    </row>
    <row r="22" spans="6:6">
      <c r="F22" s="250"/>
    </row>
    <row r="23" spans="6:6">
      <c r="F23" s="25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91C82-F0AB-6F41-8DE2-C2B7105D765B}">
  <dimension ref="A1:T298"/>
  <sheetViews>
    <sheetView topLeftCell="A304" zoomScale="94" workbookViewId="0">
      <selection activeCell="P31" sqref="P31"/>
    </sheetView>
  </sheetViews>
  <sheetFormatPr baseColWidth="10" defaultRowHeight="16"/>
  <cols>
    <col min="1" max="1" width="3.1640625" customWidth="1"/>
    <col min="5" max="5" width="12.83203125" customWidth="1"/>
    <col min="6" max="7" width="18.33203125" customWidth="1"/>
    <col min="8" max="8" width="11.6640625" customWidth="1"/>
    <col min="9" max="9" width="18.6640625" bestFit="1" customWidth="1"/>
    <col min="10" max="10" width="11.6640625" customWidth="1"/>
    <col min="11" max="11" width="15.5" bestFit="1" customWidth="1"/>
    <col min="12" max="12" width="16.1640625" customWidth="1"/>
    <col min="13" max="13" width="12.83203125" customWidth="1"/>
    <col min="14" max="14" width="13.5" customWidth="1"/>
    <col min="15" max="15" width="15" customWidth="1"/>
    <col min="16" max="16" width="11" bestFit="1" customWidth="1"/>
    <col min="18" max="18" width="17.6640625" customWidth="1"/>
    <col min="19" max="19" width="20.6640625" customWidth="1"/>
  </cols>
  <sheetData>
    <row r="1" spans="1:16" ht="20">
      <c r="A1" s="7" t="s">
        <v>26</v>
      </c>
    </row>
    <row r="2" spans="1:16" ht="20">
      <c r="A2" s="7" t="s">
        <v>27</v>
      </c>
    </row>
    <row r="3" spans="1:16">
      <c r="A3" t="s">
        <v>28</v>
      </c>
      <c r="B3">
        <v>0.1</v>
      </c>
      <c r="P3" t="s">
        <v>402</v>
      </c>
    </row>
    <row r="4" spans="1:16">
      <c r="B4">
        <v>0</v>
      </c>
      <c r="C4">
        <v>-10000</v>
      </c>
      <c r="D4">
        <f>+SUM(D5:D7)</f>
        <v>9789.631855747557</v>
      </c>
      <c r="E4" s="41">
        <f>D4+C4</f>
        <v>-210.36814425244302</v>
      </c>
      <c r="F4" t="s">
        <v>33</v>
      </c>
      <c r="G4" t="s">
        <v>35</v>
      </c>
    </row>
    <row r="5" spans="1:16">
      <c r="B5">
        <v>1</v>
      </c>
      <c r="C5">
        <v>3000</v>
      </c>
      <c r="D5">
        <f>+C5/(1+$B$3)^B5</f>
        <v>2727.272727272727</v>
      </c>
      <c r="G5" t="s">
        <v>36</v>
      </c>
    </row>
    <row r="6" spans="1:16">
      <c r="B6">
        <v>2</v>
      </c>
      <c r="C6">
        <v>4000</v>
      </c>
      <c r="D6">
        <f>+C6/(1+$B$3)^B6</f>
        <v>3305.7851239669417</v>
      </c>
    </row>
    <row r="7" spans="1:16">
      <c r="B7">
        <v>3</v>
      </c>
      <c r="C7">
        <v>5000</v>
      </c>
      <c r="D7">
        <f>+C7/(1+$B$3)^B7</f>
        <v>3756.5740045078878</v>
      </c>
    </row>
    <row r="8" spans="1:16">
      <c r="C8" s="2">
        <f>+IRR(C4:C7)</f>
        <v>8.8963394693349906E-2</v>
      </c>
      <c r="H8" t="s">
        <v>62</v>
      </c>
      <c r="I8" t="s">
        <v>134</v>
      </c>
    </row>
    <row r="10" spans="1:16">
      <c r="B10">
        <v>7.0000000000000007E-2</v>
      </c>
    </row>
    <row r="11" spans="1:16">
      <c r="B11">
        <v>0</v>
      </c>
      <c r="C11">
        <v>-10000</v>
      </c>
      <c r="D11">
        <f>+SUM(D12:D14)</f>
        <v>10378.982615304116</v>
      </c>
      <c r="E11" s="1">
        <f>D11+C11</f>
        <v>378.98261530411582</v>
      </c>
      <c r="F11" t="s">
        <v>34</v>
      </c>
    </row>
    <row r="12" spans="1:16">
      <c r="B12">
        <v>1</v>
      </c>
      <c r="C12">
        <v>3000</v>
      </c>
      <c r="D12">
        <f>+C12/(1+$B$10)^B12</f>
        <v>2803.7383177570091</v>
      </c>
    </row>
    <row r="13" spans="1:16">
      <c r="B13">
        <v>2</v>
      </c>
      <c r="C13">
        <v>4000</v>
      </c>
      <c r="D13">
        <f>+C13/(1+$B$10)^B13</f>
        <v>3493.7549130928464</v>
      </c>
    </row>
    <row r="14" spans="1:16">
      <c r="B14">
        <v>3</v>
      </c>
      <c r="C14">
        <v>5000</v>
      </c>
      <c r="D14">
        <f>+C14/(1+$B$10)^B14</f>
        <v>4081.4893844542598</v>
      </c>
    </row>
    <row r="15" spans="1:16">
      <c r="C15" s="2">
        <f>+IRR(C11:C14)</f>
        <v>8.8963394693349906E-2</v>
      </c>
    </row>
    <row r="17" spans="1:12">
      <c r="B17" s="5">
        <f>+C22</f>
        <v>8.8963394693349906E-2</v>
      </c>
      <c r="L17" t="s">
        <v>400</v>
      </c>
    </row>
    <row r="18" spans="1:12">
      <c r="B18">
        <v>0</v>
      </c>
      <c r="C18">
        <v>-10000</v>
      </c>
      <c r="D18">
        <f>+SUM(D19:D21)</f>
        <v>10000</v>
      </c>
      <c r="E18">
        <f>D18+C18</f>
        <v>0</v>
      </c>
      <c r="L18" t="s">
        <v>401</v>
      </c>
    </row>
    <row r="19" spans="1:12">
      <c r="B19">
        <v>1</v>
      </c>
      <c r="C19">
        <v>3000</v>
      </c>
      <c r="D19">
        <f>+C19/(1+$B$17)^B19</f>
        <v>2754.9135394443579</v>
      </c>
    </row>
    <row r="20" spans="1:12">
      <c r="B20">
        <v>2</v>
      </c>
      <c r="C20">
        <v>4000</v>
      </c>
      <c r="D20">
        <f>+C20/(1+$B$17)^B20</f>
        <v>3373.1327154728178</v>
      </c>
    </row>
    <row r="21" spans="1:12">
      <c r="B21">
        <v>3</v>
      </c>
      <c r="C21">
        <v>5000</v>
      </c>
      <c r="D21">
        <f>+C21/(1+$B$17)^B21</f>
        <v>3871.9537450828248</v>
      </c>
    </row>
    <row r="22" spans="1:12">
      <c r="C22" s="5">
        <f>+IRR(C18:C21)</f>
        <v>8.8963394693349906E-2</v>
      </c>
    </row>
    <row r="23" spans="1:12" ht="20">
      <c r="A23" s="7" t="s">
        <v>29</v>
      </c>
    </row>
    <row r="25" spans="1:12" ht="20">
      <c r="A25" s="7" t="s">
        <v>30</v>
      </c>
    </row>
    <row r="27" spans="1:12">
      <c r="B27">
        <v>0.1</v>
      </c>
    </row>
    <row r="28" spans="1:12">
      <c r="D28" t="s">
        <v>31</v>
      </c>
      <c r="H28" t="s">
        <v>32</v>
      </c>
    </row>
    <row r="29" spans="1:12">
      <c r="C29">
        <v>0</v>
      </c>
      <c r="D29">
        <v>-15000</v>
      </c>
      <c r="E29">
        <f>+SUM(E30:E32)</f>
        <v>14921.11194590533</v>
      </c>
      <c r="F29">
        <f>E29+D29</f>
        <v>-78.888054094670224</v>
      </c>
      <c r="G29">
        <v>0</v>
      </c>
      <c r="H29">
        <v>-10000</v>
      </c>
      <c r="I29">
        <f>+SUM(I30:I32)</f>
        <v>12276.483846731779</v>
      </c>
      <c r="J29">
        <f>I29+H29</f>
        <v>2276.4838467317786</v>
      </c>
    </row>
    <row r="30" spans="1:12">
      <c r="C30">
        <v>1</v>
      </c>
      <c r="D30">
        <v>6000</v>
      </c>
      <c r="E30">
        <f>+D30/(1+$B$27)^C30</f>
        <v>5454.545454545454</v>
      </c>
      <c r="G30">
        <v>1</v>
      </c>
      <c r="H30">
        <v>4000</v>
      </c>
      <c r="I30">
        <f>+H30/(1+$B$27)^G30</f>
        <v>3636.363636363636</v>
      </c>
    </row>
    <row r="31" spans="1:12">
      <c r="C31">
        <v>2</v>
      </c>
      <c r="D31">
        <v>6000</v>
      </c>
      <c r="E31">
        <f>+D31/(1+$B$27)^C31</f>
        <v>4958.6776859504125</v>
      </c>
      <c r="G31">
        <v>2</v>
      </c>
      <c r="H31">
        <v>5000</v>
      </c>
      <c r="I31">
        <f>+H31/(1+$B$27)^G31</f>
        <v>4132.2314049586766</v>
      </c>
    </row>
    <row r="32" spans="1:12">
      <c r="C32">
        <v>3</v>
      </c>
      <c r="D32">
        <v>6000</v>
      </c>
      <c r="E32">
        <f>+D32/(1+$B$27)^C32</f>
        <v>4507.888805409465</v>
      </c>
      <c r="G32">
        <v>3</v>
      </c>
      <c r="H32">
        <v>6000</v>
      </c>
      <c r="I32">
        <f>+H32/(1+$B$27)^G32</f>
        <v>4507.888805409465</v>
      </c>
    </row>
    <row r="33" spans="1:8">
      <c r="D33" s="4">
        <f>+IRR(D29:D32)</f>
        <v>9.7010257403349121E-2</v>
      </c>
      <c r="E33" s="4"/>
      <c r="F33" s="4"/>
      <c r="G33" s="4"/>
      <c r="H33" s="4">
        <f>+IRR(H29:H32)</f>
        <v>0.21647785418428866</v>
      </c>
    </row>
    <row r="37" spans="1:8">
      <c r="B37" t="s">
        <v>132</v>
      </c>
    </row>
    <row r="38" spans="1:8">
      <c r="B38" t="s">
        <v>133</v>
      </c>
    </row>
    <row r="42" spans="1:8">
      <c r="A42" t="s">
        <v>343</v>
      </c>
    </row>
    <row r="50" spans="1:8">
      <c r="A50" t="s">
        <v>345</v>
      </c>
    </row>
    <row r="51" spans="1:8">
      <c r="A51" t="s">
        <v>344</v>
      </c>
    </row>
    <row r="53" spans="1:8">
      <c r="A53" t="s">
        <v>346</v>
      </c>
    </row>
    <row r="54" spans="1:8">
      <c r="A54" t="s">
        <v>347</v>
      </c>
    </row>
    <row r="55" spans="1:8">
      <c r="A55" t="s">
        <v>348</v>
      </c>
    </row>
    <row r="57" spans="1:8">
      <c r="B57" t="s">
        <v>92</v>
      </c>
      <c r="C57">
        <v>0.1</v>
      </c>
    </row>
    <row r="58" spans="1:8">
      <c r="B58" t="s">
        <v>349</v>
      </c>
      <c r="C58">
        <v>0.11</v>
      </c>
    </row>
    <row r="59" spans="1:8">
      <c r="B59">
        <v>0</v>
      </c>
      <c r="C59" s="221">
        <f>+NPV(C58, C60:C64)</f>
        <v>96.3041029823505</v>
      </c>
      <c r="F59" t="s">
        <v>115</v>
      </c>
      <c r="G59" t="s">
        <v>353</v>
      </c>
    </row>
    <row r="60" spans="1:8">
      <c r="B60">
        <v>1</v>
      </c>
      <c r="C60">
        <v>10</v>
      </c>
      <c r="F60" s="221">
        <f>+NPV(G60, C60:C64)</f>
        <v>99.999999999999957</v>
      </c>
      <c r="G60">
        <v>0.1</v>
      </c>
      <c r="H60" t="s">
        <v>355</v>
      </c>
    </row>
    <row r="61" spans="1:8">
      <c r="B61">
        <v>2</v>
      </c>
      <c r="C61">
        <v>10</v>
      </c>
      <c r="F61" s="221">
        <f>+NPV(G61, C60:C64)</f>
        <v>96.3041029823505</v>
      </c>
      <c r="G61">
        <v>0.11</v>
      </c>
    </row>
    <row r="62" spans="1:8">
      <c r="B62">
        <v>3</v>
      </c>
      <c r="C62">
        <v>10</v>
      </c>
      <c r="F62" s="221">
        <f>+NPV(G62, C60:C64)</f>
        <v>103.88965126335169</v>
      </c>
      <c r="G62">
        <v>0.09</v>
      </c>
      <c r="H62" t="s">
        <v>354</v>
      </c>
    </row>
    <row r="63" spans="1:8">
      <c r="B63">
        <v>4</v>
      </c>
      <c r="C63">
        <v>10</v>
      </c>
    </row>
    <row r="64" spans="1:8">
      <c r="B64">
        <v>5</v>
      </c>
      <c r="C64">
        <v>110</v>
      </c>
    </row>
    <row r="66" spans="1:19">
      <c r="B66" t="s">
        <v>350</v>
      </c>
    </row>
    <row r="67" spans="1:19">
      <c r="A67" t="s">
        <v>351</v>
      </c>
    </row>
    <row r="68" spans="1:19">
      <c r="A68" t="s">
        <v>352</v>
      </c>
    </row>
    <row r="70" spans="1:19" s="70" customFormat="1" ht="19" thickBot="1">
      <c r="A70" s="256" t="s">
        <v>391</v>
      </c>
      <c r="B70" s="256"/>
      <c r="C70" s="256"/>
      <c r="I70" s="70" t="s">
        <v>182</v>
      </c>
      <c r="J70" s="70" t="s">
        <v>360</v>
      </c>
      <c r="K70" s="70" t="s">
        <v>101</v>
      </c>
    </row>
    <row r="71" spans="1:19">
      <c r="I71" s="237">
        <v>100</v>
      </c>
      <c r="J71">
        <v>8.5000000000000006E-2</v>
      </c>
      <c r="K71" s="236">
        <v>0.1</v>
      </c>
    </row>
    <row r="79" spans="1:19" ht="17" thickBot="1">
      <c r="H79" s="240" t="s">
        <v>270</v>
      </c>
      <c r="I79" s="240" t="s">
        <v>390</v>
      </c>
      <c r="J79" s="240" t="s">
        <v>387</v>
      </c>
      <c r="K79" s="240" t="s">
        <v>388</v>
      </c>
      <c r="L79" s="240" t="s">
        <v>369</v>
      </c>
      <c r="M79" s="240" t="s">
        <v>368</v>
      </c>
      <c r="N79" s="240" t="s">
        <v>371</v>
      </c>
      <c r="O79" s="240" t="s">
        <v>385</v>
      </c>
      <c r="P79" s="240" t="s">
        <v>386</v>
      </c>
      <c r="Q79" s="240"/>
      <c r="R79" s="240" t="s">
        <v>384</v>
      </c>
      <c r="S79" s="240" t="s">
        <v>115</v>
      </c>
    </row>
    <row r="80" spans="1:19" ht="19">
      <c r="H80" s="102">
        <v>44683</v>
      </c>
      <c r="R80" s="237"/>
      <c r="S80" s="238">
        <f>+SUM(S81:S91)</f>
        <v>98.761146615894916</v>
      </c>
    </row>
    <row r="81" spans="8:19">
      <c r="H81" s="101">
        <v>44040</v>
      </c>
      <c r="I81" s="75">
        <f>+$J$71/2</f>
        <v>4.2500000000000003E-2</v>
      </c>
      <c r="J81" s="236">
        <v>0</v>
      </c>
      <c r="K81" s="237">
        <v>0</v>
      </c>
      <c r="L81" s="237">
        <f>+K81-M81</f>
        <v>0</v>
      </c>
      <c r="M81" s="57">
        <f>+K81*J81</f>
        <v>0</v>
      </c>
      <c r="N81">
        <v>0</v>
      </c>
      <c r="O81" s="57">
        <f>$I$71-N81+M81</f>
        <v>100</v>
      </c>
      <c r="P81" s="236">
        <f>+O81/$I$71</f>
        <v>1</v>
      </c>
      <c r="R81" s="237">
        <f>+N81+L81</f>
        <v>0</v>
      </c>
      <c r="S81" s="237">
        <f>+R81/(1+$K$71)^YEARFRAC($H$80, H81)</f>
        <v>0</v>
      </c>
    </row>
    <row r="82" spans="8:19">
      <c r="H82" s="101">
        <v>44224</v>
      </c>
      <c r="I82" s="75">
        <f t="shared" ref="I82:I91" si="0">+$J$71/2</f>
        <v>4.2500000000000003E-2</v>
      </c>
      <c r="J82" s="236">
        <v>0</v>
      </c>
      <c r="K82" s="237">
        <v>0</v>
      </c>
      <c r="L82" s="237">
        <f t="shared" ref="L82:L91" si="1">+K82-M82</f>
        <v>0</v>
      </c>
      <c r="M82" s="57">
        <f t="shared" ref="M82:M91" si="2">+K82*J82</f>
        <v>0</v>
      </c>
      <c r="N82">
        <v>0</v>
      </c>
      <c r="O82" s="57">
        <f t="shared" ref="O82:O91" si="3">$I$71-N82+M82</f>
        <v>100</v>
      </c>
      <c r="P82" s="236">
        <f t="shared" ref="P82:P91" si="4">+O82/$I$71</f>
        <v>1</v>
      </c>
      <c r="R82" s="237">
        <f t="shared" ref="R82:R91" si="5">+N82+L82</f>
        <v>0</v>
      </c>
      <c r="S82" s="237">
        <f t="shared" ref="S82:S91" si="6">+R82/(1+$K$71)^YEARFRAC($H$80, H82)</f>
        <v>0</v>
      </c>
    </row>
    <row r="83" spans="8:19">
      <c r="H83" s="101">
        <v>44405</v>
      </c>
      <c r="I83" s="75">
        <f t="shared" si="0"/>
        <v>4.2500000000000003E-2</v>
      </c>
      <c r="J83" s="236">
        <v>0</v>
      </c>
      <c r="K83" s="237">
        <v>0</v>
      </c>
      <c r="L83" s="237">
        <f t="shared" si="1"/>
        <v>0</v>
      </c>
      <c r="M83" s="57">
        <f t="shared" si="2"/>
        <v>0</v>
      </c>
      <c r="N83">
        <v>0</v>
      </c>
      <c r="O83" s="57">
        <f t="shared" si="3"/>
        <v>100</v>
      </c>
      <c r="P83" s="236">
        <f t="shared" si="4"/>
        <v>1</v>
      </c>
      <c r="R83" s="237">
        <f t="shared" si="5"/>
        <v>0</v>
      </c>
      <c r="S83" s="237">
        <f t="shared" si="6"/>
        <v>0</v>
      </c>
    </row>
    <row r="84" spans="8:19">
      <c r="H84" s="101">
        <v>44589</v>
      </c>
      <c r="I84" s="75">
        <f t="shared" si="0"/>
        <v>4.2500000000000003E-2</v>
      </c>
      <c r="J84" s="236">
        <v>0</v>
      </c>
      <c r="K84" s="237">
        <v>0</v>
      </c>
      <c r="L84" s="237">
        <f t="shared" si="1"/>
        <v>0</v>
      </c>
      <c r="M84" s="57">
        <f t="shared" si="2"/>
        <v>0</v>
      </c>
      <c r="N84">
        <v>0</v>
      </c>
      <c r="O84" s="57">
        <f t="shared" si="3"/>
        <v>100</v>
      </c>
      <c r="P84" s="236">
        <f t="shared" si="4"/>
        <v>1</v>
      </c>
      <c r="R84" s="237">
        <f t="shared" si="5"/>
        <v>0</v>
      </c>
      <c r="S84" s="237">
        <f t="shared" si="6"/>
        <v>0</v>
      </c>
    </row>
    <row r="85" spans="8:19">
      <c r="H85" s="102">
        <v>44770</v>
      </c>
      <c r="I85" s="75">
        <f t="shared" si="0"/>
        <v>4.2500000000000003E-2</v>
      </c>
      <c r="J85" s="236">
        <v>0</v>
      </c>
      <c r="K85" s="237">
        <f>+I85*$I$71</f>
        <v>4.25</v>
      </c>
      <c r="L85" s="237">
        <f t="shared" si="1"/>
        <v>4.25</v>
      </c>
      <c r="M85" s="57">
        <f t="shared" si="2"/>
        <v>0</v>
      </c>
      <c r="N85">
        <v>0</v>
      </c>
      <c r="O85" s="57">
        <f t="shared" si="3"/>
        <v>100</v>
      </c>
      <c r="P85" s="236">
        <f t="shared" si="4"/>
        <v>1</v>
      </c>
      <c r="R85" s="237">
        <f t="shared" si="5"/>
        <v>4.25</v>
      </c>
      <c r="S85" s="237">
        <f t="shared" si="6"/>
        <v>4.154326993023469</v>
      </c>
    </row>
    <row r="86" spans="8:19">
      <c r="H86" s="101">
        <v>44954</v>
      </c>
      <c r="I86" s="75">
        <f t="shared" si="0"/>
        <v>4.2500000000000003E-2</v>
      </c>
      <c r="J86" s="236">
        <v>0</v>
      </c>
      <c r="K86" s="237">
        <f t="shared" ref="K86:K91" si="7">+I86*$I$71</f>
        <v>4.25</v>
      </c>
      <c r="L86" s="237">
        <f t="shared" si="1"/>
        <v>4.25</v>
      </c>
      <c r="M86" s="57">
        <f t="shared" si="2"/>
        <v>0</v>
      </c>
      <c r="N86">
        <v>0</v>
      </c>
      <c r="O86" s="57">
        <f t="shared" si="3"/>
        <v>100</v>
      </c>
      <c r="P86" s="236">
        <f t="shared" si="4"/>
        <v>1</v>
      </c>
      <c r="R86" s="237">
        <f t="shared" si="5"/>
        <v>4.25</v>
      </c>
      <c r="S86" s="237">
        <f t="shared" si="6"/>
        <v>3.9609953713410122</v>
      </c>
    </row>
    <row r="87" spans="8:19">
      <c r="H87" s="101">
        <v>45135</v>
      </c>
      <c r="I87" s="75">
        <f t="shared" si="0"/>
        <v>4.2500000000000003E-2</v>
      </c>
      <c r="J87" s="236">
        <v>0</v>
      </c>
      <c r="K87" s="237">
        <f t="shared" si="7"/>
        <v>4.25</v>
      </c>
      <c r="L87" s="237">
        <f t="shared" si="1"/>
        <v>4.25</v>
      </c>
      <c r="M87" s="57">
        <f t="shared" si="2"/>
        <v>0</v>
      </c>
      <c r="N87">
        <v>0</v>
      </c>
      <c r="O87" s="57">
        <f t="shared" si="3"/>
        <v>100</v>
      </c>
      <c r="P87" s="236">
        <f t="shared" si="4"/>
        <v>1</v>
      </c>
      <c r="R87" s="237">
        <f t="shared" si="5"/>
        <v>4.25</v>
      </c>
      <c r="S87" s="237">
        <f t="shared" si="6"/>
        <v>3.7766609027486076</v>
      </c>
    </row>
    <row r="88" spans="8:19">
      <c r="H88" s="101">
        <v>45319</v>
      </c>
      <c r="I88" s="75">
        <f t="shared" si="0"/>
        <v>4.2500000000000003E-2</v>
      </c>
      <c r="J88" s="236">
        <v>0</v>
      </c>
      <c r="K88" s="237">
        <f t="shared" si="7"/>
        <v>4.25</v>
      </c>
      <c r="L88" s="237">
        <f t="shared" si="1"/>
        <v>4.25</v>
      </c>
      <c r="M88" s="57">
        <f t="shared" si="2"/>
        <v>0</v>
      </c>
      <c r="N88">
        <v>0</v>
      </c>
      <c r="O88" s="57">
        <f t="shared" si="3"/>
        <v>100</v>
      </c>
      <c r="P88" s="236">
        <f t="shared" si="4"/>
        <v>1</v>
      </c>
      <c r="R88" s="237">
        <f t="shared" si="5"/>
        <v>4.25</v>
      </c>
      <c r="S88" s="237">
        <f t="shared" si="6"/>
        <v>3.6009048830372836</v>
      </c>
    </row>
    <row r="89" spans="8:19">
      <c r="H89" s="101">
        <v>45501</v>
      </c>
      <c r="I89" s="75">
        <f t="shared" si="0"/>
        <v>4.2500000000000003E-2</v>
      </c>
      <c r="J89" s="236">
        <v>0</v>
      </c>
      <c r="K89" s="237">
        <f t="shared" si="7"/>
        <v>4.25</v>
      </c>
      <c r="L89" s="237">
        <f t="shared" si="1"/>
        <v>4.25</v>
      </c>
      <c r="M89" s="57">
        <f t="shared" si="2"/>
        <v>0</v>
      </c>
      <c r="N89">
        <v>0</v>
      </c>
      <c r="O89" s="57">
        <f t="shared" si="3"/>
        <v>100</v>
      </c>
      <c r="P89" s="236">
        <f t="shared" si="4"/>
        <v>1</v>
      </c>
      <c r="R89" s="237">
        <f t="shared" si="5"/>
        <v>4.25</v>
      </c>
      <c r="S89" s="237">
        <f t="shared" si="6"/>
        <v>3.4333280934078254</v>
      </c>
    </row>
    <row r="90" spans="8:19">
      <c r="H90" s="101">
        <v>45685</v>
      </c>
      <c r="I90" s="75">
        <f t="shared" si="0"/>
        <v>4.2500000000000003E-2</v>
      </c>
      <c r="J90" s="236">
        <v>0</v>
      </c>
      <c r="K90" s="237">
        <f t="shared" si="7"/>
        <v>4.25</v>
      </c>
      <c r="L90" s="237">
        <f t="shared" si="1"/>
        <v>4.25</v>
      </c>
      <c r="M90" s="57">
        <f t="shared" si="2"/>
        <v>0</v>
      </c>
      <c r="N90">
        <v>0</v>
      </c>
      <c r="O90" s="57">
        <f t="shared" si="3"/>
        <v>100</v>
      </c>
      <c r="P90" s="236">
        <f t="shared" si="4"/>
        <v>1</v>
      </c>
      <c r="R90" s="237">
        <f t="shared" si="5"/>
        <v>4.25</v>
      </c>
      <c r="S90" s="237">
        <f t="shared" si="6"/>
        <v>3.2735498936702578</v>
      </c>
    </row>
    <row r="91" spans="8:19">
      <c r="H91" s="101">
        <v>45866</v>
      </c>
      <c r="I91" s="75">
        <f t="shared" si="0"/>
        <v>4.2500000000000003E-2</v>
      </c>
      <c r="J91" s="236">
        <v>0</v>
      </c>
      <c r="K91" s="237">
        <f t="shared" si="7"/>
        <v>4.25</v>
      </c>
      <c r="L91" s="237">
        <f t="shared" si="1"/>
        <v>4.25</v>
      </c>
      <c r="M91" s="57">
        <f t="shared" si="2"/>
        <v>0</v>
      </c>
      <c r="N91">
        <f>+I71</f>
        <v>100</v>
      </c>
      <c r="O91" s="57">
        <f t="shared" si="3"/>
        <v>0</v>
      </c>
      <c r="P91" s="236">
        <f t="shared" si="4"/>
        <v>0</v>
      </c>
      <c r="R91" s="237">
        <f t="shared" si="5"/>
        <v>104.25</v>
      </c>
      <c r="S91" s="237">
        <f t="shared" si="6"/>
        <v>76.561380478666464</v>
      </c>
    </row>
    <row r="131" spans="1:11" s="70" customFormat="1" ht="19" thickBot="1">
      <c r="A131" s="256" t="s">
        <v>389</v>
      </c>
      <c r="B131" s="256"/>
      <c r="C131" s="256"/>
      <c r="I131" s="70" t="s">
        <v>182</v>
      </c>
      <c r="J131" s="70" t="s">
        <v>360</v>
      </c>
      <c r="K131" s="70" t="s">
        <v>101</v>
      </c>
    </row>
    <row r="194" spans="1:20" s="70" customFormat="1" ht="19" thickBot="1">
      <c r="A194" s="256" t="s">
        <v>272</v>
      </c>
      <c r="B194" s="256"/>
      <c r="C194" s="256"/>
      <c r="I194" s="70" t="s">
        <v>182</v>
      </c>
      <c r="J194" s="70" t="s">
        <v>360</v>
      </c>
      <c r="K194" s="70" t="s">
        <v>101</v>
      </c>
      <c r="L194" s="70" t="s">
        <v>392</v>
      </c>
    </row>
    <row r="195" spans="1:20">
      <c r="J195" s="59">
        <v>1.4E-2</v>
      </c>
      <c r="L195" s="101">
        <v>43915</v>
      </c>
    </row>
    <row r="197" spans="1:20" ht="17" thickBot="1">
      <c r="J197" s="70" t="s">
        <v>270</v>
      </c>
      <c r="K197" s="70"/>
      <c r="L197" s="70"/>
      <c r="M197" s="70"/>
      <c r="N197" s="70"/>
      <c r="O197" s="70"/>
      <c r="P197" s="70"/>
      <c r="Q197" s="70"/>
      <c r="R197" s="70"/>
      <c r="S197" s="70"/>
      <c r="T197" s="70"/>
    </row>
    <row r="198" spans="1:20">
      <c r="J198" s="101">
        <v>43915</v>
      </c>
    </row>
    <row r="199" spans="1:20">
      <c r="J199" s="101">
        <v>44099</v>
      </c>
    </row>
    <row r="200" spans="1:20">
      <c r="J200" s="101">
        <v>44280</v>
      </c>
    </row>
    <row r="201" spans="1:20">
      <c r="J201" s="101">
        <v>44464</v>
      </c>
    </row>
    <row r="202" spans="1:20">
      <c r="J202" s="101">
        <v>44645</v>
      </c>
    </row>
    <row r="203" spans="1:20">
      <c r="J203" s="101">
        <v>44829</v>
      </c>
    </row>
    <row r="204" spans="1:20">
      <c r="J204" s="101">
        <v>45010</v>
      </c>
    </row>
    <row r="205" spans="1:20">
      <c r="J205" s="101">
        <v>45194</v>
      </c>
    </row>
    <row r="206" spans="1:20">
      <c r="J206" s="101">
        <v>45376</v>
      </c>
    </row>
    <row r="207" spans="1:20">
      <c r="I207" s="101"/>
    </row>
    <row r="232" spans="2:7">
      <c r="B232" t="s">
        <v>218</v>
      </c>
    </row>
    <row r="233" spans="2:7">
      <c r="F233" t="s">
        <v>393</v>
      </c>
    </row>
    <row r="234" spans="2:7">
      <c r="F234" t="s">
        <v>394</v>
      </c>
    </row>
    <row r="235" spans="2:7">
      <c r="F235" t="s">
        <v>395</v>
      </c>
    </row>
    <row r="236" spans="2:7">
      <c r="F236" t="s">
        <v>396</v>
      </c>
    </row>
    <row r="237" spans="2:7">
      <c r="F237" s="239">
        <v>0.83333333333333337</v>
      </c>
    </row>
    <row r="238" spans="2:7">
      <c r="F238" t="s">
        <v>397</v>
      </c>
      <c r="G238" t="s">
        <v>399</v>
      </c>
    </row>
    <row r="239" spans="2:7">
      <c r="F239" t="s">
        <v>398</v>
      </c>
    </row>
    <row r="298" spans="1:12" s="70" customFormat="1" ht="19" thickBot="1">
      <c r="A298" s="256" t="s">
        <v>167</v>
      </c>
      <c r="B298" s="256"/>
      <c r="C298" s="256"/>
      <c r="I298" s="70" t="s">
        <v>182</v>
      </c>
      <c r="J298" s="70" t="s">
        <v>360</v>
      </c>
      <c r="K298" s="70" t="s">
        <v>101</v>
      </c>
      <c r="L298" s="70" t="s">
        <v>392</v>
      </c>
    </row>
  </sheetData>
  <mergeCells count="4">
    <mergeCell ref="A70:C70"/>
    <mergeCell ref="A131:C131"/>
    <mergeCell ref="A194:C194"/>
    <mergeCell ref="A298:C29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BDC6F-A4E5-3B42-94C2-09C548BFD9AB}">
  <dimension ref="K1:P37"/>
  <sheetViews>
    <sheetView zoomScale="125" workbookViewId="0">
      <selection activeCell="N25" sqref="N25"/>
    </sheetView>
  </sheetViews>
  <sheetFormatPr baseColWidth="10" defaultRowHeight="16"/>
  <cols>
    <col min="13" max="13" width="11.83203125" customWidth="1"/>
  </cols>
  <sheetData>
    <row r="1" spans="11:14">
      <c r="K1" t="s">
        <v>440</v>
      </c>
    </row>
    <row r="2" spans="11:14">
      <c r="K2">
        <v>0.08</v>
      </c>
    </row>
    <row r="3" spans="11:14">
      <c r="K3" t="s">
        <v>439</v>
      </c>
      <c r="L3" t="s">
        <v>438</v>
      </c>
    </row>
    <row r="4" spans="11:14">
      <c r="K4">
        <v>0</v>
      </c>
      <c r="M4">
        <f>+L5</f>
        <v>1000</v>
      </c>
      <c r="N4">
        <v>1</v>
      </c>
    </row>
    <row r="5" spans="11:14">
      <c r="K5">
        <v>1</v>
      </c>
      <c r="L5">
        <v>1000</v>
      </c>
      <c r="M5">
        <f>+L5/(1+$K$2)^K5</f>
        <v>925.92592592592587</v>
      </c>
      <c r="N5">
        <f>1/(1+$K$2)^K5</f>
        <v>0.92592592592592582</v>
      </c>
    </row>
    <row r="6" spans="11:14">
      <c r="K6">
        <v>2</v>
      </c>
      <c r="L6">
        <v>1000</v>
      </c>
      <c r="M6">
        <f t="shared" ref="M6:M16" si="0">+L6/(1+$K$2)^K6</f>
        <v>857.33882030178324</v>
      </c>
      <c r="N6">
        <f t="shared" ref="N6:N16" si="1">1/(1+$K$2)^K6</f>
        <v>0.85733882030178321</v>
      </c>
    </row>
    <row r="7" spans="11:14">
      <c r="K7">
        <v>3</v>
      </c>
      <c r="L7">
        <v>1000</v>
      </c>
      <c r="M7">
        <f t="shared" si="0"/>
        <v>793.83224102016959</v>
      </c>
      <c r="N7">
        <f t="shared" si="1"/>
        <v>0.79383224102016958</v>
      </c>
    </row>
    <row r="8" spans="11:14">
      <c r="K8">
        <v>4</v>
      </c>
      <c r="L8">
        <v>1000</v>
      </c>
      <c r="M8">
        <f t="shared" si="0"/>
        <v>735.02985279645327</v>
      </c>
      <c r="N8">
        <f t="shared" si="1"/>
        <v>0.73502985279645328</v>
      </c>
    </row>
    <row r="9" spans="11:14">
      <c r="K9">
        <v>5</v>
      </c>
      <c r="L9">
        <v>1000</v>
      </c>
      <c r="M9">
        <f t="shared" si="0"/>
        <v>680.58319703375298</v>
      </c>
      <c r="N9">
        <f t="shared" si="1"/>
        <v>0.68058319703375303</v>
      </c>
    </row>
    <row r="10" spans="11:14">
      <c r="K10">
        <v>6</v>
      </c>
      <c r="L10">
        <v>1000</v>
      </c>
      <c r="M10">
        <f t="shared" si="0"/>
        <v>630.16962688310457</v>
      </c>
      <c r="N10">
        <f t="shared" si="1"/>
        <v>0.63016962688310452</v>
      </c>
    </row>
    <row r="11" spans="11:14">
      <c r="K11">
        <v>7</v>
      </c>
      <c r="L11">
        <v>1000</v>
      </c>
      <c r="M11">
        <f t="shared" si="0"/>
        <v>583.4903952621338</v>
      </c>
      <c r="N11">
        <f t="shared" si="1"/>
        <v>0.58349039526213387</v>
      </c>
    </row>
    <row r="12" spans="11:14">
      <c r="K12">
        <v>8</v>
      </c>
      <c r="L12">
        <v>1000</v>
      </c>
      <c r="M12">
        <f t="shared" si="0"/>
        <v>540.26888450197578</v>
      </c>
      <c r="N12">
        <f t="shared" si="1"/>
        <v>0.54026888450197574</v>
      </c>
    </row>
    <row r="13" spans="11:14">
      <c r="K13">
        <v>9</v>
      </c>
      <c r="L13">
        <v>1000</v>
      </c>
      <c r="M13">
        <f t="shared" si="0"/>
        <v>500.24896713145898</v>
      </c>
      <c r="N13">
        <f t="shared" si="1"/>
        <v>0.50024896713145905</v>
      </c>
    </row>
    <row r="14" spans="11:14">
      <c r="K14">
        <v>10</v>
      </c>
      <c r="L14">
        <v>1000</v>
      </c>
      <c r="M14">
        <f t="shared" si="0"/>
        <v>463.19348808468425</v>
      </c>
      <c r="N14">
        <f t="shared" si="1"/>
        <v>0.46319348808468425</v>
      </c>
    </row>
    <row r="15" spans="11:14">
      <c r="K15">
        <v>11</v>
      </c>
      <c r="L15">
        <v>1000</v>
      </c>
      <c r="M15">
        <f t="shared" si="0"/>
        <v>428.8828593376706</v>
      </c>
      <c r="N15">
        <f t="shared" si="1"/>
        <v>0.42888285933767062</v>
      </c>
    </row>
    <row r="16" spans="11:14">
      <c r="K16">
        <v>12</v>
      </c>
      <c r="L16">
        <v>1000</v>
      </c>
      <c r="M16">
        <f t="shared" si="0"/>
        <v>397.11375864599125</v>
      </c>
      <c r="N16">
        <f t="shared" si="1"/>
        <v>0.39711375864599124</v>
      </c>
    </row>
    <row r="18" spans="11:14">
      <c r="M18">
        <f>+SUM(M4:M16)</f>
        <v>8536.0780169251029</v>
      </c>
      <c r="N18">
        <f>+SUM(N4:N16)</f>
        <v>8.5360780169251047</v>
      </c>
    </row>
    <row r="22" spans="11:14">
      <c r="L22" t="s">
        <v>441</v>
      </c>
      <c r="M22">
        <f>+(1+K2)^(K16+1)-1</f>
        <v>1.7196237261644982</v>
      </c>
    </row>
    <row r="23" spans="11:14">
      <c r="L23" t="s">
        <v>442</v>
      </c>
      <c r="M23">
        <f>+K2*(1+K2)^K16</f>
        <v>0.2014536093455184</v>
      </c>
    </row>
    <row r="25" spans="11:14">
      <c r="M25">
        <f>+M22/M23</f>
        <v>8.5360780169251083</v>
      </c>
    </row>
    <row r="27" spans="11:14">
      <c r="M27">
        <f>+L16*M25</f>
        <v>8536.0780169251084</v>
      </c>
    </row>
    <row r="30" spans="11:14">
      <c r="M30">
        <v>0.1</v>
      </c>
      <c r="N30">
        <v>0.2</v>
      </c>
    </row>
    <row r="31" spans="11:14">
      <c r="L31">
        <v>-100</v>
      </c>
      <c r="M31">
        <f>+SUM(M32:M33)</f>
        <v>104.13223140495867</v>
      </c>
      <c r="N31">
        <f>+SUM(N32:N33)</f>
        <v>91.666666666666671</v>
      </c>
    </row>
    <row r="32" spans="11:14">
      <c r="K32">
        <v>1</v>
      </c>
      <c r="L32">
        <v>60</v>
      </c>
      <c r="M32">
        <f>+L32/(1+$M$30)^K32</f>
        <v>54.54545454545454</v>
      </c>
      <c r="N32">
        <f>+L32/(1+$N$30)^K32</f>
        <v>50</v>
      </c>
    </row>
    <row r="33" spans="11:16">
      <c r="K33">
        <v>2</v>
      </c>
      <c r="L33">
        <v>60</v>
      </c>
      <c r="M33">
        <f>+L33/(1+$M$30)^K33</f>
        <v>49.586776859504127</v>
      </c>
      <c r="N33">
        <f>+L33/(1+$N$30)^K33</f>
        <v>41.666666666666671</v>
      </c>
    </row>
    <row r="34" spans="11:16">
      <c r="M34" s="255">
        <f>+IRR(L31:L33)</f>
        <v>0.13066238629180749</v>
      </c>
    </row>
    <row r="36" spans="11:16">
      <c r="L36" t="s">
        <v>443</v>
      </c>
      <c r="N36">
        <f>+M30</f>
        <v>0.1</v>
      </c>
      <c r="O36" t="s">
        <v>444</v>
      </c>
      <c r="P36">
        <f>+N30</f>
        <v>0.2</v>
      </c>
    </row>
    <row r="37" spans="11:16">
      <c r="L37" t="s">
        <v>445</v>
      </c>
      <c r="N37" t="s">
        <v>446</v>
      </c>
      <c r="O37" t="s">
        <v>447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80A94-4BB6-2449-ACEA-DC9D4914235B}">
  <sheetPr>
    <tabColor theme="4" tint="0.39997558519241921"/>
  </sheetPr>
  <dimension ref="A1:AC102"/>
  <sheetViews>
    <sheetView zoomScale="125" zoomScaleNormal="100" workbookViewId="0">
      <selection activeCell="A58" sqref="A58"/>
    </sheetView>
  </sheetViews>
  <sheetFormatPr baseColWidth="10" defaultRowHeight="16"/>
  <cols>
    <col min="2" max="2" width="17.5" customWidth="1"/>
    <col min="4" max="4" width="15.5" customWidth="1"/>
    <col min="5" max="5" width="17.33203125" customWidth="1"/>
    <col min="6" max="6" width="21" customWidth="1"/>
    <col min="7" max="7" width="25.6640625" customWidth="1"/>
    <col min="8" max="8" width="18.1640625" customWidth="1"/>
    <col min="9" max="9" width="17.83203125" customWidth="1"/>
    <col min="10" max="10" width="21" customWidth="1"/>
    <col min="18" max="18" width="11.83203125" customWidth="1"/>
    <col min="19" max="19" width="15" customWidth="1"/>
    <col min="21" max="21" width="15.33203125" customWidth="1"/>
    <col min="23" max="23" width="13.6640625" customWidth="1"/>
    <col min="24" max="24" width="12.1640625" bestFit="1" customWidth="1"/>
  </cols>
  <sheetData>
    <row r="1" spans="1:29">
      <c r="A1" s="235" t="s">
        <v>381</v>
      </c>
      <c r="I1" t="s">
        <v>1</v>
      </c>
      <c r="P1" s="43"/>
      <c r="R1" t="s">
        <v>182</v>
      </c>
      <c r="S1" t="s">
        <v>359</v>
      </c>
      <c r="T1" t="s">
        <v>360</v>
      </c>
      <c r="U1" t="s">
        <v>361</v>
      </c>
      <c r="V1" t="s">
        <v>364</v>
      </c>
      <c r="W1" t="s">
        <v>115</v>
      </c>
      <c r="X1" t="s">
        <v>62</v>
      </c>
    </row>
    <row r="2" spans="1:29">
      <c r="P2" s="44"/>
      <c r="Q2" t="s">
        <v>357</v>
      </c>
      <c r="R2">
        <v>100</v>
      </c>
      <c r="S2" t="s">
        <v>88</v>
      </c>
      <c r="T2">
        <v>0.11</v>
      </c>
      <c r="U2" t="s">
        <v>362</v>
      </c>
      <c r="V2">
        <v>0.12</v>
      </c>
      <c r="W2">
        <v>90</v>
      </c>
      <c r="X2" s="222">
        <f>+NPV(V2,AA8:AA17)-90</f>
        <v>4.3497769715890939</v>
      </c>
    </row>
    <row r="3" spans="1:29">
      <c r="I3" t="s">
        <v>18</v>
      </c>
      <c r="J3" t="s">
        <v>20</v>
      </c>
      <c r="P3" s="44"/>
      <c r="Q3" t="s">
        <v>358</v>
      </c>
      <c r="R3">
        <v>100</v>
      </c>
      <c r="S3" t="s">
        <v>88</v>
      </c>
      <c r="T3">
        <v>0.15</v>
      </c>
      <c r="U3" t="s">
        <v>363</v>
      </c>
      <c r="V3">
        <v>0.14000000000000001</v>
      </c>
      <c r="W3">
        <v>105</v>
      </c>
      <c r="X3" s="222">
        <f>+NPV(V3,AA20:AA29)-105</f>
        <v>0.21611564629353097</v>
      </c>
    </row>
    <row r="4" spans="1:29">
      <c r="H4" t="s">
        <v>9</v>
      </c>
      <c r="I4" t="s">
        <v>19</v>
      </c>
      <c r="P4" s="44"/>
    </row>
    <row r="5" spans="1:29">
      <c r="P5" s="44"/>
    </row>
    <row r="6" spans="1:29" ht="32">
      <c r="H6" t="s">
        <v>16</v>
      </c>
      <c r="I6">
        <v>0.12</v>
      </c>
      <c r="J6" t="s">
        <v>17</v>
      </c>
      <c r="K6">
        <v>94</v>
      </c>
      <c r="P6" s="44"/>
      <c r="Q6" s="42" t="s">
        <v>0</v>
      </c>
      <c r="R6" s="42" t="s">
        <v>365</v>
      </c>
      <c r="S6" s="42" t="s">
        <v>366</v>
      </c>
      <c r="T6" s="42" t="s">
        <v>367</v>
      </c>
      <c r="U6" s="42" t="s">
        <v>368</v>
      </c>
      <c r="V6" s="42" t="s">
        <v>369</v>
      </c>
      <c r="W6" s="42" t="s">
        <v>371</v>
      </c>
      <c r="X6" s="42" t="s">
        <v>372</v>
      </c>
      <c r="Y6" s="42" t="s">
        <v>373</v>
      </c>
      <c r="Z6" s="42" t="s">
        <v>213</v>
      </c>
      <c r="AA6" s="42" t="s">
        <v>370</v>
      </c>
      <c r="AB6" s="42" t="s">
        <v>382</v>
      </c>
      <c r="AC6" s="42" t="s">
        <v>62</v>
      </c>
    </row>
    <row r="7" spans="1:29">
      <c r="H7" t="s">
        <v>12</v>
      </c>
      <c r="I7">
        <v>0.1283</v>
      </c>
      <c r="J7" t="s">
        <v>15</v>
      </c>
      <c r="K7">
        <v>90</v>
      </c>
      <c r="P7" s="44"/>
      <c r="Q7">
        <v>0</v>
      </c>
      <c r="R7">
        <v>0.11</v>
      </c>
      <c r="S7">
        <v>0</v>
      </c>
      <c r="T7">
        <f>+R7*100</f>
        <v>11</v>
      </c>
      <c r="U7">
        <f>+T7*S7</f>
        <v>0</v>
      </c>
      <c r="V7">
        <f t="shared" ref="V7:V17" si="0">+T7-U7</f>
        <v>11</v>
      </c>
      <c r="X7">
        <v>100</v>
      </c>
      <c r="AA7">
        <v>-90</v>
      </c>
      <c r="AB7">
        <f>+SUM(AB8:AB17)</f>
        <v>94.349776971589094</v>
      </c>
      <c r="AC7">
        <f>AB7+AA7</f>
        <v>4.3497769715890939</v>
      </c>
    </row>
    <row r="8" spans="1:29">
      <c r="H8" t="s">
        <v>14</v>
      </c>
      <c r="I8">
        <v>90</v>
      </c>
      <c r="P8" s="44"/>
      <c r="Q8">
        <v>1</v>
      </c>
      <c r="R8">
        <v>0.11</v>
      </c>
      <c r="S8">
        <v>0</v>
      </c>
      <c r="T8">
        <f t="shared" ref="T8:T17" si="1">+R8*100</f>
        <v>11</v>
      </c>
      <c r="U8">
        <f t="shared" ref="U8:U17" si="2">+T8*S8</f>
        <v>0</v>
      </c>
      <c r="V8">
        <f t="shared" si="0"/>
        <v>11</v>
      </c>
      <c r="W8">
        <v>0</v>
      </c>
      <c r="X8">
        <f>+X7+U8-W8</f>
        <v>100</v>
      </c>
      <c r="Y8">
        <f>+X8/100</f>
        <v>1</v>
      </c>
      <c r="Z8">
        <f>+R8/100*X8</f>
        <v>0.11</v>
      </c>
      <c r="AA8">
        <f>+W8+V8</f>
        <v>11</v>
      </c>
      <c r="AB8">
        <f>+AA8/(1+0.12)^Q8</f>
        <v>9.8214285714285712</v>
      </c>
    </row>
    <row r="9" spans="1:29">
      <c r="P9" s="44"/>
      <c r="Q9">
        <v>2</v>
      </c>
      <c r="R9">
        <v>0.11</v>
      </c>
      <c r="S9">
        <v>0</v>
      </c>
      <c r="T9">
        <f t="shared" si="1"/>
        <v>11</v>
      </c>
      <c r="U9">
        <f t="shared" si="2"/>
        <v>0</v>
      </c>
      <c r="V9">
        <f t="shared" si="0"/>
        <v>11</v>
      </c>
      <c r="W9">
        <v>0</v>
      </c>
      <c r="X9">
        <f t="shared" ref="X9:X17" si="3">+X8+U9-W9</f>
        <v>100</v>
      </c>
      <c r="Y9">
        <f t="shared" ref="Y9:Y17" si="4">+X9/100</f>
        <v>1</v>
      </c>
      <c r="Z9">
        <f t="shared" ref="Z9:Z17" si="5">+R9/100*X9</f>
        <v>0.11</v>
      </c>
      <c r="AA9">
        <f t="shared" ref="AA9:AA17" si="6">+W9+V9</f>
        <v>11</v>
      </c>
      <c r="AB9">
        <f t="shared" ref="AB9:AB17" si="7">+AA9/(1+0.12)^Q9</f>
        <v>8.7691326530612237</v>
      </c>
    </row>
    <row r="10" spans="1:29">
      <c r="P10" s="44"/>
      <c r="Q10">
        <v>3</v>
      </c>
      <c r="R10">
        <v>0.11</v>
      </c>
      <c r="S10">
        <v>0</v>
      </c>
      <c r="T10">
        <f t="shared" si="1"/>
        <v>11</v>
      </c>
      <c r="U10">
        <f t="shared" si="2"/>
        <v>0</v>
      </c>
      <c r="V10">
        <f t="shared" si="0"/>
        <v>11</v>
      </c>
      <c r="W10">
        <v>0</v>
      </c>
      <c r="X10">
        <f t="shared" si="3"/>
        <v>100</v>
      </c>
      <c r="Y10">
        <f t="shared" si="4"/>
        <v>1</v>
      </c>
      <c r="Z10">
        <f t="shared" si="5"/>
        <v>0.11</v>
      </c>
      <c r="AA10">
        <f t="shared" si="6"/>
        <v>11</v>
      </c>
      <c r="AB10">
        <f t="shared" si="7"/>
        <v>7.8295827259475193</v>
      </c>
    </row>
    <row r="11" spans="1:29">
      <c r="P11" s="44"/>
      <c r="Q11">
        <v>4</v>
      </c>
      <c r="R11">
        <v>0.11</v>
      </c>
      <c r="S11">
        <v>0</v>
      </c>
      <c r="T11">
        <f t="shared" si="1"/>
        <v>11</v>
      </c>
      <c r="U11">
        <f t="shared" si="2"/>
        <v>0</v>
      </c>
      <c r="V11">
        <f t="shared" si="0"/>
        <v>11</v>
      </c>
      <c r="W11">
        <v>0</v>
      </c>
      <c r="X11">
        <f t="shared" si="3"/>
        <v>100</v>
      </c>
      <c r="Y11">
        <f t="shared" si="4"/>
        <v>1</v>
      </c>
      <c r="Z11">
        <f t="shared" si="5"/>
        <v>0.11</v>
      </c>
      <c r="AA11">
        <f t="shared" si="6"/>
        <v>11</v>
      </c>
      <c r="AB11">
        <f t="shared" si="7"/>
        <v>6.9906988624531428</v>
      </c>
    </row>
    <row r="12" spans="1:29">
      <c r="P12" s="44"/>
      <c r="Q12">
        <v>5</v>
      </c>
      <c r="R12">
        <v>0.11</v>
      </c>
      <c r="S12">
        <v>0</v>
      </c>
      <c r="T12">
        <f t="shared" si="1"/>
        <v>11</v>
      </c>
      <c r="U12">
        <f t="shared" si="2"/>
        <v>0</v>
      </c>
      <c r="V12">
        <f t="shared" si="0"/>
        <v>11</v>
      </c>
      <c r="W12">
        <v>0</v>
      </c>
      <c r="X12">
        <f t="shared" si="3"/>
        <v>100</v>
      </c>
      <c r="Y12">
        <f t="shared" si="4"/>
        <v>1</v>
      </c>
      <c r="Z12">
        <f t="shared" si="5"/>
        <v>0.11</v>
      </c>
      <c r="AA12">
        <f t="shared" si="6"/>
        <v>11</v>
      </c>
      <c r="AB12">
        <f t="shared" si="7"/>
        <v>6.2416954129045914</v>
      </c>
    </row>
    <row r="13" spans="1:29">
      <c r="P13" s="44"/>
      <c r="Q13">
        <v>6</v>
      </c>
      <c r="R13">
        <v>0.11</v>
      </c>
      <c r="S13">
        <v>0</v>
      </c>
      <c r="T13">
        <f t="shared" si="1"/>
        <v>11</v>
      </c>
      <c r="U13">
        <f t="shared" si="2"/>
        <v>0</v>
      </c>
      <c r="V13">
        <f t="shared" si="0"/>
        <v>11</v>
      </c>
      <c r="W13">
        <v>0</v>
      </c>
      <c r="X13">
        <f t="shared" si="3"/>
        <v>100</v>
      </c>
      <c r="Y13">
        <f t="shared" si="4"/>
        <v>1</v>
      </c>
      <c r="Z13">
        <f t="shared" si="5"/>
        <v>0.11</v>
      </c>
      <c r="AA13">
        <f t="shared" si="6"/>
        <v>11</v>
      </c>
      <c r="AB13">
        <f t="shared" si="7"/>
        <v>5.572942332950527</v>
      </c>
    </row>
    <row r="14" spans="1:29">
      <c r="A14" t="s">
        <v>0</v>
      </c>
      <c r="B14" t="s">
        <v>3</v>
      </c>
      <c r="C14" t="s">
        <v>4</v>
      </c>
      <c r="D14" t="s">
        <v>6</v>
      </c>
      <c r="E14" t="s">
        <v>7</v>
      </c>
      <c r="F14" t="s">
        <v>5</v>
      </c>
      <c r="G14" t="s">
        <v>8</v>
      </c>
      <c r="H14" t="s">
        <v>2</v>
      </c>
      <c r="I14" t="s">
        <v>10</v>
      </c>
      <c r="J14" t="s">
        <v>11</v>
      </c>
      <c r="P14" s="44"/>
      <c r="Q14">
        <v>7</v>
      </c>
      <c r="R14">
        <v>0.11</v>
      </c>
      <c r="S14">
        <v>0</v>
      </c>
      <c r="T14">
        <f t="shared" si="1"/>
        <v>11</v>
      </c>
      <c r="U14">
        <f t="shared" si="2"/>
        <v>0</v>
      </c>
      <c r="V14">
        <f t="shared" si="0"/>
        <v>11</v>
      </c>
      <c r="W14">
        <v>0</v>
      </c>
      <c r="X14">
        <f t="shared" si="3"/>
        <v>100</v>
      </c>
      <c r="Y14">
        <f t="shared" si="4"/>
        <v>1</v>
      </c>
      <c r="Z14">
        <f t="shared" si="5"/>
        <v>0.11</v>
      </c>
      <c r="AA14">
        <f t="shared" si="6"/>
        <v>11</v>
      </c>
      <c r="AB14">
        <f t="shared" si="7"/>
        <v>4.9758413687058276</v>
      </c>
    </row>
    <row r="15" spans="1:29">
      <c r="A15">
        <v>0</v>
      </c>
      <c r="B15">
        <v>0.11</v>
      </c>
      <c r="H15">
        <v>100</v>
      </c>
      <c r="P15" s="44"/>
      <c r="Q15">
        <v>8</v>
      </c>
      <c r="R15">
        <v>0.11</v>
      </c>
      <c r="S15">
        <v>0</v>
      </c>
      <c r="T15">
        <f t="shared" si="1"/>
        <v>11</v>
      </c>
      <c r="U15">
        <f t="shared" si="2"/>
        <v>0</v>
      </c>
      <c r="V15">
        <f t="shared" si="0"/>
        <v>11</v>
      </c>
      <c r="W15">
        <v>0</v>
      </c>
      <c r="X15">
        <f t="shared" si="3"/>
        <v>100</v>
      </c>
      <c r="Y15">
        <f t="shared" si="4"/>
        <v>1</v>
      </c>
      <c r="Z15">
        <f t="shared" si="5"/>
        <v>0.11</v>
      </c>
      <c r="AA15">
        <f t="shared" si="6"/>
        <v>11</v>
      </c>
      <c r="AB15">
        <f t="shared" si="7"/>
        <v>4.4427155077730607</v>
      </c>
    </row>
    <row r="16" spans="1:29">
      <c r="A16">
        <v>1</v>
      </c>
      <c r="B16">
        <v>0.11</v>
      </c>
      <c r="C16">
        <f>+B15*H15</f>
        <v>11</v>
      </c>
      <c r="D16">
        <v>0</v>
      </c>
      <c r="E16">
        <f>+D16*C16</f>
        <v>0</v>
      </c>
      <c r="F16">
        <f>+C16-E16</f>
        <v>11</v>
      </c>
      <c r="G16">
        <v>0</v>
      </c>
      <c r="H16">
        <f>+H15-G16+E16</f>
        <v>100</v>
      </c>
      <c r="I16">
        <f>+G16+F16</f>
        <v>11</v>
      </c>
      <c r="J16">
        <f>+I16/(1+$I$6)^A16</f>
        <v>9.8214285714285712</v>
      </c>
      <c r="K16">
        <f>+I16/(1+$I$7)^A16</f>
        <v>9.7491801825755555</v>
      </c>
      <c r="P16" s="44"/>
      <c r="Q16">
        <v>9</v>
      </c>
      <c r="R16">
        <v>0.11</v>
      </c>
      <c r="S16">
        <v>0</v>
      </c>
      <c r="T16">
        <f t="shared" si="1"/>
        <v>11</v>
      </c>
      <c r="U16">
        <f t="shared" si="2"/>
        <v>0</v>
      </c>
      <c r="V16">
        <f t="shared" si="0"/>
        <v>11</v>
      </c>
      <c r="W16">
        <v>0</v>
      </c>
      <c r="X16">
        <f t="shared" si="3"/>
        <v>100</v>
      </c>
      <c r="Y16">
        <f t="shared" si="4"/>
        <v>1</v>
      </c>
      <c r="Z16">
        <f t="shared" si="5"/>
        <v>0.11</v>
      </c>
      <c r="AA16">
        <f t="shared" si="6"/>
        <v>11</v>
      </c>
      <c r="AB16">
        <f t="shared" si="7"/>
        <v>3.966710274797375</v>
      </c>
    </row>
    <row r="17" spans="1:29">
      <c r="A17">
        <v>2</v>
      </c>
      <c r="B17">
        <v>0.11</v>
      </c>
      <c r="C17">
        <f t="shared" ref="C17:C25" si="8">+B16*H16</f>
        <v>11</v>
      </c>
      <c r="D17">
        <v>0</v>
      </c>
      <c r="E17">
        <f t="shared" ref="E17:E25" si="9">+D17*C17</f>
        <v>0</v>
      </c>
      <c r="F17">
        <f t="shared" ref="F17:F25" si="10">+C17-E17</f>
        <v>11</v>
      </c>
      <c r="G17">
        <v>0</v>
      </c>
      <c r="H17">
        <f t="shared" ref="H17:H25" si="11">+H16-G17+E17</f>
        <v>100</v>
      </c>
      <c r="I17">
        <f t="shared" ref="I17:I25" si="12">+G17+F17</f>
        <v>11</v>
      </c>
      <c r="J17">
        <f t="shared" ref="J17:J25" si="13">+I17/(1+$I$6)^A17</f>
        <v>8.7691326530612237</v>
      </c>
      <c r="K17">
        <f t="shared" ref="K17:K25" si="14">+I17/(1+$I$7)^A17</f>
        <v>8.6405922029385405</v>
      </c>
      <c r="P17" s="44"/>
      <c r="Q17">
        <v>10</v>
      </c>
      <c r="R17">
        <v>0.11</v>
      </c>
      <c r="S17">
        <v>0</v>
      </c>
      <c r="T17">
        <f t="shared" si="1"/>
        <v>11</v>
      </c>
      <c r="U17">
        <f t="shared" si="2"/>
        <v>0</v>
      </c>
      <c r="V17">
        <f t="shared" si="0"/>
        <v>11</v>
      </c>
      <c r="W17">
        <v>100</v>
      </c>
      <c r="X17">
        <f t="shared" si="3"/>
        <v>0</v>
      </c>
      <c r="Y17">
        <f t="shared" si="4"/>
        <v>0</v>
      </c>
      <c r="Z17">
        <f t="shared" si="5"/>
        <v>0</v>
      </c>
      <c r="AA17">
        <f t="shared" si="6"/>
        <v>111</v>
      </c>
      <c r="AB17">
        <f t="shared" si="7"/>
        <v>35.739029261567254</v>
      </c>
    </row>
    <row r="18" spans="1:29">
      <c r="A18">
        <v>3</v>
      </c>
      <c r="B18">
        <v>0.11</v>
      </c>
      <c r="C18">
        <f t="shared" si="8"/>
        <v>11</v>
      </c>
      <c r="D18">
        <v>0</v>
      </c>
      <c r="E18">
        <f t="shared" si="9"/>
        <v>0</v>
      </c>
      <c r="F18">
        <f t="shared" si="10"/>
        <v>11</v>
      </c>
      <c r="G18">
        <v>0</v>
      </c>
      <c r="H18">
        <f t="shared" si="11"/>
        <v>100</v>
      </c>
      <c r="I18">
        <f t="shared" si="12"/>
        <v>11</v>
      </c>
      <c r="J18">
        <f t="shared" si="13"/>
        <v>7.8295827259475193</v>
      </c>
      <c r="K18">
        <f t="shared" si="14"/>
        <v>7.6580627518732065</v>
      </c>
      <c r="P18" s="44"/>
    </row>
    <row r="19" spans="1:29">
      <c r="A19">
        <v>4</v>
      </c>
      <c r="B19">
        <v>0.11</v>
      </c>
      <c r="C19">
        <f t="shared" si="8"/>
        <v>11</v>
      </c>
      <c r="D19">
        <v>0</v>
      </c>
      <c r="E19">
        <f t="shared" si="9"/>
        <v>0</v>
      </c>
      <c r="F19">
        <f t="shared" si="10"/>
        <v>11</v>
      </c>
      <c r="G19">
        <v>0</v>
      </c>
      <c r="H19">
        <f t="shared" si="11"/>
        <v>100</v>
      </c>
      <c r="I19">
        <f t="shared" si="12"/>
        <v>11</v>
      </c>
      <c r="J19">
        <f t="shared" si="13"/>
        <v>6.9906988624531428</v>
      </c>
      <c r="K19">
        <f t="shared" si="14"/>
        <v>6.7872576015892987</v>
      </c>
      <c r="P19" s="44"/>
      <c r="Q19">
        <v>0</v>
      </c>
      <c r="R19">
        <v>0.15</v>
      </c>
      <c r="S19">
        <v>0</v>
      </c>
      <c r="T19">
        <f>+R19*100</f>
        <v>15</v>
      </c>
      <c r="U19">
        <f>+T19*S19</f>
        <v>0</v>
      </c>
      <c r="V19">
        <f t="shared" ref="V19:V29" si="15">+T19-U19</f>
        <v>15</v>
      </c>
      <c r="X19">
        <v>100</v>
      </c>
      <c r="AA19">
        <v>-105</v>
      </c>
      <c r="AB19">
        <f>+SUM(AB20:AB29)</f>
        <v>105.21611564629352</v>
      </c>
      <c r="AC19">
        <f>AB19+AA19</f>
        <v>0.21611564629351676</v>
      </c>
    </row>
    <row r="20" spans="1:29">
      <c r="A20">
        <v>5</v>
      </c>
      <c r="B20">
        <v>0.11</v>
      </c>
      <c r="C20">
        <f t="shared" si="8"/>
        <v>11</v>
      </c>
      <c r="D20">
        <v>0</v>
      </c>
      <c r="E20">
        <f t="shared" si="9"/>
        <v>0</v>
      </c>
      <c r="F20">
        <f t="shared" si="10"/>
        <v>11</v>
      </c>
      <c r="G20">
        <v>0</v>
      </c>
      <c r="H20">
        <f t="shared" si="11"/>
        <v>100</v>
      </c>
      <c r="I20">
        <f t="shared" si="12"/>
        <v>11</v>
      </c>
      <c r="J20">
        <f t="shared" si="13"/>
        <v>6.2416954129045914</v>
      </c>
      <c r="K20">
        <f t="shared" si="14"/>
        <v>6.0154724821317895</v>
      </c>
      <c r="P20" s="44"/>
      <c r="Q20">
        <v>1</v>
      </c>
      <c r="R20">
        <v>0.15</v>
      </c>
      <c r="S20">
        <v>0</v>
      </c>
      <c r="T20">
        <f t="shared" ref="T20:T29" si="16">+R20*100</f>
        <v>15</v>
      </c>
      <c r="U20">
        <f t="shared" ref="U20:U29" si="17">+T20*S20</f>
        <v>0</v>
      </c>
      <c r="V20">
        <f t="shared" si="15"/>
        <v>15</v>
      </c>
      <c r="W20">
        <v>0</v>
      </c>
      <c r="X20">
        <f>+X19+U20-W20</f>
        <v>100</v>
      </c>
      <c r="Y20">
        <f>+X20/100</f>
        <v>1</v>
      </c>
      <c r="Z20">
        <f>+R20/100*X20</f>
        <v>0.15</v>
      </c>
      <c r="AA20">
        <f>+W20+V20</f>
        <v>15</v>
      </c>
      <c r="AB20">
        <f>+AA20/(1+0.14)^Q20</f>
        <v>13.157894736842104</v>
      </c>
    </row>
    <row r="21" spans="1:29">
      <c r="A21">
        <v>6</v>
      </c>
      <c r="B21">
        <v>0.11</v>
      </c>
      <c r="C21">
        <f t="shared" si="8"/>
        <v>11</v>
      </c>
      <c r="D21">
        <v>0</v>
      </c>
      <c r="E21">
        <f t="shared" si="9"/>
        <v>0</v>
      </c>
      <c r="F21">
        <f t="shared" si="10"/>
        <v>11</v>
      </c>
      <c r="G21">
        <v>0</v>
      </c>
      <c r="H21">
        <f t="shared" si="11"/>
        <v>100</v>
      </c>
      <c r="I21">
        <f t="shared" si="12"/>
        <v>11</v>
      </c>
      <c r="J21">
        <f t="shared" si="13"/>
        <v>5.572942332950527</v>
      </c>
      <c r="K21">
        <f t="shared" si="14"/>
        <v>5.3314477374207128</v>
      </c>
      <c r="P21" s="44"/>
      <c r="Q21">
        <v>2</v>
      </c>
      <c r="R21">
        <v>0.15</v>
      </c>
      <c r="S21">
        <v>0</v>
      </c>
      <c r="T21">
        <f t="shared" si="16"/>
        <v>15</v>
      </c>
      <c r="U21">
        <f t="shared" si="17"/>
        <v>0</v>
      </c>
      <c r="V21">
        <f t="shared" si="15"/>
        <v>15</v>
      </c>
      <c r="W21">
        <v>0</v>
      </c>
      <c r="X21">
        <f t="shared" ref="X21:X29" si="18">+X20+U21-W21</f>
        <v>100</v>
      </c>
      <c r="Y21">
        <f t="shared" ref="Y21:Y29" si="19">+X21/100</f>
        <v>1</v>
      </c>
      <c r="Z21">
        <f t="shared" ref="Z21:Z29" si="20">+R21/100*X21</f>
        <v>0.15</v>
      </c>
      <c r="AA21">
        <f t="shared" ref="AA21:AA28" si="21">+W21+V21</f>
        <v>15</v>
      </c>
      <c r="AB21">
        <f t="shared" ref="AB21:AB29" si="22">+AA21/(1+0.14)^Q21</f>
        <v>11.542012927054476</v>
      </c>
    </row>
    <row r="22" spans="1:29">
      <c r="A22">
        <v>7</v>
      </c>
      <c r="B22">
        <v>0.11</v>
      </c>
      <c r="C22">
        <f t="shared" si="8"/>
        <v>11</v>
      </c>
      <c r="D22">
        <v>0</v>
      </c>
      <c r="E22">
        <f t="shared" si="9"/>
        <v>0</v>
      </c>
      <c r="F22">
        <f t="shared" si="10"/>
        <v>11</v>
      </c>
      <c r="G22">
        <v>0</v>
      </c>
      <c r="H22">
        <f t="shared" si="11"/>
        <v>100</v>
      </c>
      <c r="I22">
        <f t="shared" si="12"/>
        <v>11</v>
      </c>
      <c r="J22">
        <f t="shared" si="13"/>
        <v>4.9758413687058276</v>
      </c>
      <c r="K22">
        <f t="shared" si="14"/>
        <v>4.7252040569181171</v>
      </c>
      <c r="P22" s="44"/>
      <c r="Q22">
        <v>3</v>
      </c>
      <c r="R22">
        <v>0.15</v>
      </c>
      <c r="S22">
        <v>0</v>
      </c>
      <c r="T22">
        <f t="shared" si="16"/>
        <v>15</v>
      </c>
      <c r="U22">
        <f t="shared" si="17"/>
        <v>0</v>
      </c>
      <c r="V22">
        <f t="shared" si="15"/>
        <v>15</v>
      </c>
      <c r="W22">
        <v>0</v>
      </c>
      <c r="X22">
        <f t="shared" si="18"/>
        <v>100</v>
      </c>
      <c r="Y22">
        <f t="shared" si="19"/>
        <v>1</v>
      </c>
      <c r="Z22">
        <f t="shared" si="20"/>
        <v>0.15</v>
      </c>
      <c r="AA22">
        <f t="shared" si="21"/>
        <v>15</v>
      </c>
      <c r="AB22">
        <f t="shared" si="22"/>
        <v>10.124572743030241</v>
      </c>
    </row>
    <row r="23" spans="1:29">
      <c r="A23">
        <v>8</v>
      </c>
      <c r="B23">
        <v>0.11</v>
      </c>
      <c r="C23">
        <f t="shared" si="8"/>
        <v>11</v>
      </c>
      <c r="D23">
        <v>0</v>
      </c>
      <c r="E23">
        <f t="shared" si="9"/>
        <v>0</v>
      </c>
      <c r="F23">
        <f t="shared" si="10"/>
        <v>11</v>
      </c>
      <c r="G23">
        <v>0</v>
      </c>
      <c r="H23">
        <f t="shared" si="11"/>
        <v>100</v>
      </c>
      <c r="I23">
        <f t="shared" si="12"/>
        <v>11</v>
      </c>
      <c r="J23">
        <f t="shared" si="13"/>
        <v>4.4427155077730607</v>
      </c>
      <c r="K23">
        <f t="shared" si="14"/>
        <v>4.1878968863937933</v>
      </c>
      <c r="P23" s="44"/>
      <c r="Q23">
        <v>4</v>
      </c>
      <c r="R23">
        <v>0.15</v>
      </c>
      <c r="S23">
        <v>0</v>
      </c>
      <c r="T23">
        <f t="shared" si="16"/>
        <v>15</v>
      </c>
      <c r="U23">
        <f t="shared" si="17"/>
        <v>0</v>
      </c>
      <c r="V23">
        <f t="shared" si="15"/>
        <v>15</v>
      </c>
      <c r="W23">
        <v>0</v>
      </c>
      <c r="X23">
        <f t="shared" si="18"/>
        <v>100</v>
      </c>
      <c r="Y23">
        <f t="shared" si="19"/>
        <v>1</v>
      </c>
      <c r="Z23">
        <f t="shared" si="20"/>
        <v>0.15</v>
      </c>
      <c r="AA23">
        <f t="shared" si="21"/>
        <v>15</v>
      </c>
      <c r="AB23">
        <f t="shared" si="22"/>
        <v>8.8812041605528407</v>
      </c>
    </row>
    <row r="24" spans="1:29">
      <c r="A24">
        <v>9</v>
      </c>
      <c r="B24">
        <v>0.11</v>
      </c>
      <c r="C24">
        <f t="shared" si="8"/>
        <v>11</v>
      </c>
      <c r="D24">
        <v>0</v>
      </c>
      <c r="E24">
        <f t="shared" si="9"/>
        <v>0</v>
      </c>
      <c r="F24">
        <f t="shared" si="10"/>
        <v>11</v>
      </c>
      <c r="G24">
        <v>0</v>
      </c>
      <c r="H24">
        <f>+H23-G24+E24</f>
        <v>100</v>
      </c>
      <c r="I24">
        <f t="shared" si="12"/>
        <v>11</v>
      </c>
      <c r="J24">
        <f t="shared" si="13"/>
        <v>3.966710274797375</v>
      </c>
      <c r="K24">
        <f t="shared" si="14"/>
        <v>3.711687393772749</v>
      </c>
      <c r="P24" s="44"/>
      <c r="Q24">
        <v>5</v>
      </c>
      <c r="R24">
        <v>0.15</v>
      </c>
      <c r="S24">
        <v>0</v>
      </c>
      <c r="T24">
        <f t="shared" si="16"/>
        <v>15</v>
      </c>
      <c r="U24">
        <f t="shared" si="17"/>
        <v>0</v>
      </c>
      <c r="V24">
        <f t="shared" si="15"/>
        <v>15</v>
      </c>
      <c r="W24">
        <v>0</v>
      </c>
      <c r="X24">
        <f t="shared" si="18"/>
        <v>100</v>
      </c>
      <c r="Y24">
        <f t="shared" si="19"/>
        <v>1</v>
      </c>
      <c r="Z24">
        <f t="shared" si="20"/>
        <v>0.15</v>
      </c>
      <c r="AA24">
        <f t="shared" si="21"/>
        <v>15</v>
      </c>
      <c r="AB24">
        <f t="shared" si="22"/>
        <v>7.7905299653972291</v>
      </c>
    </row>
    <row r="25" spans="1:29">
      <c r="A25">
        <v>10</v>
      </c>
      <c r="C25">
        <f t="shared" si="8"/>
        <v>11</v>
      </c>
      <c r="D25">
        <v>0</v>
      </c>
      <c r="E25">
        <f t="shared" si="9"/>
        <v>0</v>
      </c>
      <c r="F25">
        <f t="shared" si="10"/>
        <v>11</v>
      </c>
      <c r="G25">
        <f>+H24</f>
        <v>100</v>
      </c>
      <c r="H25">
        <f t="shared" si="11"/>
        <v>0</v>
      </c>
      <c r="I25">
        <f t="shared" si="12"/>
        <v>111</v>
      </c>
      <c r="J25">
        <f t="shared" si="13"/>
        <v>35.739029261567254</v>
      </c>
      <c r="K25">
        <f t="shared" si="14"/>
        <v>33.195338176401755</v>
      </c>
      <c r="P25" s="44"/>
      <c r="Q25">
        <v>6</v>
      </c>
      <c r="R25">
        <v>0.15</v>
      </c>
      <c r="S25">
        <v>0</v>
      </c>
      <c r="T25">
        <f t="shared" si="16"/>
        <v>15</v>
      </c>
      <c r="U25">
        <f t="shared" si="17"/>
        <v>0</v>
      </c>
      <c r="V25">
        <f t="shared" si="15"/>
        <v>15</v>
      </c>
      <c r="W25">
        <v>0</v>
      </c>
      <c r="X25">
        <f t="shared" si="18"/>
        <v>100</v>
      </c>
      <c r="Y25">
        <f t="shared" si="19"/>
        <v>1</v>
      </c>
      <c r="Z25">
        <f t="shared" si="20"/>
        <v>0.15</v>
      </c>
      <c r="AA25">
        <f t="shared" si="21"/>
        <v>15</v>
      </c>
      <c r="AB25">
        <f t="shared" si="22"/>
        <v>6.8337982152607264</v>
      </c>
    </row>
    <row r="26" spans="1:29">
      <c r="J26" s="1">
        <f>+SUM(J16:J25)</f>
        <v>94.349776971589094</v>
      </c>
      <c r="K26" s="1">
        <f>+SUM(K16:K25)</f>
        <v>90.002139472015514</v>
      </c>
      <c r="P26" s="44"/>
      <c r="Q26">
        <v>7</v>
      </c>
      <c r="R26">
        <v>0.15</v>
      </c>
      <c r="S26">
        <v>0</v>
      </c>
      <c r="T26">
        <f t="shared" si="16"/>
        <v>15</v>
      </c>
      <c r="U26">
        <f t="shared" si="17"/>
        <v>0</v>
      </c>
      <c r="V26">
        <f t="shared" si="15"/>
        <v>15</v>
      </c>
      <c r="W26">
        <v>0</v>
      </c>
      <c r="X26">
        <f t="shared" si="18"/>
        <v>100</v>
      </c>
      <c r="Y26">
        <f t="shared" si="19"/>
        <v>1</v>
      </c>
      <c r="Z26">
        <f t="shared" si="20"/>
        <v>0.15</v>
      </c>
      <c r="AA26">
        <f t="shared" si="21"/>
        <v>15</v>
      </c>
      <c r="AB26">
        <f t="shared" si="22"/>
        <v>5.994559837948005</v>
      </c>
    </row>
    <row r="27" spans="1:29">
      <c r="J27" t="s">
        <v>13</v>
      </c>
      <c r="P27" s="44"/>
      <c r="Q27">
        <v>8</v>
      </c>
      <c r="R27">
        <v>0.15</v>
      </c>
      <c r="S27">
        <v>0</v>
      </c>
      <c r="T27">
        <f t="shared" si="16"/>
        <v>15</v>
      </c>
      <c r="U27">
        <f t="shared" si="17"/>
        <v>0</v>
      </c>
      <c r="V27">
        <f t="shared" si="15"/>
        <v>15</v>
      </c>
      <c r="W27">
        <v>0</v>
      </c>
      <c r="X27">
        <f t="shared" si="18"/>
        <v>100</v>
      </c>
      <c r="Y27">
        <f t="shared" si="19"/>
        <v>1</v>
      </c>
      <c r="Z27">
        <f t="shared" si="20"/>
        <v>0.15</v>
      </c>
      <c r="AA27">
        <f t="shared" si="21"/>
        <v>15</v>
      </c>
      <c r="AB27">
        <f t="shared" si="22"/>
        <v>5.2583858227614071</v>
      </c>
    </row>
    <row r="28" spans="1:29">
      <c r="P28" s="44"/>
      <c r="Q28">
        <v>9</v>
      </c>
      <c r="R28">
        <v>0.15</v>
      </c>
      <c r="S28">
        <v>0</v>
      </c>
      <c r="T28">
        <f t="shared" si="16"/>
        <v>15</v>
      </c>
      <c r="U28">
        <f t="shared" si="17"/>
        <v>0</v>
      </c>
      <c r="V28">
        <f t="shared" si="15"/>
        <v>15</v>
      </c>
      <c r="W28">
        <v>0</v>
      </c>
      <c r="X28">
        <f t="shared" si="18"/>
        <v>100</v>
      </c>
      <c r="Y28">
        <f t="shared" si="19"/>
        <v>1</v>
      </c>
      <c r="Z28">
        <f t="shared" si="20"/>
        <v>0.15</v>
      </c>
      <c r="AA28">
        <f t="shared" si="21"/>
        <v>15</v>
      </c>
      <c r="AB28">
        <f t="shared" si="22"/>
        <v>4.6126191427731635</v>
      </c>
    </row>
    <row r="29" spans="1:29">
      <c r="P29" s="44"/>
      <c r="Q29">
        <v>10</v>
      </c>
      <c r="R29">
        <v>0.15</v>
      </c>
      <c r="S29">
        <v>0</v>
      </c>
      <c r="T29">
        <f t="shared" si="16"/>
        <v>15</v>
      </c>
      <c r="U29">
        <f t="shared" si="17"/>
        <v>0</v>
      </c>
      <c r="V29">
        <f t="shared" si="15"/>
        <v>15</v>
      </c>
      <c r="W29">
        <v>100</v>
      </c>
      <c r="X29">
        <f t="shared" si="18"/>
        <v>0</v>
      </c>
      <c r="Y29">
        <f t="shared" si="19"/>
        <v>0</v>
      </c>
      <c r="Z29">
        <f t="shared" si="20"/>
        <v>0</v>
      </c>
      <c r="AA29">
        <f>+W29+V29</f>
        <v>115</v>
      </c>
      <c r="AB29">
        <f t="shared" si="22"/>
        <v>31.020538094673316</v>
      </c>
    </row>
    <row r="30" spans="1:29">
      <c r="P30" s="44"/>
    </row>
    <row r="31" spans="1:29">
      <c r="P31" s="44"/>
    </row>
    <row r="32" spans="1:29">
      <c r="A32" t="s">
        <v>0</v>
      </c>
      <c r="B32" t="s">
        <v>3</v>
      </c>
      <c r="C32" t="s">
        <v>4</v>
      </c>
      <c r="D32" t="s">
        <v>6</v>
      </c>
      <c r="E32" t="s">
        <v>7</v>
      </c>
      <c r="F32" t="s">
        <v>5</v>
      </c>
      <c r="G32" t="s">
        <v>8</v>
      </c>
      <c r="H32" t="s">
        <v>2</v>
      </c>
      <c r="I32" t="s">
        <v>10</v>
      </c>
      <c r="J32" t="s">
        <v>11</v>
      </c>
      <c r="P32" s="44"/>
    </row>
    <row r="33" spans="1:16">
      <c r="A33">
        <v>0</v>
      </c>
      <c r="B33">
        <f>0.11*0.5</f>
        <v>5.5E-2</v>
      </c>
      <c r="H33">
        <v>100</v>
      </c>
      <c r="N33">
        <f>+(1+N34)^(1/2)-1</f>
        <v>5.8300524425836331E-2</v>
      </c>
      <c r="P33" s="44"/>
    </row>
    <row r="34" spans="1:16" ht="17" thickBot="1">
      <c r="A34">
        <v>1</v>
      </c>
      <c r="B34">
        <f>0.11*0.5</f>
        <v>5.5E-2</v>
      </c>
      <c r="C34">
        <f t="shared" ref="C34:C39" si="23">+B33*H33</f>
        <v>5.5</v>
      </c>
      <c r="D34">
        <v>0</v>
      </c>
      <c r="E34">
        <f>+D34*C34</f>
        <v>0</v>
      </c>
      <c r="F34">
        <f>+C34-E34</f>
        <v>5.5</v>
      </c>
      <c r="G34">
        <v>0</v>
      </c>
      <c r="H34">
        <f>+H33-G34+E34</f>
        <v>100</v>
      </c>
      <c r="I34">
        <f>+G34+F34</f>
        <v>5.5</v>
      </c>
      <c r="J34">
        <f>+I34/(1+$N$34/2)^A34</f>
        <v>5.1886792452830184</v>
      </c>
      <c r="K34">
        <f>+I34/(1+$I$7/2)^A34</f>
        <v>5.1684442982662224</v>
      </c>
      <c r="M34" t="s">
        <v>16</v>
      </c>
      <c r="N34">
        <v>0.12</v>
      </c>
      <c r="P34" s="54"/>
    </row>
    <row r="35" spans="1:16">
      <c r="A35">
        <v>2</v>
      </c>
      <c r="B35">
        <f t="shared" ref="B35:B52" si="24">0.11*0.5</f>
        <v>5.5E-2</v>
      </c>
      <c r="C35">
        <f t="shared" si="23"/>
        <v>5.5</v>
      </c>
      <c r="D35">
        <v>0</v>
      </c>
      <c r="E35">
        <f t="shared" ref="E35:E39" si="25">+D35*C35</f>
        <v>0</v>
      </c>
      <c r="F35">
        <f t="shared" ref="F35:F39" si="26">+C35-E35</f>
        <v>5.5</v>
      </c>
      <c r="G35">
        <v>0</v>
      </c>
      <c r="H35">
        <f t="shared" ref="H35:H39" si="27">+H34-G35+E35</f>
        <v>100</v>
      </c>
      <c r="I35">
        <f t="shared" ref="I35:I39" si="28">+G35+F35</f>
        <v>5.5</v>
      </c>
      <c r="J35">
        <f t="shared" ref="J35:J52" si="29">+I35/(1+$N$34/2)^A35</f>
        <v>4.8949804200783191</v>
      </c>
      <c r="K35">
        <f t="shared" ref="K35:K53" si="30">+I35/(1+$I$7/2)^A35</f>
        <v>4.8568757207782944</v>
      </c>
      <c r="M35" t="s">
        <v>12</v>
      </c>
      <c r="N35">
        <v>0.1283</v>
      </c>
      <c r="P35" s="257"/>
    </row>
    <row r="36" spans="1:16">
      <c r="A36">
        <v>3</v>
      </c>
      <c r="B36">
        <f t="shared" si="24"/>
        <v>5.5E-2</v>
      </c>
      <c r="C36">
        <f t="shared" si="23"/>
        <v>5.5</v>
      </c>
      <c r="D36">
        <v>0</v>
      </c>
      <c r="E36">
        <f t="shared" si="25"/>
        <v>0</v>
      </c>
      <c r="F36">
        <f t="shared" si="26"/>
        <v>5.5</v>
      </c>
      <c r="G36">
        <v>0</v>
      </c>
      <c r="H36">
        <f t="shared" si="27"/>
        <v>100</v>
      </c>
      <c r="I36">
        <f t="shared" si="28"/>
        <v>5.5</v>
      </c>
      <c r="J36">
        <f t="shared" si="29"/>
        <v>4.6179060566776586</v>
      </c>
      <c r="K36">
        <f t="shared" si="30"/>
        <v>4.5640893866262227</v>
      </c>
      <c r="M36" t="s">
        <v>14</v>
      </c>
      <c r="N36">
        <v>90</v>
      </c>
      <c r="P36" s="258"/>
    </row>
    <row r="37" spans="1:16">
      <c r="A37">
        <v>4</v>
      </c>
      <c r="B37">
        <f t="shared" si="24"/>
        <v>5.5E-2</v>
      </c>
      <c r="C37">
        <f t="shared" si="23"/>
        <v>5.5</v>
      </c>
      <c r="D37">
        <v>0</v>
      </c>
      <c r="E37">
        <f t="shared" si="25"/>
        <v>0</v>
      </c>
      <c r="F37">
        <f t="shared" si="26"/>
        <v>5.5</v>
      </c>
      <c r="G37">
        <v>0</v>
      </c>
      <c r="H37">
        <f t="shared" si="27"/>
        <v>100</v>
      </c>
      <c r="I37">
        <f t="shared" si="28"/>
        <v>5.5</v>
      </c>
      <c r="J37">
        <f t="shared" si="29"/>
        <v>4.3565151478091124</v>
      </c>
      <c r="K37">
        <f t="shared" si="30"/>
        <v>4.2889530485610328</v>
      </c>
      <c r="P37" s="258"/>
    </row>
    <row r="38" spans="1:16">
      <c r="A38">
        <v>5</v>
      </c>
      <c r="B38">
        <f t="shared" si="24"/>
        <v>5.5E-2</v>
      </c>
      <c r="C38">
        <f t="shared" si="23"/>
        <v>5.5</v>
      </c>
      <c r="D38">
        <v>0</v>
      </c>
      <c r="E38">
        <f t="shared" si="25"/>
        <v>0</v>
      </c>
      <c r="F38">
        <f t="shared" si="26"/>
        <v>5.5</v>
      </c>
      <c r="G38">
        <v>0</v>
      </c>
      <c r="H38">
        <f t="shared" si="27"/>
        <v>100</v>
      </c>
      <c r="I38">
        <f t="shared" si="28"/>
        <v>5.5</v>
      </c>
      <c r="J38">
        <f t="shared" si="29"/>
        <v>4.1099199507633131</v>
      </c>
      <c r="K38">
        <f t="shared" si="30"/>
        <v>4.0304027144303269</v>
      </c>
      <c r="P38" s="258"/>
    </row>
    <row r="39" spans="1:16">
      <c r="A39">
        <v>6</v>
      </c>
      <c r="B39">
        <f t="shared" si="24"/>
        <v>5.5E-2</v>
      </c>
      <c r="C39">
        <f t="shared" si="23"/>
        <v>5.5</v>
      </c>
      <c r="D39">
        <v>0</v>
      </c>
      <c r="E39">
        <f t="shared" si="25"/>
        <v>0</v>
      </c>
      <c r="F39">
        <f t="shared" si="26"/>
        <v>5.5</v>
      </c>
      <c r="G39">
        <v>0</v>
      </c>
      <c r="H39">
        <f t="shared" si="27"/>
        <v>100</v>
      </c>
      <c r="I39">
        <f t="shared" si="28"/>
        <v>5.5</v>
      </c>
      <c r="J39">
        <f t="shared" si="29"/>
        <v>3.8772829724182194</v>
      </c>
      <c r="K39">
        <f t="shared" si="30"/>
        <v>3.7874385325662057</v>
      </c>
      <c r="P39" s="258"/>
    </row>
    <row r="40" spans="1:16">
      <c r="A40">
        <v>7</v>
      </c>
      <c r="B40">
        <f t="shared" si="24"/>
        <v>5.5E-2</v>
      </c>
      <c r="C40">
        <f>+B39*H39</f>
        <v>5.5</v>
      </c>
      <c r="D40">
        <v>0</v>
      </c>
      <c r="E40">
        <f>+D40*C40</f>
        <v>0</v>
      </c>
      <c r="F40">
        <f>+C40-E40</f>
        <v>5.5</v>
      </c>
      <c r="G40">
        <v>0</v>
      </c>
      <c r="H40">
        <f>+H39-G40+E40</f>
        <v>100</v>
      </c>
      <c r="I40">
        <f>+G40+F40</f>
        <v>5.5</v>
      </c>
      <c r="J40">
        <f t="shared" si="29"/>
        <v>3.6578141249228482</v>
      </c>
      <c r="K40">
        <f t="shared" si="30"/>
        <v>3.5591209252137439</v>
      </c>
      <c r="P40" s="258"/>
    </row>
    <row r="41" spans="1:16">
      <c r="A41">
        <v>8</v>
      </c>
      <c r="B41">
        <f t="shared" si="24"/>
        <v>5.5E-2</v>
      </c>
      <c r="C41">
        <f>+B40*H40</f>
        <v>5.5</v>
      </c>
      <c r="D41">
        <v>0</v>
      </c>
      <c r="E41">
        <f>+D41*C41</f>
        <v>0</v>
      </c>
      <c r="F41">
        <f>+C41-E41</f>
        <v>5.5</v>
      </c>
      <c r="G41">
        <v>0</v>
      </c>
      <c r="H41">
        <f>+H40-G41+E41</f>
        <v>100</v>
      </c>
      <c r="I41">
        <f>+G41+F41</f>
        <v>5.5</v>
      </c>
      <c r="J41">
        <f t="shared" si="29"/>
        <v>3.4507680423800458</v>
      </c>
      <c r="K41">
        <f t="shared" si="30"/>
        <v>3.3445669550474499</v>
      </c>
      <c r="P41" s="258"/>
    </row>
    <row r="42" spans="1:16">
      <c r="A42">
        <v>9</v>
      </c>
      <c r="B42">
        <f t="shared" si="24"/>
        <v>5.5E-2</v>
      </c>
      <c r="C42">
        <f t="shared" ref="C42:C53" si="31">+B41*H41</f>
        <v>5.5</v>
      </c>
      <c r="D42">
        <v>0</v>
      </c>
      <c r="E42">
        <f t="shared" ref="E42:E53" si="32">+D42*C42</f>
        <v>0</v>
      </c>
      <c r="F42">
        <f t="shared" ref="F42:F53" si="33">+C42-E42</f>
        <v>5.5</v>
      </c>
      <c r="G42">
        <v>0</v>
      </c>
      <c r="H42">
        <f t="shared" ref="H42:H53" si="34">+H41-G42+E42</f>
        <v>100</v>
      </c>
      <c r="I42">
        <f t="shared" ref="I42:I53" si="35">+G42+F42</f>
        <v>5.5</v>
      </c>
      <c r="J42">
        <f t="shared" si="29"/>
        <v>3.2554415494151376</v>
      </c>
      <c r="K42">
        <f t="shared" si="30"/>
        <v>3.1429469107244752</v>
      </c>
      <c r="P42" s="258"/>
    </row>
    <row r="43" spans="1:16">
      <c r="A43">
        <v>10</v>
      </c>
      <c r="B43">
        <f t="shared" si="24"/>
        <v>5.5E-2</v>
      </c>
      <c r="C43">
        <f t="shared" si="31"/>
        <v>5.5</v>
      </c>
      <c r="D43">
        <v>0</v>
      </c>
      <c r="E43">
        <f t="shared" si="32"/>
        <v>0</v>
      </c>
      <c r="F43">
        <f t="shared" si="33"/>
        <v>5.5</v>
      </c>
      <c r="G43">
        <v>0</v>
      </c>
      <c r="H43">
        <f t="shared" si="34"/>
        <v>100</v>
      </c>
      <c r="I43">
        <f t="shared" si="35"/>
        <v>5.5</v>
      </c>
      <c r="J43">
        <f t="shared" si="29"/>
        <v>3.0711712730331482</v>
      </c>
      <c r="K43">
        <f t="shared" si="30"/>
        <v>2.9534810982704274</v>
      </c>
      <c r="P43" s="258"/>
    </row>
    <row r="44" spans="1:16">
      <c r="A44">
        <v>11</v>
      </c>
      <c r="B44">
        <f t="shared" si="24"/>
        <v>5.5E-2</v>
      </c>
      <c r="C44">
        <f t="shared" si="31"/>
        <v>5.5</v>
      </c>
      <c r="D44">
        <v>0</v>
      </c>
      <c r="E44">
        <f t="shared" si="32"/>
        <v>0</v>
      </c>
      <c r="F44">
        <f t="shared" si="33"/>
        <v>5.5</v>
      </c>
      <c r="G44">
        <v>0</v>
      </c>
      <c r="H44">
        <f t="shared" si="34"/>
        <v>100</v>
      </c>
      <c r="I44">
        <f t="shared" si="35"/>
        <v>5.5</v>
      </c>
      <c r="J44">
        <f t="shared" si="29"/>
        <v>2.897331389653913</v>
      </c>
      <c r="K44">
        <f t="shared" si="30"/>
        <v>2.7754368258896087</v>
      </c>
      <c r="P44" s="258"/>
    </row>
    <row r="45" spans="1:16">
      <c r="A45">
        <v>12</v>
      </c>
      <c r="B45">
        <f t="shared" si="24"/>
        <v>5.5E-2</v>
      </c>
      <c r="C45">
        <f t="shared" si="31"/>
        <v>5.5</v>
      </c>
      <c r="D45">
        <v>0</v>
      </c>
      <c r="E45">
        <f t="shared" si="32"/>
        <v>0</v>
      </c>
      <c r="F45">
        <f t="shared" si="33"/>
        <v>5.5</v>
      </c>
      <c r="G45">
        <v>0</v>
      </c>
      <c r="H45">
        <f t="shared" si="34"/>
        <v>100</v>
      </c>
      <c r="I45">
        <f t="shared" si="35"/>
        <v>5.5</v>
      </c>
      <c r="J45">
        <f t="shared" si="29"/>
        <v>2.7333314996735028</v>
      </c>
      <c r="K45">
        <f t="shared" si="30"/>
        <v>2.6081255705395003</v>
      </c>
      <c r="P45" s="258"/>
    </row>
    <row r="46" spans="1:16">
      <c r="A46">
        <v>13</v>
      </c>
      <c r="B46">
        <f t="shared" si="24"/>
        <v>5.5E-2</v>
      </c>
      <c r="C46">
        <f t="shared" si="31"/>
        <v>5.5</v>
      </c>
      <c r="D46">
        <v>0</v>
      </c>
      <c r="E46">
        <f t="shared" si="32"/>
        <v>0</v>
      </c>
      <c r="F46">
        <f t="shared" si="33"/>
        <v>5.5</v>
      </c>
      <c r="G46">
        <v>0</v>
      </c>
      <c r="H46">
        <f t="shared" si="34"/>
        <v>100</v>
      </c>
      <c r="I46">
        <f t="shared" si="35"/>
        <v>5.5</v>
      </c>
      <c r="J46">
        <f t="shared" si="29"/>
        <v>2.5786146223334927</v>
      </c>
      <c r="K46">
        <f t="shared" si="30"/>
        <v>2.4509003153122215</v>
      </c>
      <c r="P46" s="258"/>
    </row>
    <row r="47" spans="1:16">
      <c r="A47">
        <v>14</v>
      </c>
      <c r="B47">
        <f t="shared" si="24"/>
        <v>5.5E-2</v>
      </c>
      <c r="C47">
        <f t="shared" si="31"/>
        <v>5.5</v>
      </c>
      <c r="D47">
        <v>0</v>
      </c>
      <c r="E47">
        <f t="shared" si="32"/>
        <v>0</v>
      </c>
      <c r="F47">
        <f t="shared" si="33"/>
        <v>5.5</v>
      </c>
      <c r="G47">
        <v>0</v>
      </c>
      <c r="H47">
        <f t="shared" si="34"/>
        <v>100</v>
      </c>
      <c r="I47">
        <f t="shared" si="35"/>
        <v>5.5</v>
      </c>
      <c r="J47">
        <f t="shared" si="29"/>
        <v>2.4326553040882009</v>
      </c>
      <c r="K47">
        <f t="shared" si="30"/>
        <v>2.3031530473262429</v>
      </c>
      <c r="P47" s="258"/>
    </row>
    <row r="48" spans="1:16">
      <c r="A48">
        <v>15</v>
      </c>
      <c r="B48">
        <f t="shared" si="24"/>
        <v>5.5E-2</v>
      </c>
      <c r="C48">
        <f t="shared" si="31"/>
        <v>5.5</v>
      </c>
      <c r="D48">
        <v>0</v>
      </c>
      <c r="E48">
        <f t="shared" si="32"/>
        <v>0</v>
      </c>
      <c r="F48">
        <f t="shared" si="33"/>
        <v>5.5</v>
      </c>
      <c r="G48">
        <v>0</v>
      </c>
      <c r="H48">
        <f t="shared" si="34"/>
        <v>100</v>
      </c>
      <c r="I48">
        <f t="shared" si="35"/>
        <v>5.5</v>
      </c>
      <c r="J48">
        <f t="shared" si="29"/>
        <v>2.2949578340454719</v>
      </c>
      <c r="K48">
        <f t="shared" si="30"/>
        <v>2.1643124064523263</v>
      </c>
      <c r="P48" s="258"/>
    </row>
    <row r="49" spans="1:16">
      <c r="A49">
        <v>16</v>
      </c>
      <c r="B49">
        <f t="shared" si="24"/>
        <v>5.5E-2</v>
      </c>
      <c r="C49">
        <f t="shared" si="31"/>
        <v>5.5</v>
      </c>
      <c r="D49">
        <v>0</v>
      </c>
      <c r="E49">
        <f t="shared" si="32"/>
        <v>0</v>
      </c>
      <c r="F49">
        <f t="shared" si="33"/>
        <v>5.5</v>
      </c>
      <c r="G49">
        <v>0</v>
      </c>
      <c r="H49">
        <f t="shared" si="34"/>
        <v>100</v>
      </c>
      <c r="I49">
        <f t="shared" si="35"/>
        <v>5.5</v>
      </c>
      <c r="J49">
        <f t="shared" si="29"/>
        <v>2.1650545604202569</v>
      </c>
      <c r="K49">
        <f t="shared" si="30"/>
        <v>2.0338414757809766</v>
      </c>
      <c r="P49" s="258"/>
    </row>
    <row r="50" spans="1:16">
      <c r="A50">
        <v>17</v>
      </c>
      <c r="B50">
        <f t="shared" si="24"/>
        <v>5.5E-2</v>
      </c>
      <c r="C50">
        <f t="shared" si="31"/>
        <v>5.5</v>
      </c>
      <c r="D50">
        <v>0</v>
      </c>
      <c r="E50">
        <f t="shared" si="32"/>
        <v>0</v>
      </c>
      <c r="F50">
        <f t="shared" si="33"/>
        <v>5.5</v>
      </c>
      <c r="G50">
        <v>0</v>
      </c>
      <c r="H50">
        <f t="shared" si="34"/>
        <v>100</v>
      </c>
      <c r="I50">
        <f t="shared" si="35"/>
        <v>5.5</v>
      </c>
      <c r="J50">
        <f t="shared" si="29"/>
        <v>2.0425043022832612</v>
      </c>
      <c r="K50">
        <f t="shared" si="30"/>
        <v>1.9112357052868265</v>
      </c>
      <c r="P50" s="258"/>
    </row>
    <row r="51" spans="1:16">
      <c r="A51">
        <v>18</v>
      </c>
      <c r="B51">
        <f t="shared" si="24"/>
        <v>5.5E-2</v>
      </c>
      <c r="C51">
        <f t="shared" si="31"/>
        <v>5.5</v>
      </c>
      <c r="D51">
        <v>0</v>
      </c>
      <c r="E51">
        <f t="shared" si="32"/>
        <v>0</v>
      </c>
      <c r="F51">
        <f t="shared" si="33"/>
        <v>5.5</v>
      </c>
      <c r="G51">
        <v>0</v>
      </c>
      <c r="H51">
        <f t="shared" si="34"/>
        <v>100</v>
      </c>
      <c r="I51">
        <f t="shared" si="35"/>
        <v>5.5</v>
      </c>
      <c r="J51">
        <f t="shared" si="29"/>
        <v>1.9268908512106238</v>
      </c>
      <c r="K51">
        <f t="shared" si="30"/>
        <v>1.7960209606604585</v>
      </c>
      <c r="P51" s="258"/>
    </row>
    <row r="52" spans="1:16">
      <c r="A52">
        <v>19</v>
      </c>
      <c r="B52">
        <f t="shared" si="24"/>
        <v>5.5E-2</v>
      </c>
      <c r="C52">
        <f t="shared" si="31"/>
        <v>5.5</v>
      </c>
      <c r="D52">
        <v>0</v>
      </c>
      <c r="E52">
        <f t="shared" si="32"/>
        <v>0</v>
      </c>
      <c r="F52">
        <f t="shared" si="33"/>
        <v>5.5</v>
      </c>
      <c r="G52">
        <v>0</v>
      </c>
      <c r="H52">
        <f t="shared" si="34"/>
        <v>100</v>
      </c>
      <c r="I52">
        <f t="shared" si="35"/>
        <v>5.5</v>
      </c>
      <c r="J52">
        <f t="shared" si="29"/>
        <v>1.8178215577458712</v>
      </c>
      <c r="K52">
        <f t="shared" si="30"/>
        <v>1.6877516897622125</v>
      </c>
      <c r="P52" s="258"/>
    </row>
    <row r="53" spans="1:16">
      <c r="A53">
        <v>20</v>
      </c>
      <c r="C53">
        <f t="shared" si="31"/>
        <v>5.5</v>
      </c>
      <c r="D53">
        <v>0</v>
      </c>
      <c r="E53">
        <f t="shared" si="32"/>
        <v>0</v>
      </c>
      <c r="F53">
        <f t="shared" si="33"/>
        <v>5.5</v>
      </c>
      <c r="G53">
        <f>+H52</f>
        <v>100</v>
      </c>
      <c r="H53">
        <f t="shared" si="34"/>
        <v>0</v>
      </c>
      <c r="I53">
        <f t="shared" si="35"/>
        <v>105.5</v>
      </c>
      <c r="J53">
        <f>+I53/(1+$N$34/2)^A53</f>
        <v>32.89539868648189</v>
      </c>
      <c r="K53">
        <f t="shared" si="30"/>
        <v>30.422540101560092</v>
      </c>
      <c r="P53" s="258"/>
    </row>
    <row r="54" spans="1:16">
      <c r="J54" s="1">
        <f>+SUM(J34:J53)</f>
        <v>94.265039390717305</v>
      </c>
      <c r="K54" s="1">
        <f>+SUM(K34:K53)</f>
        <v>89.849637689054859</v>
      </c>
      <c r="P54" s="258"/>
    </row>
    <row r="55" spans="1:16">
      <c r="P55" s="258"/>
    </row>
    <row r="56" spans="1:16">
      <c r="P56" s="258"/>
    </row>
    <row r="57" spans="1:16">
      <c r="A57" t="s">
        <v>0</v>
      </c>
      <c r="B57" t="s">
        <v>3</v>
      </c>
      <c r="C57" t="s">
        <v>4</v>
      </c>
      <c r="D57" t="s">
        <v>6</v>
      </c>
      <c r="E57" t="s">
        <v>7</v>
      </c>
      <c r="F57" t="s">
        <v>5</v>
      </c>
      <c r="G57" t="s">
        <v>8</v>
      </c>
      <c r="H57" t="s">
        <v>2</v>
      </c>
      <c r="I57" t="s">
        <v>10</v>
      </c>
      <c r="J57" t="s">
        <v>11</v>
      </c>
      <c r="P57" s="258"/>
    </row>
    <row r="58" spans="1:16">
      <c r="A58">
        <v>0</v>
      </c>
      <c r="B58">
        <v>0.15</v>
      </c>
      <c r="C58">
        <v>0</v>
      </c>
      <c r="H58">
        <v>100</v>
      </c>
      <c r="N58">
        <f>+(1+N59)^(1/2)-1</f>
        <v>6.7707825203131122E-2</v>
      </c>
      <c r="P58" s="258"/>
    </row>
    <row r="59" spans="1:16">
      <c r="A59">
        <v>1</v>
      </c>
      <c r="B59">
        <v>0.15</v>
      </c>
      <c r="C59">
        <f>+B58*H58</f>
        <v>15</v>
      </c>
      <c r="D59">
        <v>0</v>
      </c>
      <c r="E59">
        <f>+D59*C59</f>
        <v>0</v>
      </c>
      <c r="F59">
        <f>+C59-E59</f>
        <v>15</v>
      </c>
      <c r="G59">
        <v>0</v>
      </c>
      <c r="H59">
        <f>+H58-G59+E59</f>
        <v>100</v>
      </c>
      <c r="I59">
        <f>+G59+F59</f>
        <v>15</v>
      </c>
      <c r="J59">
        <f>+I59/(1+$N$59)^A59</f>
        <v>13.157894736842104</v>
      </c>
      <c r="M59" t="s">
        <v>16</v>
      </c>
      <c r="N59">
        <v>0.14000000000000001</v>
      </c>
      <c r="P59" s="258"/>
    </row>
    <row r="60" spans="1:16">
      <c r="A60">
        <v>2</v>
      </c>
      <c r="B60">
        <v>0.15</v>
      </c>
      <c r="C60">
        <f t="shared" ref="C60:C69" si="36">+B59*H59</f>
        <v>15</v>
      </c>
      <c r="D60">
        <v>0</v>
      </c>
      <c r="E60">
        <f t="shared" ref="E60:E64" si="37">+D60*C60</f>
        <v>0</v>
      </c>
      <c r="F60">
        <f t="shared" ref="F60:F64" si="38">+C60-E60</f>
        <v>15</v>
      </c>
      <c r="G60">
        <v>0</v>
      </c>
      <c r="H60">
        <f t="shared" ref="H60:H64" si="39">+H59-G60+E60</f>
        <v>100</v>
      </c>
      <c r="I60">
        <f t="shared" ref="I60:I64" si="40">+G60+F60</f>
        <v>15</v>
      </c>
      <c r="J60">
        <f t="shared" ref="J60:J69" si="41">+I60/(1+$N$59)^A60</f>
        <v>11.542012927054476</v>
      </c>
      <c r="K60">
        <f>+I60/(1+$N$60)^A59</f>
        <v>13.148667601683028</v>
      </c>
      <c r="M60" t="s">
        <v>12</v>
      </c>
      <c r="N60">
        <v>0.14080000000000001</v>
      </c>
      <c r="P60" s="258"/>
    </row>
    <row r="61" spans="1:16">
      <c r="A61">
        <v>3</v>
      </c>
      <c r="B61">
        <v>0.15</v>
      </c>
      <c r="C61">
        <f t="shared" si="36"/>
        <v>15</v>
      </c>
      <c r="D61">
        <v>0</v>
      </c>
      <c r="E61">
        <f t="shared" si="37"/>
        <v>0</v>
      </c>
      <c r="F61">
        <f t="shared" si="38"/>
        <v>15</v>
      </c>
      <c r="G61">
        <v>0</v>
      </c>
      <c r="H61">
        <f t="shared" si="39"/>
        <v>100</v>
      </c>
      <c r="I61">
        <f t="shared" si="40"/>
        <v>15</v>
      </c>
      <c r="J61">
        <f t="shared" si="41"/>
        <v>10.124572743030241</v>
      </c>
      <c r="K61">
        <f t="shared" ref="K61:K69" si="42">+I61/(1+$N$60)^A60</f>
        <v>11.525830646636596</v>
      </c>
      <c r="M61" t="s">
        <v>14</v>
      </c>
      <c r="N61">
        <v>105</v>
      </c>
      <c r="P61" s="258"/>
    </row>
    <row r="62" spans="1:16">
      <c r="A62">
        <v>4</v>
      </c>
      <c r="B62">
        <v>0.15</v>
      </c>
      <c r="C62">
        <f t="shared" si="36"/>
        <v>15</v>
      </c>
      <c r="D62">
        <v>0</v>
      </c>
      <c r="E62">
        <f t="shared" si="37"/>
        <v>0</v>
      </c>
      <c r="F62">
        <f t="shared" si="38"/>
        <v>15</v>
      </c>
      <c r="G62">
        <v>0</v>
      </c>
      <c r="H62">
        <f t="shared" si="39"/>
        <v>100</v>
      </c>
      <c r="I62">
        <f t="shared" si="40"/>
        <v>15</v>
      </c>
      <c r="J62">
        <f t="shared" si="41"/>
        <v>8.8812041605528407</v>
      </c>
      <c r="K62">
        <f t="shared" si="42"/>
        <v>10.103287733727731</v>
      </c>
      <c r="P62" s="258"/>
    </row>
    <row r="63" spans="1:16">
      <c r="A63">
        <v>5</v>
      </c>
      <c r="B63">
        <v>0.15</v>
      </c>
      <c r="C63">
        <f t="shared" si="36"/>
        <v>15</v>
      </c>
      <c r="D63">
        <v>0</v>
      </c>
      <c r="E63">
        <f t="shared" si="37"/>
        <v>0</v>
      </c>
      <c r="F63">
        <f t="shared" si="38"/>
        <v>15</v>
      </c>
      <c r="G63">
        <v>0</v>
      </c>
      <c r="H63">
        <f t="shared" si="39"/>
        <v>100</v>
      </c>
      <c r="I63">
        <f t="shared" si="40"/>
        <v>15</v>
      </c>
      <c r="J63">
        <f t="shared" si="41"/>
        <v>7.7905299653972291</v>
      </c>
      <c r="K63">
        <f t="shared" si="42"/>
        <v>8.8563181396631592</v>
      </c>
      <c r="P63" s="258"/>
    </row>
    <row r="64" spans="1:16">
      <c r="A64">
        <v>6</v>
      </c>
      <c r="B64">
        <v>0.15</v>
      </c>
      <c r="C64">
        <f t="shared" si="36"/>
        <v>15</v>
      </c>
      <c r="D64">
        <v>0</v>
      </c>
      <c r="E64">
        <f t="shared" si="37"/>
        <v>0</v>
      </c>
      <c r="F64">
        <f t="shared" si="38"/>
        <v>15</v>
      </c>
      <c r="G64">
        <v>0</v>
      </c>
      <c r="H64">
        <f t="shared" si="39"/>
        <v>100</v>
      </c>
      <c r="I64">
        <f t="shared" si="40"/>
        <v>15</v>
      </c>
      <c r="J64">
        <f t="shared" si="41"/>
        <v>6.8337982152607264</v>
      </c>
      <c r="K64">
        <f t="shared" si="42"/>
        <v>7.7632522262124457</v>
      </c>
      <c r="P64" s="258"/>
    </row>
    <row r="65" spans="1:16">
      <c r="A65">
        <v>7</v>
      </c>
      <c r="B65">
        <v>0.15</v>
      </c>
      <c r="C65">
        <f t="shared" si="36"/>
        <v>15</v>
      </c>
      <c r="D65">
        <v>0</v>
      </c>
      <c r="E65">
        <f>+D65*C65</f>
        <v>0</v>
      </c>
      <c r="F65">
        <f>+C65-E65</f>
        <v>15</v>
      </c>
      <c r="G65">
        <v>0</v>
      </c>
      <c r="H65">
        <f>+H64-G65+E65</f>
        <v>100</v>
      </c>
      <c r="I65">
        <f>+G65+F65</f>
        <v>15</v>
      </c>
      <c r="J65">
        <f t="shared" si="41"/>
        <v>5.994559837948005</v>
      </c>
      <c r="K65">
        <f t="shared" si="42"/>
        <v>6.80509486869955</v>
      </c>
      <c r="P65" s="258"/>
    </row>
    <row r="66" spans="1:16">
      <c r="A66">
        <v>8</v>
      </c>
      <c r="B66">
        <v>0.15</v>
      </c>
      <c r="C66">
        <f t="shared" si="36"/>
        <v>15</v>
      </c>
      <c r="D66">
        <v>0</v>
      </c>
      <c r="E66">
        <f>+D66*C66</f>
        <v>0</v>
      </c>
      <c r="F66">
        <f>+C66-E66</f>
        <v>15</v>
      </c>
      <c r="G66">
        <v>0</v>
      </c>
      <c r="H66">
        <f>+H65-G66+E66</f>
        <v>100</v>
      </c>
      <c r="I66">
        <f>+G66+F66</f>
        <v>15</v>
      </c>
      <c r="J66">
        <f t="shared" si="41"/>
        <v>5.2583858227614071</v>
      </c>
      <c r="K66">
        <f t="shared" si="42"/>
        <v>5.9651953617632794</v>
      </c>
      <c r="P66" s="258"/>
    </row>
    <row r="67" spans="1:16">
      <c r="A67">
        <v>9</v>
      </c>
      <c r="B67">
        <v>0.15</v>
      </c>
      <c r="C67">
        <f t="shared" si="36"/>
        <v>15</v>
      </c>
      <c r="D67">
        <v>0</v>
      </c>
      <c r="E67">
        <f t="shared" ref="E67:E68" si="43">+D67*C67</f>
        <v>0</v>
      </c>
      <c r="F67">
        <f t="shared" ref="F67:F68" si="44">+C67-E67</f>
        <v>15</v>
      </c>
      <c r="G67">
        <v>0</v>
      </c>
      <c r="H67">
        <f t="shared" ref="H67:H68" si="45">+H66-G67+E67</f>
        <v>100</v>
      </c>
      <c r="I67">
        <f t="shared" ref="I67:I68" si="46">+G67+F67</f>
        <v>15</v>
      </c>
      <c r="J67">
        <f t="shared" si="41"/>
        <v>4.6126191427731635</v>
      </c>
      <c r="K67">
        <f t="shared" si="42"/>
        <v>5.2289580660617805</v>
      </c>
      <c r="P67" s="258"/>
    </row>
    <row r="68" spans="1:16" ht="17" thickBot="1">
      <c r="A68">
        <v>10</v>
      </c>
      <c r="B68">
        <v>0.15</v>
      </c>
      <c r="C68">
        <f t="shared" si="36"/>
        <v>15</v>
      </c>
      <c r="D68">
        <v>0</v>
      </c>
      <c r="E68">
        <f t="shared" si="43"/>
        <v>0</v>
      </c>
      <c r="F68">
        <f t="shared" si="44"/>
        <v>15</v>
      </c>
      <c r="G68">
        <v>0</v>
      </c>
      <c r="H68">
        <f t="shared" si="45"/>
        <v>100</v>
      </c>
      <c r="I68">
        <f t="shared" si="46"/>
        <v>15</v>
      </c>
      <c r="J68">
        <f t="shared" si="41"/>
        <v>4.0461571427834757</v>
      </c>
      <c r="K68">
        <f t="shared" si="42"/>
        <v>4.5835887675857121</v>
      </c>
      <c r="P68" s="259"/>
    </row>
    <row r="69" spans="1:16">
      <c r="A69">
        <v>11</v>
      </c>
      <c r="C69">
        <f t="shared" si="36"/>
        <v>15</v>
      </c>
      <c r="D69">
        <v>0</v>
      </c>
      <c r="E69">
        <v>0</v>
      </c>
      <c r="F69">
        <f t="shared" ref="F69" si="47">+C69-E69</f>
        <v>15</v>
      </c>
      <c r="G69">
        <f>+H68</f>
        <v>100</v>
      </c>
      <c r="H69">
        <f t="shared" ref="H69" si="48">+H68-G69+E69</f>
        <v>0</v>
      </c>
      <c r="I69">
        <f t="shared" ref="I69" si="49">+G69+F69</f>
        <v>115</v>
      </c>
      <c r="J69">
        <f t="shared" si="41"/>
        <v>27.2109983286608</v>
      </c>
      <c r="K69">
        <f t="shared" si="42"/>
        <v>30.803687954205053</v>
      </c>
      <c r="P69" s="260"/>
    </row>
    <row r="70" spans="1:16">
      <c r="J70" s="1">
        <f>+SUM(J59:J69)</f>
        <v>105.45273302306447</v>
      </c>
      <c r="K70" s="1">
        <f>+SUM(K59:K69)</f>
        <v>104.78388136623832</v>
      </c>
      <c r="P70" s="261"/>
    </row>
    <row r="71" spans="1:16">
      <c r="P71" s="261"/>
    </row>
    <row r="72" spans="1:16">
      <c r="P72" s="261"/>
    </row>
    <row r="73" spans="1:16">
      <c r="P73" s="261"/>
    </row>
    <row r="74" spans="1:16">
      <c r="G74" t="s">
        <v>21</v>
      </c>
      <c r="H74">
        <v>105</v>
      </c>
      <c r="I74">
        <f>+K70</f>
        <v>104.78388136623832</v>
      </c>
      <c r="J74" t="s">
        <v>24</v>
      </c>
      <c r="N74">
        <f>+(I74-H74)/H74</f>
        <v>-2.0582727024922014E-3</v>
      </c>
      <c r="P74" s="261"/>
    </row>
    <row r="75" spans="1:16">
      <c r="G75" t="s">
        <v>22</v>
      </c>
      <c r="H75">
        <v>15</v>
      </c>
      <c r="I75" t="s">
        <v>23</v>
      </c>
      <c r="P75" s="261"/>
    </row>
    <row r="76" spans="1:16">
      <c r="I76">
        <f>+H75/H74</f>
        <v>0.14285714285714285</v>
      </c>
      <c r="P76" s="261"/>
    </row>
    <row r="77" spans="1:16">
      <c r="P77" s="261"/>
    </row>
    <row r="78" spans="1:16">
      <c r="I78" t="s">
        <v>25</v>
      </c>
      <c r="J78">
        <f>+I76+N74</f>
        <v>0.14079887015465065</v>
      </c>
      <c r="P78" s="261"/>
    </row>
    <row r="79" spans="1:16">
      <c r="P79" s="261"/>
    </row>
    <row r="80" spans="1:16">
      <c r="P80" s="261"/>
    </row>
    <row r="81" spans="16:16">
      <c r="P81" s="261"/>
    </row>
    <row r="82" spans="16:16">
      <c r="P82" s="261"/>
    </row>
    <row r="83" spans="16:16">
      <c r="P83" s="261"/>
    </row>
    <row r="84" spans="16:16">
      <c r="P84" s="261"/>
    </row>
    <row r="85" spans="16:16">
      <c r="P85" s="261"/>
    </row>
    <row r="86" spans="16:16">
      <c r="P86" s="261"/>
    </row>
    <row r="87" spans="16:16">
      <c r="P87" s="261"/>
    </row>
    <row r="88" spans="16:16">
      <c r="P88" s="261"/>
    </row>
    <row r="89" spans="16:16">
      <c r="P89" s="261"/>
    </row>
    <row r="90" spans="16:16">
      <c r="P90" s="261"/>
    </row>
    <row r="91" spans="16:16">
      <c r="P91" s="261"/>
    </row>
    <row r="92" spans="16:16">
      <c r="P92" s="261"/>
    </row>
    <row r="93" spans="16:16">
      <c r="P93" s="261"/>
    </row>
    <row r="94" spans="16:16">
      <c r="P94" s="261"/>
    </row>
    <row r="95" spans="16:16">
      <c r="P95" s="261"/>
    </row>
    <row r="96" spans="16:16">
      <c r="P96" s="261"/>
    </row>
    <row r="97" spans="16:16">
      <c r="P97" s="261"/>
    </row>
    <row r="98" spans="16:16">
      <c r="P98" s="261"/>
    </row>
    <row r="99" spans="16:16">
      <c r="P99" s="261"/>
    </row>
    <row r="100" spans="16:16">
      <c r="P100" s="261"/>
    </row>
    <row r="101" spans="16:16">
      <c r="P101" s="261"/>
    </row>
    <row r="102" spans="16:16">
      <c r="P102" s="262"/>
    </row>
  </sheetData>
  <mergeCells count="2">
    <mergeCell ref="P35:P68"/>
    <mergeCell ref="P69:P10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CFC7B-EB2F-244E-B1B2-24EE0095FC9B}">
  <sheetPr>
    <tabColor theme="4" tint="0.39997558519241921"/>
  </sheetPr>
  <dimension ref="A1:R163"/>
  <sheetViews>
    <sheetView zoomScale="130" zoomScaleNormal="130" workbookViewId="0">
      <selection activeCell="K1" sqref="K1:K34"/>
    </sheetView>
  </sheetViews>
  <sheetFormatPr baseColWidth="10" defaultRowHeight="16"/>
  <cols>
    <col min="1" max="1" width="35.6640625" customWidth="1"/>
    <col min="2" max="2" width="16.33203125" customWidth="1"/>
    <col min="3" max="3" width="13" customWidth="1"/>
    <col min="6" max="6" width="14" customWidth="1"/>
    <col min="8" max="8" width="17.5" customWidth="1"/>
  </cols>
  <sheetData>
    <row r="1" spans="1:18" ht="19" thickBot="1">
      <c r="A1" s="263" t="s">
        <v>37</v>
      </c>
      <c r="B1" s="263"/>
      <c r="C1" s="263"/>
      <c r="D1" s="263"/>
      <c r="E1" s="263"/>
      <c r="F1" s="263"/>
      <c r="G1" s="263"/>
      <c r="H1" s="263"/>
      <c r="I1" s="263"/>
      <c r="J1" s="263"/>
      <c r="K1" s="257"/>
      <c r="L1" s="10" t="s">
        <v>65</v>
      </c>
    </row>
    <row r="2" spans="1:18" ht="23">
      <c r="A2" s="9"/>
      <c r="B2" s="10"/>
      <c r="C2" s="10"/>
      <c r="D2" s="10"/>
      <c r="E2" s="10"/>
      <c r="F2" s="10"/>
      <c r="G2" s="10"/>
      <c r="H2" s="10"/>
      <c r="I2" s="10"/>
      <c r="J2" s="40"/>
      <c r="K2" s="258"/>
      <c r="L2" s="46" t="s">
        <v>72</v>
      </c>
      <c r="M2" s="1"/>
      <c r="N2" s="1"/>
      <c r="O2" s="1"/>
      <c r="P2" s="1"/>
      <c r="Q2" s="1"/>
      <c r="R2" s="1"/>
    </row>
    <row r="3" spans="1:18">
      <c r="A3" s="11" t="s">
        <v>38</v>
      </c>
      <c r="B3" s="12"/>
      <c r="C3" s="10"/>
      <c r="D3" s="13"/>
      <c r="E3" s="10"/>
      <c r="F3" s="10"/>
      <c r="G3" s="10"/>
      <c r="H3" s="10"/>
      <c r="I3" s="10"/>
      <c r="J3" s="10"/>
      <c r="K3" s="258"/>
      <c r="L3" s="45"/>
    </row>
    <row r="4" spans="1:18">
      <c r="A4" s="14"/>
      <c r="B4" s="15"/>
      <c r="C4" s="10"/>
      <c r="D4" s="13"/>
      <c r="E4" s="10"/>
      <c r="F4" s="10"/>
      <c r="G4" s="10"/>
      <c r="H4" s="10"/>
      <c r="I4" s="10"/>
      <c r="J4" s="10"/>
      <c r="K4" s="258"/>
      <c r="L4" s="10" t="s">
        <v>66</v>
      </c>
    </row>
    <row r="5" spans="1:18">
      <c r="A5" s="14" t="s">
        <v>39</v>
      </c>
      <c r="B5" s="16">
        <v>2.5000000000000001E-2</v>
      </c>
      <c r="C5" s="10"/>
      <c r="D5" s="13">
        <v>1</v>
      </c>
      <c r="E5" s="10"/>
      <c r="F5" s="10"/>
      <c r="G5" s="10"/>
      <c r="H5" s="10"/>
      <c r="I5" s="10"/>
      <c r="J5" s="10"/>
      <c r="K5" s="258"/>
      <c r="L5" s="45"/>
    </row>
    <row r="6" spans="1:18">
      <c r="A6" s="14" t="s">
        <v>40</v>
      </c>
      <c r="B6" s="17">
        <v>1000</v>
      </c>
      <c r="C6" s="10"/>
      <c r="D6" s="13">
        <v>2</v>
      </c>
      <c r="E6" s="10"/>
      <c r="F6" s="10"/>
      <c r="G6" s="10"/>
      <c r="H6" s="10"/>
      <c r="I6" s="10"/>
      <c r="J6" s="10"/>
      <c r="K6" s="258"/>
      <c r="L6" s="10" t="s">
        <v>67</v>
      </c>
    </row>
    <row r="7" spans="1:18">
      <c r="A7" s="14" t="s">
        <v>41</v>
      </c>
      <c r="B7" s="18">
        <f>CR*FV/NOP</f>
        <v>25</v>
      </c>
      <c r="C7" s="19"/>
      <c r="D7" s="10"/>
      <c r="E7" s="19"/>
      <c r="F7" s="19"/>
      <c r="G7" s="19"/>
      <c r="H7" s="19"/>
      <c r="I7" s="10"/>
      <c r="J7" s="10"/>
      <c r="K7" s="258"/>
      <c r="L7" s="45"/>
    </row>
    <row r="8" spans="1:18">
      <c r="A8" s="14" t="s">
        <v>42</v>
      </c>
      <c r="B8" s="16">
        <v>0.09</v>
      </c>
      <c r="C8" s="10" t="s">
        <v>63</v>
      </c>
      <c r="D8" s="13">
        <v>4</v>
      </c>
      <c r="E8" s="10"/>
      <c r="F8" s="10"/>
      <c r="G8" s="10"/>
      <c r="H8" s="10"/>
      <c r="I8" s="10"/>
      <c r="J8" s="10"/>
      <c r="K8" s="258"/>
      <c r="L8" s="10" t="s">
        <v>68</v>
      </c>
    </row>
    <row r="9" spans="1:18">
      <c r="A9" s="14" t="s">
        <v>43</v>
      </c>
      <c r="B9" s="20">
        <v>1</v>
      </c>
      <c r="C9" s="10"/>
      <c r="D9" s="13"/>
      <c r="E9" s="10"/>
      <c r="F9" s="10"/>
      <c r="G9" s="10"/>
      <c r="H9" s="10"/>
      <c r="I9" s="10"/>
      <c r="J9" s="10"/>
      <c r="K9" s="258"/>
      <c r="L9" s="45"/>
    </row>
    <row r="10" spans="1:18">
      <c r="A10" s="14" t="s">
        <v>44</v>
      </c>
      <c r="B10" s="20">
        <v>8</v>
      </c>
      <c r="C10" s="10"/>
      <c r="D10" s="13"/>
      <c r="E10" s="10"/>
      <c r="F10" s="10"/>
      <c r="G10" s="10"/>
      <c r="H10" s="10"/>
      <c r="I10" s="10"/>
      <c r="J10" s="10"/>
      <c r="K10" s="258"/>
      <c r="L10" s="10" t="s">
        <v>69</v>
      </c>
    </row>
    <row r="11" spans="1:18">
      <c r="A11" s="14" t="s">
        <v>45</v>
      </c>
      <c r="B11" s="20">
        <v>600</v>
      </c>
      <c r="C11" s="19"/>
      <c r="D11" s="10"/>
      <c r="E11" s="19"/>
      <c r="F11" s="19"/>
      <c r="G11" s="19"/>
      <c r="H11" s="19"/>
      <c r="I11" s="10"/>
      <c r="J11" s="10"/>
      <c r="K11" s="258"/>
      <c r="L11" s="10" t="s">
        <v>70</v>
      </c>
    </row>
    <row r="12" spans="1:18">
      <c r="A12" s="10"/>
      <c r="B12" s="10"/>
      <c r="C12" s="19"/>
      <c r="D12" s="10"/>
      <c r="E12" s="19"/>
      <c r="F12" s="19"/>
      <c r="G12" s="19" t="s">
        <v>87</v>
      </c>
      <c r="H12" s="19"/>
      <c r="I12" s="10" t="s">
        <v>88</v>
      </c>
      <c r="J12" s="10"/>
      <c r="K12" s="258"/>
      <c r="L12" s="10" t="s">
        <v>71</v>
      </c>
    </row>
    <row r="13" spans="1:18">
      <c r="A13" s="11" t="s">
        <v>46</v>
      </c>
      <c r="B13" s="10"/>
      <c r="C13" s="19"/>
      <c r="D13" s="19"/>
      <c r="E13" s="19"/>
      <c r="F13" s="19"/>
      <c r="G13" s="19"/>
      <c r="H13" s="19"/>
      <c r="I13" s="19"/>
      <c r="J13" s="19"/>
      <c r="K13" s="258"/>
      <c r="L13" s="10"/>
    </row>
    <row r="14" spans="1:18">
      <c r="A14" s="21" t="s">
        <v>47</v>
      </c>
      <c r="B14" s="22">
        <v>0</v>
      </c>
      <c r="C14" s="23">
        <v>1</v>
      </c>
      <c r="D14" s="23">
        <v>2</v>
      </c>
      <c r="E14" s="23">
        <v>3</v>
      </c>
      <c r="F14" s="23">
        <v>4</v>
      </c>
      <c r="G14" s="23">
        <v>5</v>
      </c>
      <c r="H14" s="23">
        <v>6</v>
      </c>
      <c r="I14" s="23">
        <v>7</v>
      </c>
      <c r="J14" s="23">
        <v>8</v>
      </c>
      <c r="K14" s="258"/>
      <c r="L14" s="46" t="s">
        <v>73</v>
      </c>
      <c r="M14" s="1"/>
      <c r="N14" s="1"/>
      <c r="O14" s="1"/>
      <c r="P14" s="1"/>
      <c r="Q14" s="1"/>
      <c r="R14" s="1"/>
    </row>
    <row r="15" spans="1:18">
      <c r="A15" s="25" t="s">
        <v>48</v>
      </c>
      <c r="B15" s="24">
        <f>-B11</f>
        <v>-600</v>
      </c>
      <c r="C15" s="47">
        <f>PMT</f>
        <v>25</v>
      </c>
      <c r="D15" s="47">
        <f t="shared" ref="D15:I15" si="0">PMT</f>
        <v>25</v>
      </c>
      <c r="E15" s="47">
        <f t="shared" si="0"/>
        <v>25</v>
      </c>
      <c r="F15" s="47">
        <f t="shared" si="0"/>
        <v>25</v>
      </c>
      <c r="G15" s="47">
        <f t="shared" si="0"/>
        <v>25</v>
      </c>
      <c r="H15" s="47">
        <f t="shared" si="0"/>
        <v>25</v>
      </c>
      <c r="I15" s="47">
        <f t="shared" si="0"/>
        <v>25</v>
      </c>
      <c r="J15" s="47">
        <f>PMT+FV</f>
        <v>1025</v>
      </c>
      <c r="K15" s="258"/>
      <c r="L15" s="45"/>
    </row>
    <row r="16" spans="1:18">
      <c r="A16" s="25" t="s">
        <v>49</v>
      </c>
      <c r="B16" s="24"/>
      <c r="C16" s="39">
        <f>+B8</f>
        <v>0.09</v>
      </c>
      <c r="D16" s="39">
        <f>+C16</f>
        <v>0.09</v>
      </c>
      <c r="E16" s="39">
        <f t="shared" ref="E16:J16" si="1">+D16</f>
        <v>0.09</v>
      </c>
      <c r="F16" s="39">
        <f t="shared" si="1"/>
        <v>0.09</v>
      </c>
      <c r="G16" s="39">
        <f t="shared" si="1"/>
        <v>0.09</v>
      </c>
      <c r="H16" s="39">
        <f t="shared" si="1"/>
        <v>0.09</v>
      </c>
      <c r="I16" s="39">
        <f t="shared" si="1"/>
        <v>0.09</v>
      </c>
      <c r="J16" s="39">
        <f t="shared" si="1"/>
        <v>0.09</v>
      </c>
      <c r="K16" s="258"/>
      <c r="L16" s="10" t="s">
        <v>78</v>
      </c>
    </row>
    <row r="17" spans="1:12">
      <c r="A17" s="25" t="s">
        <v>50</v>
      </c>
      <c r="C17" s="27">
        <f>+C15/(1+C16)^C14</f>
        <v>22.935779816513758</v>
      </c>
      <c r="D17" s="27">
        <f t="shared" ref="D17:J17" si="2">+D15/(1+D16)^D14</f>
        <v>21.041999831663997</v>
      </c>
      <c r="E17" s="27">
        <f t="shared" si="2"/>
        <v>19.304587001526603</v>
      </c>
      <c r="F17" s="27">
        <f t="shared" si="2"/>
        <v>17.71063027662991</v>
      </c>
      <c r="G17" s="27">
        <f t="shared" si="2"/>
        <v>16.248284657458633</v>
      </c>
      <c r="H17" s="27">
        <f t="shared" si="2"/>
        <v>14.906683171980395</v>
      </c>
      <c r="I17" s="27">
        <f t="shared" si="2"/>
        <v>13.675856121082932</v>
      </c>
      <c r="J17" s="27">
        <f t="shared" si="2"/>
        <v>514.41293666458728</v>
      </c>
      <c r="K17" s="258"/>
      <c r="L17" s="45" t="s">
        <v>79</v>
      </c>
    </row>
    <row r="18" spans="1:12">
      <c r="A18" s="48">
        <f>+IRR(B15:J15)</f>
        <v>9.9969200466905273E-2</v>
      </c>
      <c r="B18" s="24"/>
      <c r="C18" s="27"/>
      <c r="D18" s="27"/>
      <c r="E18" s="27"/>
      <c r="F18" s="27"/>
      <c r="G18" s="27"/>
      <c r="H18" s="27"/>
      <c r="I18" s="27"/>
      <c r="J18" s="27"/>
      <c r="K18" s="258"/>
      <c r="L18" s="10" t="s">
        <v>74</v>
      </c>
    </row>
    <row r="19" spans="1:12" ht="17" thickBot="1">
      <c r="A19" s="25"/>
      <c r="B19" s="24"/>
      <c r="C19" s="24"/>
      <c r="D19" s="24"/>
      <c r="E19" s="24"/>
      <c r="F19" s="24"/>
      <c r="G19" s="24"/>
      <c r="H19" s="24"/>
      <c r="I19" s="24"/>
      <c r="J19" s="24"/>
      <c r="K19" s="258"/>
      <c r="L19" s="45"/>
    </row>
    <row r="20" spans="1:12" ht="17" thickBot="1">
      <c r="A20" s="28" t="s">
        <v>51</v>
      </c>
      <c r="B20" s="29">
        <f>+SUM(C17:J17)</f>
        <v>640.23675754144347</v>
      </c>
      <c r="C20" s="24" t="s">
        <v>64</v>
      </c>
      <c r="D20" s="24"/>
      <c r="E20" s="24"/>
      <c r="F20" s="24"/>
      <c r="G20" s="24"/>
      <c r="H20" s="24"/>
      <c r="I20" s="24"/>
      <c r="J20" s="24"/>
      <c r="K20" s="258"/>
      <c r="L20" s="10" t="s">
        <v>75</v>
      </c>
    </row>
    <row r="21" spans="1:12">
      <c r="A21" s="30"/>
      <c r="B21" s="31"/>
      <c r="C21" s="32"/>
      <c r="D21" s="32"/>
      <c r="E21" s="32"/>
      <c r="F21" s="32"/>
      <c r="G21" s="32"/>
      <c r="H21" s="32"/>
      <c r="I21" s="32"/>
      <c r="J21" s="32"/>
      <c r="K21" s="258"/>
      <c r="L21" s="45"/>
    </row>
    <row r="22" spans="1:12" ht="17" thickBot="1">
      <c r="A22" s="25"/>
      <c r="B22" s="33"/>
      <c r="C22" s="24"/>
      <c r="D22" s="24"/>
      <c r="E22" s="24"/>
      <c r="F22" s="24"/>
      <c r="G22" s="24"/>
      <c r="H22" s="24"/>
      <c r="I22" s="24"/>
      <c r="J22" s="24"/>
      <c r="K22" s="258"/>
      <c r="L22" s="10" t="s">
        <v>68</v>
      </c>
    </row>
    <row r="23" spans="1:12" ht="32" thickBot="1">
      <c r="A23" s="28" t="s">
        <v>52</v>
      </c>
      <c r="B23" s="29">
        <f>+(C15*(1-(1+B8)^(-8))/B8) + 1000/(1+B8)^8</f>
        <v>640.23675754144369</v>
      </c>
      <c r="C23" s="24"/>
      <c r="D23" s="24"/>
      <c r="E23" s="24"/>
      <c r="F23" s="24"/>
      <c r="G23" s="24"/>
      <c r="H23" s="24"/>
      <c r="I23" s="24"/>
      <c r="J23" s="24"/>
      <c r="K23" s="258"/>
      <c r="L23" s="45"/>
    </row>
    <row r="24" spans="1:12">
      <c r="A24" s="25"/>
      <c r="B24" s="33"/>
      <c r="C24" s="24"/>
      <c r="D24" s="24"/>
      <c r="E24" s="24"/>
      <c r="F24" s="24"/>
      <c r="G24" s="24"/>
      <c r="H24" s="24"/>
      <c r="I24" s="24"/>
      <c r="J24" s="24"/>
      <c r="K24" s="258"/>
      <c r="L24" s="10" t="s">
        <v>76</v>
      </c>
    </row>
    <row r="25" spans="1:12" ht="17" thickBot="1">
      <c r="A25" s="25"/>
      <c r="B25" s="33"/>
      <c r="C25" s="24"/>
      <c r="D25" s="24"/>
      <c r="E25" s="24"/>
      <c r="F25" s="24"/>
      <c r="G25" s="24"/>
      <c r="H25" s="24"/>
      <c r="I25" s="24"/>
      <c r="J25" s="24"/>
      <c r="K25" s="258"/>
      <c r="L25" s="10" t="s">
        <v>70</v>
      </c>
    </row>
    <row r="26" spans="1:12" ht="17" thickBot="1">
      <c r="A26" s="28" t="s">
        <v>53</v>
      </c>
      <c r="B26" s="29">
        <f>+PV(B8, J14,-C15)+ 1000/(1+B8)^8</f>
        <v>640.23675754144369</v>
      </c>
      <c r="C26" s="24"/>
      <c r="D26" s="24"/>
      <c r="E26" s="25" t="s">
        <v>54</v>
      </c>
      <c r="F26" s="24"/>
      <c r="G26" s="24"/>
      <c r="H26" s="24"/>
      <c r="I26" s="24"/>
      <c r="J26" s="24"/>
      <c r="K26" s="258"/>
      <c r="L26" s="10" t="s">
        <v>71</v>
      </c>
    </row>
    <row r="27" spans="1:12">
      <c r="A27" s="30"/>
      <c r="B27" s="31"/>
      <c r="C27" s="32"/>
      <c r="D27" s="32"/>
      <c r="E27" s="25" t="s">
        <v>55</v>
      </c>
      <c r="F27" s="32"/>
      <c r="G27" s="32"/>
      <c r="H27" s="32"/>
      <c r="I27" s="32"/>
      <c r="J27" s="32"/>
      <c r="K27" s="258"/>
      <c r="L27" s="10" t="s">
        <v>77</v>
      </c>
    </row>
    <row r="28" spans="1:12" ht="17" thickBot="1">
      <c r="A28" s="25"/>
      <c r="B28" s="24"/>
      <c r="C28" s="24"/>
      <c r="D28" s="24"/>
      <c r="E28" s="25" t="s">
        <v>56</v>
      </c>
      <c r="F28" s="24"/>
      <c r="G28" s="24"/>
      <c r="H28" s="24"/>
      <c r="I28" s="24"/>
      <c r="J28" s="24"/>
      <c r="K28" s="258"/>
      <c r="L28" s="24"/>
    </row>
    <row r="29" spans="1:12" ht="17" thickBot="1">
      <c r="A29" s="28" t="s">
        <v>57</v>
      </c>
      <c r="B29" s="34">
        <f>+PV(B8, J14, -C15, -FV)</f>
        <v>640.23675754144369</v>
      </c>
      <c r="C29" s="24"/>
      <c r="D29" s="24"/>
      <c r="E29" s="24"/>
      <c r="F29" s="24"/>
      <c r="G29" s="24"/>
      <c r="H29" s="24"/>
      <c r="I29" s="24"/>
      <c r="J29" s="24"/>
      <c r="K29" s="258"/>
      <c r="L29" s="24"/>
    </row>
    <row r="30" spans="1:12">
      <c r="A30" s="25"/>
      <c r="B30" s="24"/>
      <c r="C30" s="24"/>
      <c r="D30" s="24"/>
      <c r="E30" s="24"/>
      <c r="F30" s="24"/>
      <c r="G30" s="24"/>
      <c r="H30" s="24"/>
      <c r="I30" s="24"/>
      <c r="J30" s="24"/>
      <c r="K30" s="258"/>
      <c r="L30" s="24"/>
    </row>
    <row r="31" spans="1:12">
      <c r="A31" s="25"/>
      <c r="B31" s="24"/>
      <c r="C31" s="24"/>
      <c r="D31" s="24"/>
      <c r="E31" s="24"/>
      <c r="F31" s="24"/>
      <c r="G31" s="24"/>
      <c r="H31" s="24"/>
      <c r="I31" s="24"/>
      <c r="J31" s="24"/>
      <c r="K31" s="258"/>
      <c r="L31" s="24"/>
    </row>
    <row r="32" spans="1:12">
      <c r="A32" s="25" t="s">
        <v>58</v>
      </c>
      <c r="B32" s="24"/>
      <c r="C32" s="24"/>
      <c r="D32" s="24"/>
      <c r="E32" s="24"/>
      <c r="F32" s="24"/>
      <c r="G32" s="24"/>
      <c r="H32" s="24"/>
      <c r="I32" s="24"/>
      <c r="J32" s="24"/>
      <c r="K32" s="258"/>
      <c r="L32" s="24"/>
    </row>
    <row r="33" spans="1:12">
      <c r="A33" s="25"/>
      <c r="B33" s="24"/>
      <c r="C33" s="24"/>
      <c r="D33" s="24"/>
      <c r="E33" s="24"/>
      <c r="F33" s="24"/>
      <c r="G33" s="24"/>
      <c r="H33" s="24"/>
      <c r="I33" s="24"/>
      <c r="J33" s="24"/>
      <c r="K33" s="258"/>
      <c r="L33" s="24"/>
    </row>
    <row r="34" spans="1:12">
      <c r="A34" s="25"/>
      <c r="B34" s="24"/>
      <c r="C34" s="24"/>
      <c r="D34" s="24"/>
      <c r="E34" s="24"/>
      <c r="F34" s="24"/>
      <c r="G34" s="24"/>
      <c r="H34" s="24"/>
      <c r="I34" s="24"/>
      <c r="J34" s="24"/>
      <c r="K34" s="259"/>
      <c r="L34" s="24"/>
    </row>
    <row r="35" spans="1:12" ht="41" thickBot="1">
      <c r="A35" s="10"/>
      <c r="B35" s="10"/>
      <c r="C35" s="10"/>
      <c r="D35" s="10"/>
      <c r="E35" s="10"/>
      <c r="F35" s="10"/>
      <c r="G35" s="10"/>
      <c r="H35" s="35" t="s">
        <v>59</v>
      </c>
      <c r="I35" s="35" t="s">
        <v>60</v>
      </c>
      <c r="J35" s="35" t="s">
        <v>61</v>
      </c>
      <c r="K35" s="35" t="s">
        <v>62</v>
      </c>
      <c r="L35" s="36"/>
    </row>
    <row r="36" spans="1:12">
      <c r="A36" s="10"/>
      <c r="B36" s="10"/>
      <c r="C36" s="10"/>
      <c r="D36" s="10"/>
      <c r="E36" s="10"/>
      <c r="F36" s="10"/>
      <c r="G36" s="10"/>
      <c r="H36" s="10">
        <v>0</v>
      </c>
      <c r="I36" s="49">
        <f t="shared" ref="I36:I52" si="3">-PV(H36, $J$14, $H$15, FV)</f>
        <v>1200</v>
      </c>
      <c r="J36" s="10">
        <v>600</v>
      </c>
      <c r="K36" s="50">
        <f>+I36-J36</f>
        <v>600</v>
      </c>
      <c r="L36" s="10"/>
    </row>
    <row r="37" spans="1:12">
      <c r="A37" s="10"/>
      <c r="B37" s="10"/>
      <c r="C37" s="10"/>
      <c r="D37" s="10"/>
      <c r="E37" s="10"/>
      <c r="F37" s="10"/>
      <c r="G37" s="10"/>
      <c r="H37" s="37">
        <f>+H36+0.01</f>
        <v>0.01</v>
      </c>
      <c r="I37" s="49">
        <f t="shared" si="3"/>
        <v>1114.775166276532</v>
      </c>
      <c r="J37" s="10">
        <v>600</v>
      </c>
      <c r="K37" s="50">
        <f t="shared" ref="K37:K52" si="4">+I37-J37</f>
        <v>514.77516627653199</v>
      </c>
      <c r="L37" s="10"/>
    </row>
    <row r="38" spans="1:12">
      <c r="A38" s="10"/>
      <c r="B38" s="10"/>
      <c r="C38" s="10"/>
      <c r="D38" s="10"/>
      <c r="E38" s="10"/>
      <c r="F38" s="10"/>
      <c r="G38" s="10"/>
      <c r="H38" s="37">
        <f t="shared" ref="H38:H52" si="5">+H37+0.01</f>
        <v>0.02</v>
      </c>
      <c r="I38" s="49">
        <f t="shared" si="3"/>
        <v>1036.6274072024721</v>
      </c>
      <c r="J38" s="10">
        <v>600</v>
      </c>
      <c r="K38" s="50">
        <f t="shared" si="4"/>
        <v>436.62740720247211</v>
      </c>
      <c r="L38" s="10"/>
    </row>
    <row r="39" spans="1:12">
      <c r="A39" s="10"/>
      <c r="B39" s="10"/>
      <c r="C39" s="10"/>
      <c r="D39" s="10"/>
      <c r="E39" s="10"/>
      <c r="F39" s="10"/>
      <c r="G39" s="10"/>
      <c r="H39" s="37">
        <f t="shared" si="5"/>
        <v>0.03</v>
      </c>
      <c r="I39" s="49">
        <f t="shared" si="3"/>
        <v>964.90153905232273</v>
      </c>
      <c r="J39" s="10">
        <v>600</v>
      </c>
      <c r="K39" s="50">
        <f t="shared" si="4"/>
        <v>364.90153905232273</v>
      </c>
      <c r="L39" s="10"/>
    </row>
    <row r="40" spans="1:12">
      <c r="A40" s="10"/>
      <c r="B40" s="10"/>
      <c r="C40" s="10"/>
      <c r="D40" s="10"/>
      <c r="E40" s="10"/>
      <c r="F40" s="10"/>
      <c r="G40" s="10"/>
      <c r="H40" s="37">
        <f t="shared" si="5"/>
        <v>0.04</v>
      </c>
      <c r="I40" s="49">
        <f t="shared" si="3"/>
        <v>899.00882687574392</v>
      </c>
      <c r="J40" s="10">
        <v>600</v>
      </c>
      <c r="K40" s="50">
        <f t="shared" si="4"/>
        <v>299.00882687574392</v>
      </c>
      <c r="L40" s="10"/>
    </row>
    <row r="41" spans="1:12">
      <c r="A41" s="10"/>
      <c r="B41" s="10"/>
      <c r="C41" s="10"/>
      <c r="D41" s="10"/>
      <c r="E41" s="10"/>
      <c r="F41" s="10"/>
      <c r="G41" s="10"/>
      <c r="H41" s="37">
        <f t="shared" si="5"/>
        <v>0.05</v>
      </c>
      <c r="I41" s="49">
        <f t="shared" si="3"/>
        <v>838.4196810143435</v>
      </c>
      <c r="J41" s="10">
        <v>600</v>
      </c>
      <c r="K41" s="50">
        <f t="shared" si="4"/>
        <v>238.4196810143435</v>
      </c>
      <c r="L41" s="10"/>
    </row>
    <row r="42" spans="1:12">
      <c r="A42" s="10"/>
      <c r="B42" s="10"/>
      <c r="C42" s="10"/>
      <c r="D42" s="10"/>
      <c r="E42" s="10"/>
      <c r="F42" s="10"/>
      <c r="G42" s="10"/>
      <c r="H42" s="37">
        <f t="shared" si="5"/>
        <v>6.0000000000000005E-2</v>
      </c>
      <c r="I42" s="49">
        <f t="shared" si="3"/>
        <v>782.65721661606551</v>
      </c>
      <c r="J42" s="10">
        <v>600</v>
      </c>
      <c r="K42" s="50">
        <f t="shared" si="4"/>
        <v>182.65721661606551</v>
      </c>
      <c r="L42" s="10"/>
    </row>
    <row r="43" spans="1:12">
      <c r="A43" s="10"/>
      <c r="B43" s="10"/>
      <c r="C43" s="10"/>
      <c r="D43" s="10"/>
      <c r="E43" s="10"/>
      <c r="F43" s="10"/>
      <c r="G43" s="10"/>
      <c r="H43" s="37">
        <f t="shared" si="5"/>
        <v>7.0000000000000007E-2</v>
      </c>
      <c r="I43" s="49">
        <f t="shared" si="3"/>
        <v>731.29156722038192</v>
      </c>
      <c r="J43" s="10">
        <v>600</v>
      </c>
      <c r="K43" s="50">
        <f t="shared" si="4"/>
        <v>131.29156722038192</v>
      </c>
      <c r="L43" s="10"/>
    </row>
    <row r="44" spans="1:12">
      <c r="A44" s="10"/>
      <c r="B44" s="10"/>
      <c r="C44" s="10"/>
      <c r="D44" s="10"/>
      <c r="E44" s="10"/>
      <c r="F44" s="10"/>
      <c r="G44" s="10"/>
      <c r="H44" s="37">
        <f t="shared" si="5"/>
        <v>0.08</v>
      </c>
      <c r="I44" s="49">
        <f t="shared" si="3"/>
        <v>683.93485809510832</v>
      </c>
      <c r="J44" s="10">
        <v>600</v>
      </c>
      <c r="K44" s="50">
        <f t="shared" si="4"/>
        <v>83.934858095108325</v>
      </c>
      <c r="L44" s="10"/>
    </row>
    <row r="45" spans="1:12">
      <c r="A45" s="10"/>
      <c r="B45" s="10"/>
      <c r="C45" s="10"/>
      <c r="D45" s="10"/>
      <c r="E45" s="10"/>
      <c r="F45" s="10"/>
      <c r="G45" s="10"/>
      <c r="H45" s="37">
        <f t="shared" si="5"/>
        <v>0.09</v>
      </c>
      <c r="I45" s="49">
        <f t="shared" si="3"/>
        <v>640.23675754144369</v>
      </c>
      <c r="J45" s="10">
        <v>600</v>
      </c>
      <c r="K45" s="50">
        <f t="shared" si="4"/>
        <v>40.236757541443694</v>
      </c>
      <c r="L45" s="10"/>
    </row>
    <row r="46" spans="1:12">
      <c r="A46" s="10"/>
      <c r="B46" s="10"/>
      <c r="C46" s="10"/>
      <c r="D46" s="10"/>
      <c r="E46" s="10"/>
      <c r="F46" s="10"/>
      <c r="G46" s="10"/>
      <c r="H46" s="51">
        <f t="shared" si="5"/>
        <v>9.9999999999999992E-2</v>
      </c>
      <c r="I46" s="52">
        <f t="shared" si="3"/>
        <v>599.88053515729985</v>
      </c>
      <c r="J46" s="46">
        <v>600</v>
      </c>
      <c r="K46" s="53">
        <f t="shared" si="4"/>
        <v>-0.11946484270015389</v>
      </c>
      <c r="L46" s="10"/>
    </row>
    <row r="47" spans="1:12">
      <c r="A47" s="10"/>
      <c r="B47" s="10"/>
      <c r="C47" s="10"/>
      <c r="D47" s="10"/>
      <c r="E47" s="10"/>
      <c r="F47" s="10"/>
      <c r="G47" s="10"/>
      <c r="H47" s="37">
        <f>+H46+0.01</f>
        <v>0.10999999999999999</v>
      </c>
      <c r="I47" s="49">
        <f t="shared" si="3"/>
        <v>562.5795653211984</v>
      </c>
      <c r="J47" s="10">
        <v>600</v>
      </c>
      <c r="K47" s="50">
        <f t="shared" si="4"/>
        <v>-37.420434678801598</v>
      </c>
      <c r="L47" s="10"/>
    </row>
    <row r="48" spans="1:12">
      <c r="A48" s="10"/>
      <c r="B48" s="10"/>
      <c r="C48" s="10"/>
      <c r="D48" s="10"/>
      <c r="E48" s="10"/>
      <c r="F48" s="10"/>
      <c r="G48" s="10"/>
      <c r="H48" s="37">
        <f t="shared" si="5"/>
        <v>0.11999999999999998</v>
      </c>
      <c r="I48" s="49">
        <f t="shared" si="3"/>
        <v>528.07422215033432</v>
      </c>
      <c r="J48" s="10">
        <v>600</v>
      </c>
      <c r="K48" s="50">
        <f t="shared" si="4"/>
        <v>-71.925777849665678</v>
      </c>
      <c r="L48" s="10"/>
    </row>
    <row r="49" spans="1:12">
      <c r="A49" s="10"/>
      <c r="B49" s="10"/>
      <c r="C49" s="10"/>
      <c r="D49" s="10"/>
      <c r="E49" s="10"/>
      <c r="F49" s="10"/>
      <c r="G49" s="10"/>
      <c r="H49" s="37">
        <f t="shared" si="5"/>
        <v>0.12999999999999998</v>
      </c>
      <c r="I49" s="49">
        <f t="shared" si="3"/>
        <v>496.12911908335548</v>
      </c>
      <c r="J49" s="10">
        <v>600</v>
      </c>
      <c r="K49" s="50">
        <f t="shared" si="4"/>
        <v>-103.87088091664452</v>
      </c>
      <c r="L49" s="10"/>
    </row>
    <row r="50" spans="1:12">
      <c r="A50" s="10"/>
      <c r="B50" s="10"/>
      <c r="C50" s="10"/>
      <c r="D50" s="10"/>
      <c r="E50" s="10"/>
      <c r="F50" s="10"/>
      <c r="G50" s="10"/>
      <c r="H50" s="37">
        <f t="shared" si="5"/>
        <v>0.13999999999999999</v>
      </c>
      <c r="I50" s="49">
        <f t="shared" si="3"/>
        <v>466.53065219883928</v>
      </c>
      <c r="J50" s="10">
        <v>600</v>
      </c>
      <c r="K50" s="50">
        <f t="shared" si="4"/>
        <v>-133.46934780116072</v>
      </c>
      <c r="L50" s="10"/>
    </row>
    <row r="51" spans="1:12">
      <c r="A51" s="10"/>
      <c r="B51" s="10"/>
      <c r="C51" s="10"/>
      <c r="D51" s="10"/>
      <c r="E51" s="10"/>
      <c r="F51" s="10"/>
      <c r="G51" s="10"/>
      <c r="H51" s="37">
        <f t="shared" si="5"/>
        <v>0.15</v>
      </c>
      <c r="I51" s="49">
        <f t="shared" si="3"/>
        <v>439.08481153847299</v>
      </c>
      <c r="J51" s="10">
        <v>600</v>
      </c>
      <c r="K51" s="50">
        <f t="shared" si="4"/>
        <v>-160.91518846152701</v>
      </c>
      <c r="L51" s="10"/>
    </row>
    <row r="52" spans="1:12">
      <c r="A52" s="10"/>
      <c r="B52" s="10"/>
      <c r="C52" s="10"/>
      <c r="D52" s="10"/>
      <c r="E52" s="10"/>
      <c r="F52" s="10"/>
      <c r="G52" s="10"/>
      <c r="H52" s="37">
        <f t="shared" si="5"/>
        <v>0.16</v>
      </c>
      <c r="I52" s="49">
        <f t="shared" si="3"/>
        <v>413.61522917332945</v>
      </c>
      <c r="J52" s="10">
        <v>600</v>
      </c>
      <c r="K52" s="50">
        <f t="shared" si="4"/>
        <v>-186.38477082667055</v>
      </c>
      <c r="L52" s="10"/>
    </row>
    <row r="54" spans="1:12" ht="17" thickBot="1"/>
    <row r="55" spans="1:12" ht="19" thickBot="1">
      <c r="A55" s="263" t="s">
        <v>37</v>
      </c>
      <c r="B55" s="263"/>
      <c r="C55" s="263"/>
      <c r="D55" s="263"/>
      <c r="E55" s="263"/>
      <c r="F55" s="263"/>
      <c r="G55" s="263"/>
      <c r="H55" s="263"/>
      <c r="I55" s="263"/>
      <c r="J55" s="263"/>
      <c r="K55" s="43"/>
    </row>
    <row r="56" spans="1:12">
      <c r="A56" t="s">
        <v>80</v>
      </c>
      <c r="B56" s="10" t="s">
        <v>89</v>
      </c>
      <c r="C56" s="10"/>
      <c r="D56" s="10" t="s">
        <v>90</v>
      </c>
      <c r="E56" s="10"/>
      <c r="F56" t="s">
        <v>10</v>
      </c>
      <c r="G56" t="s">
        <v>94</v>
      </c>
      <c r="H56" t="s">
        <v>92</v>
      </c>
      <c r="I56" t="s">
        <v>95</v>
      </c>
      <c r="J56" t="s">
        <v>93</v>
      </c>
    </row>
    <row r="57" spans="1:12">
      <c r="A57" s="11" t="s">
        <v>38</v>
      </c>
      <c r="B57" s="12"/>
      <c r="C57" s="10"/>
      <c r="D57" s="13"/>
      <c r="E57" s="23">
        <v>1</v>
      </c>
      <c r="F57">
        <f>+G57+J57</f>
        <v>25</v>
      </c>
      <c r="G57" s="10">
        <f>+H57*I57+J57</f>
        <v>25</v>
      </c>
      <c r="H57">
        <v>2.5000000000000001E-2</v>
      </c>
      <c r="I57">
        <f>+$B$58-J57</f>
        <v>1000</v>
      </c>
      <c r="J57">
        <v>0</v>
      </c>
    </row>
    <row r="58" spans="1:12">
      <c r="A58" t="s">
        <v>91</v>
      </c>
      <c r="B58">
        <v>1000</v>
      </c>
      <c r="D58" s="13"/>
      <c r="E58" s="23">
        <v>2</v>
      </c>
      <c r="F58">
        <f t="shared" ref="F58:F64" si="6">+G58+J58</f>
        <v>25</v>
      </c>
      <c r="G58" s="10">
        <f t="shared" ref="G58:G64" si="7">+H58*I58</f>
        <v>25</v>
      </c>
      <c r="H58">
        <v>2.5000000000000001E-2</v>
      </c>
      <c r="I58">
        <f>+I57-J58</f>
        <v>1000</v>
      </c>
      <c r="J58">
        <v>0</v>
      </c>
    </row>
    <row r="59" spans="1:12">
      <c r="A59" s="14" t="s">
        <v>81</v>
      </c>
      <c r="B59" s="16">
        <v>2.5000000000000001E-2</v>
      </c>
      <c r="C59" s="10"/>
      <c r="D59" s="13"/>
      <c r="E59" s="23">
        <v>3</v>
      </c>
      <c r="F59">
        <f t="shared" si="6"/>
        <v>25</v>
      </c>
      <c r="G59" s="10">
        <f t="shared" si="7"/>
        <v>25</v>
      </c>
      <c r="H59">
        <v>2.5000000000000001E-2</v>
      </c>
      <c r="I59">
        <f t="shared" ref="I59:I60" si="8">+I58-J59</f>
        <v>1000</v>
      </c>
      <c r="J59">
        <v>0</v>
      </c>
    </row>
    <row r="60" spans="1:12">
      <c r="A60" s="14" t="s">
        <v>40</v>
      </c>
      <c r="B60" s="17">
        <v>1000</v>
      </c>
      <c r="C60" s="10"/>
      <c r="D60" s="13"/>
      <c r="E60" s="23">
        <v>4</v>
      </c>
      <c r="F60">
        <f t="shared" si="6"/>
        <v>25</v>
      </c>
      <c r="G60" s="10">
        <f t="shared" si="7"/>
        <v>25</v>
      </c>
      <c r="H60">
        <v>2.5000000000000001E-2</v>
      </c>
      <c r="I60">
        <f t="shared" si="8"/>
        <v>1000</v>
      </c>
      <c r="J60">
        <v>0</v>
      </c>
    </row>
    <row r="61" spans="1:12">
      <c r="A61" s="56" t="s">
        <v>82</v>
      </c>
      <c r="B61" s="18"/>
      <c r="C61" s="19"/>
      <c r="D61" s="10"/>
      <c r="E61" s="23">
        <v>5</v>
      </c>
      <c r="F61">
        <f t="shared" si="6"/>
        <v>275</v>
      </c>
      <c r="G61" s="10">
        <f t="shared" si="7"/>
        <v>25</v>
      </c>
      <c r="H61">
        <v>2.5000000000000001E-2</v>
      </c>
      <c r="I61">
        <v>1000</v>
      </c>
      <c r="J61">
        <v>250</v>
      </c>
    </row>
    <row r="62" spans="1:12">
      <c r="A62" s="14" t="s">
        <v>42</v>
      </c>
      <c r="B62" s="16">
        <v>0.09</v>
      </c>
      <c r="C62" s="10"/>
      <c r="D62" s="13"/>
      <c r="E62" s="23">
        <v>6</v>
      </c>
      <c r="F62" s="58">
        <f t="shared" si="6"/>
        <v>268.75</v>
      </c>
      <c r="G62" s="10">
        <f t="shared" si="7"/>
        <v>18.75</v>
      </c>
      <c r="H62">
        <v>2.5000000000000001E-2</v>
      </c>
      <c r="I62">
        <f>+I60-J61</f>
        <v>750</v>
      </c>
      <c r="J62">
        <v>250</v>
      </c>
    </row>
    <row r="63" spans="1:12">
      <c r="A63" s="14" t="s">
        <v>43</v>
      </c>
      <c r="B63" s="20">
        <v>1</v>
      </c>
      <c r="C63" s="10"/>
      <c r="D63" s="13"/>
      <c r="E63" s="23">
        <v>7</v>
      </c>
      <c r="F63" s="58">
        <f t="shared" si="6"/>
        <v>262.5</v>
      </c>
      <c r="G63" s="10">
        <f t="shared" si="7"/>
        <v>12.5</v>
      </c>
      <c r="H63">
        <v>2.5000000000000001E-2</v>
      </c>
      <c r="I63">
        <f>+I62-J62</f>
        <v>500</v>
      </c>
      <c r="J63">
        <v>250</v>
      </c>
    </row>
    <row r="64" spans="1:12">
      <c r="A64" s="14" t="s">
        <v>44</v>
      </c>
      <c r="B64" s="20">
        <v>8</v>
      </c>
      <c r="C64" s="10"/>
      <c r="D64" s="13"/>
      <c r="E64" s="23">
        <v>8</v>
      </c>
      <c r="F64" s="58">
        <f t="shared" si="6"/>
        <v>256.25</v>
      </c>
      <c r="G64" s="10">
        <f t="shared" si="7"/>
        <v>6.25</v>
      </c>
      <c r="H64">
        <v>2.5000000000000001E-2</v>
      </c>
      <c r="I64">
        <f>+I63-J63</f>
        <v>250</v>
      </c>
      <c r="J64">
        <v>250</v>
      </c>
    </row>
    <row r="65" spans="1:11">
      <c r="A65" s="14" t="s">
        <v>83</v>
      </c>
      <c r="B65" s="20">
        <v>600</v>
      </c>
      <c r="C65" s="19"/>
      <c r="D65" s="10"/>
      <c r="E65" s="10"/>
      <c r="I65">
        <f>+I64-J64</f>
        <v>0</v>
      </c>
    </row>
    <row r="66" spans="1:11">
      <c r="A66" s="10"/>
      <c r="B66" s="10"/>
      <c r="C66" s="19"/>
      <c r="D66" s="10"/>
      <c r="E66" s="19"/>
      <c r="F66" s="19"/>
      <c r="G66" s="19"/>
      <c r="H66" s="19"/>
      <c r="I66" s="10"/>
      <c r="J66" s="10"/>
      <c r="K66" s="10"/>
    </row>
    <row r="67" spans="1:11">
      <c r="A67" s="11" t="s">
        <v>46</v>
      </c>
      <c r="B67" s="10"/>
      <c r="C67" s="19"/>
      <c r="D67" s="19"/>
      <c r="E67" s="19"/>
      <c r="F67" s="19"/>
      <c r="G67" s="19"/>
      <c r="H67" s="19"/>
      <c r="I67" s="19"/>
      <c r="J67" s="19"/>
      <c r="K67" s="19"/>
    </row>
    <row r="68" spans="1:11">
      <c r="A68" s="21" t="s">
        <v>47</v>
      </c>
      <c r="B68" s="22">
        <v>0</v>
      </c>
      <c r="C68" s="23">
        <v>1</v>
      </c>
      <c r="D68" s="23">
        <v>2</v>
      </c>
      <c r="E68" s="23">
        <v>3</v>
      </c>
      <c r="F68" s="23">
        <v>4</v>
      </c>
      <c r="G68" s="23">
        <v>5</v>
      </c>
      <c r="H68" s="23">
        <v>6</v>
      </c>
      <c r="I68" s="23">
        <v>7</v>
      </c>
      <c r="J68" s="23">
        <v>8</v>
      </c>
      <c r="K68" s="24"/>
    </row>
    <row r="69" spans="1:11">
      <c r="A69" s="25" t="s">
        <v>48</v>
      </c>
      <c r="B69" s="24"/>
      <c r="C69" s="26">
        <f>CR*FV</f>
        <v>25</v>
      </c>
      <c r="D69" s="26">
        <f>CR*FV</f>
        <v>25</v>
      </c>
      <c r="E69" s="26">
        <f>CR*FV</f>
        <v>25</v>
      </c>
      <c r="F69" s="26">
        <f>CR*FV</f>
        <v>25</v>
      </c>
      <c r="G69" s="26">
        <f>CR*FV+FV/4</f>
        <v>275</v>
      </c>
      <c r="H69" s="26">
        <f>CR*(FV-250)+FV/4</f>
        <v>268.75</v>
      </c>
      <c r="I69" s="26">
        <f>CR*(FV-500)+FV/4</f>
        <v>262.5</v>
      </c>
      <c r="J69" s="26">
        <f>CR*(FV-750)+FV/4</f>
        <v>256.25</v>
      </c>
      <c r="K69" s="24"/>
    </row>
    <row r="70" spans="1:11">
      <c r="A70" s="25" t="s">
        <v>49</v>
      </c>
      <c r="B70" s="24"/>
      <c r="C70" s="26"/>
      <c r="D70" s="26"/>
      <c r="E70" s="26"/>
      <c r="F70" s="26"/>
      <c r="G70" s="26"/>
      <c r="H70" s="26"/>
      <c r="I70" s="26"/>
      <c r="J70" s="26"/>
      <c r="K70" s="24"/>
    </row>
    <row r="71" spans="1:11">
      <c r="A71" s="25" t="s">
        <v>50</v>
      </c>
      <c r="B71" s="24"/>
      <c r="C71" s="27">
        <f>+C69/(1+$B$62)^C68</f>
        <v>22.935779816513758</v>
      </c>
      <c r="D71" s="27">
        <f t="shared" ref="D71:J71" si="9">+D69/(1+$B$62)^D68</f>
        <v>21.041999831663997</v>
      </c>
      <c r="E71" s="27">
        <f t="shared" si="9"/>
        <v>19.304587001526603</v>
      </c>
      <c r="F71" s="27">
        <f t="shared" si="9"/>
        <v>17.71063027662991</v>
      </c>
      <c r="G71" s="27">
        <f t="shared" si="9"/>
        <v>178.73113123204496</v>
      </c>
      <c r="H71" s="27">
        <f t="shared" si="9"/>
        <v>160.24684409878924</v>
      </c>
      <c r="I71" s="27">
        <f t="shared" si="9"/>
        <v>143.59648927137079</v>
      </c>
      <c r="J71" s="27">
        <f t="shared" si="9"/>
        <v>128.60323416614682</v>
      </c>
      <c r="K71" s="24"/>
    </row>
    <row r="72" spans="1:11">
      <c r="A72" s="25"/>
      <c r="B72" s="24"/>
      <c r="C72" s="27"/>
      <c r="D72" s="27"/>
      <c r="E72" s="27"/>
      <c r="F72" s="27"/>
      <c r="G72" s="27"/>
      <c r="H72" s="27"/>
      <c r="I72" s="27"/>
      <c r="J72" s="27"/>
      <c r="K72" s="24"/>
    </row>
    <row r="73" spans="1:11" ht="17" thickBot="1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</row>
    <row r="74" spans="1:11" ht="17" thickBot="1">
      <c r="A74" s="28" t="s">
        <v>51</v>
      </c>
      <c r="B74" s="29">
        <f>+SUM(C71:J71)</f>
        <v>692.17069569468617</v>
      </c>
      <c r="C74" s="24"/>
      <c r="D74" s="24"/>
      <c r="E74" s="24"/>
      <c r="F74" s="24"/>
      <c r="G74" s="24"/>
      <c r="H74" s="24"/>
      <c r="I74" s="24"/>
      <c r="J74" s="24"/>
      <c r="K74" s="24"/>
    </row>
    <row r="75" spans="1:11">
      <c r="A75" s="30"/>
      <c r="B75" s="31"/>
      <c r="C75" s="32"/>
      <c r="D75" s="32"/>
      <c r="E75" s="32"/>
      <c r="F75" s="32"/>
      <c r="G75" s="32"/>
      <c r="H75" s="32"/>
      <c r="I75" s="32"/>
      <c r="J75" s="32"/>
      <c r="K75" s="32"/>
    </row>
    <row r="76" spans="1:11" ht="17" thickBot="1">
      <c r="A76" s="25"/>
      <c r="B76" s="33"/>
      <c r="C76" s="24"/>
      <c r="D76" s="24"/>
      <c r="E76" s="24"/>
      <c r="F76" s="24"/>
      <c r="G76" s="24"/>
      <c r="H76" s="24"/>
      <c r="I76" s="24"/>
      <c r="J76" s="24"/>
      <c r="K76" s="24"/>
    </row>
    <row r="77" spans="1:11" ht="17" thickBot="1">
      <c r="A77" s="28" t="s">
        <v>84</v>
      </c>
      <c r="B77" s="55">
        <f>+NPV(B62, C69:J69)</f>
        <v>692.17069569468617</v>
      </c>
      <c r="C77" s="24"/>
      <c r="D77" s="24"/>
      <c r="E77" s="25"/>
      <c r="F77" s="25" t="s">
        <v>85</v>
      </c>
      <c r="G77" s="24"/>
      <c r="H77" s="24"/>
      <c r="I77" s="24"/>
      <c r="J77" s="24"/>
      <c r="K77" s="24"/>
    </row>
    <row r="78" spans="1:11">
      <c r="A78" s="30"/>
      <c r="B78" s="31"/>
      <c r="C78" s="32"/>
      <c r="D78" s="32"/>
      <c r="E78" s="25"/>
      <c r="F78" s="25" t="s">
        <v>86</v>
      </c>
      <c r="G78" s="32"/>
      <c r="H78" s="32"/>
      <c r="I78" s="32"/>
      <c r="J78" s="32"/>
      <c r="K78" s="32"/>
    </row>
    <row r="79" spans="1:11">
      <c r="A79" s="25"/>
      <c r="B79" s="24"/>
      <c r="C79" s="24"/>
      <c r="D79" s="24"/>
      <c r="E79" s="25"/>
      <c r="F79" s="24"/>
      <c r="G79" s="24"/>
      <c r="H79" s="24"/>
      <c r="I79" s="24"/>
      <c r="J79" s="24"/>
      <c r="K79" s="24"/>
    </row>
    <row r="80" spans="1:11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</row>
    <row r="81" spans="1:1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</row>
    <row r="82" spans="1:11">
      <c r="A82" s="25" t="s">
        <v>58</v>
      </c>
      <c r="B82" s="24"/>
      <c r="C82" s="24"/>
      <c r="D82" s="24"/>
      <c r="E82" s="24"/>
      <c r="F82" s="24"/>
      <c r="G82" s="24"/>
      <c r="H82" s="24"/>
      <c r="I82" s="24"/>
      <c r="J82" s="24"/>
      <c r="K82" s="24"/>
    </row>
    <row r="83" spans="1:11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</row>
    <row r="84" spans="1:11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</row>
    <row r="85" spans="1:11" ht="41" thickBot="1">
      <c r="A85" s="10"/>
      <c r="B85" s="10"/>
      <c r="C85" s="10"/>
      <c r="D85" s="10"/>
      <c r="E85" s="10"/>
      <c r="F85" s="10"/>
      <c r="G85" s="10"/>
      <c r="H85" s="35" t="s">
        <v>59</v>
      </c>
      <c r="I85" s="35" t="s">
        <v>60</v>
      </c>
      <c r="J85" s="35" t="s">
        <v>61</v>
      </c>
      <c r="K85" s="35" t="s">
        <v>62</v>
      </c>
    </row>
    <row r="86" spans="1:11">
      <c r="A86" s="10"/>
      <c r="B86" s="10"/>
      <c r="C86" s="10"/>
      <c r="D86" s="10"/>
      <c r="E86" s="10"/>
      <c r="F86" s="10"/>
      <c r="G86" s="10"/>
      <c r="H86" s="10">
        <v>0</v>
      </c>
      <c r="I86" s="49">
        <f>NPV(H86, $C$69:$J$69)</f>
        <v>1162.5</v>
      </c>
      <c r="J86" s="10">
        <v>600</v>
      </c>
      <c r="K86" s="50">
        <f>+I86-J86</f>
        <v>562.5</v>
      </c>
    </row>
    <row r="87" spans="1:11">
      <c r="A87" s="10"/>
      <c r="B87" s="10"/>
      <c r="C87" s="10"/>
      <c r="D87" s="10"/>
      <c r="E87" s="10"/>
      <c r="F87" s="10"/>
      <c r="G87" s="10"/>
      <c r="H87" s="37">
        <f>+H86+0.01</f>
        <v>0.01</v>
      </c>
      <c r="I87" s="49">
        <f t="shared" ref="I87:I102" si="10">NPV(H87, $C$69:$J$69)</f>
        <v>1093.8579249810987</v>
      </c>
      <c r="J87" s="10">
        <v>600</v>
      </c>
      <c r="K87" s="50">
        <f t="shared" ref="K87:K102" si="11">+I87-J87</f>
        <v>493.85792498109868</v>
      </c>
    </row>
    <row r="88" spans="1:11">
      <c r="A88" s="10"/>
      <c r="B88" s="10"/>
      <c r="C88" s="10"/>
      <c r="D88" s="10"/>
      <c r="E88" s="10"/>
      <c r="F88" s="10"/>
      <c r="G88" s="10"/>
      <c r="H88" s="37">
        <f t="shared" ref="H88:H96" si="12">+H87+0.01</f>
        <v>0.02</v>
      </c>
      <c r="I88" s="49">
        <f t="shared" si="10"/>
        <v>1030.1404536362415</v>
      </c>
      <c r="J88" s="10">
        <v>600</v>
      </c>
      <c r="K88" s="50">
        <f t="shared" si="11"/>
        <v>430.14045363624155</v>
      </c>
    </row>
    <row r="89" spans="1:11">
      <c r="A89" s="10"/>
      <c r="B89" s="10"/>
      <c r="C89" s="10"/>
      <c r="D89" s="10"/>
      <c r="E89" s="10"/>
      <c r="F89" s="10"/>
      <c r="G89" s="10"/>
      <c r="H89" s="37">
        <f t="shared" si="12"/>
        <v>0.03</v>
      </c>
      <c r="I89" s="49">
        <f t="shared" si="10"/>
        <v>970.94140778021278</v>
      </c>
      <c r="J89" s="10">
        <v>600</v>
      </c>
      <c r="K89" s="50">
        <f t="shared" si="11"/>
        <v>370.94140778021278</v>
      </c>
    </row>
    <row r="90" spans="1:11">
      <c r="A90" s="10"/>
      <c r="B90" s="10"/>
      <c r="C90" s="10"/>
      <c r="D90" s="10"/>
      <c r="E90" s="10"/>
      <c r="F90" s="10"/>
      <c r="G90" s="10"/>
      <c r="H90" s="37">
        <f t="shared" si="12"/>
        <v>0.04</v>
      </c>
      <c r="I90" s="49">
        <f t="shared" si="10"/>
        <v>915.89215475251967</v>
      </c>
      <c r="J90" s="10">
        <v>600</v>
      </c>
      <c r="K90" s="50">
        <f t="shared" si="11"/>
        <v>315.89215475251967</v>
      </c>
    </row>
    <row r="91" spans="1:11">
      <c r="A91" s="10"/>
      <c r="B91" s="10"/>
      <c r="C91" s="10"/>
      <c r="D91" s="10"/>
      <c r="E91" s="10"/>
      <c r="F91" s="10"/>
      <c r="G91" s="10"/>
      <c r="H91" s="37">
        <f t="shared" si="12"/>
        <v>0.05</v>
      </c>
      <c r="I91" s="49">
        <f t="shared" si="10"/>
        <v>864.65778190798653</v>
      </c>
      <c r="J91" s="10">
        <v>600</v>
      </c>
      <c r="K91" s="50">
        <f t="shared" si="11"/>
        <v>264.65778190798653</v>
      </c>
    </row>
    <row r="92" spans="1:11">
      <c r="A92" s="10"/>
      <c r="B92" s="10"/>
      <c r="C92" s="10"/>
      <c r="D92" s="10"/>
      <c r="E92" s="10"/>
      <c r="F92" s="10"/>
      <c r="G92" s="10"/>
      <c r="H92" s="37">
        <f t="shared" si="12"/>
        <v>6.0000000000000005E-2</v>
      </c>
      <c r="I92" s="49">
        <f t="shared" si="10"/>
        <v>816.93369558102631</v>
      </c>
      <c r="J92" s="10">
        <v>600</v>
      </c>
      <c r="K92" s="50">
        <f t="shared" si="11"/>
        <v>216.93369558102631</v>
      </c>
    </row>
    <row r="93" spans="1:11">
      <c r="A93" s="10"/>
      <c r="B93" s="10"/>
      <c r="C93" s="10"/>
      <c r="D93" s="10"/>
      <c r="E93" s="10"/>
      <c r="F93" s="10"/>
      <c r="G93" s="10"/>
      <c r="H93" s="37">
        <f t="shared" si="12"/>
        <v>7.0000000000000007E-2</v>
      </c>
      <c r="I93" s="49">
        <f t="shared" si="10"/>
        <v>772.4425937097908</v>
      </c>
      <c r="J93" s="10">
        <v>600</v>
      </c>
      <c r="K93" s="50">
        <f t="shared" si="11"/>
        <v>172.4425937097908</v>
      </c>
    </row>
    <row r="94" spans="1:11">
      <c r="A94" s="10"/>
      <c r="B94" s="10"/>
      <c r="C94" s="10"/>
      <c r="D94" s="10"/>
      <c r="E94" s="10"/>
      <c r="F94" s="10"/>
      <c r="G94" s="10"/>
      <c r="H94" s="37">
        <f t="shared" si="12"/>
        <v>0.08</v>
      </c>
      <c r="I94" s="49">
        <f t="shared" si="10"/>
        <v>730.9317678201661</v>
      </c>
      <c r="J94" s="10">
        <v>600</v>
      </c>
      <c r="K94" s="50">
        <f t="shared" si="11"/>
        <v>130.9317678201661</v>
      </c>
    </row>
    <row r="95" spans="1:11">
      <c r="A95" s="10"/>
      <c r="B95" s="10"/>
      <c r="C95" s="10"/>
      <c r="D95" s="10"/>
      <c r="E95" s="10"/>
      <c r="F95" s="10"/>
      <c r="G95" s="10"/>
      <c r="H95" s="37">
        <f t="shared" si="12"/>
        <v>0.09</v>
      </c>
      <c r="I95" s="49">
        <f t="shared" si="10"/>
        <v>692.17069569468617</v>
      </c>
      <c r="J95" s="10">
        <v>600</v>
      </c>
      <c r="K95" s="50">
        <f t="shared" si="11"/>
        <v>92.170695694686174</v>
      </c>
    </row>
    <row r="96" spans="1:11">
      <c r="A96" s="10"/>
      <c r="B96" s="10"/>
      <c r="C96" s="10"/>
      <c r="D96" s="10"/>
      <c r="E96" s="10"/>
      <c r="F96" s="10"/>
      <c r="G96" s="10"/>
      <c r="H96" s="51">
        <f t="shared" si="12"/>
        <v>9.9999999999999992E-2</v>
      </c>
      <c r="I96" s="49">
        <f t="shared" si="10"/>
        <v>655.94889091625703</v>
      </c>
      <c r="J96" s="46">
        <v>600</v>
      </c>
      <c r="K96" s="53">
        <f t="shared" si="11"/>
        <v>55.948890916257028</v>
      </c>
    </row>
    <row r="97" spans="1:11">
      <c r="A97" s="10"/>
      <c r="B97" s="10"/>
      <c r="C97" s="10"/>
      <c r="D97" s="10"/>
      <c r="E97" s="10"/>
      <c r="F97" s="10"/>
      <c r="G97" s="10"/>
      <c r="H97" s="37">
        <f>+H96+0.01</f>
        <v>0.10999999999999999</v>
      </c>
      <c r="I97" s="49">
        <f t="shared" si="10"/>
        <v>622.07397968994337</v>
      </c>
      <c r="J97" s="10">
        <v>600</v>
      </c>
      <c r="K97" s="50">
        <f t="shared" si="11"/>
        <v>22.073979689943371</v>
      </c>
    </row>
    <row r="98" spans="1:11">
      <c r="A98" s="10"/>
      <c r="B98" s="10"/>
      <c r="C98" s="10"/>
      <c r="D98" s="10"/>
      <c r="E98" s="10"/>
      <c r="F98" s="10"/>
      <c r="G98" s="10"/>
      <c r="H98" s="37">
        <f t="shared" ref="H98:H102" si="13">+H97+0.01</f>
        <v>0.11999999999999998</v>
      </c>
      <c r="I98" s="49">
        <f t="shared" si="10"/>
        <v>590.36997900032839</v>
      </c>
      <c r="J98" s="10">
        <v>600</v>
      </c>
      <c r="K98" s="50">
        <f t="shared" si="11"/>
        <v>-9.6300209996716148</v>
      </c>
    </row>
    <row r="99" spans="1:11">
      <c r="A99" s="10"/>
      <c r="B99" s="10"/>
      <c r="C99" s="10"/>
      <c r="D99" s="10"/>
      <c r="E99" s="10"/>
      <c r="F99" s="10"/>
      <c r="G99" s="10"/>
      <c r="H99" s="37">
        <f t="shared" si="13"/>
        <v>0.12999999999999998</v>
      </c>
      <c r="I99" s="49">
        <f t="shared" si="10"/>
        <v>560.67575333577508</v>
      </c>
      <c r="J99" s="10">
        <v>600</v>
      </c>
      <c r="K99" s="50">
        <f t="shared" si="11"/>
        <v>-39.324246664224916</v>
      </c>
    </row>
    <row r="100" spans="1:11">
      <c r="A100" s="10"/>
      <c r="B100" s="10"/>
      <c r="C100" s="10"/>
      <c r="D100" s="10"/>
      <c r="E100" s="10"/>
      <c r="F100" s="10"/>
      <c r="G100" s="10"/>
      <c r="H100" s="37">
        <f t="shared" si="13"/>
        <v>0.13999999999999999</v>
      </c>
      <c r="I100" s="49">
        <f t="shared" si="10"/>
        <v>532.84362997110134</v>
      </c>
      <c r="J100" s="10">
        <v>600</v>
      </c>
      <c r="K100" s="50">
        <f t="shared" si="11"/>
        <v>-67.156370028898664</v>
      </c>
    </row>
    <row r="101" spans="1:11">
      <c r="A101" s="10"/>
      <c r="B101" s="10"/>
      <c r="C101" s="10"/>
      <c r="D101" s="10"/>
      <c r="E101" s="10"/>
      <c r="F101" s="10"/>
      <c r="G101" s="10"/>
      <c r="H101" s="37">
        <f t="shared" si="13"/>
        <v>0.15</v>
      </c>
      <c r="I101" s="49">
        <f t="shared" si="10"/>
        <v>506.73815520398057</v>
      </c>
      <c r="J101" s="10">
        <v>600</v>
      </c>
      <c r="K101" s="50">
        <f t="shared" si="11"/>
        <v>-93.261844796019432</v>
      </c>
    </row>
    <row r="102" spans="1:11">
      <c r="A102" s="10"/>
      <c r="B102" s="10"/>
      <c r="C102" s="10"/>
      <c r="D102" s="10"/>
      <c r="E102" s="10"/>
      <c r="F102" s="10"/>
      <c r="G102" s="10"/>
      <c r="H102" s="37">
        <f t="shared" si="13"/>
        <v>0.16</v>
      </c>
      <c r="I102" s="49">
        <f t="shared" si="10"/>
        <v>482.23497603643932</v>
      </c>
      <c r="J102" s="10">
        <v>600</v>
      </c>
      <c r="K102" s="50">
        <f t="shared" si="11"/>
        <v>-117.76502396356068</v>
      </c>
    </row>
    <row r="103" spans="1:11">
      <c r="A103" s="10"/>
      <c r="B103" s="10"/>
      <c r="C103" s="10"/>
      <c r="D103" s="10"/>
      <c r="E103" s="10"/>
      <c r="F103" s="10"/>
      <c r="G103" s="10"/>
      <c r="H103" s="37"/>
      <c r="I103" s="33"/>
      <c r="J103" s="10"/>
      <c r="K103" s="38"/>
    </row>
    <row r="104" spans="1:1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</row>
    <row r="108" spans="1:11" ht="19" thickBot="1">
      <c r="A108" s="264" t="s">
        <v>96</v>
      </c>
      <c r="B108" s="264"/>
      <c r="C108" s="264"/>
      <c r="D108" s="264"/>
      <c r="E108" s="264"/>
      <c r="F108" s="264"/>
      <c r="G108" s="264"/>
      <c r="H108" s="264"/>
      <c r="I108" s="264"/>
      <c r="J108" s="264"/>
    </row>
    <row r="110" spans="1:11">
      <c r="A110" t="s">
        <v>97</v>
      </c>
    </row>
    <row r="112" spans="1:11">
      <c r="A112" s="11" t="s">
        <v>98</v>
      </c>
      <c r="E112" s="59"/>
    </row>
    <row r="114" spans="1:5">
      <c r="A114" s="13" t="s">
        <v>99</v>
      </c>
      <c r="B114" s="60">
        <v>35431</v>
      </c>
      <c r="C114" t="s">
        <v>106</v>
      </c>
    </row>
    <row r="115" spans="1:5">
      <c r="A115" s="13" t="s">
        <v>100</v>
      </c>
      <c r="B115" s="60">
        <v>39083</v>
      </c>
      <c r="C115" t="s">
        <v>105</v>
      </c>
    </row>
    <row r="116" spans="1:5">
      <c r="A116" s="14" t="s">
        <v>39</v>
      </c>
      <c r="B116" s="61">
        <v>0.08</v>
      </c>
      <c r="C116" t="s">
        <v>103</v>
      </c>
      <c r="E116" s="57"/>
    </row>
    <row r="117" spans="1:5">
      <c r="A117" t="s">
        <v>101</v>
      </c>
      <c r="B117" s="68">
        <v>0.09</v>
      </c>
      <c r="C117" t="s">
        <v>104</v>
      </c>
    </row>
    <row r="118" spans="1:5">
      <c r="A118" s="14" t="s">
        <v>40</v>
      </c>
      <c r="B118" s="62">
        <v>100</v>
      </c>
    </row>
    <row r="119" spans="1:5">
      <c r="A119" s="14" t="s">
        <v>43</v>
      </c>
      <c r="B119" s="63">
        <v>1</v>
      </c>
    </row>
    <row r="121" spans="1:5">
      <c r="A121" s="64" t="s">
        <v>45</v>
      </c>
      <c r="B121" s="65">
        <f>+PRICE(B114, B115, B116, B117,B118,B119)</f>
        <v>93.582342298840956</v>
      </c>
      <c r="E121" s="59"/>
    </row>
    <row r="122" spans="1:5">
      <c r="A122" s="2"/>
    </row>
    <row r="123" spans="1:5">
      <c r="A123" s="11" t="s">
        <v>102</v>
      </c>
    </row>
    <row r="124" spans="1:5">
      <c r="E124" s="57"/>
    </row>
    <row r="125" spans="1:5">
      <c r="A125" s="13" t="s">
        <v>99</v>
      </c>
      <c r="B125" s="60">
        <v>35431</v>
      </c>
      <c r="E125" s="57"/>
    </row>
    <row r="126" spans="1:5">
      <c r="A126" s="13" t="s">
        <v>100</v>
      </c>
      <c r="B126" s="60">
        <v>39083</v>
      </c>
      <c r="E126" s="57"/>
    </row>
    <row r="127" spans="1:5">
      <c r="A127" s="14" t="s">
        <v>39</v>
      </c>
      <c r="B127" s="61">
        <v>0.08</v>
      </c>
    </row>
    <row r="128" spans="1:5">
      <c r="A128" s="14" t="s">
        <v>45</v>
      </c>
      <c r="B128" s="63">
        <v>95</v>
      </c>
      <c r="C128" t="s">
        <v>107</v>
      </c>
    </row>
    <row r="129" spans="1:12">
      <c r="A129" s="14" t="s">
        <v>40</v>
      </c>
      <c r="B129" s="63">
        <v>100</v>
      </c>
    </row>
    <row r="130" spans="1:12">
      <c r="A130" s="14" t="s">
        <v>43</v>
      </c>
      <c r="B130" s="63">
        <v>1</v>
      </c>
    </row>
    <row r="131" spans="1:12">
      <c r="E131" s="3"/>
    </row>
    <row r="132" spans="1:12">
      <c r="A132" s="66" t="s">
        <v>101</v>
      </c>
      <c r="B132" s="67">
        <f>+YIELD(B125, B126, B127, B128, B129, B130)</f>
        <v>8.7712744076089422E-2</v>
      </c>
    </row>
    <row r="135" spans="1:12" ht="20" thickBot="1">
      <c r="A135" s="69" t="s">
        <v>108</v>
      </c>
      <c r="B135" s="70"/>
      <c r="C135" s="70"/>
      <c r="D135" s="70"/>
      <c r="E135" s="70"/>
      <c r="F135" s="70"/>
      <c r="G135" s="70"/>
      <c r="H135" s="70"/>
      <c r="I135" s="70"/>
      <c r="J135" s="70"/>
      <c r="K135" s="8"/>
      <c r="L135" s="8"/>
    </row>
    <row r="136" spans="1:12" ht="23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</row>
    <row r="137" spans="1:12">
      <c r="A137" s="11" t="s">
        <v>38</v>
      </c>
      <c r="B137" s="12"/>
      <c r="C137" s="10"/>
      <c r="D137" s="13"/>
      <c r="E137" s="10"/>
      <c r="F137" s="10"/>
      <c r="G137" s="10"/>
      <c r="H137" s="10"/>
      <c r="I137" s="10"/>
      <c r="J137" s="10"/>
      <c r="K137" s="10"/>
      <c r="L137" s="10"/>
    </row>
    <row r="138" spans="1:12">
      <c r="A138" s="14"/>
      <c r="B138" s="15"/>
      <c r="C138" s="10"/>
      <c r="D138" s="13"/>
      <c r="E138" s="10"/>
      <c r="F138" s="10"/>
      <c r="G138" s="10"/>
      <c r="H138" s="10"/>
      <c r="I138" s="10"/>
      <c r="J138" s="10"/>
      <c r="K138" s="10"/>
      <c r="L138" s="10"/>
    </row>
    <row r="139" spans="1:12">
      <c r="A139" s="14" t="s">
        <v>81</v>
      </c>
      <c r="B139" s="16">
        <v>2.5000000000000001E-2</v>
      </c>
      <c r="C139" s="10"/>
      <c r="D139" s="13"/>
      <c r="E139" s="10"/>
      <c r="F139" s="10"/>
      <c r="G139" s="10"/>
      <c r="H139" s="10"/>
      <c r="I139" s="10"/>
      <c r="J139" s="10"/>
      <c r="K139" s="10"/>
      <c r="L139" s="10"/>
    </row>
    <row r="140" spans="1:12">
      <c r="A140" s="14" t="s">
        <v>40</v>
      </c>
      <c r="B140" s="17">
        <v>1000</v>
      </c>
      <c r="C140" s="10" t="s">
        <v>113</v>
      </c>
      <c r="D140" s="13" t="s">
        <v>114</v>
      </c>
      <c r="E140" s="10"/>
      <c r="F140" s="10"/>
      <c r="G140" s="10"/>
      <c r="H140" s="10"/>
      <c r="I140" s="10"/>
      <c r="J140" s="10"/>
      <c r="K140" s="10"/>
      <c r="L140" s="10"/>
    </row>
    <row r="141" spans="1:12">
      <c r="A141" s="14" t="s">
        <v>41</v>
      </c>
      <c r="B141" s="18">
        <f>B139*B140/B143</f>
        <v>25</v>
      </c>
      <c r="C141" s="19" t="s">
        <v>117</v>
      </c>
      <c r="D141" s="10" t="s">
        <v>114</v>
      </c>
      <c r="E141" s="19"/>
      <c r="F141" s="19"/>
      <c r="G141" s="19"/>
      <c r="H141" s="19"/>
      <c r="I141" s="10"/>
      <c r="J141" s="10"/>
      <c r="K141" s="10"/>
      <c r="L141" s="10"/>
    </row>
    <row r="142" spans="1:12">
      <c r="A142" s="14" t="s">
        <v>42</v>
      </c>
      <c r="B142" s="16">
        <v>0.09</v>
      </c>
      <c r="C142" s="10"/>
      <c r="D142" s="13"/>
      <c r="E142" s="10"/>
      <c r="F142" s="10"/>
      <c r="G142" s="10"/>
      <c r="H142" s="10"/>
      <c r="I142" s="10"/>
      <c r="J142" s="10"/>
      <c r="K142" s="10"/>
      <c r="L142" s="10"/>
    </row>
    <row r="143" spans="1:12">
      <c r="A143" s="14" t="s">
        <v>43</v>
      </c>
      <c r="B143" s="20">
        <v>1</v>
      </c>
      <c r="C143" s="10"/>
      <c r="D143" s="13"/>
      <c r="E143" s="10"/>
      <c r="F143" s="10"/>
      <c r="G143" s="10"/>
      <c r="H143" s="10"/>
      <c r="I143" s="10"/>
      <c r="J143" s="10"/>
      <c r="K143" s="10"/>
      <c r="L143" s="10"/>
    </row>
    <row r="144" spans="1:12">
      <c r="A144" s="14" t="s">
        <v>44</v>
      </c>
      <c r="B144" s="20">
        <v>8</v>
      </c>
      <c r="C144" s="10"/>
      <c r="D144" s="13"/>
      <c r="E144" s="10"/>
      <c r="F144" s="10"/>
      <c r="G144" s="10"/>
      <c r="H144" s="10"/>
      <c r="I144" s="10"/>
      <c r="J144" s="10"/>
      <c r="K144" s="10"/>
      <c r="L144" s="10"/>
    </row>
    <row r="145" spans="1:12">
      <c r="A145" s="14" t="s">
        <v>109</v>
      </c>
      <c r="B145" s="20">
        <v>600</v>
      </c>
      <c r="C145" s="19" t="s">
        <v>115</v>
      </c>
      <c r="D145" s="10" t="s">
        <v>116</v>
      </c>
      <c r="E145" s="19"/>
      <c r="F145" s="19"/>
      <c r="G145" s="19"/>
      <c r="H145" s="19"/>
      <c r="I145" s="10"/>
      <c r="J145" s="10"/>
      <c r="K145" s="10"/>
      <c r="L145" s="10"/>
    </row>
    <row r="146" spans="1:12">
      <c r="A146" s="10"/>
      <c r="B146" s="10"/>
      <c r="C146" s="19"/>
      <c r="D146" s="10"/>
      <c r="E146" s="19"/>
      <c r="F146" s="19"/>
      <c r="G146" s="19"/>
      <c r="H146" s="19"/>
      <c r="I146" s="10"/>
      <c r="J146" s="10"/>
      <c r="K146" s="10"/>
      <c r="L146" s="10"/>
    </row>
    <row r="147" spans="1:12">
      <c r="A147" s="11" t="s">
        <v>46</v>
      </c>
      <c r="B147" s="10"/>
      <c r="C147" s="19"/>
      <c r="D147" s="19"/>
      <c r="E147" s="19"/>
      <c r="F147" s="19"/>
      <c r="G147" s="19"/>
      <c r="H147" s="19"/>
      <c r="I147" s="19"/>
      <c r="J147" s="19"/>
      <c r="K147" s="19"/>
      <c r="L147" s="10"/>
    </row>
    <row r="148" spans="1:12">
      <c r="A148" s="21" t="s">
        <v>47</v>
      </c>
      <c r="B148" s="22">
        <v>0</v>
      </c>
      <c r="C148" s="23">
        <v>1</v>
      </c>
      <c r="D148" s="23">
        <v>2</v>
      </c>
      <c r="E148" s="23">
        <v>3</v>
      </c>
      <c r="F148" s="23">
        <v>4</v>
      </c>
      <c r="G148" s="23">
        <v>5</v>
      </c>
      <c r="H148" s="23">
        <v>6</v>
      </c>
      <c r="I148" s="23">
        <v>7</v>
      </c>
      <c r="J148" s="23">
        <v>8</v>
      </c>
      <c r="K148" s="24"/>
      <c r="L148" s="24"/>
    </row>
    <row r="149" spans="1:12">
      <c r="A149" s="25" t="s">
        <v>48</v>
      </c>
      <c r="B149" s="24">
        <f>-B145</f>
        <v>-600</v>
      </c>
      <c r="C149" s="26">
        <f>$B$7</f>
        <v>25</v>
      </c>
      <c r="D149" s="26">
        <f t="shared" ref="D149:I149" si="14">$B$7</f>
        <v>25</v>
      </c>
      <c r="E149" s="26">
        <f t="shared" si="14"/>
        <v>25</v>
      </c>
      <c r="F149" s="26">
        <f t="shared" si="14"/>
        <v>25</v>
      </c>
      <c r="G149" s="26">
        <f t="shared" si="14"/>
        <v>25</v>
      </c>
      <c r="H149" s="26">
        <f t="shared" si="14"/>
        <v>25</v>
      </c>
      <c r="I149" s="26">
        <f t="shared" si="14"/>
        <v>25</v>
      </c>
      <c r="J149" s="26">
        <f>B141+B140</f>
        <v>1025</v>
      </c>
      <c r="K149" s="24"/>
      <c r="L149" s="24"/>
    </row>
    <row r="150" spans="1:12">
      <c r="A150" s="25"/>
      <c r="B150" s="24"/>
      <c r="C150" s="27"/>
      <c r="D150" s="27"/>
      <c r="E150" s="27"/>
      <c r="F150" s="27"/>
      <c r="G150" s="27"/>
      <c r="H150" s="27"/>
      <c r="I150" s="27"/>
      <c r="J150" s="27"/>
      <c r="K150" s="24"/>
      <c r="L150" s="24"/>
    </row>
    <row r="151" spans="1:12" ht="17" thickBot="1">
      <c r="A151" s="25"/>
      <c r="B151" s="24"/>
      <c r="C151" s="27"/>
      <c r="D151" s="27"/>
      <c r="E151" s="27"/>
      <c r="F151" s="27"/>
      <c r="G151" s="27"/>
      <c r="H151" s="27"/>
      <c r="I151" s="27"/>
      <c r="J151" s="27"/>
      <c r="K151" s="24"/>
      <c r="L151" s="24"/>
    </row>
    <row r="152" spans="1:12" ht="17" thickBot="1">
      <c r="A152" s="71" t="s">
        <v>110</v>
      </c>
      <c r="B152" s="72">
        <f>+RATE(J148, -C149, -B149, -B140)</f>
        <v>9.9969200466905134E-2</v>
      </c>
      <c r="C152" s="27"/>
      <c r="D152" s="27"/>
      <c r="E152" s="27"/>
      <c r="F152" s="27"/>
      <c r="G152" s="27"/>
      <c r="H152" s="27"/>
      <c r="I152" s="27"/>
      <c r="J152" s="27"/>
      <c r="K152" s="24"/>
      <c r="L152" s="24"/>
    </row>
    <row r="153" spans="1:12" ht="17" thickBot="1">
      <c r="A153" s="73"/>
      <c r="B153" s="24"/>
      <c r="C153" s="27"/>
      <c r="D153" s="27"/>
      <c r="E153" s="27"/>
      <c r="F153" s="27"/>
      <c r="G153" s="27"/>
      <c r="H153" s="27"/>
      <c r="I153" s="27"/>
      <c r="J153" s="27"/>
      <c r="K153" s="24"/>
      <c r="L153" s="24"/>
    </row>
    <row r="154" spans="1:12" ht="17" thickBot="1">
      <c r="A154" s="71" t="s">
        <v>111</v>
      </c>
      <c r="B154" s="74">
        <f>-PV(B152, B144, B141, B140)</f>
        <v>600.00000000000057</v>
      </c>
      <c r="C154" s="27"/>
      <c r="D154" s="27"/>
      <c r="E154" s="27"/>
      <c r="F154" s="27"/>
      <c r="G154" s="27"/>
      <c r="H154" s="27"/>
      <c r="I154" s="27"/>
      <c r="J154" s="27"/>
      <c r="K154" s="24"/>
      <c r="L154" s="24"/>
    </row>
    <row r="155" spans="1:12">
      <c r="A155" s="73"/>
      <c r="B155" s="24"/>
      <c r="C155" s="27"/>
      <c r="D155" s="27"/>
      <c r="E155" s="27"/>
      <c r="F155" s="27"/>
      <c r="G155" s="27"/>
      <c r="H155" s="27"/>
      <c r="I155" s="27"/>
      <c r="J155" s="27"/>
      <c r="K155" s="24"/>
      <c r="L155" s="24"/>
    </row>
    <row r="156" spans="1:12" ht="17" thickBot="1">
      <c r="A156" s="73"/>
      <c r="B156" s="24"/>
      <c r="C156" s="27"/>
      <c r="D156" s="27"/>
      <c r="E156" s="27"/>
      <c r="F156" s="27"/>
      <c r="G156" s="27"/>
      <c r="H156" s="27"/>
      <c r="I156" s="27"/>
      <c r="J156" s="27"/>
      <c r="K156" s="24"/>
      <c r="L156" s="24"/>
    </row>
    <row r="157" spans="1:12" ht="17" thickBot="1">
      <c r="A157" s="71" t="s">
        <v>110</v>
      </c>
      <c r="B157" s="72">
        <f>+IRR(B149:J149)</f>
        <v>9.9969200466905273E-2</v>
      </c>
      <c r="C157" s="27"/>
      <c r="D157" s="27"/>
      <c r="E157" s="27"/>
      <c r="F157" s="27"/>
      <c r="G157" s="27"/>
      <c r="H157" s="27"/>
      <c r="I157" s="27"/>
      <c r="J157" s="27"/>
      <c r="K157" s="24"/>
      <c r="L157" s="24"/>
    </row>
    <row r="158" spans="1:12" ht="17" thickBot="1">
      <c r="A158" s="73"/>
      <c r="B158" s="24"/>
      <c r="C158" s="27"/>
      <c r="D158" s="27"/>
      <c r="E158" s="27"/>
      <c r="F158" s="27"/>
      <c r="G158" s="27"/>
      <c r="H158" s="27"/>
      <c r="I158" s="27"/>
      <c r="J158" s="27"/>
      <c r="K158" s="24"/>
      <c r="L158" s="24"/>
    </row>
    <row r="159" spans="1:12" ht="17" thickBot="1">
      <c r="A159" s="71" t="s">
        <v>111</v>
      </c>
      <c r="B159" s="34">
        <f>+NPV(B157, C149:J149)</f>
        <v>599.99999999999977</v>
      </c>
      <c r="C159" s="27"/>
      <c r="D159" s="27"/>
      <c r="E159" s="27"/>
      <c r="F159" s="27"/>
      <c r="G159" s="27"/>
      <c r="H159" s="27"/>
      <c r="I159" s="27"/>
      <c r="J159" s="27"/>
      <c r="K159" s="24"/>
      <c r="L159" s="24"/>
    </row>
    <row r="160" spans="1:12">
      <c r="A160" s="25"/>
      <c r="B160" s="24"/>
      <c r="C160" s="27"/>
      <c r="D160" s="27"/>
      <c r="E160" s="27"/>
      <c r="F160" s="27"/>
      <c r="G160" s="27"/>
      <c r="H160" s="27"/>
      <c r="I160" s="27"/>
      <c r="J160" s="27"/>
      <c r="K160" s="24"/>
      <c r="L160" s="24"/>
    </row>
    <row r="161" spans="1:13">
      <c r="A161" s="25"/>
      <c r="B161" s="24"/>
      <c r="C161" s="27"/>
      <c r="D161" s="27"/>
      <c r="E161" s="27"/>
      <c r="F161" s="27"/>
      <c r="G161" s="27"/>
      <c r="H161" s="27"/>
      <c r="I161" s="27"/>
      <c r="J161" s="27"/>
      <c r="K161" s="24"/>
      <c r="L161" s="24"/>
    </row>
    <row r="162" spans="1:13">
      <c r="A162" s="25"/>
      <c r="B162" s="24"/>
      <c r="C162" s="24"/>
      <c r="D162" s="24"/>
      <c r="E162" s="24"/>
      <c r="F162" s="24"/>
      <c r="G162" s="24"/>
      <c r="H162" s="27"/>
      <c r="I162" s="27"/>
      <c r="J162" s="27"/>
      <c r="K162" s="27"/>
      <c r="L162" s="27"/>
      <c r="M162" s="27"/>
    </row>
    <row r="163" spans="1:13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</row>
  </sheetData>
  <mergeCells count="4">
    <mergeCell ref="A1:J1"/>
    <mergeCell ref="K1:K34"/>
    <mergeCell ref="A55:J55"/>
    <mergeCell ref="A108:J10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4A657-08C9-8344-87EB-71C8C4053BF8}">
  <sheetPr>
    <tabColor theme="4" tint="0.39997558519241921"/>
  </sheetPr>
  <dimension ref="A1:AF166"/>
  <sheetViews>
    <sheetView topLeftCell="A75" zoomScale="130" zoomScaleNormal="130" workbookViewId="0">
      <selection activeCell="A118" sqref="A118:XFD118"/>
    </sheetView>
  </sheetViews>
  <sheetFormatPr baseColWidth="10" defaultColWidth="11.5" defaultRowHeight="16"/>
  <cols>
    <col min="1" max="1" width="35" customWidth="1"/>
    <col min="2" max="2" width="17.6640625" customWidth="1"/>
    <col min="3" max="7" width="9.6640625" bestFit="1" customWidth="1"/>
    <col min="8" max="8" width="13" customWidth="1"/>
    <col min="9" max="9" width="9.6640625" customWidth="1"/>
    <col min="10" max="32" width="9.6640625" bestFit="1" customWidth="1"/>
  </cols>
  <sheetData>
    <row r="1" spans="1:32" s="70" customFormat="1" ht="19" thickBot="1">
      <c r="A1" s="256" t="s">
        <v>118</v>
      </c>
      <c r="B1" s="256"/>
      <c r="C1" s="256"/>
    </row>
    <row r="2" spans="1:32">
      <c r="L2" t="s">
        <v>138</v>
      </c>
    </row>
    <row r="3" spans="1:32">
      <c r="A3" s="11" t="s">
        <v>38</v>
      </c>
      <c r="L3" t="s">
        <v>139</v>
      </c>
    </row>
    <row r="4" spans="1:32" ht="30" customHeight="1">
      <c r="A4" s="14" t="s">
        <v>119</v>
      </c>
      <c r="B4">
        <f>IF(D4&gt;1,1,D4)</f>
        <v>1</v>
      </c>
      <c r="D4" s="13">
        <v>1</v>
      </c>
      <c r="L4" t="s">
        <v>140</v>
      </c>
    </row>
    <row r="5" spans="1:32" ht="30" customHeight="1">
      <c r="A5" s="14" t="s">
        <v>39</v>
      </c>
      <c r="B5" s="75">
        <f>D5/200</f>
        <v>0.08</v>
      </c>
      <c r="D5">
        <v>16</v>
      </c>
    </row>
    <row r="6" spans="1:32" ht="30" customHeight="1">
      <c r="A6" s="13" t="s">
        <v>120</v>
      </c>
      <c r="B6" s="75">
        <f>D6/200</f>
        <v>0.1</v>
      </c>
      <c r="D6">
        <v>20</v>
      </c>
    </row>
    <row r="7" spans="1:32" ht="30" customHeight="1">
      <c r="A7" s="14" t="s">
        <v>43</v>
      </c>
      <c r="B7">
        <f>D7</f>
        <v>2</v>
      </c>
      <c r="D7">
        <v>2</v>
      </c>
    </row>
    <row r="8" spans="1:32" ht="30" customHeight="1">
      <c r="A8" s="14" t="s">
        <v>40</v>
      </c>
      <c r="B8" s="76">
        <f>D8*50</f>
        <v>1000</v>
      </c>
      <c r="D8">
        <v>20</v>
      </c>
    </row>
    <row r="10" spans="1:32">
      <c r="A10" s="11" t="s">
        <v>121</v>
      </c>
    </row>
    <row r="11" spans="1:32">
      <c r="A11" t="s">
        <v>122</v>
      </c>
      <c r="B11" s="75">
        <f>IF($B$4=1,((1+y)^(1/NOP))-1,y/NOP)</f>
        <v>4.8808848170151631E-2</v>
      </c>
    </row>
    <row r="12" spans="1:32">
      <c r="A12" t="s">
        <v>123</v>
      </c>
      <c r="B12" s="77">
        <f>CR*FV/NOP</f>
        <v>40</v>
      </c>
    </row>
    <row r="13" spans="1:32">
      <c r="A13" t="s">
        <v>124</v>
      </c>
      <c r="B13" s="4">
        <f>EFFECT(y,NOP)</f>
        <v>0.10250000000000004</v>
      </c>
      <c r="D13">
        <f>((1+B11)^2)-1</f>
        <v>0.10000000000000009</v>
      </c>
    </row>
    <row r="14" spans="1:32">
      <c r="A14" s="11" t="s">
        <v>125</v>
      </c>
    </row>
    <row r="16" spans="1:32">
      <c r="A16" t="s">
        <v>47</v>
      </c>
      <c r="B16">
        <v>0</v>
      </c>
      <c r="C16">
        <v>1</v>
      </c>
      <c r="D16">
        <v>2</v>
      </c>
      <c r="E16">
        <v>3</v>
      </c>
      <c r="F16">
        <v>4</v>
      </c>
      <c r="G16">
        <v>5</v>
      </c>
      <c r="H16">
        <v>6</v>
      </c>
      <c r="I16">
        <v>7</v>
      </c>
      <c r="J16">
        <v>8</v>
      </c>
      <c r="K16">
        <v>9</v>
      </c>
      <c r="L16">
        <v>10</v>
      </c>
      <c r="M16">
        <v>11</v>
      </c>
      <c r="N16">
        <v>12</v>
      </c>
      <c r="O16">
        <v>13</v>
      </c>
      <c r="P16">
        <v>14</v>
      </c>
      <c r="Q16">
        <v>15</v>
      </c>
      <c r="R16">
        <v>16</v>
      </c>
      <c r="S16">
        <v>17</v>
      </c>
      <c r="T16">
        <v>18</v>
      </c>
      <c r="U16">
        <v>19</v>
      </c>
      <c r="V16">
        <v>20</v>
      </c>
      <c r="W16">
        <v>21</v>
      </c>
      <c r="X16">
        <v>22</v>
      </c>
      <c r="Y16">
        <v>23</v>
      </c>
      <c r="Z16">
        <v>24</v>
      </c>
      <c r="AA16">
        <v>25</v>
      </c>
      <c r="AB16">
        <v>26</v>
      </c>
      <c r="AC16">
        <v>27</v>
      </c>
      <c r="AD16">
        <v>28</v>
      </c>
      <c r="AE16">
        <v>29</v>
      </c>
      <c r="AF16">
        <v>30</v>
      </c>
    </row>
    <row r="17" spans="1:32">
      <c r="A17" t="s">
        <v>126</v>
      </c>
      <c r="B17">
        <f t="shared" ref="B17:AE17" si="0">30-B16</f>
        <v>30</v>
      </c>
      <c r="C17">
        <f t="shared" si="0"/>
        <v>29</v>
      </c>
      <c r="D17">
        <f t="shared" si="0"/>
        <v>28</v>
      </c>
      <c r="E17">
        <f t="shared" si="0"/>
        <v>27</v>
      </c>
      <c r="F17">
        <f t="shared" si="0"/>
        <v>26</v>
      </c>
      <c r="G17">
        <f t="shared" si="0"/>
        <v>25</v>
      </c>
      <c r="H17">
        <f t="shared" si="0"/>
        <v>24</v>
      </c>
      <c r="I17">
        <f t="shared" si="0"/>
        <v>23</v>
      </c>
      <c r="J17">
        <f t="shared" si="0"/>
        <v>22</v>
      </c>
      <c r="K17">
        <f t="shared" si="0"/>
        <v>21</v>
      </c>
      <c r="L17">
        <f t="shared" si="0"/>
        <v>20</v>
      </c>
      <c r="M17">
        <f t="shared" si="0"/>
        <v>19</v>
      </c>
      <c r="N17">
        <f t="shared" si="0"/>
        <v>18</v>
      </c>
      <c r="O17">
        <f t="shared" si="0"/>
        <v>17</v>
      </c>
      <c r="P17">
        <f t="shared" si="0"/>
        <v>16</v>
      </c>
      <c r="Q17">
        <f t="shared" si="0"/>
        <v>15</v>
      </c>
      <c r="R17">
        <f t="shared" si="0"/>
        <v>14</v>
      </c>
      <c r="S17">
        <f t="shared" si="0"/>
        <v>13</v>
      </c>
      <c r="T17">
        <f t="shared" si="0"/>
        <v>12</v>
      </c>
      <c r="U17">
        <f t="shared" si="0"/>
        <v>11</v>
      </c>
      <c r="V17">
        <f t="shared" si="0"/>
        <v>10</v>
      </c>
      <c r="W17">
        <f t="shared" si="0"/>
        <v>9</v>
      </c>
      <c r="X17">
        <f t="shared" si="0"/>
        <v>8</v>
      </c>
      <c r="Y17">
        <f t="shared" si="0"/>
        <v>7</v>
      </c>
      <c r="Z17">
        <f t="shared" si="0"/>
        <v>6</v>
      </c>
      <c r="AA17">
        <f t="shared" si="0"/>
        <v>5</v>
      </c>
      <c r="AB17">
        <f t="shared" si="0"/>
        <v>4</v>
      </c>
      <c r="AC17">
        <f t="shared" si="0"/>
        <v>3</v>
      </c>
      <c r="AD17">
        <f t="shared" si="0"/>
        <v>2</v>
      </c>
      <c r="AE17">
        <f t="shared" si="0"/>
        <v>1</v>
      </c>
      <c r="AF17">
        <f>30-AF16</f>
        <v>0</v>
      </c>
    </row>
    <row r="18" spans="1:32">
      <c r="A18" s="78" t="s">
        <v>127</v>
      </c>
      <c r="B18" s="78">
        <f t="shared" ref="B18:AF18" si="1">B17*NOP</f>
        <v>60</v>
      </c>
      <c r="C18" s="78">
        <f t="shared" si="1"/>
        <v>58</v>
      </c>
      <c r="D18" s="78">
        <f t="shared" si="1"/>
        <v>56</v>
      </c>
      <c r="E18" s="78">
        <f t="shared" si="1"/>
        <v>54</v>
      </c>
      <c r="F18" s="78">
        <f t="shared" si="1"/>
        <v>52</v>
      </c>
      <c r="G18" s="78">
        <f t="shared" si="1"/>
        <v>50</v>
      </c>
      <c r="H18" s="78">
        <f t="shared" si="1"/>
        <v>48</v>
      </c>
      <c r="I18" s="78">
        <f t="shared" si="1"/>
        <v>46</v>
      </c>
      <c r="J18" s="78">
        <f t="shared" si="1"/>
        <v>44</v>
      </c>
      <c r="K18" s="78">
        <f t="shared" si="1"/>
        <v>42</v>
      </c>
      <c r="L18" s="78">
        <f t="shared" si="1"/>
        <v>40</v>
      </c>
      <c r="M18" s="78">
        <f t="shared" si="1"/>
        <v>38</v>
      </c>
      <c r="N18" s="78">
        <f t="shared" si="1"/>
        <v>36</v>
      </c>
      <c r="O18" s="78">
        <f t="shared" si="1"/>
        <v>34</v>
      </c>
      <c r="P18" s="78">
        <f t="shared" si="1"/>
        <v>32</v>
      </c>
      <c r="Q18" s="78">
        <f t="shared" si="1"/>
        <v>30</v>
      </c>
      <c r="R18" s="78">
        <f t="shared" si="1"/>
        <v>28</v>
      </c>
      <c r="S18" s="78">
        <f t="shared" si="1"/>
        <v>26</v>
      </c>
      <c r="T18" s="78">
        <f t="shared" si="1"/>
        <v>24</v>
      </c>
      <c r="U18" s="78">
        <f t="shared" si="1"/>
        <v>22</v>
      </c>
      <c r="V18" s="78">
        <f t="shared" si="1"/>
        <v>20</v>
      </c>
      <c r="W18" s="78">
        <f t="shared" si="1"/>
        <v>18</v>
      </c>
      <c r="X18" s="78">
        <f t="shared" si="1"/>
        <v>16</v>
      </c>
      <c r="Y18" s="78">
        <f t="shared" si="1"/>
        <v>14</v>
      </c>
      <c r="Z18" s="78">
        <f t="shared" si="1"/>
        <v>12</v>
      </c>
      <c r="AA18" s="78">
        <f t="shared" si="1"/>
        <v>10</v>
      </c>
      <c r="AB18" s="78">
        <f t="shared" si="1"/>
        <v>8</v>
      </c>
      <c r="AC18" s="78">
        <f t="shared" si="1"/>
        <v>6</v>
      </c>
      <c r="AD18" s="78">
        <f t="shared" si="1"/>
        <v>4</v>
      </c>
      <c r="AE18" s="78">
        <f t="shared" si="1"/>
        <v>2</v>
      </c>
      <c r="AF18" s="78">
        <f t="shared" si="1"/>
        <v>0</v>
      </c>
    </row>
    <row r="19" spans="1:32">
      <c r="A19" t="s">
        <v>112</v>
      </c>
      <c r="B19" s="79">
        <f>-PV(B11,B18,PMT,FV)</f>
        <v>829.86638413752178</v>
      </c>
      <c r="C19" s="79">
        <f t="shared" ref="C19:AF19" si="2">-PV($B$11,C18,PMT,FV)</f>
        <v>830.90066862446815</v>
      </c>
      <c r="D19" s="79">
        <f t="shared" si="2"/>
        <v>832.03838156010886</v>
      </c>
      <c r="E19" s="79">
        <f t="shared" si="2"/>
        <v>833.28986578931381</v>
      </c>
      <c r="F19" s="79">
        <f t="shared" si="2"/>
        <v>834.66649844143933</v>
      </c>
      <c r="G19" s="79">
        <f t="shared" si="2"/>
        <v>836.18079435877735</v>
      </c>
      <c r="H19" s="79">
        <f t="shared" si="2"/>
        <v>837.84651986784922</v>
      </c>
      <c r="I19" s="79">
        <f t="shared" si="2"/>
        <v>839.67881792782816</v>
      </c>
      <c r="J19" s="79">
        <f t="shared" si="2"/>
        <v>841.69434579380516</v>
      </c>
      <c r="K19" s="79">
        <f t="shared" si="2"/>
        <v>843.91142644637978</v>
      </c>
      <c r="L19" s="79">
        <f t="shared" si="2"/>
        <v>846.35021516421182</v>
      </c>
      <c r="M19" s="79">
        <f t="shared" si="2"/>
        <v>849.03288275382693</v>
      </c>
      <c r="N19" s="79">
        <f t="shared" si="2"/>
        <v>851.9838171024038</v>
      </c>
      <c r="O19" s="79">
        <f t="shared" si="2"/>
        <v>855.22984488583836</v>
      </c>
      <c r="P19" s="79">
        <f t="shared" si="2"/>
        <v>858.80047544761612</v>
      </c>
      <c r="Q19" s="79">
        <f t="shared" si="2"/>
        <v>862.72816906557193</v>
      </c>
      <c r="R19" s="79">
        <f t="shared" si="2"/>
        <v>867.04863204532307</v>
      </c>
      <c r="S19" s="79">
        <f t="shared" si="2"/>
        <v>871.80114132304948</v>
      </c>
      <c r="T19" s="79">
        <f t="shared" si="2"/>
        <v>877.02890152854866</v>
      </c>
      <c r="U19" s="79">
        <f t="shared" si="2"/>
        <v>882.77943775459755</v>
      </c>
      <c r="V19" s="79">
        <f t="shared" si="2"/>
        <v>889.1050276032513</v>
      </c>
      <c r="W19" s="79">
        <f t="shared" si="2"/>
        <v>896.0631764367705</v>
      </c>
      <c r="X19" s="79">
        <f t="shared" si="2"/>
        <v>903.71714015364171</v>
      </c>
      <c r="Y19" s="79">
        <f t="shared" si="2"/>
        <v>912.13650024219999</v>
      </c>
      <c r="Z19" s="79">
        <f t="shared" si="2"/>
        <v>921.39779633961405</v>
      </c>
      <c r="AA19" s="79">
        <f t="shared" si="2"/>
        <v>931.58522204676956</v>
      </c>
      <c r="AB19" s="79">
        <f t="shared" si="2"/>
        <v>942.79139032464047</v>
      </c>
      <c r="AC19" s="79">
        <f t="shared" si="2"/>
        <v>955.11817543029861</v>
      </c>
      <c r="AD19" s="79">
        <f t="shared" si="2"/>
        <v>968.6776390465227</v>
      </c>
      <c r="AE19" s="79">
        <f t="shared" si="2"/>
        <v>983.59304902436895</v>
      </c>
      <c r="AF19" s="79">
        <f t="shared" si="2"/>
        <v>1000</v>
      </c>
    </row>
    <row r="20" spans="1:32">
      <c r="A20" t="s">
        <v>128</v>
      </c>
      <c r="B20" s="80">
        <f t="shared" ref="B20:AF20" si="3">FV</f>
        <v>1000</v>
      </c>
      <c r="C20" s="80">
        <f t="shared" si="3"/>
        <v>1000</v>
      </c>
      <c r="D20" s="80">
        <f t="shared" si="3"/>
        <v>1000</v>
      </c>
      <c r="E20" s="80">
        <f t="shared" si="3"/>
        <v>1000</v>
      </c>
      <c r="F20" s="80">
        <f t="shared" si="3"/>
        <v>1000</v>
      </c>
      <c r="G20" s="80">
        <f t="shared" si="3"/>
        <v>1000</v>
      </c>
      <c r="H20" s="80">
        <f t="shared" si="3"/>
        <v>1000</v>
      </c>
      <c r="I20" s="80">
        <f t="shared" si="3"/>
        <v>1000</v>
      </c>
      <c r="J20" s="80">
        <f t="shared" si="3"/>
        <v>1000</v>
      </c>
      <c r="K20" s="80">
        <f t="shared" si="3"/>
        <v>1000</v>
      </c>
      <c r="L20" s="80">
        <f t="shared" si="3"/>
        <v>1000</v>
      </c>
      <c r="M20" s="80">
        <f t="shared" si="3"/>
        <v>1000</v>
      </c>
      <c r="N20" s="80">
        <f t="shared" si="3"/>
        <v>1000</v>
      </c>
      <c r="O20" s="80">
        <f t="shared" si="3"/>
        <v>1000</v>
      </c>
      <c r="P20" s="80">
        <f t="shared" si="3"/>
        <v>1000</v>
      </c>
      <c r="Q20" s="80">
        <f t="shared" si="3"/>
        <v>1000</v>
      </c>
      <c r="R20" s="80">
        <f t="shared" si="3"/>
        <v>1000</v>
      </c>
      <c r="S20" s="80">
        <f t="shared" si="3"/>
        <v>1000</v>
      </c>
      <c r="T20" s="80">
        <f t="shared" si="3"/>
        <v>1000</v>
      </c>
      <c r="U20" s="80">
        <f t="shared" si="3"/>
        <v>1000</v>
      </c>
      <c r="V20" s="80">
        <f t="shared" si="3"/>
        <v>1000</v>
      </c>
      <c r="W20" s="80">
        <f t="shared" si="3"/>
        <v>1000</v>
      </c>
      <c r="X20" s="80">
        <f t="shared" si="3"/>
        <v>1000</v>
      </c>
      <c r="Y20" s="80">
        <f t="shared" si="3"/>
        <v>1000</v>
      </c>
      <c r="Z20" s="80">
        <f t="shared" si="3"/>
        <v>1000</v>
      </c>
      <c r="AA20" s="80">
        <f t="shared" si="3"/>
        <v>1000</v>
      </c>
      <c r="AB20" s="80">
        <f t="shared" si="3"/>
        <v>1000</v>
      </c>
      <c r="AC20" s="80">
        <f t="shared" si="3"/>
        <v>1000</v>
      </c>
      <c r="AD20" s="80">
        <f t="shared" si="3"/>
        <v>1000</v>
      </c>
      <c r="AE20" s="80">
        <f t="shared" si="3"/>
        <v>1000</v>
      </c>
      <c r="AF20" s="80">
        <f t="shared" si="3"/>
        <v>1000</v>
      </c>
    </row>
    <row r="24" spans="1:32" ht="15" customHeight="1">
      <c r="A24" t="s">
        <v>135</v>
      </c>
      <c r="B24" s="81"/>
      <c r="C24" s="265" t="s">
        <v>129</v>
      </c>
      <c r="D24" s="265"/>
      <c r="E24" s="265"/>
      <c r="F24" s="265"/>
      <c r="G24" s="265"/>
      <c r="H24" s="265"/>
      <c r="I24" s="266"/>
    </row>
    <row r="25" spans="1:32" ht="17" thickBot="1">
      <c r="A25" t="s">
        <v>136</v>
      </c>
      <c r="B25" s="82"/>
      <c r="C25" s="83"/>
      <c r="D25" s="267" t="s">
        <v>130</v>
      </c>
      <c r="E25" s="267"/>
      <c r="F25" s="267"/>
      <c r="G25" s="267"/>
      <c r="H25" s="267"/>
      <c r="I25" s="268"/>
    </row>
    <row r="26" spans="1:32" ht="17" thickBot="1">
      <c r="A26" t="s">
        <v>137</v>
      </c>
      <c r="B26" s="82"/>
      <c r="C26" s="84">
        <f>B19</f>
        <v>829.86638413752178</v>
      </c>
      <c r="D26" s="85">
        <v>0</v>
      </c>
      <c r="E26" s="86">
        <f>D26+5%</f>
        <v>0.05</v>
      </c>
      <c r="F26" s="86">
        <f>E26+5%</f>
        <v>0.1</v>
      </c>
      <c r="G26" s="86">
        <f>F26+5%</f>
        <v>0.15000000000000002</v>
      </c>
      <c r="H26" s="86">
        <f>G26+5%</f>
        <v>0.2</v>
      </c>
      <c r="I26" s="87">
        <f>H26+5%</f>
        <v>0.25</v>
      </c>
    </row>
    <row r="27" spans="1:32">
      <c r="B27" s="269" t="s">
        <v>131</v>
      </c>
      <c r="C27" s="88">
        <v>0</v>
      </c>
      <c r="D27" s="89">
        <v>1000</v>
      </c>
      <c r="E27" s="89">
        <v>2500</v>
      </c>
      <c r="F27" s="89">
        <v>4000</v>
      </c>
      <c r="G27" s="89">
        <v>5500.0000000000009</v>
      </c>
      <c r="H27" s="89">
        <v>7000</v>
      </c>
      <c r="I27" s="90">
        <v>8500</v>
      </c>
    </row>
    <row r="28" spans="1:32">
      <c r="B28" s="269"/>
      <c r="C28" s="91">
        <v>0.05</v>
      </c>
      <c r="D28" s="89">
        <v>53.535523746494242</v>
      </c>
      <c r="E28" s="89">
        <v>526.76776187324708</v>
      </c>
      <c r="F28" s="89">
        <v>1000</v>
      </c>
      <c r="G28" s="89">
        <v>1473.2322381267529</v>
      </c>
      <c r="H28" s="89">
        <v>1946.4644762535056</v>
      </c>
      <c r="I28" s="90">
        <v>2419.6967143802585</v>
      </c>
    </row>
    <row r="29" spans="1:32">
      <c r="B29" s="269"/>
      <c r="C29" s="91">
        <v>0.1</v>
      </c>
      <c r="D29" s="89">
        <v>3.2842702814728102</v>
      </c>
      <c r="E29" s="89">
        <v>252.46320271110463</v>
      </c>
      <c r="F29" s="89">
        <v>501.6421351407364</v>
      </c>
      <c r="G29" s="89">
        <v>750.82106757036831</v>
      </c>
      <c r="H29" s="89">
        <v>1000</v>
      </c>
      <c r="I29" s="90">
        <v>1249.1789324296317</v>
      </c>
    </row>
    <row r="30" spans="1:32">
      <c r="B30" s="269"/>
      <c r="C30" s="92">
        <v>0.15</v>
      </c>
      <c r="D30" s="89">
        <v>0.22810225504525003</v>
      </c>
      <c r="E30" s="89">
        <v>166.85675187920438</v>
      </c>
      <c r="F30" s="89">
        <v>333.48540150336356</v>
      </c>
      <c r="G30" s="89">
        <v>500.11405112752277</v>
      </c>
      <c r="H30" s="89">
        <v>666.74270075168181</v>
      </c>
      <c r="I30" s="90">
        <v>833.37135037584096</v>
      </c>
    </row>
    <row r="31" spans="1:32">
      <c r="B31" s="269"/>
      <c r="C31" s="92">
        <v>0.2</v>
      </c>
      <c r="D31" s="89">
        <v>1.7747011762264193E-2</v>
      </c>
      <c r="E31" s="89">
        <v>125.01552863529199</v>
      </c>
      <c r="F31" s="89">
        <v>250.01331025882172</v>
      </c>
      <c r="G31" s="89">
        <v>375.01109188235148</v>
      </c>
      <c r="H31" s="89">
        <v>500.00887350588113</v>
      </c>
      <c r="I31" s="90">
        <v>625.00665512941089</v>
      </c>
    </row>
    <row r="32" spans="1:32">
      <c r="B32" s="270"/>
      <c r="C32" s="93">
        <v>0.25</v>
      </c>
      <c r="D32" s="94">
        <v>1.532495540865889E-3</v>
      </c>
      <c r="E32" s="94">
        <v>100.00137924598678</v>
      </c>
      <c r="F32" s="94">
        <v>200.00122599643268</v>
      </c>
      <c r="G32" s="94">
        <v>300.00107274687866</v>
      </c>
      <c r="H32" s="94">
        <v>400.0009194973245</v>
      </c>
      <c r="I32" s="95">
        <v>500.0007662477704</v>
      </c>
    </row>
    <row r="35" spans="1:3" s="70" customFormat="1" ht="19" thickBot="1">
      <c r="A35" s="256" t="s">
        <v>141</v>
      </c>
      <c r="B35" s="256"/>
      <c r="C35" s="256"/>
    </row>
    <row r="36" spans="1:3">
      <c r="A36" t="s">
        <v>142</v>
      </c>
    </row>
    <row r="37" spans="1:3" ht="21">
      <c r="A37" s="111" t="s">
        <v>143</v>
      </c>
      <c r="B37" t="s">
        <v>144</v>
      </c>
    </row>
    <row r="38" spans="1:3" ht="21">
      <c r="A38" s="111"/>
      <c r="B38" t="s">
        <v>145</v>
      </c>
    </row>
    <row r="39" spans="1:3" ht="21">
      <c r="A39" s="111"/>
      <c r="B39" t="s">
        <v>161</v>
      </c>
    </row>
    <row r="40" spans="1:3" ht="21">
      <c r="A40" s="111"/>
      <c r="B40" t="s">
        <v>146</v>
      </c>
    </row>
    <row r="41" spans="1:3" ht="21">
      <c r="A41" s="111"/>
    </row>
    <row r="42" spans="1:3" ht="21">
      <c r="A42" s="111" t="s">
        <v>147</v>
      </c>
      <c r="B42" s="98" t="s">
        <v>88</v>
      </c>
      <c r="C42" t="s">
        <v>148</v>
      </c>
    </row>
    <row r="43" spans="1:3" ht="21">
      <c r="A43" s="111"/>
      <c r="B43" s="6"/>
      <c r="C43" t="s">
        <v>149</v>
      </c>
    </row>
    <row r="44" spans="1:3" ht="21">
      <c r="A44" s="111"/>
    </row>
    <row r="45" spans="1:3" ht="21">
      <c r="A45" s="111"/>
    </row>
    <row r="46" spans="1:3" ht="21">
      <c r="A46" s="111"/>
      <c r="B46" s="98" t="s">
        <v>150</v>
      </c>
      <c r="C46" t="s">
        <v>151</v>
      </c>
    </row>
    <row r="47" spans="1:3" ht="21">
      <c r="A47" s="111"/>
      <c r="C47" t="s">
        <v>152</v>
      </c>
    </row>
    <row r="48" spans="1:3" ht="21">
      <c r="A48" s="111"/>
      <c r="C48" t="s">
        <v>153</v>
      </c>
    </row>
    <row r="49" spans="1:9" ht="21">
      <c r="A49" s="111"/>
      <c r="C49" t="s">
        <v>154</v>
      </c>
      <c r="D49" t="s">
        <v>155</v>
      </c>
    </row>
    <row r="50" spans="1:9" ht="21">
      <c r="A50" s="111"/>
      <c r="C50" t="s">
        <v>156</v>
      </c>
    </row>
    <row r="51" spans="1:9" ht="21">
      <c r="A51" s="111"/>
    </row>
    <row r="52" spans="1:9" ht="21">
      <c r="A52" s="111" t="s">
        <v>157</v>
      </c>
      <c r="B52" s="98" t="s">
        <v>158</v>
      </c>
      <c r="C52" t="s">
        <v>159</v>
      </c>
    </row>
    <row r="53" spans="1:9" ht="21">
      <c r="A53" s="111"/>
      <c r="B53" s="6"/>
      <c r="C53" t="s">
        <v>160</v>
      </c>
    </row>
    <row r="54" spans="1:9" ht="21">
      <c r="A54" s="111"/>
    </row>
    <row r="55" spans="1:9" ht="21">
      <c r="A55" s="111"/>
      <c r="B55" s="98" t="s">
        <v>162</v>
      </c>
      <c r="C55" t="s">
        <v>163</v>
      </c>
      <c r="I55" t="s">
        <v>168</v>
      </c>
    </row>
    <row r="56" spans="1:9" ht="21">
      <c r="A56" s="111"/>
      <c r="B56" s="6"/>
      <c r="C56" t="s">
        <v>164</v>
      </c>
    </row>
    <row r="57" spans="1:9" ht="16" customHeight="1">
      <c r="A57" s="111"/>
    </row>
    <row r="58" spans="1:9" ht="21">
      <c r="A58" s="111"/>
      <c r="B58" s="98" t="s">
        <v>165</v>
      </c>
      <c r="C58" t="s">
        <v>166</v>
      </c>
    </row>
    <row r="59" spans="1:9" ht="21">
      <c r="A59" s="111"/>
      <c r="B59" s="6"/>
      <c r="C59" t="s">
        <v>167</v>
      </c>
    </row>
    <row r="60" spans="1:9" ht="21">
      <c r="A60" s="111"/>
    </row>
    <row r="61" spans="1:9" ht="16" customHeight="1">
      <c r="A61" s="111"/>
      <c r="B61" s="100" t="s">
        <v>169</v>
      </c>
      <c r="C61" t="s">
        <v>171</v>
      </c>
    </row>
    <row r="62" spans="1:9" ht="21">
      <c r="A62" s="111"/>
      <c r="B62" s="97" t="s">
        <v>170</v>
      </c>
    </row>
    <row r="63" spans="1:9">
      <c r="B63" s="97"/>
    </row>
    <row r="64" spans="1:9" ht="21">
      <c r="A64" s="111" t="s">
        <v>189</v>
      </c>
      <c r="B64" s="97"/>
      <c r="C64" t="s">
        <v>195</v>
      </c>
    </row>
    <row r="65" spans="1:3">
      <c r="B65" s="97"/>
    </row>
    <row r="66" spans="1:3">
      <c r="B66" s="97"/>
    </row>
    <row r="67" spans="1:3" ht="21">
      <c r="A67" s="111" t="s">
        <v>190</v>
      </c>
      <c r="B67" s="97"/>
      <c r="C67" t="s">
        <v>193</v>
      </c>
    </row>
    <row r="68" spans="1:3">
      <c r="B68" s="97"/>
    </row>
    <row r="69" spans="1:3">
      <c r="B69" s="97"/>
    </row>
    <row r="70" spans="1:3" ht="21">
      <c r="A70" s="111" t="s">
        <v>191</v>
      </c>
      <c r="B70" s="97"/>
      <c r="C70" t="s">
        <v>192</v>
      </c>
    </row>
    <row r="72" spans="1:3" s="70" customFormat="1" ht="19" thickBot="1">
      <c r="A72" s="256" t="s">
        <v>173</v>
      </c>
      <c r="B72" s="256"/>
      <c r="C72" s="256"/>
    </row>
    <row r="96" spans="1:4">
      <c r="A96" t="s">
        <v>174</v>
      </c>
      <c r="B96" s="101">
        <v>42122</v>
      </c>
      <c r="C96" t="s">
        <v>182</v>
      </c>
      <c r="D96">
        <v>1000</v>
      </c>
    </row>
    <row r="97" spans="1:14">
      <c r="A97" t="s">
        <v>175</v>
      </c>
      <c r="B97" s="101">
        <v>45866</v>
      </c>
    </row>
    <row r="98" spans="1:14">
      <c r="A98" t="s">
        <v>176</v>
      </c>
      <c r="B98">
        <v>8.5000000000000006E-2</v>
      </c>
    </row>
    <row r="99" spans="1:14">
      <c r="A99" t="s">
        <v>177</v>
      </c>
      <c r="B99">
        <v>2</v>
      </c>
    </row>
    <row r="100" spans="1:14">
      <c r="A100" t="s">
        <v>178</v>
      </c>
      <c r="B100" s="101">
        <v>42397</v>
      </c>
    </row>
    <row r="101" spans="1:14">
      <c r="A101" t="s">
        <v>179</v>
      </c>
      <c r="B101" s="101">
        <v>45866</v>
      </c>
    </row>
    <row r="102" spans="1:14">
      <c r="A102" t="s">
        <v>180</v>
      </c>
      <c r="B102" t="s">
        <v>88</v>
      </c>
      <c r="I102" t="s">
        <v>183</v>
      </c>
    </row>
    <row r="103" spans="1:14">
      <c r="A103" t="s">
        <v>181</v>
      </c>
      <c r="B103" s="101">
        <v>45135</v>
      </c>
      <c r="I103" t="s">
        <v>184</v>
      </c>
    </row>
    <row r="104" spans="1:14">
      <c r="I104" t="s">
        <v>185</v>
      </c>
    </row>
    <row r="105" spans="1:14" ht="51">
      <c r="A105" t="s">
        <v>0</v>
      </c>
      <c r="C105" s="103" t="s">
        <v>3</v>
      </c>
      <c r="D105" s="104" t="s">
        <v>4</v>
      </c>
      <c r="E105" s="104" t="s">
        <v>6</v>
      </c>
      <c r="F105" s="104" t="s">
        <v>7</v>
      </c>
      <c r="G105" s="105" t="s">
        <v>5</v>
      </c>
      <c r="H105" s="103" t="s">
        <v>8</v>
      </c>
      <c r="I105" s="103" t="s">
        <v>2</v>
      </c>
      <c r="J105" s="103" t="s">
        <v>10</v>
      </c>
      <c r="K105" s="103" t="s">
        <v>11</v>
      </c>
    </row>
    <row r="106" spans="1:14">
      <c r="A106" s="106">
        <v>-2</v>
      </c>
      <c r="B106" s="106"/>
      <c r="C106" s="106">
        <f t="shared" ref="C106:C113" si="4">+RATE_YCA6O/2</f>
        <v>4.2500000000000003E-2</v>
      </c>
      <c r="D106" s="107"/>
      <c r="E106" s="107">
        <v>0</v>
      </c>
      <c r="F106" s="107"/>
      <c r="G106" s="108"/>
      <c r="H106" s="106">
        <v>0</v>
      </c>
      <c r="I106" s="106">
        <f>+VN_YCA6O</f>
        <v>1000</v>
      </c>
      <c r="J106" s="106"/>
      <c r="K106" s="106"/>
      <c r="L106" s="106"/>
      <c r="M106" s="106"/>
      <c r="N106" s="106"/>
    </row>
    <row r="107" spans="1:14">
      <c r="A107" s="106">
        <v>-1</v>
      </c>
      <c r="B107" s="106"/>
      <c r="C107" s="106">
        <f t="shared" si="4"/>
        <v>4.2500000000000003E-2</v>
      </c>
      <c r="D107" s="107"/>
      <c r="E107" s="107">
        <f>+E106</f>
        <v>0</v>
      </c>
      <c r="F107" s="107"/>
      <c r="G107" s="108"/>
      <c r="H107" s="106">
        <f>+H106</f>
        <v>0</v>
      </c>
      <c r="I107" s="106">
        <f>+I106-H107+F107</f>
        <v>1000</v>
      </c>
      <c r="J107" s="106"/>
      <c r="K107" s="106"/>
      <c r="L107" s="106"/>
      <c r="M107" s="106"/>
      <c r="N107" s="106"/>
    </row>
    <row r="108" spans="1:14">
      <c r="A108" s="106">
        <v>0</v>
      </c>
      <c r="B108" s="106"/>
      <c r="C108" s="106">
        <f t="shared" si="4"/>
        <v>4.2500000000000003E-2</v>
      </c>
      <c r="D108" s="107"/>
      <c r="E108" s="107">
        <f t="shared" ref="E108:E113" si="5">+E107</f>
        <v>0</v>
      </c>
      <c r="F108" s="107"/>
      <c r="G108" s="108"/>
      <c r="H108" s="106">
        <f t="shared" ref="H108:H111" si="6">+H107</f>
        <v>0</v>
      </c>
      <c r="I108" s="106">
        <f t="shared" ref="I108:I113" si="7">+I107-H108+F108</f>
        <v>1000</v>
      </c>
      <c r="J108" s="106"/>
      <c r="K108" s="106"/>
      <c r="L108" s="106"/>
      <c r="M108" s="106"/>
      <c r="N108" s="106"/>
    </row>
    <row r="109" spans="1:14">
      <c r="A109" s="106">
        <v>1</v>
      </c>
      <c r="B109" s="109">
        <v>45135</v>
      </c>
      <c r="C109" s="106">
        <f t="shared" si="4"/>
        <v>4.2500000000000003E-2</v>
      </c>
      <c r="D109" s="107">
        <f>+C108*I108</f>
        <v>42.5</v>
      </c>
      <c r="E109" s="107">
        <f t="shared" si="5"/>
        <v>0</v>
      </c>
      <c r="F109" s="107">
        <f>+E109*D109</f>
        <v>0</v>
      </c>
      <c r="G109" s="108">
        <f>+D109-F109</f>
        <v>42.5</v>
      </c>
      <c r="H109" s="106">
        <f t="shared" si="6"/>
        <v>0</v>
      </c>
      <c r="I109" s="106">
        <f t="shared" si="7"/>
        <v>1000</v>
      </c>
      <c r="J109" s="106">
        <f>+G109+H109</f>
        <v>42.5</v>
      </c>
      <c r="K109" s="106"/>
      <c r="L109" s="106"/>
      <c r="M109" s="106"/>
      <c r="N109" s="106"/>
    </row>
    <row r="110" spans="1:14">
      <c r="A110" s="106">
        <v>2</v>
      </c>
      <c r="B110" s="110">
        <v>45319</v>
      </c>
      <c r="C110" s="106">
        <f t="shared" si="4"/>
        <v>4.2500000000000003E-2</v>
      </c>
      <c r="D110" s="107">
        <f>+C110*VN_YCA6O</f>
        <v>42.5</v>
      </c>
      <c r="E110" s="107">
        <f t="shared" si="5"/>
        <v>0</v>
      </c>
      <c r="F110" s="107">
        <f t="shared" ref="F110:F113" si="8">+E110*D110</f>
        <v>0</v>
      </c>
      <c r="G110" s="108">
        <f t="shared" ref="G110:G113" si="9">+D110-F110</f>
        <v>42.5</v>
      </c>
      <c r="H110" s="106">
        <f t="shared" si="6"/>
        <v>0</v>
      </c>
      <c r="I110" s="106">
        <f t="shared" si="7"/>
        <v>1000</v>
      </c>
      <c r="J110" s="106">
        <f t="shared" ref="J110:J113" si="10">+G110+H110</f>
        <v>42.5</v>
      </c>
      <c r="K110" s="106"/>
      <c r="L110" s="106"/>
      <c r="M110" s="106"/>
      <c r="N110" s="106"/>
    </row>
    <row r="111" spans="1:14">
      <c r="A111" s="106">
        <v>3</v>
      </c>
      <c r="B111" s="110">
        <v>45501</v>
      </c>
      <c r="C111" s="106">
        <f t="shared" si="4"/>
        <v>4.2500000000000003E-2</v>
      </c>
      <c r="D111" s="107">
        <f>+C111*VN_YCA6O</f>
        <v>42.5</v>
      </c>
      <c r="E111" s="107">
        <f t="shared" si="5"/>
        <v>0</v>
      </c>
      <c r="F111" s="107">
        <f t="shared" si="8"/>
        <v>0</v>
      </c>
      <c r="G111" s="108">
        <f t="shared" si="9"/>
        <v>42.5</v>
      </c>
      <c r="H111" s="106">
        <f t="shared" si="6"/>
        <v>0</v>
      </c>
      <c r="I111" s="106">
        <f t="shared" si="7"/>
        <v>1000</v>
      </c>
      <c r="J111" s="106">
        <f t="shared" si="10"/>
        <v>42.5</v>
      </c>
      <c r="K111" s="106"/>
      <c r="L111" s="106"/>
      <c r="M111" s="106"/>
      <c r="N111" s="106"/>
    </row>
    <row r="112" spans="1:14">
      <c r="A112" s="106">
        <v>4</v>
      </c>
      <c r="B112" s="110">
        <v>45685</v>
      </c>
      <c r="C112" s="106">
        <f t="shared" si="4"/>
        <v>4.2500000000000003E-2</v>
      </c>
      <c r="D112" s="107">
        <f>+C112*VN_YCA6O</f>
        <v>42.5</v>
      </c>
      <c r="E112" s="107">
        <f t="shared" si="5"/>
        <v>0</v>
      </c>
      <c r="F112" s="107">
        <f t="shared" si="8"/>
        <v>0</v>
      </c>
      <c r="G112" s="108">
        <f t="shared" si="9"/>
        <v>42.5</v>
      </c>
      <c r="H112" s="106">
        <v>500</v>
      </c>
      <c r="I112" s="106">
        <f t="shared" si="7"/>
        <v>500</v>
      </c>
      <c r="J112" s="106">
        <f t="shared" si="10"/>
        <v>542.5</v>
      </c>
      <c r="K112" s="106"/>
      <c r="L112" s="106"/>
      <c r="M112" s="106"/>
      <c r="N112" s="106"/>
    </row>
    <row r="113" spans="1:14">
      <c r="A113" s="106">
        <v>5</v>
      </c>
      <c r="B113" s="110">
        <v>45866</v>
      </c>
      <c r="C113" s="106">
        <f t="shared" si="4"/>
        <v>4.2500000000000003E-2</v>
      </c>
      <c r="D113" s="107">
        <f>+C113*VN_YCA6O</f>
        <v>42.5</v>
      </c>
      <c r="E113" s="107">
        <f t="shared" si="5"/>
        <v>0</v>
      </c>
      <c r="F113" s="107">
        <f t="shared" si="8"/>
        <v>0</v>
      </c>
      <c r="G113" s="108">
        <f t="shared" si="9"/>
        <v>42.5</v>
      </c>
      <c r="H113" s="106">
        <v>500</v>
      </c>
      <c r="I113" s="106">
        <f t="shared" si="7"/>
        <v>0</v>
      </c>
      <c r="J113" s="106">
        <f t="shared" si="10"/>
        <v>542.5</v>
      </c>
      <c r="K113" s="106"/>
      <c r="L113" s="106"/>
      <c r="M113" s="106"/>
      <c r="N113" s="106"/>
    </row>
    <row r="118" spans="1:14" s="70" customFormat="1" ht="19" thickBot="1">
      <c r="A118" s="256" t="s">
        <v>186</v>
      </c>
      <c r="B118" s="256"/>
      <c r="C118" s="256"/>
    </row>
    <row r="149" spans="1:12">
      <c r="A149" t="s">
        <v>174</v>
      </c>
      <c r="B149" s="101">
        <v>44232</v>
      </c>
      <c r="C149" t="s">
        <v>182</v>
      </c>
      <c r="D149">
        <v>1000</v>
      </c>
    </row>
    <row r="150" spans="1:12">
      <c r="A150" t="s">
        <v>175</v>
      </c>
      <c r="B150" s="101">
        <v>44963</v>
      </c>
    </row>
    <row r="151" spans="1:12">
      <c r="A151" t="s">
        <v>176</v>
      </c>
      <c r="B151" t="s">
        <v>187</v>
      </c>
    </row>
    <row r="152" spans="1:12">
      <c r="A152" t="s">
        <v>177</v>
      </c>
      <c r="B152">
        <v>4</v>
      </c>
    </row>
    <row r="153" spans="1:12">
      <c r="A153" t="s">
        <v>178</v>
      </c>
      <c r="B153" s="101">
        <v>44233</v>
      </c>
    </row>
    <row r="154" spans="1:12">
      <c r="A154" t="s">
        <v>179</v>
      </c>
      <c r="B154" s="101">
        <v>45144</v>
      </c>
    </row>
    <row r="155" spans="1:12">
      <c r="A155" t="s">
        <v>180</v>
      </c>
      <c r="B155" t="s">
        <v>88</v>
      </c>
      <c r="I155" t="s">
        <v>183</v>
      </c>
    </row>
    <row r="156" spans="1:12">
      <c r="B156" s="101"/>
      <c r="I156" t="s">
        <v>184</v>
      </c>
    </row>
    <row r="157" spans="1:12">
      <c r="I157" t="s">
        <v>185</v>
      </c>
    </row>
    <row r="158" spans="1:12" ht="51">
      <c r="A158" t="s">
        <v>0</v>
      </c>
      <c r="C158" s="103" t="s">
        <v>3</v>
      </c>
      <c r="D158" s="104" t="s">
        <v>4</v>
      </c>
      <c r="E158" s="104" t="s">
        <v>6</v>
      </c>
      <c r="F158" s="104" t="s">
        <v>7</v>
      </c>
      <c r="G158" s="105" t="s">
        <v>5</v>
      </c>
      <c r="H158" s="103" t="s">
        <v>8</v>
      </c>
      <c r="I158" s="103" t="s">
        <v>2</v>
      </c>
      <c r="J158" s="103" t="s">
        <v>10</v>
      </c>
      <c r="K158" s="103" t="s">
        <v>188</v>
      </c>
    </row>
    <row r="159" spans="1:12">
      <c r="A159" s="106">
        <v>-2</v>
      </c>
      <c r="B159" s="106"/>
      <c r="C159" s="106">
        <f>+(0.0525/4)+K159</f>
        <v>0.20374999999999999</v>
      </c>
      <c r="D159" s="107"/>
      <c r="E159" s="107">
        <v>0</v>
      </c>
      <c r="F159" s="107"/>
      <c r="G159" s="108"/>
      <c r="H159" s="106">
        <v>0</v>
      </c>
      <c r="I159" s="106">
        <f>+D149</f>
        <v>1000</v>
      </c>
      <c r="J159" s="106"/>
      <c r="K159" s="106">
        <f>0.7625/4</f>
        <v>0.19062499999999999</v>
      </c>
      <c r="L159" s="106"/>
    </row>
    <row r="160" spans="1:12">
      <c r="A160" s="106">
        <v>-1</v>
      </c>
      <c r="B160" s="106"/>
      <c r="C160" s="106">
        <f t="shared" ref="C160:C163" si="11">+(0.0525/4)+K160</f>
        <v>0.20374999999999999</v>
      </c>
      <c r="D160" s="107"/>
      <c r="E160" s="107">
        <f>+E159</f>
        <v>0</v>
      </c>
      <c r="F160" s="107"/>
      <c r="G160" s="108"/>
      <c r="H160" s="106">
        <f>+H159</f>
        <v>0</v>
      </c>
      <c r="I160" s="106">
        <f>+I159-H160+F160</f>
        <v>1000</v>
      </c>
      <c r="J160" s="106"/>
      <c r="K160" s="106">
        <f t="shared" ref="K160:K163" si="12">0.7625/4</f>
        <v>0.19062499999999999</v>
      </c>
      <c r="L160" s="106"/>
    </row>
    <row r="161" spans="1:12">
      <c r="A161" s="106">
        <v>0</v>
      </c>
      <c r="B161" s="106"/>
      <c r="C161" s="106">
        <f t="shared" si="11"/>
        <v>0.20374999999999999</v>
      </c>
      <c r="D161" s="107"/>
      <c r="E161" s="107">
        <f t="shared" ref="E161:E163" si="13">+E160</f>
        <v>0</v>
      </c>
      <c r="F161" s="107"/>
      <c r="G161" s="108"/>
      <c r="H161" s="106">
        <f t="shared" ref="H161:H162" si="14">+H160</f>
        <v>0</v>
      </c>
      <c r="I161" s="106">
        <f t="shared" ref="I161:I163" si="15">+I160-H161+F161</f>
        <v>1000</v>
      </c>
      <c r="J161" s="106"/>
      <c r="K161" s="106">
        <f t="shared" si="12"/>
        <v>0.19062499999999999</v>
      </c>
      <c r="L161" s="106"/>
    </row>
    <row r="162" spans="1:12">
      <c r="A162" s="106">
        <v>1</v>
      </c>
      <c r="B162" s="109">
        <v>45052</v>
      </c>
      <c r="C162" s="106">
        <f t="shared" si="11"/>
        <v>0.20374999999999999</v>
      </c>
      <c r="D162" s="107">
        <f>+C161*I161</f>
        <v>203.75</v>
      </c>
      <c r="E162" s="107">
        <f t="shared" si="13"/>
        <v>0</v>
      </c>
      <c r="F162" s="107">
        <f>+E162*D162</f>
        <v>0</v>
      </c>
      <c r="G162" s="108">
        <f>+D162-F162</f>
        <v>203.75</v>
      </c>
      <c r="H162" s="106">
        <f t="shared" si="14"/>
        <v>0</v>
      </c>
      <c r="I162" s="106">
        <f t="shared" si="15"/>
        <v>1000</v>
      </c>
      <c r="J162" s="106">
        <f>+G162+H162</f>
        <v>203.75</v>
      </c>
      <c r="K162" s="106">
        <f t="shared" si="12"/>
        <v>0.19062499999999999</v>
      </c>
      <c r="L162" s="106"/>
    </row>
    <row r="163" spans="1:12">
      <c r="A163" s="106">
        <v>2</v>
      </c>
      <c r="B163" s="110">
        <v>45144</v>
      </c>
      <c r="C163" s="106">
        <f t="shared" si="11"/>
        <v>0.20374999999999999</v>
      </c>
      <c r="D163" s="107">
        <f>+C163*VN_YCA6O</f>
        <v>203.75</v>
      </c>
      <c r="E163" s="107">
        <f t="shared" si="13"/>
        <v>0</v>
      </c>
      <c r="F163" s="107">
        <f t="shared" ref="F163" si="16">+E163*D163</f>
        <v>0</v>
      </c>
      <c r="G163" s="108">
        <f t="shared" ref="G163" si="17">+D163-F163</f>
        <v>203.75</v>
      </c>
      <c r="H163" s="106">
        <f>+I162</f>
        <v>1000</v>
      </c>
      <c r="I163" s="106">
        <f t="shared" si="15"/>
        <v>0</v>
      </c>
      <c r="J163" s="106">
        <f t="shared" ref="J163" si="18">+G163+H163</f>
        <v>1203.75</v>
      </c>
      <c r="K163" s="106">
        <f t="shared" si="12"/>
        <v>0.19062499999999999</v>
      </c>
      <c r="L163" s="106"/>
    </row>
    <row r="164" spans="1:12">
      <c r="A164" s="106"/>
      <c r="I164" s="106"/>
    </row>
    <row r="165" spans="1:12">
      <c r="A165" s="106"/>
    </row>
    <row r="166" spans="1:12">
      <c r="A166" s="106"/>
    </row>
  </sheetData>
  <mergeCells count="7">
    <mergeCell ref="A72:C72"/>
    <mergeCell ref="A118:C118"/>
    <mergeCell ref="A1:C1"/>
    <mergeCell ref="C24:I24"/>
    <mergeCell ref="D25:I25"/>
    <mergeCell ref="B27:B32"/>
    <mergeCell ref="A35:C35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3" name="Spinner 1">
              <controlPr defaultSize="0" autoPict="0">
                <anchor moveWithCells="1" sizeWithCells="1">
                  <from>
                    <xdr:col>2</xdr:col>
                    <xdr:colOff>38100</xdr:colOff>
                    <xdr:row>5</xdr:row>
                    <xdr:rowOff>38100</xdr:rowOff>
                  </from>
                  <to>
                    <xdr:col>2</xdr:col>
                    <xdr:colOff>482600</xdr:colOff>
                    <xdr:row>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4" name="Spinner 2">
              <controlPr defaultSize="0" autoPict="0">
                <anchor moveWithCells="1" sizeWithCells="1">
                  <from>
                    <xdr:col>2</xdr:col>
                    <xdr:colOff>38100</xdr:colOff>
                    <xdr:row>6</xdr:row>
                    <xdr:rowOff>38100</xdr:rowOff>
                  </from>
                  <to>
                    <xdr:col>2</xdr:col>
                    <xdr:colOff>482600</xdr:colOff>
                    <xdr:row>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5" name="Spinner 3">
              <controlPr defaultSize="0" autoPict="0">
                <anchor moveWithCells="1" sizeWithCells="1">
                  <from>
                    <xdr:col>2</xdr:col>
                    <xdr:colOff>38100</xdr:colOff>
                    <xdr:row>7</xdr:row>
                    <xdr:rowOff>38100</xdr:rowOff>
                  </from>
                  <to>
                    <xdr:col>2</xdr:col>
                    <xdr:colOff>482600</xdr:colOff>
                    <xdr:row>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6" name="Spinner 4">
              <controlPr defaultSize="0" autoPict="0">
                <anchor moveWithCells="1" sizeWithCells="1">
                  <from>
                    <xdr:col>2</xdr:col>
                    <xdr:colOff>38100</xdr:colOff>
                    <xdr:row>4</xdr:row>
                    <xdr:rowOff>38100</xdr:rowOff>
                  </from>
                  <to>
                    <xdr:col>2</xdr:col>
                    <xdr:colOff>482600</xdr:colOff>
                    <xdr:row>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7" name="Spinner 5">
              <controlPr defaultSize="0" autoPict="0">
                <anchor moveWithCells="1" sizeWithCells="1">
                  <from>
                    <xdr:col>2</xdr:col>
                    <xdr:colOff>38100</xdr:colOff>
                    <xdr:row>3</xdr:row>
                    <xdr:rowOff>38100</xdr:rowOff>
                  </from>
                  <to>
                    <xdr:col>2</xdr:col>
                    <xdr:colOff>482600</xdr:colOff>
                    <xdr:row>3</xdr:row>
                    <xdr:rowOff>342900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5CFD6-D056-064B-9576-4BC8856EB7EF}">
  <sheetPr>
    <tabColor theme="4" tint="0.39997558519241921"/>
  </sheetPr>
  <dimension ref="A1:L217"/>
  <sheetViews>
    <sheetView topLeftCell="A25" zoomScale="110" zoomScaleNormal="110" workbookViewId="0">
      <selection activeCell="A178" sqref="A178"/>
    </sheetView>
  </sheetViews>
  <sheetFormatPr baseColWidth="10" defaultRowHeight="16"/>
  <cols>
    <col min="1" max="1" width="30.33203125" customWidth="1"/>
    <col min="2" max="2" width="14.1640625" customWidth="1"/>
    <col min="8" max="8" width="11.33203125" customWidth="1"/>
  </cols>
  <sheetData>
    <row r="1" spans="1:5" s="70" customFormat="1" ht="19" thickBot="1">
      <c r="A1" s="256" t="s">
        <v>194</v>
      </c>
      <c r="B1" s="256"/>
      <c r="C1" s="256"/>
    </row>
    <row r="3" spans="1:5" ht="21">
      <c r="A3" s="111" t="s">
        <v>196</v>
      </c>
      <c r="B3" t="s">
        <v>197</v>
      </c>
    </row>
    <row r="4" spans="1:5">
      <c r="B4" t="s">
        <v>198</v>
      </c>
    </row>
    <row r="6" spans="1:5">
      <c r="A6" s="112"/>
      <c r="B6" s="112"/>
      <c r="C6" s="112"/>
      <c r="D6" s="112"/>
      <c r="E6" s="112"/>
    </row>
    <row r="7" spans="1:5">
      <c r="A7" s="112" t="s">
        <v>172</v>
      </c>
      <c r="B7" s="112"/>
      <c r="C7" s="112"/>
      <c r="D7" s="112"/>
      <c r="E7" s="112"/>
    </row>
    <row r="8" spans="1:5" ht="19">
      <c r="A8" s="113" t="s">
        <v>199</v>
      </c>
      <c r="B8" s="112"/>
      <c r="C8" s="112"/>
      <c r="D8" s="112"/>
      <c r="E8" s="112"/>
    </row>
    <row r="9" spans="1:5" ht="19">
      <c r="A9" s="113"/>
      <c r="B9" s="112"/>
      <c r="C9" s="112"/>
      <c r="D9" s="112"/>
      <c r="E9" s="112"/>
    </row>
    <row r="10" spans="1:5">
      <c r="A10" s="112" t="s">
        <v>200</v>
      </c>
      <c r="B10" s="114">
        <v>43252</v>
      </c>
      <c r="C10" s="1"/>
      <c r="E10" s="112"/>
    </row>
    <row r="11" spans="1:5">
      <c r="A11" s="112" t="s">
        <v>201</v>
      </c>
      <c r="B11" s="114">
        <v>45809</v>
      </c>
      <c r="C11" s="1"/>
      <c r="E11" s="112"/>
    </row>
    <row r="12" spans="1:5">
      <c r="A12" s="112" t="s">
        <v>202</v>
      </c>
      <c r="B12" s="1">
        <v>100</v>
      </c>
      <c r="C12" s="1"/>
      <c r="E12" s="112"/>
    </row>
    <row r="13" spans="1:5">
      <c r="A13" s="112" t="s">
        <v>203</v>
      </c>
      <c r="B13" s="1" t="s">
        <v>204</v>
      </c>
      <c r="C13" s="1"/>
      <c r="E13" s="112"/>
    </row>
    <row r="14" spans="1:5">
      <c r="A14" s="112" t="s">
        <v>205</v>
      </c>
      <c r="B14" s="1">
        <v>0.08</v>
      </c>
      <c r="C14" s="1"/>
      <c r="E14" s="112"/>
    </row>
    <row r="15" spans="1:5">
      <c r="A15" s="112" t="s">
        <v>206</v>
      </c>
      <c r="B15" s="1">
        <v>2</v>
      </c>
      <c r="C15" s="1" t="s">
        <v>207</v>
      </c>
      <c r="E15" s="112"/>
    </row>
    <row r="16" spans="1:5">
      <c r="A16" s="115" t="s">
        <v>208</v>
      </c>
      <c r="B16" s="1">
        <v>98</v>
      </c>
      <c r="C16" s="1"/>
      <c r="E16" s="112"/>
    </row>
    <row r="17" spans="1:6" ht="32">
      <c r="A17" s="116" t="s">
        <v>209</v>
      </c>
      <c r="B17" s="116" t="s">
        <v>175</v>
      </c>
      <c r="C17" s="116" t="s">
        <v>210</v>
      </c>
      <c r="D17" s="116" t="s">
        <v>211</v>
      </c>
      <c r="E17" s="116" t="s">
        <v>212</v>
      </c>
      <c r="F17" s="125"/>
    </row>
    <row r="18" spans="1:6">
      <c r="A18" s="112"/>
      <c r="B18" s="117">
        <f ca="1">TODAY()+2</f>
        <v>45115</v>
      </c>
      <c r="C18" s="112"/>
      <c r="D18" s="112"/>
      <c r="E18" s="112"/>
      <c r="F18" s="125"/>
    </row>
    <row r="19" spans="1:6">
      <c r="A19" s="118">
        <v>1</v>
      </c>
      <c r="B19" s="119">
        <v>43252</v>
      </c>
      <c r="C19" s="120">
        <v>0.04</v>
      </c>
      <c r="D19" s="120">
        <v>1</v>
      </c>
      <c r="E19" s="121">
        <v>0</v>
      </c>
      <c r="F19" s="125"/>
    </row>
    <row r="20" spans="1:6">
      <c r="A20" s="118">
        <v>2</v>
      </c>
      <c r="B20" s="119">
        <v>43435</v>
      </c>
      <c r="C20" s="120">
        <v>0.04</v>
      </c>
      <c r="D20" s="120">
        <f t="shared" ref="D20:D33" si="0">D19-E19/100</f>
        <v>1</v>
      </c>
      <c r="E20" s="121">
        <v>0</v>
      </c>
      <c r="F20" s="125"/>
    </row>
    <row r="21" spans="1:6">
      <c r="A21" s="118">
        <v>3</v>
      </c>
      <c r="B21" s="119">
        <v>43617</v>
      </c>
      <c r="C21" s="120">
        <v>0.04</v>
      </c>
      <c r="D21" s="120">
        <f t="shared" si="0"/>
        <v>1</v>
      </c>
      <c r="E21" s="121">
        <v>0</v>
      </c>
      <c r="F21" s="125"/>
    </row>
    <row r="22" spans="1:6">
      <c r="A22" s="118">
        <v>4</v>
      </c>
      <c r="B22" s="122">
        <v>43800</v>
      </c>
      <c r="C22" s="123">
        <v>0.04</v>
      </c>
      <c r="D22" s="123">
        <f t="shared" si="0"/>
        <v>1</v>
      </c>
      <c r="E22" s="124">
        <v>0</v>
      </c>
      <c r="F22" s="125"/>
    </row>
    <row r="23" spans="1:6">
      <c r="A23" s="118">
        <v>5</v>
      </c>
      <c r="B23" s="119">
        <v>43983</v>
      </c>
      <c r="C23" s="120">
        <v>0.04</v>
      </c>
      <c r="D23" s="120">
        <f t="shared" si="0"/>
        <v>1</v>
      </c>
      <c r="E23" s="121">
        <v>0</v>
      </c>
      <c r="F23" s="125"/>
    </row>
    <row r="24" spans="1:6">
      <c r="A24" s="118">
        <v>6</v>
      </c>
      <c r="B24" s="119">
        <v>44166</v>
      </c>
      <c r="C24" s="120">
        <v>0.04</v>
      </c>
      <c r="D24" s="120">
        <f t="shared" si="0"/>
        <v>1</v>
      </c>
      <c r="E24" s="121">
        <v>0</v>
      </c>
      <c r="F24" s="125"/>
    </row>
    <row r="25" spans="1:6">
      <c r="A25" s="118">
        <v>7</v>
      </c>
      <c r="B25" s="119">
        <v>44348</v>
      </c>
      <c r="C25" s="120">
        <v>0.04</v>
      </c>
      <c r="D25" s="120">
        <f t="shared" si="0"/>
        <v>1</v>
      </c>
      <c r="E25" s="121">
        <v>0</v>
      </c>
      <c r="F25" s="125"/>
    </row>
    <row r="26" spans="1:6">
      <c r="A26" s="118">
        <v>8</v>
      </c>
      <c r="B26" s="119">
        <v>44531</v>
      </c>
      <c r="C26" s="120">
        <v>0.04</v>
      </c>
      <c r="D26" s="120">
        <f t="shared" si="0"/>
        <v>1</v>
      </c>
      <c r="E26" s="121">
        <v>0</v>
      </c>
      <c r="F26" s="125"/>
    </row>
    <row r="27" spans="1:6">
      <c r="A27" s="118">
        <v>9</v>
      </c>
      <c r="B27" s="119">
        <v>44713</v>
      </c>
      <c r="C27" s="120">
        <v>0.04</v>
      </c>
      <c r="D27" s="120">
        <f t="shared" si="0"/>
        <v>1</v>
      </c>
      <c r="E27" s="121">
        <v>0</v>
      </c>
      <c r="F27" s="125"/>
    </row>
    <row r="28" spans="1:6">
      <c r="A28" s="118">
        <v>10</v>
      </c>
      <c r="B28" s="119">
        <v>44896</v>
      </c>
      <c r="C28" s="120">
        <v>0.04</v>
      </c>
      <c r="D28" s="120">
        <f t="shared" si="0"/>
        <v>1</v>
      </c>
      <c r="E28" s="121">
        <v>16.66</v>
      </c>
      <c r="F28" s="125">
        <f>+B12/6</f>
        <v>16.666666666666668</v>
      </c>
    </row>
    <row r="29" spans="1:6">
      <c r="A29" s="118">
        <v>11</v>
      </c>
      <c r="B29" s="119">
        <v>45078</v>
      </c>
      <c r="C29" s="120">
        <v>0.04</v>
      </c>
      <c r="D29" s="120">
        <f t="shared" si="0"/>
        <v>0.83340000000000003</v>
      </c>
      <c r="E29" s="121">
        <v>16.66</v>
      </c>
      <c r="F29" s="125"/>
    </row>
    <row r="30" spans="1:6">
      <c r="A30" s="118">
        <v>12</v>
      </c>
      <c r="B30" s="119">
        <v>45261</v>
      </c>
      <c r="C30" s="120">
        <v>0.04</v>
      </c>
      <c r="D30" s="120">
        <f t="shared" si="0"/>
        <v>0.66680000000000006</v>
      </c>
      <c r="E30" s="121">
        <v>16.66</v>
      </c>
      <c r="F30" s="125"/>
    </row>
    <row r="31" spans="1:6">
      <c r="A31" s="118">
        <v>13</v>
      </c>
      <c r="B31" s="119">
        <v>45444</v>
      </c>
      <c r="C31" s="120">
        <v>0.04</v>
      </c>
      <c r="D31" s="120">
        <f t="shared" si="0"/>
        <v>0.50020000000000009</v>
      </c>
      <c r="E31" s="121">
        <v>16.66</v>
      </c>
      <c r="F31" s="125"/>
    </row>
    <row r="32" spans="1:6">
      <c r="A32" s="118">
        <v>14</v>
      </c>
      <c r="B32" s="119">
        <v>45627</v>
      </c>
      <c r="C32" s="120">
        <v>0.04</v>
      </c>
      <c r="D32" s="120">
        <f t="shared" si="0"/>
        <v>0.33360000000000012</v>
      </c>
      <c r="E32" s="121">
        <v>16.66</v>
      </c>
      <c r="F32" s="125"/>
    </row>
    <row r="33" spans="1:12">
      <c r="A33" s="118">
        <v>15</v>
      </c>
      <c r="B33" s="119">
        <v>45809</v>
      </c>
      <c r="C33" s="120">
        <v>0.04</v>
      </c>
      <c r="D33" s="120">
        <f t="shared" si="0"/>
        <v>0.16700000000000012</v>
      </c>
      <c r="E33" s="121">
        <v>16.7</v>
      </c>
      <c r="F33" s="125"/>
    </row>
    <row r="34" spans="1:12">
      <c r="A34" s="118"/>
      <c r="B34" s="119"/>
      <c r="C34" s="120"/>
      <c r="D34" s="120"/>
      <c r="E34" s="121"/>
    </row>
    <row r="37" spans="1:12" ht="21">
      <c r="A37" s="111" t="s">
        <v>213</v>
      </c>
      <c r="B37" t="s">
        <v>230</v>
      </c>
    </row>
    <row r="38" spans="1:12">
      <c r="B38" t="s">
        <v>214</v>
      </c>
    </row>
    <row r="39" spans="1:12">
      <c r="B39" t="s">
        <v>215</v>
      </c>
    </row>
    <row r="41" spans="1:12">
      <c r="A41" s="112"/>
      <c r="B41" s="112"/>
      <c r="C41" s="112"/>
      <c r="D41" s="112"/>
      <c r="E41" s="112"/>
      <c r="F41" s="112"/>
      <c r="G41" s="112">
        <f>+D53*100</f>
        <v>100</v>
      </c>
      <c r="H41" s="112">
        <f>0.04*G41</f>
        <v>4</v>
      </c>
      <c r="I41" s="112"/>
      <c r="J41" s="112"/>
      <c r="K41" s="112"/>
      <c r="L41" s="112"/>
    </row>
    <row r="42" spans="1:12" ht="19">
      <c r="A42" s="113" t="s">
        <v>199</v>
      </c>
      <c r="B42" s="112"/>
      <c r="C42" s="112"/>
      <c r="D42" s="112"/>
      <c r="E42" s="112">
        <f>+C48*C46</f>
        <v>4</v>
      </c>
      <c r="F42" s="112"/>
      <c r="G42" s="112">
        <f t="shared" ref="G42:G48" si="1">+D54*100</f>
        <v>100</v>
      </c>
      <c r="H42" s="112">
        <f t="shared" ref="H42:H48" si="2">0.04*G42</f>
        <v>4</v>
      </c>
      <c r="I42" s="112"/>
      <c r="J42" s="112"/>
      <c r="K42" s="112"/>
      <c r="L42" s="112"/>
    </row>
    <row r="43" spans="1:12" ht="19">
      <c r="A43" s="113"/>
      <c r="B43" s="112"/>
      <c r="C43" s="112"/>
      <c r="D43" s="112"/>
      <c r="E43" s="112">
        <f>+E42/100</f>
        <v>0.04</v>
      </c>
      <c r="F43" s="112"/>
      <c r="G43" s="112">
        <f t="shared" si="1"/>
        <v>100</v>
      </c>
      <c r="H43" s="112">
        <f t="shared" si="2"/>
        <v>4</v>
      </c>
      <c r="I43" s="112"/>
      <c r="J43" s="112"/>
      <c r="K43" s="112"/>
      <c r="L43" s="112"/>
    </row>
    <row r="44" spans="1:12">
      <c r="A44" s="112"/>
      <c r="B44" s="112" t="s">
        <v>200</v>
      </c>
      <c r="C44" s="126">
        <v>43252</v>
      </c>
      <c r="D44" s="112"/>
      <c r="E44" s="112"/>
      <c r="F44" s="112"/>
      <c r="G44" s="112">
        <f t="shared" si="1"/>
        <v>100</v>
      </c>
      <c r="H44" s="112">
        <f t="shared" si="2"/>
        <v>4</v>
      </c>
      <c r="I44" s="112"/>
      <c r="J44" s="112"/>
      <c r="K44" s="112"/>
      <c r="L44" s="112"/>
    </row>
    <row r="45" spans="1:12">
      <c r="A45" s="112"/>
      <c r="B45" s="112" t="s">
        <v>201</v>
      </c>
      <c r="C45" s="126">
        <v>45809</v>
      </c>
      <c r="D45" s="112"/>
      <c r="E45" s="112"/>
      <c r="F45" s="112"/>
      <c r="G45" s="112">
        <f t="shared" si="1"/>
        <v>100</v>
      </c>
      <c r="H45" s="112">
        <f t="shared" si="2"/>
        <v>4</v>
      </c>
      <c r="I45" s="112"/>
      <c r="J45" s="112"/>
      <c r="K45" s="112"/>
      <c r="L45" s="112"/>
    </row>
    <row r="46" spans="1:12">
      <c r="A46" s="112"/>
      <c r="B46" s="112" t="s">
        <v>202</v>
      </c>
      <c r="C46" s="112">
        <v>100</v>
      </c>
      <c r="D46" s="112"/>
      <c r="E46" s="112"/>
      <c r="F46" s="112"/>
      <c r="G46" s="112">
        <f t="shared" si="1"/>
        <v>75</v>
      </c>
      <c r="H46" s="112">
        <f t="shared" si="2"/>
        <v>3</v>
      </c>
      <c r="I46" s="112"/>
      <c r="J46" s="112"/>
      <c r="K46" s="112"/>
      <c r="L46" s="112"/>
    </row>
    <row r="47" spans="1:12">
      <c r="A47" s="112"/>
      <c r="B47" s="112" t="s">
        <v>203</v>
      </c>
      <c r="C47" s="112" t="s">
        <v>216</v>
      </c>
      <c r="D47" s="112"/>
      <c r="E47" s="112"/>
      <c r="F47" s="112"/>
      <c r="G47" s="112">
        <f t="shared" si="1"/>
        <v>50</v>
      </c>
      <c r="H47" s="112">
        <f t="shared" si="2"/>
        <v>2</v>
      </c>
      <c r="I47" s="112"/>
      <c r="J47" s="112"/>
      <c r="K47" s="112"/>
      <c r="L47" s="112"/>
    </row>
    <row r="48" spans="1:12">
      <c r="A48" s="112"/>
      <c r="B48" s="112" t="s">
        <v>217</v>
      </c>
      <c r="C48" s="112">
        <v>0.04</v>
      </c>
      <c r="D48" s="112"/>
      <c r="E48" s="112">
        <f>4/100</f>
        <v>0.04</v>
      </c>
      <c r="F48" s="112"/>
      <c r="G48" s="112">
        <f t="shared" si="1"/>
        <v>25</v>
      </c>
      <c r="H48" s="112">
        <f t="shared" si="2"/>
        <v>1</v>
      </c>
      <c r="I48" s="112"/>
      <c r="J48" s="112"/>
      <c r="K48" s="112"/>
      <c r="L48" s="112"/>
    </row>
    <row r="49" spans="1:12">
      <c r="A49" s="112"/>
      <c r="B49" s="112" t="s">
        <v>206</v>
      </c>
      <c r="C49" s="112">
        <v>1</v>
      </c>
      <c r="D49" s="112"/>
      <c r="E49" s="112"/>
      <c r="F49" s="112"/>
      <c r="G49" s="112"/>
      <c r="H49" s="112"/>
      <c r="I49" s="112"/>
      <c r="J49" s="112"/>
      <c r="K49" s="112"/>
      <c r="L49" s="112"/>
    </row>
    <row r="50" spans="1:12">
      <c r="A50" s="112"/>
      <c r="B50" s="115" t="s">
        <v>208</v>
      </c>
      <c r="C50" s="112">
        <v>98</v>
      </c>
      <c r="D50" s="112"/>
      <c r="E50" s="112"/>
      <c r="F50" s="112"/>
      <c r="G50" s="112"/>
      <c r="H50" s="112"/>
      <c r="I50" s="112"/>
      <c r="J50" s="112"/>
      <c r="K50" s="112"/>
      <c r="L50" s="112"/>
    </row>
    <row r="51" spans="1:12" ht="32">
      <c r="A51" s="116" t="s">
        <v>209</v>
      </c>
      <c r="B51" s="116" t="s">
        <v>175</v>
      </c>
      <c r="C51" s="116" t="s">
        <v>210</v>
      </c>
      <c r="D51" s="116" t="s">
        <v>211</v>
      </c>
      <c r="E51" s="116" t="s">
        <v>218</v>
      </c>
      <c r="F51" s="116" t="s">
        <v>212</v>
      </c>
      <c r="G51" s="116" t="s">
        <v>219</v>
      </c>
      <c r="H51" s="116" t="s">
        <v>220</v>
      </c>
      <c r="I51" s="112"/>
      <c r="J51" s="112"/>
      <c r="K51" s="112"/>
      <c r="L51" s="112"/>
    </row>
    <row r="52" spans="1:12">
      <c r="A52" s="112"/>
      <c r="B52" s="117">
        <f ca="1">TODAY()+3</f>
        <v>45116</v>
      </c>
      <c r="C52" s="112"/>
      <c r="D52" s="112"/>
      <c r="E52" s="112"/>
      <c r="F52" s="112"/>
      <c r="G52" s="112"/>
      <c r="H52" s="112"/>
      <c r="I52" s="112"/>
      <c r="J52" s="112"/>
      <c r="K52" s="112"/>
      <c r="L52" s="112"/>
    </row>
    <row r="53" spans="1:12">
      <c r="A53" s="118">
        <v>1</v>
      </c>
      <c r="B53" s="119">
        <v>43252</v>
      </c>
      <c r="C53" s="120">
        <v>0.04</v>
      </c>
      <c r="D53" s="120">
        <v>1</v>
      </c>
      <c r="E53" s="121">
        <f>IF(B53&lt;$C$13,0,(C53)*D53*100)</f>
        <v>4</v>
      </c>
      <c r="F53" s="121">
        <v>0</v>
      </c>
      <c r="G53" s="121">
        <f>IF(B53&lt;$C$13,,E53+F53)</f>
        <v>4</v>
      </c>
      <c r="H53" s="127">
        <f t="shared" ref="H53:H60" si="3">D53*C53*100</f>
        <v>4</v>
      </c>
      <c r="I53" s="112"/>
      <c r="J53" s="112"/>
      <c r="K53" s="112"/>
      <c r="L53" s="112"/>
    </row>
    <row r="54" spans="1:12">
      <c r="A54" s="118">
        <v>2</v>
      </c>
      <c r="B54" s="119">
        <v>43617</v>
      </c>
      <c r="C54" s="120">
        <v>0.04</v>
      </c>
      <c r="D54" s="120">
        <f t="shared" ref="D54:D60" si="4">D53-F53/100</f>
        <v>1</v>
      </c>
      <c r="E54" s="121">
        <f t="shared" ref="E54:E60" si="5">IF(B54&lt;$C$13,0,(C54)*D54*100)</f>
        <v>4</v>
      </c>
      <c r="F54" s="121">
        <v>0</v>
      </c>
      <c r="G54" s="121">
        <f t="shared" ref="G54:G60" si="6">IF(B54&lt;$C$13,,E54+F54)</f>
        <v>4</v>
      </c>
      <c r="H54" s="127">
        <f t="shared" si="3"/>
        <v>4</v>
      </c>
      <c r="I54" s="112"/>
      <c r="J54" s="112"/>
      <c r="K54" s="112"/>
      <c r="L54" s="112"/>
    </row>
    <row r="55" spans="1:12">
      <c r="A55" s="118">
        <v>3</v>
      </c>
      <c r="B55" s="119">
        <v>43983</v>
      </c>
      <c r="C55" s="120">
        <v>0.04</v>
      </c>
      <c r="D55" s="120">
        <f t="shared" si="4"/>
        <v>1</v>
      </c>
      <c r="E55" s="121">
        <f t="shared" si="5"/>
        <v>4</v>
      </c>
      <c r="F55" s="121">
        <v>0</v>
      </c>
      <c r="G55" s="121">
        <f t="shared" si="6"/>
        <v>4</v>
      </c>
      <c r="H55" s="127">
        <f t="shared" si="3"/>
        <v>4</v>
      </c>
      <c r="I55" s="112"/>
      <c r="J55" s="112"/>
      <c r="K55" s="112"/>
      <c r="L55" s="112"/>
    </row>
    <row r="56" spans="1:12">
      <c r="A56" s="118">
        <v>4</v>
      </c>
      <c r="B56" s="119">
        <v>44348</v>
      </c>
      <c r="C56" s="120">
        <v>0.04</v>
      </c>
      <c r="D56" s="120">
        <f t="shared" si="4"/>
        <v>1</v>
      </c>
      <c r="E56" s="121">
        <f t="shared" si="5"/>
        <v>4</v>
      </c>
      <c r="F56" s="121">
        <v>0</v>
      </c>
      <c r="G56" s="121">
        <f t="shared" si="6"/>
        <v>4</v>
      </c>
      <c r="H56" s="127">
        <f t="shared" si="3"/>
        <v>4</v>
      </c>
      <c r="I56" s="112"/>
      <c r="J56" s="112"/>
      <c r="K56" s="112"/>
      <c r="L56" s="112"/>
    </row>
    <row r="57" spans="1:12">
      <c r="A57" s="118">
        <v>5</v>
      </c>
      <c r="B57" s="119">
        <v>44713</v>
      </c>
      <c r="C57" s="120">
        <v>0.04</v>
      </c>
      <c r="D57" s="120">
        <f t="shared" si="4"/>
        <v>1</v>
      </c>
      <c r="E57" s="121">
        <f t="shared" si="5"/>
        <v>4</v>
      </c>
      <c r="F57" s="121">
        <v>25</v>
      </c>
      <c r="G57" s="121">
        <f t="shared" si="6"/>
        <v>29</v>
      </c>
      <c r="H57" s="127">
        <f t="shared" si="3"/>
        <v>4</v>
      </c>
      <c r="I57" s="112"/>
      <c r="J57" s="112"/>
      <c r="K57" s="112"/>
      <c r="L57" s="112"/>
    </row>
    <row r="58" spans="1:12">
      <c r="A58" s="118">
        <v>6</v>
      </c>
      <c r="B58" s="119">
        <v>45078</v>
      </c>
      <c r="C58" s="120">
        <v>0.04</v>
      </c>
      <c r="D58" s="120">
        <f t="shared" si="4"/>
        <v>0.75</v>
      </c>
      <c r="E58" s="121">
        <f t="shared" si="5"/>
        <v>3</v>
      </c>
      <c r="F58" s="121">
        <v>25</v>
      </c>
      <c r="G58" s="121">
        <f>IF(B58&lt;$C$13,,E58+F58)</f>
        <v>28</v>
      </c>
      <c r="H58" s="127">
        <f t="shared" si="3"/>
        <v>3</v>
      </c>
      <c r="I58" s="112"/>
      <c r="J58" s="112"/>
      <c r="K58" s="112"/>
      <c r="L58" s="112"/>
    </row>
    <row r="59" spans="1:12">
      <c r="A59" s="118">
        <v>7</v>
      </c>
      <c r="B59" s="119">
        <v>45444</v>
      </c>
      <c r="C59" s="120">
        <v>0.04</v>
      </c>
      <c r="D59" s="120">
        <f t="shared" si="4"/>
        <v>0.5</v>
      </c>
      <c r="E59" s="121">
        <f t="shared" si="5"/>
        <v>2</v>
      </c>
      <c r="F59" s="121">
        <v>25</v>
      </c>
      <c r="G59" s="121">
        <f t="shared" si="6"/>
        <v>27</v>
      </c>
      <c r="H59" s="127">
        <f t="shared" si="3"/>
        <v>2</v>
      </c>
      <c r="I59" s="112"/>
      <c r="J59" s="112"/>
      <c r="K59" s="112"/>
      <c r="L59" s="112"/>
    </row>
    <row r="60" spans="1:12">
      <c r="A60" s="118">
        <v>8</v>
      </c>
      <c r="B60" s="119">
        <v>45809</v>
      </c>
      <c r="C60" s="120">
        <v>0.04</v>
      </c>
      <c r="D60" s="120">
        <f t="shared" si="4"/>
        <v>0.25</v>
      </c>
      <c r="E60" s="121">
        <f t="shared" si="5"/>
        <v>1</v>
      </c>
      <c r="F60" s="121">
        <v>25</v>
      </c>
      <c r="G60" s="121">
        <f t="shared" si="6"/>
        <v>26</v>
      </c>
      <c r="H60" s="127">
        <f t="shared" si="3"/>
        <v>1</v>
      </c>
      <c r="I60" s="112"/>
      <c r="J60" s="112"/>
      <c r="K60" s="112"/>
      <c r="L60" s="112"/>
    </row>
    <row r="61" spans="1:12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</row>
    <row r="62" spans="1:12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</row>
    <row r="63" spans="1:12">
      <c r="A63" s="112"/>
      <c r="B63" s="112"/>
      <c r="C63" s="112"/>
      <c r="D63" s="112"/>
      <c r="E63" s="112"/>
      <c r="F63" s="112"/>
      <c r="G63" s="112"/>
      <c r="H63" s="112">
        <f>C58*0.75*100</f>
        <v>3</v>
      </c>
      <c r="I63" s="112"/>
      <c r="J63" s="112"/>
      <c r="K63" s="112"/>
      <c r="L63" s="112"/>
    </row>
    <row r="64" spans="1:12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</row>
    <row r="65" spans="1:12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</row>
    <row r="69" spans="1:12" ht="21">
      <c r="A69" s="111" t="s">
        <v>221</v>
      </c>
    </row>
    <row r="71" spans="1:12" ht="19">
      <c r="A71" s="113" t="s">
        <v>199</v>
      </c>
      <c r="B71" s="112"/>
      <c r="C71" s="112"/>
      <c r="D71" s="112"/>
      <c r="E71" s="112"/>
      <c r="F71" s="112"/>
      <c r="G71" s="112"/>
      <c r="H71" s="112"/>
      <c r="I71" s="112"/>
    </row>
    <row r="72" spans="1:12" ht="19">
      <c r="A72" s="113"/>
      <c r="B72" s="112"/>
      <c r="C72" s="112"/>
      <c r="D72" s="112"/>
      <c r="E72" s="112"/>
      <c r="F72" s="112"/>
      <c r="G72" s="112"/>
      <c r="H72" s="112"/>
      <c r="I72" s="112"/>
    </row>
    <row r="73" spans="1:12">
      <c r="A73" s="112"/>
      <c r="B73" s="112" t="s">
        <v>200</v>
      </c>
      <c r="C73" s="126">
        <v>43252</v>
      </c>
      <c r="D73" s="112"/>
      <c r="E73" s="112"/>
      <c r="F73" s="112"/>
      <c r="G73" s="112"/>
      <c r="H73" s="112"/>
      <c r="I73" s="112"/>
      <c r="J73" s="57"/>
    </row>
    <row r="74" spans="1:12">
      <c r="A74" s="112"/>
      <c r="B74" s="112" t="s">
        <v>201</v>
      </c>
      <c r="C74" s="126">
        <v>45809</v>
      </c>
      <c r="D74" s="112"/>
      <c r="E74" s="112"/>
      <c r="F74" s="112"/>
      <c r="G74" s="112"/>
      <c r="H74" s="112"/>
      <c r="I74" s="112"/>
      <c r="J74" s="57"/>
    </row>
    <row r="75" spans="1:12">
      <c r="A75" s="112"/>
      <c r="B75" s="112" t="s">
        <v>202</v>
      </c>
      <c r="C75" s="112">
        <v>100</v>
      </c>
      <c r="D75" s="112"/>
      <c r="E75" s="112"/>
      <c r="F75" s="112"/>
      <c r="G75" s="112"/>
      <c r="H75" s="112"/>
      <c r="I75" s="112"/>
      <c r="J75" s="57"/>
    </row>
    <row r="76" spans="1:12">
      <c r="A76" s="112"/>
      <c r="B76" s="1" t="s">
        <v>203</v>
      </c>
      <c r="C76" s="1" t="s">
        <v>222</v>
      </c>
      <c r="D76" s="112"/>
      <c r="E76" s="112"/>
      <c r="F76" s="112"/>
      <c r="G76" s="112"/>
      <c r="H76" s="135">
        <v>45008</v>
      </c>
      <c r="I76" s="112"/>
      <c r="J76" s="57"/>
    </row>
    <row r="77" spans="1:12">
      <c r="A77" s="112"/>
      <c r="B77" s="1" t="s">
        <v>217</v>
      </c>
      <c r="C77" s="1">
        <v>0.04</v>
      </c>
      <c r="D77" s="112"/>
      <c r="E77" s="112"/>
      <c r="F77" s="112"/>
      <c r="G77" s="112"/>
      <c r="H77" s="137">
        <f>+J78*H87</f>
        <v>3.2777777777777777</v>
      </c>
      <c r="I77" s="112"/>
      <c r="J77" s="57">
        <f>+H76-B86</f>
        <v>295</v>
      </c>
    </row>
    <row r="78" spans="1:12">
      <c r="A78" s="112"/>
      <c r="B78" s="112" t="s">
        <v>206</v>
      </c>
      <c r="C78" s="112">
        <v>1</v>
      </c>
      <c r="D78" s="112"/>
      <c r="E78" s="112"/>
      <c r="F78" s="112"/>
      <c r="G78" s="112"/>
      <c r="H78" s="112"/>
      <c r="I78" s="112"/>
      <c r="J78" s="57">
        <f>+J77/360</f>
        <v>0.81944444444444442</v>
      </c>
    </row>
    <row r="79" spans="1:12">
      <c r="A79" s="112"/>
      <c r="B79" s="115" t="s">
        <v>208</v>
      </c>
      <c r="C79" s="112">
        <v>98</v>
      </c>
      <c r="D79" s="112"/>
      <c r="E79" s="112"/>
      <c r="F79" s="112"/>
      <c r="G79" s="112"/>
      <c r="H79" s="112"/>
      <c r="I79" s="112"/>
      <c r="J79" s="57"/>
    </row>
    <row r="80" spans="1:12" ht="32">
      <c r="A80" s="116" t="s">
        <v>209</v>
      </c>
      <c r="B80" s="116" t="s">
        <v>175</v>
      </c>
      <c r="C80" s="116" t="s">
        <v>210</v>
      </c>
      <c r="D80" s="116" t="s">
        <v>211</v>
      </c>
      <c r="E80" s="116" t="s">
        <v>218</v>
      </c>
      <c r="F80" s="116" t="s">
        <v>212</v>
      </c>
      <c r="G80" s="116" t="s">
        <v>219</v>
      </c>
      <c r="H80" s="116" t="s">
        <v>220</v>
      </c>
      <c r="I80" s="112"/>
      <c r="J80" s="57"/>
    </row>
    <row r="81" spans="1:10">
      <c r="A81" s="112"/>
      <c r="B81" s="128">
        <f ca="1">TODAY()+3</f>
        <v>45116</v>
      </c>
      <c r="C81" s="112"/>
      <c r="D81" s="112"/>
      <c r="E81" s="112"/>
      <c r="F81" s="112"/>
      <c r="G81" s="112"/>
      <c r="H81" s="112"/>
      <c r="I81" s="112"/>
      <c r="J81" s="57"/>
    </row>
    <row r="82" spans="1:10">
      <c r="A82" s="118">
        <v>1</v>
      </c>
      <c r="B82" s="122">
        <v>43252</v>
      </c>
      <c r="C82" s="123">
        <v>0.04</v>
      </c>
      <c r="D82" s="123">
        <v>1</v>
      </c>
      <c r="E82" s="121">
        <f>IF(B82&lt;$C$13,0,(C82)*D82*100)</f>
        <v>4</v>
      </c>
      <c r="F82" s="121">
        <v>0</v>
      </c>
      <c r="G82" s="121">
        <f>E82+F82</f>
        <v>4</v>
      </c>
      <c r="H82" s="129">
        <f>D82*C82*100</f>
        <v>4</v>
      </c>
      <c r="I82" s="112"/>
      <c r="J82" s="57"/>
    </row>
    <row r="83" spans="1:10">
      <c r="A83" s="118">
        <v>2</v>
      </c>
      <c r="B83" s="122">
        <v>43617</v>
      </c>
      <c r="C83" s="123">
        <v>0.04</v>
      </c>
      <c r="D83" s="123">
        <f>D82-F82/100</f>
        <v>1</v>
      </c>
      <c r="E83" s="121">
        <f t="shared" ref="E83:E89" si="7">IF(B83&lt;$C$13,0,(C83)*D83*100)</f>
        <v>4</v>
      </c>
      <c r="F83" s="121">
        <v>0</v>
      </c>
      <c r="G83" s="121">
        <f t="shared" ref="G83:G89" si="8">E83+F83</f>
        <v>4</v>
      </c>
      <c r="H83" s="129">
        <f t="shared" ref="H83:H89" si="9">D83*C83*100</f>
        <v>4</v>
      </c>
      <c r="I83" s="112"/>
      <c r="J83" s="57"/>
    </row>
    <row r="84" spans="1:10">
      <c r="A84" s="118">
        <v>3</v>
      </c>
      <c r="B84" s="122">
        <v>43983</v>
      </c>
      <c r="C84" s="123">
        <v>0.04</v>
      </c>
      <c r="D84" s="123">
        <f t="shared" ref="D84:D89" si="10">D83-F83/100</f>
        <v>1</v>
      </c>
      <c r="E84" s="121">
        <f t="shared" si="7"/>
        <v>4</v>
      </c>
      <c r="F84" s="121">
        <v>0</v>
      </c>
      <c r="G84" s="121">
        <f>E84+F84</f>
        <v>4</v>
      </c>
      <c r="H84" s="129">
        <f>D84*C84*100</f>
        <v>4</v>
      </c>
      <c r="I84" s="112"/>
      <c r="J84" s="57"/>
    </row>
    <row r="85" spans="1:10">
      <c r="A85" s="118">
        <v>4</v>
      </c>
      <c r="B85" s="122">
        <v>44348</v>
      </c>
      <c r="C85" s="123">
        <v>0.04</v>
      </c>
      <c r="D85" s="123">
        <f t="shared" si="10"/>
        <v>1</v>
      </c>
      <c r="E85" s="121">
        <f t="shared" si="7"/>
        <v>4</v>
      </c>
      <c r="F85" s="121">
        <v>0</v>
      </c>
      <c r="G85" s="121">
        <f t="shared" si="8"/>
        <v>4</v>
      </c>
      <c r="H85" s="129">
        <f t="shared" si="9"/>
        <v>4</v>
      </c>
      <c r="I85" s="112"/>
      <c r="J85" s="57"/>
    </row>
    <row r="86" spans="1:10">
      <c r="A86" s="118">
        <v>5</v>
      </c>
      <c r="B86" s="122">
        <v>44713</v>
      </c>
      <c r="C86" s="123">
        <v>0.04</v>
      </c>
      <c r="D86" s="123">
        <f t="shared" si="10"/>
        <v>1</v>
      </c>
      <c r="E86" s="121">
        <f>IF(B86&lt;$C$13,0,(C86)*D86*100)</f>
        <v>4</v>
      </c>
      <c r="F86" s="121">
        <v>0</v>
      </c>
      <c r="G86" s="121">
        <f t="shared" si="8"/>
        <v>4</v>
      </c>
      <c r="H86" s="129">
        <f t="shared" si="9"/>
        <v>4</v>
      </c>
      <c r="I86" s="112"/>
      <c r="J86" s="57"/>
    </row>
    <row r="87" spans="1:10">
      <c r="A87" s="118">
        <v>6</v>
      </c>
      <c r="B87" s="122">
        <v>45078</v>
      </c>
      <c r="C87" s="123">
        <v>0.04</v>
      </c>
      <c r="D87" s="123">
        <f t="shared" si="10"/>
        <v>1</v>
      </c>
      <c r="E87" s="124">
        <f t="shared" si="7"/>
        <v>4</v>
      </c>
      <c r="F87" s="121">
        <v>0</v>
      </c>
      <c r="G87" s="124">
        <f t="shared" si="8"/>
        <v>4</v>
      </c>
      <c r="H87" s="129">
        <f t="shared" si="9"/>
        <v>4</v>
      </c>
      <c r="I87" s="112"/>
    </row>
    <row r="88" spans="1:10">
      <c r="A88" s="118">
        <v>7</v>
      </c>
      <c r="B88" s="122">
        <v>45444</v>
      </c>
      <c r="C88" s="123">
        <v>0.04</v>
      </c>
      <c r="D88" s="123">
        <f t="shared" si="10"/>
        <v>1</v>
      </c>
      <c r="E88" s="124">
        <f t="shared" si="7"/>
        <v>4</v>
      </c>
      <c r="F88" s="121">
        <v>0</v>
      </c>
      <c r="G88" s="124">
        <f t="shared" si="8"/>
        <v>4</v>
      </c>
      <c r="H88" s="129">
        <f t="shared" si="9"/>
        <v>4</v>
      </c>
      <c r="I88" s="112"/>
    </row>
    <row r="89" spans="1:10">
      <c r="A89" s="118">
        <v>8</v>
      </c>
      <c r="B89" s="122">
        <v>45809</v>
      </c>
      <c r="C89" s="123">
        <v>0.04</v>
      </c>
      <c r="D89" s="123">
        <f t="shared" si="10"/>
        <v>1</v>
      </c>
      <c r="E89" s="124">
        <f t="shared" si="7"/>
        <v>4</v>
      </c>
      <c r="F89" s="124">
        <v>100</v>
      </c>
      <c r="G89" s="124">
        <f t="shared" si="8"/>
        <v>104</v>
      </c>
      <c r="H89" s="129">
        <f t="shared" si="9"/>
        <v>4</v>
      </c>
      <c r="I89" s="112"/>
    </row>
    <row r="90" spans="1:10">
      <c r="A90" s="112"/>
      <c r="B90" s="112"/>
      <c r="C90" s="112"/>
      <c r="D90" s="112"/>
      <c r="E90" s="112"/>
      <c r="F90" s="112"/>
      <c r="G90" s="112"/>
      <c r="H90" s="112"/>
      <c r="I90" s="112"/>
    </row>
    <row r="91" spans="1:10">
      <c r="A91" s="112"/>
      <c r="B91" s="112"/>
      <c r="C91" s="112"/>
      <c r="D91" s="112"/>
      <c r="E91" s="112"/>
      <c r="F91" s="112"/>
      <c r="G91" s="112"/>
      <c r="H91" s="112"/>
      <c r="I91" s="112"/>
    </row>
    <row r="92" spans="1:10">
      <c r="A92" s="112"/>
      <c r="B92" s="112"/>
      <c r="C92" s="112"/>
      <c r="D92" s="112"/>
      <c r="E92" s="112"/>
      <c r="F92" s="112"/>
      <c r="G92" s="112"/>
      <c r="H92" s="112"/>
      <c r="I92" s="112"/>
    </row>
    <row r="93" spans="1:10">
      <c r="A93" s="112"/>
      <c r="B93" s="112"/>
      <c r="C93" s="112"/>
      <c r="D93" s="112"/>
      <c r="E93" s="112"/>
      <c r="F93" s="112"/>
      <c r="G93" s="112"/>
      <c r="H93" s="112"/>
      <c r="I93" s="112"/>
      <c r="J93" s="57">
        <f ca="1">+B87-B81</f>
        <v>-38</v>
      </c>
    </row>
    <row r="94" spans="1:10">
      <c r="A94" s="112"/>
      <c r="B94" s="112"/>
      <c r="C94" s="112"/>
      <c r="D94" s="112"/>
      <c r="E94" s="112"/>
      <c r="F94" s="112"/>
      <c r="G94" s="112"/>
      <c r="H94" s="112"/>
      <c r="I94" s="112"/>
      <c r="J94" s="57">
        <f ca="1">+J93/360</f>
        <v>-0.10555555555555556</v>
      </c>
    </row>
    <row r="95" spans="1:10">
      <c r="A95" s="112"/>
      <c r="B95" s="112"/>
      <c r="C95" s="112"/>
      <c r="D95" s="112"/>
      <c r="E95" s="112"/>
      <c r="F95" s="112"/>
      <c r="G95" s="112"/>
      <c r="H95" s="112"/>
      <c r="I95" s="112"/>
    </row>
    <row r="96" spans="1:10">
      <c r="A96" s="112" t="s">
        <v>223</v>
      </c>
      <c r="B96" s="114">
        <f ca="1">TODAY()+3</f>
        <v>45116</v>
      </c>
      <c r="C96" s="112"/>
      <c r="D96" s="112">
        <f>(153/360)*4</f>
        <v>1.7</v>
      </c>
      <c r="E96" s="112"/>
      <c r="F96" s="112"/>
      <c r="G96" s="112"/>
      <c r="H96" s="112"/>
      <c r="I96" s="112"/>
    </row>
    <row r="97" spans="1:9">
      <c r="A97" s="112" t="s">
        <v>224</v>
      </c>
      <c r="B97" s="112">
        <f ca="1">B96-B86</f>
        <v>403</v>
      </c>
      <c r="C97" s="112"/>
      <c r="D97" s="112"/>
      <c r="E97" s="112"/>
      <c r="F97" s="112"/>
      <c r="G97" s="112"/>
      <c r="H97" s="112"/>
      <c r="I97" s="112"/>
    </row>
    <row r="98" spans="1:9">
      <c r="A98" s="112" t="s">
        <v>225</v>
      </c>
      <c r="B98" s="112">
        <v>360</v>
      </c>
      <c r="C98" s="112"/>
      <c r="D98" s="112"/>
      <c r="E98" s="112"/>
      <c r="F98" s="112"/>
      <c r="G98" s="112"/>
      <c r="H98" s="112"/>
      <c r="I98" s="112"/>
    </row>
    <row r="99" spans="1:9">
      <c r="A99" s="130" t="s">
        <v>226</v>
      </c>
      <c r="B99" s="131">
        <f ca="1">E87*(B97/B98)</f>
        <v>4.4777777777777779</v>
      </c>
      <c r="C99" s="112"/>
      <c r="D99" s="132" t="s">
        <v>227</v>
      </c>
      <c r="E99" s="112"/>
      <c r="F99" s="112"/>
      <c r="G99" s="112"/>
      <c r="H99" s="112"/>
      <c r="I99" s="112"/>
    </row>
    <row r="100" spans="1:9">
      <c r="A100" s="133" t="s">
        <v>228</v>
      </c>
      <c r="B100" s="133">
        <v>98</v>
      </c>
      <c r="C100" s="112"/>
      <c r="D100" s="112"/>
      <c r="E100" s="112"/>
      <c r="F100" s="112"/>
      <c r="G100" s="112"/>
      <c r="H100" s="112"/>
      <c r="I100" s="112"/>
    </row>
    <row r="101" spans="1:9">
      <c r="A101" s="112" t="s">
        <v>229</v>
      </c>
      <c r="B101" s="134">
        <f ca="1">B100-B99</f>
        <v>93.522222222222226</v>
      </c>
      <c r="C101" s="112"/>
      <c r="D101" s="112"/>
      <c r="E101" s="112"/>
      <c r="F101" s="112"/>
      <c r="G101" s="112"/>
      <c r="H101" s="112"/>
      <c r="I101" s="112"/>
    </row>
    <row r="106" spans="1:9" ht="21">
      <c r="A106" s="111" t="s">
        <v>221</v>
      </c>
      <c r="B106" t="s">
        <v>232</v>
      </c>
    </row>
    <row r="107" spans="1:9" ht="19">
      <c r="A107" s="113" t="s">
        <v>199</v>
      </c>
      <c r="B107" s="112"/>
      <c r="C107" s="112"/>
      <c r="D107" s="112"/>
      <c r="E107" s="112"/>
      <c r="F107" s="112"/>
      <c r="G107" s="112"/>
      <c r="H107" s="112"/>
    </row>
    <row r="108" spans="1:9" ht="19">
      <c r="A108" s="113"/>
      <c r="B108" s="112"/>
      <c r="C108" s="112"/>
      <c r="D108" s="112"/>
      <c r="E108" s="112"/>
      <c r="F108" s="112"/>
      <c r="G108" s="112"/>
      <c r="H108" s="112"/>
    </row>
    <row r="109" spans="1:9">
      <c r="A109" s="112"/>
      <c r="B109" s="112" t="s">
        <v>200</v>
      </c>
      <c r="C109" s="126">
        <v>43252</v>
      </c>
      <c r="D109" s="112"/>
      <c r="E109" s="112"/>
      <c r="F109" s="112"/>
      <c r="G109" s="112"/>
      <c r="H109" s="112"/>
    </row>
    <row r="110" spans="1:9">
      <c r="A110" s="112"/>
      <c r="B110" s="112" t="s">
        <v>201</v>
      </c>
      <c r="C110" s="126">
        <v>45809</v>
      </c>
      <c r="D110" s="112"/>
      <c r="E110" s="112"/>
      <c r="F110" s="112"/>
      <c r="G110" s="112"/>
      <c r="H110" s="112"/>
    </row>
    <row r="111" spans="1:9">
      <c r="A111" s="112"/>
      <c r="B111" s="112" t="s">
        <v>202</v>
      </c>
      <c r="C111" s="112">
        <v>100</v>
      </c>
      <c r="D111" s="112"/>
      <c r="E111" s="112"/>
      <c r="F111" s="112"/>
      <c r="G111" s="112"/>
      <c r="H111" s="112"/>
    </row>
    <row r="112" spans="1:9">
      <c r="A112" s="112"/>
      <c r="B112" s="112" t="s">
        <v>203</v>
      </c>
      <c r="C112" s="112" t="s">
        <v>222</v>
      </c>
      <c r="D112" s="112"/>
      <c r="E112" s="112"/>
      <c r="F112" s="112"/>
      <c r="G112" s="112"/>
      <c r="H112" s="112"/>
    </row>
    <row r="113" spans="1:9">
      <c r="A113" s="112"/>
      <c r="B113" s="112" t="s">
        <v>217</v>
      </c>
      <c r="C113" s="112">
        <v>0.04</v>
      </c>
      <c r="D113" s="112"/>
      <c r="E113" s="112"/>
      <c r="F113" s="112"/>
      <c r="G113" s="112"/>
      <c r="H113" s="112"/>
    </row>
    <row r="114" spans="1:9">
      <c r="A114" s="112"/>
      <c r="B114" s="112" t="s">
        <v>206</v>
      </c>
      <c r="C114" s="112">
        <v>1</v>
      </c>
      <c r="D114" s="112"/>
      <c r="E114" s="112"/>
      <c r="F114" s="112"/>
      <c r="G114" s="112"/>
      <c r="H114" s="112"/>
    </row>
    <row r="115" spans="1:9">
      <c r="A115" s="112"/>
      <c r="B115" s="115" t="s">
        <v>208</v>
      </c>
      <c r="C115" s="112">
        <v>98</v>
      </c>
      <c r="D115" s="112"/>
      <c r="E115" s="112"/>
      <c r="F115" s="112"/>
      <c r="G115" s="112"/>
      <c r="H115" s="112"/>
    </row>
    <row r="116" spans="1:9" ht="32">
      <c r="A116" s="116" t="s">
        <v>209</v>
      </c>
      <c r="B116" s="116" t="s">
        <v>175</v>
      </c>
      <c r="C116" s="116" t="s">
        <v>210</v>
      </c>
      <c r="D116" s="116" t="s">
        <v>211</v>
      </c>
      <c r="E116" s="116" t="s">
        <v>233</v>
      </c>
      <c r="F116" s="116" t="s">
        <v>218</v>
      </c>
      <c r="G116" s="116" t="s">
        <v>212</v>
      </c>
      <c r="H116" s="116" t="s">
        <v>219</v>
      </c>
      <c r="I116" s="116" t="s">
        <v>220</v>
      </c>
    </row>
    <row r="117" spans="1:9">
      <c r="A117" s="112"/>
      <c r="B117" s="117">
        <f ca="1">TODAY()+3</f>
        <v>45116</v>
      </c>
      <c r="C117" s="112"/>
      <c r="D117" s="112"/>
      <c r="F117" s="112"/>
      <c r="G117" s="112"/>
      <c r="H117" s="112"/>
      <c r="I117" s="112"/>
    </row>
    <row r="118" spans="1:9">
      <c r="A118" s="118">
        <v>1</v>
      </c>
      <c r="B118" s="119">
        <v>43252</v>
      </c>
      <c r="C118" s="120">
        <v>0.04</v>
      </c>
      <c r="D118" s="120">
        <v>1</v>
      </c>
      <c r="E118">
        <f>+D118*100</f>
        <v>100</v>
      </c>
      <c r="F118" s="121">
        <f t="shared" ref="F118:F125" si="11">IF(B118&lt;$C$13,0,(C118)*D118*100)</f>
        <v>4</v>
      </c>
      <c r="G118" s="121">
        <v>0</v>
      </c>
      <c r="H118" s="121">
        <f>F118+G118</f>
        <v>4</v>
      </c>
      <c r="I118" s="127">
        <f t="shared" ref="I118:I125" si="12">D118*C118*100</f>
        <v>4</v>
      </c>
    </row>
    <row r="119" spans="1:9">
      <c r="A119" s="118">
        <v>2</v>
      </c>
      <c r="B119" s="119">
        <v>43617</v>
      </c>
      <c r="C119" s="120">
        <v>0.04</v>
      </c>
      <c r="D119" s="120">
        <f t="shared" ref="D119:D125" si="13">D118-G118/100</f>
        <v>1</v>
      </c>
      <c r="E119">
        <f t="shared" ref="E119:E125" si="14">+D119*100</f>
        <v>100</v>
      </c>
      <c r="F119" s="121">
        <f t="shared" si="11"/>
        <v>4</v>
      </c>
      <c r="G119" s="121">
        <v>0</v>
      </c>
      <c r="H119" s="121">
        <f t="shared" ref="H119:H125" si="15">F119+G119</f>
        <v>4</v>
      </c>
      <c r="I119" s="127">
        <f t="shared" si="12"/>
        <v>4</v>
      </c>
    </row>
    <row r="120" spans="1:9">
      <c r="A120" s="118">
        <v>3</v>
      </c>
      <c r="B120" s="119">
        <v>43983</v>
      </c>
      <c r="C120" s="120">
        <v>0.04</v>
      </c>
      <c r="D120" s="120">
        <f t="shared" si="13"/>
        <v>1</v>
      </c>
      <c r="E120">
        <f t="shared" si="14"/>
        <v>100</v>
      </c>
      <c r="F120" s="121">
        <f t="shared" si="11"/>
        <v>4</v>
      </c>
      <c r="G120" s="121">
        <v>0</v>
      </c>
      <c r="H120" s="121">
        <f t="shared" si="15"/>
        <v>4</v>
      </c>
      <c r="I120" s="127">
        <f t="shared" si="12"/>
        <v>4</v>
      </c>
    </row>
    <row r="121" spans="1:9">
      <c r="A121" s="118">
        <v>4</v>
      </c>
      <c r="B121" s="119">
        <v>44348</v>
      </c>
      <c r="C121" s="120">
        <v>0.04</v>
      </c>
      <c r="D121" s="120">
        <f t="shared" si="13"/>
        <v>1</v>
      </c>
      <c r="E121">
        <f t="shared" si="14"/>
        <v>100</v>
      </c>
      <c r="F121" s="121">
        <f t="shared" si="11"/>
        <v>4</v>
      </c>
      <c r="G121" s="121">
        <v>0</v>
      </c>
      <c r="H121" s="121">
        <f t="shared" si="15"/>
        <v>4</v>
      </c>
      <c r="I121" s="127">
        <f t="shared" si="12"/>
        <v>4</v>
      </c>
    </row>
    <row r="122" spans="1:9">
      <c r="A122" s="118">
        <v>5</v>
      </c>
      <c r="B122" s="119">
        <v>44713</v>
      </c>
      <c r="C122" s="120">
        <v>0.04</v>
      </c>
      <c r="D122" s="120">
        <f t="shared" si="13"/>
        <v>1</v>
      </c>
      <c r="E122">
        <f t="shared" si="14"/>
        <v>100</v>
      </c>
      <c r="F122" s="121">
        <f t="shared" si="11"/>
        <v>4</v>
      </c>
      <c r="G122" s="121">
        <v>25</v>
      </c>
      <c r="H122" s="121">
        <f t="shared" si="15"/>
        <v>29</v>
      </c>
      <c r="I122" s="127">
        <f t="shared" si="12"/>
        <v>4</v>
      </c>
    </row>
    <row r="123" spans="1:9">
      <c r="A123" s="118">
        <v>6</v>
      </c>
      <c r="B123" s="119">
        <v>45078</v>
      </c>
      <c r="C123" s="120">
        <v>0.04</v>
      </c>
      <c r="D123" s="120">
        <f t="shared" si="13"/>
        <v>0.75</v>
      </c>
      <c r="E123">
        <f t="shared" si="14"/>
        <v>75</v>
      </c>
      <c r="F123" s="121">
        <f t="shared" si="11"/>
        <v>3</v>
      </c>
      <c r="G123" s="121">
        <v>25</v>
      </c>
      <c r="H123" s="121">
        <f t="shared" si="15"/>
        <v>28</v>
      </c>
      <c r="I123" s="127">
        <f t="shared" si="12"/>
        <v>3</v>
      </c>
    </row>
    <row r="124" spans="1:9">
      <c r="A124" s="118">
        <v>7</v>
      </c>
      <c r="B124" s="119">
        <v>45444</v>
      </c>
      <c r="C124" s="120">
        <v>0.04</v>
      </c>
      <c r="D124" s="120">
        <f t="shared" si="13"/>
        <v>0.5</v>
      </c>
      <c r="E124">
        <f t="shared" si="14"/>
        <v>50</v>
      </c>
      <c r="F124" s="121">
        <f t="shared" si="11"/>
        <v>2</v>
      </c>
      <c r="G124" s="121">
        <v>25</v>
      </c>
      <c r="H124" s="121">
        <f t="shared" si="15"/>
        <v>27</v>
      </c>
      <c r="I124" s="127">
        <f t="shared" si="12"/>
        <v>2</v>
      </c>
    </row>
    <row r="125" spans="1:9">
      <c r="A125" s="118">
        <v>8</v>
      </c>
      <c r="B125" s="119">
        <v>45809</v>
      </c>
      <c r="C125" s="120">
        <v>0.04</v>
      </c>
      <c r="D125" s="120">
        <f t="shared" si="13"/>
        <v>0.25</v>
      </c>
      <c r="E125">
        <f t="shared" si="14"/>
        <v>25</v>
      </c>
      <c r="F125" s="121">
        <f t="shared" si="11"/>
        <v>1</v>
      </c>
      <c r="G125" s="121">
        <v>25</v>
      </c>
      <c r="H125" s="121">
        <f t="shared" si="15"/>
        <v>26</v>
      </c>
      <c r="I125" s="127">
        <f t="shared" si="12"/>
        <v>1</v>
      </c>
    </row>
    <row r="126" spans="1:9">
      <c r="A126" s="112"/>
      <c r="B126" s="112"/>
      <c r="C126" s="112"/>
      <c r="D126" s="112"/>
      <c r="E126" s="112"/>
      <c r="F126" s="112"/>
      <c r="G126" s="112"/>
      <c r="H126" s="112"/>
    </row>
    <row r="127" spans="1:9">
      <c r="A127" s="112" t="s">
        <v>223</v>
      </c>
      <c r="B127" s="126">
        <f ca="1">TODAY()+3</f>
        <v>45116</v>
      </c>
      <c r="C127" s="112"/>
      <c r="D127" s="112"/>
      <c r="E127" s="112"/>
      <c r="F127" s="112"/>
      <c r="G127" s="112"/>
      <c r="H127" s="112"/>
    </row>
    <row r="128" spans="1:9">
      <c r="A128" s="112" t="s">
        <v>224</v>
      </c>
      <c r="B128" s="112">
        <f ca="1">B127-B122</f>
        <v>403</v>
      </c>
      <c r="C128" s="112"/>
      <c r="D128" s="112"/>
      <c r="E128" s="112"/>
      <c r="F128" s="112"/>
      <c r="G128" s="112"/>
      <c r="H128" s="112"/>
    </row>
    <row r="129" spans="1:8">
      <c r="A129" s="112" t="s">
        <v>225</v>
      </c>
      <c r="B129" s="112">
        <v>360</v>
      </c>
      <c r="C129" s="112"/>
      <c r="D129" s="112"/>
      <c r="E129" s="112"/>
      <c r="F129" s="112"/>
      <c r="G129" s="112"/>
      <c r="H129" s="112"/>
    </row>
    <row r="130" spans="1:8">
      <c r="A130" s="130" t="s">
        <v>226</v>
      </c>
      <c r="B130" s="131">
        <f ca="1">F123*(B128/B129)</f>
        <v>3.3583333333333334</v>
      </c>
      <c r="C130" s="112"/>
      <c r="D130" s="132" t="s">
        <v>227</v>
      </c>
      <c r="E130" s="112"/>
      <c r="F130" s="112"/>
      <c r="G130" s="112"/>
      <c r="H130" s="112"/>
    </row>
    <row r="131" spans="1:8">
      <c r="A131" s="112"/>
      <c r="B131" s="112"/>
      <c r="C131" s="112"/>
      <c r="D131" s="112"/>
      <c r="E131" s="112"/>
      <c r="F131" s="112"/>
      <c r="G131" s="112"/>
      <c r="H131" s="112"/>
    </row>
    <row r="132" spans="1:8">
      <c r="A132" s="112"/>
      <c r="B132" s="112"/>
      <c r="C132" s="112"/>
      <c r="D132" s="112"/>
      <c r="E132" s="112"/>
      <c r="F132" s="112"/>
      <c r="G132" s="112"/>
      <c r="H132" s="112"/>
    </row>
    <row r="133" spans="1:8">
      <c r="A133" s="112"/>
      <c r="B133" s="112"/>
      <c r="C133" s="112"/>
      <c r="D133" s="112"/>
      <c r="E133" s="112"/>
      <c r="F133" s="112"/>
      <c r="G133" s="112"/>
      <c r="H133" s="112"/>
    </row>
    <row r="134" spans="1:8">
      <c r="A134" s="112" t="s">
        <v>231</v>
      </c>
      <c r="B134" s="134">
        <f ca="1">D120*100+B130</f>
        <v>103.35833333333333</v>
      </c>
      <c r="C134" s="112"/>
      <c r="D134" s="112"/>
      <c r="E134" s="112"/>
      <c r="F134" s="112"/>
      <c r="G134" s="112"/>
      <c r="H134" s="112"/>
    </row>
    <row r="140" spans="1:8" ht="21">
      <c r="A140" s="111" t="s">
        <v>234</v>
      </c>
      <c r="B140" t="s">
        <v>235</v>
      </c>
    </row>
    <row r="141" spans="1:8">
      <c r="B141" t="s">
        <v>236</v>
      </c>
    </row>
    <row r="144" spans="1:8" ht="19">
      <c r="A144" s="113" t="s">
        <v>199</v>
      </c>
      <c r="B144" s="112"/>
      <c r="C144" s="112"/>
      <c r="D144" s="112"/>
      <c r="E144" s="112"/>
      <c r="F144" s="112"/>
      <c r="G144" s="112"/>
      <c r="H144" s="112"/>
    </row>
    <row r="145" spans="1:8" ht="19">
      <c r="A145" s="113"/>
      <c r="B145" s="112"/>
      <c r="C145" s="112"/>
      <c r="D145" s="112"/>
      <c r="E145" s="112"/>
      <c r="F145" s="112"/>
      <c r="G145" s="112"/>
      <c r="H145" s="112"/>
    </row>
    <row r="146" spans="1:8">
      <c r="A146" s="112"/>
      <c r="B146" s="112" t="s">
        <v>200</v>
      </c>
      <c r="C146" s="126">
        <v>43252</v>
      </c>
      <c r="D146" s="112"/>
      <c r="E146" s="112"/>
      <c r="F146" s="112"/>
      <c r="G146" s="112"/>
      <c r="H146" s="112"/>
    </row>
    <row r="147" spans="1:8">
      <c r="A147" s="112"/>
      <c r="B147" s="112" t="s">
        <v>201</v>
      </c>
      <c r="C147" s="126">
        <v>45809</v>
      </c>
      <c r="D147" s="112"/>
      <c r="E147" s="112"/>
      <c r="F147" s="112"/>
      <c r="G147" s="112"/>
      <c r="H147" s="112"/>
    </row>
    <row r="148" spans="1:8">
      <c r="A148" s="112"/>
      <c r="B148" s="112" t="s">
        <v>202</v>
      </c>
      <c r="C148" s="112">
        <v>100</v>
      </c>
      <c r="D148" s="112"/>
      <c r="E148" s="112"/>
      <c r="F148" s="112"/>
      <c r="G148" s="112"/>
      <c r="H148" s="112"/>
    </row>
    <row r="149" spans="1:8">
      <c r="A149" s="112"/>
      <c r="B149" s="112" t="s">
        <v>203</v>
      </c>
      <c r="C149" s="112" t="s">
        <v>222</v>
      </c>
      <c r="D149" s="112"/>
      <c r="E149" s="112"/>
      <c r="F149" s="112"/>
      <c r="G149" s="112"/>
      <c r="H149" s="112"/>
    </row>
    <row r="150" spans="1:8">
      <c r="A150" s="112"/>
      <c r="B150" s="112" t="s">
        <v>217</v>
      </c>
      <c r="C150" s="112">
        <v>0.04</v>
      </c>
      <c r="D150" s="112"/>
      <c r="E150" s="112"/>
      <c r="F150" s="112"/>
      <c r="G150" s="112"/>
      <c r="H150" s="112"/>
    </row>
    <row r="151" spans="1:8">
      <c r="A151" s="112"/>
      <c r="B151" s="112" t="s">
        <v>206</v>
      </c>
      <c r="C151" s="112">
        <v>1</v>
      </c>
      <c r="D151" s="112"/>
      <c r="E151" s="112"/>
      <c r="F151" s="112"/>
      <c r="G151" s="112"/>
      <c r="H151" s="112"/>
    </row>
    <row r="152" spans="1:8">
      <c r="A152" s="112"/>
      <c r="B152" s="115" t="s">
        <v>208</v>
      </c>
      <c r="C152" s="112">
        <v>98</v>
      </c>
      <c r="D152" s="112"/>
      <c r="E152" s="112"/>
      <c r="F152" s="112"/>
      <c r="G152" s="112"/>
      <c r="H152" s="112"/>
    </row>
    <row r="153" spans="1:8" ht="32">
      <c r="A153" s="116" t="s">
        <v>209</v>
      </c>
      <c r="B153" s="116" t="s">
        <v>175</v>
      </c>
      <c r="C153" s="116" t="s">
        <v>210</v>
      </c>
      <c r="D153" s="116" t="s">
        <v>211</v>
      </c>
      <c r="E153" s="116" t="s">
        <v>218</v>
      </c>
      <c r="F153" s="116" t="s">
        <v>212</v>
      </c>
      <c r="G153" s="116" t="s">
        <v>219</v>
      </c>
      <c r="H153" s="116" t="s">
        <v>220</v>
      </c>
    </row>
    <row r="154" spans="1:8">
      <c r="A154" s="112"/>
      <c r="B154" s="117">
        <f ca="1">TODAY()+3</f>
        <v>45116</v>
      </c>
      <c r="C154" s="112"/>
      <c r="D154" s="112"/>
      <c r="E154" s="112"/>
      <c r="F154" s="112"/>
      <c r="G154" s="112"/>
      <c r="H154" s="112"/>
    </row>
    <row r="155" spans="1:8">
      <c r="A155" s="118">
        <v>1</v>
      </c>
      <c r="B155" s="119">
        <v>43252</v>
      </c>
      <c r="C155" s="120">
        <v>0.04</v>
      </c>
      <c r="D155" s="120">
        <v>1</v>
      </c>
      <c r="E155" s="121">
        <f>IF(B155&lt;$C$13,0,(C155)*D155*100)</f>
        <v>4</v>
      </c>
      <c r="F155" s="121">
        <v>0</v>
      </c>
      <c r="G155" s="121">
        <f>E155+F155</f>
        <v>4</v>
      </c>
      <c r="H155" s="127">
        <f>D155*C155*100</f>
        <v>4</v>
      </c>
    </row>
    <row r="156" spans="1:8">
      <c r="A156" s="118">
        <v>2</v>
      </c>
      <c r="B156" s="119">
        <v>43617</v>
      </c>
      <c r="C156" s="120">
        <v>0.04</v>
      </c>
      <c r="D156" s="120">
        <f>D155-F155/100</f>
        <v>1</v>
      </c>
      <c r="E156" s="121">
        <f t="shared" ref="E156:E162" si="16">IF(B156&lt;$C$13,0,(C156)*D156*100)</f>
        <v>4</v>
      </c>
      <c r="F156" s="121">
        <v>0</v>
      </c>
      <c r="G156" s="121">
        <f t="shared" ref="G156:G162" si="17">E156+F156</f>
        <v>4</v>
      </c>
      <c r="H156" s="127">
        <f t="shared" ref="H156:H162" si="18">D156*C156*100</f>
        <v>4</v>
      </c>
    </row>
    <row r="157" spans="1:8">
      <c r="A157" s="118">
        <v>3</v>
      </c>
      <c r="B157" s="119">
        <v>43983</v>
      </c>
      <c r="C157" s="120">
        <v>0.04</v>
      </c>
      <c r="D157" s="120">
        <f t="shared" ref="D157:D162" si="19">D156-F156/100</f>
        <v>1</v>
      </c>
      <c r="E157" s="121">
        <f t="shared" si="16"/>
        <v>4</v>
      </c>
      <c r="F157" s="121">
        <v>0</v>
      </c>
      <c r="G157" s="121">
        <f t="shared" si="17"/>
        <v>4</v>
      </c>
      <c r="H157" s="127">
        <f t="shared" si="18"/>
        <v>4</v>
      </c>
    </row>
    <row r="158" spans="1:8">
      <c r="A158" s="118">
        <v>4</v>
      </c>
      <c r="B158" s="119">
        <v>44348</v>
      </c>
      <c r="C158" s="120">
        <v>0.04</v>
      </c>
      <c r="D158" s="120">
        <f t="shared" si="19"/>
        <v>1</v>
      </c>
      <c r="E158" s="121">
        <f t="shared" si="16"/>
        <v>4</v>
      </c>
      <c r="F158" s="121">
        <v>0</v>
      </c>
      <c r="G158" s="121">
        <f t="shared" si="17"/>
        <v>4</v>
      </c>
      <c r="H158" s="127">
        <f t="shared" si="18"/>
        <v>4</v>
      </c>
    </row>
    <row r="159" spans="1:8">
      <c r="A159" s="118">
        <v>5</v>
      </c>
      <c r="B159" s="119">
        <v>44713</v>
      </c>
      <c r="C159" s="120">
        <v>0.04</v>
      </c>
      <c r="D159" s="120">
        <f t="shared" si="19"/>
        <v>1</v>
      </c>
      <c r="E159" s="121">
        <f t="shared" si="16"/>
        <v>4</v>
      </c>
      <c r="F159" s="121">
        <v>0</v>
      </c>
      <c r="G159" s="121">
        <f t="shared" si="17"/>
        <v>4</v>
      </c>
      <c r="H159" s="127">
        <f t="shared" si="18"/>
        <v>4</v>
      </c>
    </row>
    <row r="160" spans="1:8">
      <c r="A160" s="118">
        <v>6</v>
      </c>
      <c r="B160" s="119">
        <v>45078</v>
      </c>
      <c r="C160" s="120">
        <v>0.04</v>
      </c>
      <c r="D160" s="120">
        <f t="shared" si="19"/>
        <v>1</v>
      </c>
      <c r="E160" s="121">
        <f t="shared" si="16"/>
        <v>4</v>
      </c>
      <c r="F160" s="121">
        <v>0</v>
      </c>
      <c r="G160" s="121">
        <f t="shared" si="17"/>
        <v>4</v>
      </c>
      <c r="H160" s="127">
        <f t="shared" si="18"/>
        <v>4</v>
      </c>
    </row>
    <row r="161" spans="1:8">
      <c r="A161" s="118">
        <v>7</v>
      </c>
      <c r="B161" s="119">
        <v>45444</v>
      </c>
      <c r="C161" s="120">
        <v>0.04</v>
      </c>
      <c r="D161" s="120">
        <f t="shared" si="19"/>
        <v>1</v>
      </c>
      <c r="E161" s="121">
        <f t="shared" si="16"/>
        <v>4</v>
      </c>
      <c r="F161" s="121">
        <v>0</v>
      </c>
      <c r="G161" s="121">
        <f t="shared" si="17"/>
        <v>4</v>
      </c>
      <c r="H161" s="127">
        <f t="shared" si="18"/>
        <v>4</v>
      </c>
    </row>
    <row r="162" spans="1:8">
      <c r="A162" s="118">
        <v>8</v>
      </c>
      <c r="B162" s="119">
        <v>45809</v>
      </c>
      <c r="C162" s="120">
        <v>0.04</v>
      </c>
      <c r="D162" s="120">
        <f t="shared" si="19"/>
        <v>1</v>
      </c>
      <c r="E162" s="121">
        <f t="shared" si="16"/>
        <v>4</v>
      </c>
      <c r="F162" s="121">
        <v>100</v>
      </c>
      <c r="G162" s="121">
        <f t="shared" si="17"/>
        <v>104</v>
      </c>
      <c r="H162" s="127">
        <f t="shared" si="18"/>
        <v>4</v>
      </c>
    </row>
    <row r="163" spans="1:8">
      <c r="A163" s="112"/>
      <c r="B163" s="112"/>
      <c r="C163" s="112"/>
      <c r="D163" s="112"/>
      <c r="E163" s="112"/>
      <c r="F163" s="112"/>
      <c r="G163" s="112"/>
      <c r="H163" s="112"/>
    </row>
    <row r="164" spans="1:8">
      <c r="A164" s="112" t="s">
        <v>223</v>
      </c>
      <c r="B164" s="126">
        <f ca="1">TODAY()+3</f>
        <v>45116</v>
      </c>
      <c r="C164" s="112"/>
      <c r="D164" s="112"/>
      <c r="E164" s="112"/>
      <c r="F164" s="112"/>
      <c r="G164" s="112"/>
      <c r="H164" s="112"/>
    </row>
    <row r="165" spans="1:8">
      <c r="A165" s="112" t="s">
        <v>224</v>
      </c>
      <c r="B165" s="112">
        <f ca="1">B164-B159</f>
        <v>403</v>
      </c>
      <c r="C165" s="112"/>
      <c r="D165" s="112"/>
      <c r="E165" s="112"/>
      <c r="F165" s="112"/>
      <c r="G165" s="112"/>
      <c r="H165" s="112"/>
    </row>
    <row r="166" spans="1:8">
      <c r="A166" s="112" t="s">
        <v>225</v>
      </c>
      <c r="B166" s="112">
        <v>360</v>
      </c>
      <c r="C166" s="112"/>
      <c r="D166" s="112"/>
      <c r="E166" s="112"/>
      <c r="F166" s="112"/>
      <c r="G166" s="112"/>
      <c r="H166" s="112"/>
    </row>
    <row r="167" spans="1:8">
      <c r="A167" s="112" t="s">
        <v>226</v>
      </c>
      <c r="B167" s="138">
        <f ca="1">E160*(B165/B166)</f>
        <v>4.4777777777777779</v>
      </c>
      <c r="C167" s="112"/>
      <c r="D167" s="132" t="s">
        <v>237</v>
      </c>
      <c r="E167" s="112"/>
      <c r="F167" s="112"/>
      <c r="G167" s="112"/>
      <c r="H167" s="112"/>
    </row>
    <row r="168" spans="1:8">
      <c r="A168" s="112" t="s">
        <v>231</v>
      </c>
      <c r="B168" s="134">
        <f ca="1">100+B167</f>
        <v>104.47777777777777</v>
      </c>
      <c r="C168" s="112"/>
      <c r="D168" s="132" t="s">
        <v>238</v>
      </c>
      <c r="E168" s="112"/>
      <c r="F168" s="112"/>
      <c r="G168" s="112"/>
      <c r="H168" s="112"/>
    </row>
    <row r="169" spans="1:8">
      <c r="A169" s="112"/>
      <c r="B169" s="112"/>
      <c r="C169" s="112"/>
      <c r="D169" s="112"/>
      <c r="E169" s="112"/>
      <c r="F169" s="112"/>
      <c r="G169" s="112"/>
      <c r="H169" s="112"/>
    </row>
    <row r="170" spans="1:8">
      <c r="A170" s="112"/>
      <c r="B170" s="112"/>
      <c r="C170" s="112"/>
      <c r="D170" s="112"/>
      <c r="E170" s="112"/>
      <c r="F170" s="112"/>
      <c r="G170" s="112"/>
      <c r="H170" s="112"/>
    </row>
    <row r="171" spans="1:8">
      <c r="A171" s="112"/>
      <c r="B171" s="112"/>
      <c r="C171" s="112"/>
      <c r="D171" s="112"/>
      <c r="E171" s="112"/>
      <c r="F171" s="112"/>
      <c r="G171" s="112"/>
      <c r="H171" s="112"/>
    </row>
    <row r="172" spans="1:8">
      <c r="A172" s="112"/>
      <c r="B172" s="112"/>
      <c r="C172" s="112"/>
      <c r="D172" s="112"/>
      <c r="E172" s="112"/>
      <c r="F172" s="112"/>
      <c r="G172" s="112"/>
      <c r="H172" s="112"/>
    </row>
    <row r="173" spans="1:8">
      <c r="A173" s="115" t="s">
        <v>239</v>
      </c>
      <c r="B173" s="112">
        <f>C152</f>
        <v>98</v>
      </c>
      <c r="C173" s="112"/>
      <c r="D173" s="112"/>
      <c r="E173" s="112"/>
      <c r="F173" s="112"/>
      <c r="G173" s="112"/>
      <c r="H173" s="112"/>
    </row>
    <row r="174" spans="1:8">
      <c r="A174" s="112" t="s">
        <v>240</v>
      </c>
      <c r="B174" s="139">
        <f ca="1">B173/B168</f>
        <v>0.93799851111347443</v>
      </c>
      <c r="C174" s="112"/>
      <c r="D174" s="132" t="s">
        <v>241</v>
      </c>
      <c r="E174" s="112"/>
      <c r="F174" s="112"/>
      <c r="G174" s="112"/>
      <c r="H174" s="112"/>
    </row>
    <row r="178" spans="1:8" ht="21">
      <c r="A178" s="111" t="s">
        <v>258</v>
      </c>
    </row>
    <row r="180" spans="1:8" ht="19">
      <c r="A180" s="140" t="s">
        <v>199</v>
      </c>
      <c r="B180" s="140"/>
      <c r="C180" s="141"/>
      <c r="D180" s="141"/>
      <c r="E180" s="141"/>
      <c r="F180" s="141"/>
      <c r="G180" s="141"/>
      <c r="H180" s="141"/>
    </row>
    <row r="181" spans="1:8" ht="19">
      <c r="A181" s="140"/>
      <c r="B181" s="141"/>
      <c r="C181" s="141"/>
      <c r="D181" s="141"/>
      <c r="E181" s="141"/>
      <c r="F181" s="141"/>
      <c r="G181" s="141"/>
      <c r="H181" s="141"/>
    </row>
    <row r="182" spans="1:8">
      <c r="A182" s="141"/>
      <c r="B182" s="141" t="s">
        <v>200</v>
      </c>
      <c r="C182" s="142" t="s">
        <v>242</v>
      </c>
      <c r="D182" s="141"/>
      <c r="E182" s="141"/>
      <c r="F182" s="141"/>
      <c r="G182" s="141"/>
      <c r="H182" s="141"/>
    </row>
    <row r="183" spans="1:8">
      <c r="A183" s="141"/>
      <c r="B183" s="141" t="s">
        <v>201</v>
      </c>
      <c r="C183" s="142" t="s">
        <v>243</v>
      </c>
      <c r="D183" s="141"/>
      <c r="E183" s="141"/>
      <c r="F183" s="141"/>
      <c r="G183" s="141"/>
      <c r="H183" s="141"/>
    </row>
    <row r="184" spans="1:8">
      <c r="A184" s="141"/>
      <c r="B184" s="141" t="s">
        <v>202</v>
      </c>
      <c r="C184" s="141">
        <v>100</v>
      </c>
      <c r="D184" s="141"/>
      <c r="E184" s="141"/>
      <c r="F184" s="141"/>
      <c r="G184" s="141"/>
      <c r="H184" s="141"/>
    </row>
    <row r="185" spans="1:8">
      <c r="A185" s="141"/>
      <c r="B185" s="141" t="s">
        <v>203</v>
      </c>
      <c r="C185" s="141" t="s">
        <v>222</v>
      </c>
      <c r="D185" s="141"/>
      <c r="E185" s="141"/>
      <c r="F185" s="141"/>
      <c r="G185" s="141"/>
      <c r="H185" s="141"/>
    </row>
    <row r="186" spans="1:8">
      <c r="A186" s="141"/>
      <c r="B186" s="141" t="s">
        <v>217</v>
      </c>
      <c r="C186" s="141">
        <v>0.04</v>
      </c>
      <c r="D186" s="141"/>
      <c r="E186" s="141"/>
      <c r="F186" s="141"/>
      <c r="G186" s="141"/>
      <c r="H186" s="141"/>
    </row>
    <row r="187" spans="1:8">
      <c r="A187" s="141"/>
      <c r="B187" s="141" t="s">
        <v>206</v>
      </c>
      <c r="C187" s="141">
        <v>1</v>
      </c>
      <c r="D187" s="141"/>
      <c r="E187" s="141"/>
      <c r="F187" s="141"/>
      <c r="G187" s="141"/>
      <c r="H187" s="141"/>
    </row>
    <row r="188" spans="1:8">
      <c r="A188" s="141"/>
      <c r="B188" s="143" t="s">
        <v>208</v>
      </c>
      <c r="C188" s="141">
        <v>98</v>
      </c>
      <c r="D188" s="141"/>
      <c r="E188" s="141"/>
      <c r="F188" s="141"/>
      <c r="G188" s="141"/>
      <c r="H188" s="141"/>
    </row>
    <row r="189" spans="1:8" ht="32">
      <c r="A189" s="144" t="s">
        <v>209</v>
      </c>
      <c r="B189" s="144" t="s">
        <v>175</v>
      </c>
      <c r="C189" s="144" t="s">
        <v>210</v>
      </c>
      <c r="D189" s="144" t="s">
        <v>211</v>
      </c>
      <c r="E189" s="144" t="s">
        <v>218</v>
      </c>
      <c r="F189" s="144" t="s">
        <v>212</v>
      </c>
      <c r="G189" s="144" t="s">
        <v>219</v>
      </c>
      <c r="H189" s="144" t="s">
        <v>220</v>
      </c>
    </row>
    <row r="190" spans="1:8">
      <c r="A190" s="141"/>
      <c r="B190" s="145" t="s">
        <v>244</v>
      </c>
      <c r="C190" s="141"/>
      <c r="D190" s="141"/>
      <c r="E190" s="141"/>
      <c r="F190" s="141"/>
      <c r="G190" s="141"/>
      <c r="H190" s="141"/>
    </row>
    <row r="191" spans="1:8">
      <c r="A191" s="146">
        <v>1</v>
      </c>
      <c r="B191" s="145" t="s">
        <v>242</v>
      </c>
      <c r="C191" s="147">
        <v>0.04</v>
      </c>
      <c r="D191" s="147">
        <v>1</v>
      </c>
      <c r="E191" s="148" t="s">
        <v>245</v>
      </c>
      <c r="F191" s="148" t="s">
        <v>246</v>
      </c>
      <c r="G191" s="148" t="s">
        <v>245</v>
      </c>
      <c r="H191" s="149">
        <v>4</v>
      </c>
    </row>
    <row r="192" spans="1:8">
      <c r="A192" s="150">
        <v>2</v>
      </c>
      <c r="B192" s="145" t="s">
        <v>247</v>
      </c>
      <c r="C192" s="151">
        <v>0.04</v>
      </c>
      <c r="D192" s="151">
        <v>1</v>
      </c>
      <c r="E192" s="152" t="s">
        <v>245</v>
      </c>
      <c r="F192" s="152" t="s">
        <v>246</v>
      </c>
      <c r="G192" s="152" t="s">
        <v>245</v>
      </c>
      <c r="H192" s="153">
        <v>4</v>
      </c>
    </row>
    <row r="193" spans="1:8">
      <c r="A193" s="150">
        <v>3</v>
      </c>
      <c r="B193" s="145" t="s">
        <v>248</v>
      </c>
      <c r="C193" s="151">
        <v>0.04</v>
      </c>
      <c r="D193" s="151">
        <v>1</v>
      </c>
      <c r="E193" s="152" t="s">
        <v>245</v>
      </c>
      <c r="F193" s="152" t="s">
        <v>246</v>
      </c>
      <c r="G193" s="152" t="s">
        <v>245</v>
      </c>
      <c r="H193" s="153">
        <v>4</v>
      </c>
    </row>
    <row r="194" spans="1:8">
      <c r="A194" s="150">
        <v>4</v>
      </c>
      <c r="B194" s="145" t="s">
        <v>249</v>
      </c>
      <c r="C194" s="151">
        <v>0.04</v>
      </c>
      <c r="D194" s="151">
        <v>1</v>
      </c>
      <c r="E194" s="152" t="s">
        <v>245</v>
      </c>
      <c r="F194" s="152" t="s">
        <v>246</v>
      </c>
      <c r="G194" s="152" t="s">
        <v>245</v>
      </c>
      <c r="H194" s="153">
        <v>4</v>
      </c>
    </row>
    <row r="195" spans="1:8">
      <c r="A195" s="150">
        <v>5</v>
      </c>
      <c r="B195" s="145" t="s">
        <v>250</v>
      </c>
      <c r="C195" s="151">
        <v>0.04</v>
      </c>
      <c r="D195" s="151">
        <v>1</v>
      </c>
      <c r="E195" s="152" t="s">
        <v>245</v>
      </c>
      <c r="F195" s="152" t="s">
        <v>246</v>
      </c>
      <c r="G195" s="152" t="s">
        <v>245</v>
      </c>
      <c r="H195" s="153">
        <v>4</v>
      </c>
    </row>
    <row r="196" spans="1:8">
      <c r="A196" s="150">
        <v>6</v>
      </c>
      <c r="B196" s="145" t="s">
        <v>251</v>
      </c>
      <c r="C196" s="151">
        <v>0.04</v>
      </c>
      <c r="D196" s="151">
        <v>1</v>
      </c>
      <c r="E196" s="152">
        <v>4</v>
      </c>
      <c r="F196" s="152" t="s">
        <v>246</v>
      </c>
      <c r="G196" s="152">
        <v>4</v>
      </c>
      <c r="H196" s="153">
        <v>4</v>
      </c>
    </row>
    <row r="197" spans="1:8">
      <c r="A197" s="150">
        <v>7</v>
      </c>
      <c r="B197" s="145" t="s">
        <v>252</v>
      </c>
      <c r="C197" s="151">
        <v>0.04</v>
      </c>
      <c r="D197" s="151">
        <v>1</v>
      </c>
      <c r="E197" s="152">
        <v>4</v>
      </c>
      <c r="F197" s="152" t="s">
        <v>246</v>
      </c>
      <c r="G197" s="152">
        <v>4</v>
      </c>
      <c r="H197" s="153">
        <v>4</v>
      </c>
    </row>
    <row r="198" spans="1:8">
      <c r="A198" s="150">
        <v>8</v>
      </c>
      <c r="B198" s="145" t="s">
        <v>243</v>
      </c>
      <c r="C198" s="151">
        <v>0.04</v>
      </c>
      <c r="D198" s="151">
        <v>1</v>
      </c>
      <c r="E198" s="152">
        <v>4</v>
      </c>
      <c r="F198" s="152">
        <v>100</v>
      </c>
      <c r="G198" s="152">
        <v>104</v>
      </c>
      <c r="H198" s="153">
        <v>4</v>
      </c>
    </row>
    <row r="199" spans="1:8">
      <c r="A199" s="141"/>
      <c r="B199" s="141"/>
      <c r="C199" s="141"/>
      <c r="D199" s="141"/>
      <c r="E199" s="141"/>
      <c r="F199" s="141"/>
      <c r="G199" s="141"/>
      <c r="H199" s="141"/>
    </row>
    <row r="200" spans="1:8">
      <c r="A200" s="141" t="s">
        <v>223</v>
      </c>
      <c r="B200" s="142" t="s">
        <v>253</v>
      </c>
      <c r="C200" s="141"/>
      <c r="D200" s="141"/>
      <c r="E200" s="141"/>
      <c r="F200" s="141"/>
      <c r="G200" s="141"/>
      <c r="H200" s="141"/>
    </row>
    <row r="201" spans="1:8">
      <c r="A201" s="141" t="s">
        <v>224</v>
      </c>
      <c r="B201" s="141">
        <v>337</v>
      </c>
      <c r="C201" s="141"/>
      <c r="D201" s="141"/>
      <c r="E201" s="141"/>
      <c r="F201" s="141"/>
      <c r="G201" s="141"/>
      <c r="H201" s="141"/>
    </row>
    <row r="202" spans="1:8">
      <c r="A202" s="141" t="s">
        <v>225</v>
      </c>
      <c r="B202" s="141">
        <v>360</v>
      </c>
      <c r="C202" s="141"/>
      <c r="D202" s="141"/>
      <c r="E202" s="141"/>
      <c r="F202" s="141"/>
      <c r="G202" s="141"/>
      <c r="H202" s="141"/>
    </row>
    <row r="203" spans="1:8">
      <c r="A203" s="141" t="s">
        <v>226</v>
      </c>
      <c r="B203" s="154">
        <v>3.7440000000000002</v>
      </c>
      <c r="C203" s="141"/>
      <c r="D203" s="155" t="s">
        <v>237</v>
      </c>
      <c r="E203" s="155"/>
      <c r="F203" s="141"/>
      <c r="G203" s="141"/>
      <c r="H203" s="141"/>
    </row>
    <row r="204" spans="1:8">
      <c r="A204" s="156" t="s">
        <v>231</v>
      </c>
      <c r="B204" s="157">
        <v>103.744</v>
      </c>
      <c r="C204" s="156"/>
      <c r="D204" s="158" t="s">
        <v>254</v>
      </c>
      <c r="E204" s="141"/>
      <c r="F204" s="141"/>
      <c r="G204" s="141"/>
      <c r="H204" s="141"/>
    </row>
    <row r="205" spans="1:8">
      <c r="A205" s="159" t="s">
        <v>239</v>
      </c>
      <c r="B205" s="156">
        <v>98</v>
      </c>
      <c r="C205" s="156"/>
      <c r="D205" s="156"/>
      <c r="E205" s="141"/>
      <c r="F205" s="141"/>
      <c r="G205" s="141"/>
      <c r="H205" s="141"/>
    </row>
    <row r="206" spans="1:8">
      <c r="A206" s="156" t="s">
        <v>240</v>
      </c>
      <c r="B206" s="160">
        <v>0.94499999999999995</v>
      </c>
      <c r="C206" s="156"/>
      <c r="D206" s="158" t="s">
        <v>255</v>
      </c>
      <c r="E206" s="141"/>
      <c r="F206" s="141"/>
      <c r="G206" s="141"/>
      <c r="H206" s="141"/>
    </row>
    <row r="207" spans="1:8">
      <c r="A207" s="141"/>
      <c r="B207" s="141"/>
      <c r="C207" s="141"/>
      <c r="D207" s="141"/>
      <c r="E207" s="141"/>
      <c r="F207" s="141"/>
      <c r="G207" s="141"/>
      <c r="H207" s="141"/>
    </row>
    <row r="208" spans="1:8">
      <c r="A208" s="141"/>
      <c r="B208" s="141"/>
      <c r="C208" s="141"/>
      <c r="D208" s="141"/>
      <c r="E208" s="141"/>
      <c r="F208" s="141"/>
      <c r="G208" s="141"/>
      <c r="H208" s="141"/>
    </row>
    <row r="209" spans="1:8">
      <c r="A209" s="141"/>
      <c r="B209" s="141"/>
      <c r="C209" s="141"/>
      <c r="D209" s="141"/>
      <c r="E209" s="141"/>
      <c r="F209" s="141"/>
      <c r="G209" s="141"/>
      <c r="H209" s="141"/>
    </row>
    <row r="210" spans="1:8">
      <c r="A210" s="141"/>
      <c r="B210" s="141"/>
      <c r="C210" s="141"/>
      <c r="D210" s="141"/>
      <c r="E210" s="141"/>
      <c r="F210" s="141"/>
      <c r="G210" s="141"/>
      <c r="H210" s="141"/>
    </row>
    <row r="211" spans="1:8">
      <c r="A211" s="141" t="s">
        <v>256</v>
      </c>
      <c r="B211" s="161">
        <v>4.24E-2</v>
      </c>
      <c r="C211" s="141"/>
      <c r="D211" s="155" t="s">
        <v>257</v>
      </c>
      <c r="E211" s="141"/>
      <c r="F211" s="141"/>
      <c r="G211" s="141"/>
      <c r="H211" s="141"/>
    </row>
    <row r="212" spans="1:8">
      <c r="A212" s="141"/>
      <c r="B212" s="141"/>
      <c r="C212" s="141"/>
      <c r="D212" s="141"/>
      <c r="E212" s="141"/>
      <c r="F212" s="141"/>
      <c r="G212" s="141"/>
      <c r="H212" s="141"/>
    </row>
    <row r="213" spans="1:8">
      <c r="A213" s="141"/>
      <c r="B213" s="141"/>
      <c r="C213" s="141"/>
      <c r="D213" s="141"/>
      <c r="E213" s="141"/>
      <c r="F213" s="141"/>
      <c r="G213" s="141"/>
      <c r="H213" s="141"/>
    </row>
    <row r="216" spans="1:8">
      <c r="H216" t="s">
        <v>213</v>
      </c>
    </row>
    <row r="217" spans="1:8">
      <c r="H217" t="s">
        <v>259</v>
      </c>
    </row>
  </sheetData>
  <mergeCells count="1">
    <mergeCell ref="A1:C1"/>
  </mergeCells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FC76B-2DD8-A84C-89A2-4AD100D7349C}">
  <sheetPr>
    <tabColor theme="4" tint="0.39997558519241921"/>
  </sheetPr>
  <dimension ref="A1:L114"/>
  <sheetViews>
    <sheetView topLeftCell="A22" zoomScale="135" workbookViewId="0"/>
  </sheetViews>
  <sheetFormatPr baseColWidth="10" defaultRowHeight="16"/>
  <cols>
    <col min="1" max="1" width="27.33203125" customWidth="1"/>
    <col min="2" max="2" width="13.6640625" customWidth="1"/>
    <col min="4" max="4" width="12.5" customWidth="1"/>
  </cols>
  <sheetData>
    <row r="1" spans="1:9" ht="21">
      <c r="A1" s="111" t="s">
        <v>101</v>
      </c>
      <c r="D1" s="2">
        <f>+IRR(A16:I16)</f>
        <v>0.14999999999644653</v>
      </c>
    </row>
    <row r="2" spans="1:9">
      <c r="A2" t="s">
        <v>260</v>
      </c>
      <c r="D2">
        <v>0.15</v>
      </c>
    </row>
    <row r="5" spans="1:9">
      <c r="D5" t="s">
        <v>261</v>
      </c>
    </row>
    <row r="8" spans="1:9">
      <c r="D8" t="s">
        <v>262</v>
      </c>
    </row>
    <row r="12" spans="1:9">
      <c r="D12" t="s">
        <v>263</v>
      </c>
    </row>
    <row r="15" spans="1:9">
      <c r="B15">
        <v>1</v>
      </c>
      <c r="C15">
        <v>2</v>
      </c>
      <c r="D15">
        <v>3</v>
      </c>
      <c r="E15">
        <v>4</v>
      </c>
      <c r="F15">
        <v>5</v>
      </c>
      <c r="G15">
        <v>6</v>
      </c>
      <c r="H15">
        <v>7</v>
      </c>
      <c r="I15">
        <v>8</v>
      </c>
    </row>
    <row r="16" spans="1:9">
      <c r="A16">
        <f>-A17</f>
        <v>-439.08481153847305</v>
      </c>
      <c r="B16">
        <v>25</v>
      </c>
      <c r="C16">
        <v>25</v>
      </c>
      <c r="D16">
        <v>25</v>
      </c>
      <c r="E16">
        <v>25</v>
      </c>
      <c r="F16">
        <v>25</v>
      </c>
      <c r="G16">
        <v>25</v>
      </c>
      <c r="H16">
        <v>25</v>
      </c>
      <c r="I16">
        <v>1025</v>
      </c>
    </row>
    <row r="17" spans="1:10">
      <c r="A17">
        <f>+SUM(B17:I17)</f>
        <v>439.08481153847305</v>
      </c>
      <c r="B17" cm="1">
        <f t="array" ref="B17">+B16/(1+TIR)^B15</f>
        <v>21.739130434782609</v>
      </c>
      <c r="C17" cm="1">
        <f t="array" ref="C17">+C16/(1+TIR)^C15</f>
        <v>18.903591682419663</v>
      </c>
      <c r="D17" cm="1">
        <f t="array" ref="D17">+D16/(1+TIR)^D15</f>
        <v>16.437905810799709</v>
      </c>
      <c r="E17" cm="1">
        <f t="array" ref="E17">+E16/(1+TIR)^E15</f>
        <v>14.293831139825834</v>
      </c>
      <c r="F17" cm="1">
        <f t="array" ref="F17">+F16/(1+TIR)^F15</f>
        <v>12.429418382457246</v>
      </c>
      <c r="G17" cm="1">
        <f t="array" ref="G17">+G16/(1+TIR)^G15</f>
        <v>10.808189897788912</v>
      </c>
      <c r="H17" cm="1">
        <f t="array" ref="H17">+H16/(1+TIR)^H15</f>
        <v>9.3984259980773164</v>
      </c>
      <c r="I17" cm="1">
        <f t="array" ref="I17">+I16/(1+TIR)^I15</f>
        <v>335.07431819232175</v>
      </c>
    </row>
    <row r="19" spans="1:10">
      <c r="A19">
        <f>+A17*(1+D2)^8</f>
        <v>1343.1704770898436</v>
      </c>
      <c r="B19" t="s">
        <v>264</v>
      </c>
    </row>
    <row r="22" spans="1:10" ht="19">
      <c r="A22" s="113" t="s">
        <v>199</v>
      </c>
      <c r="B22" s="112"/>
      <c r="C22" s="112"/>
      <c r="D22" s="112"/>
      <c r="E22" s="112"/>
      <c r="F22" s="112"/>
      <c r="G22" s="112"/>
      <c r="H22" s="112"/>
      <c r="I22" s="112"/>
    </row>
    <row r="23" spans="1:10" ht="19">
      <c r="A23" s="113"/>
      <c r="B23" s="112"/>
      <c r="C23" s="112"/>
      <c r="D23" s="112"/>
      <c r="E23" s="112"/>
      <c r="F23" s="112"/>
      <c r="G23" s="112"/>
      <c r="H23" s="112"/>
      <c r="I23" s="112"/>
    </row>
    <row r="24" spans="1:10">
      <c r="A24" s="112"/>
      <c r="B24" s="112" t="s">
        <v>200</v>
      </c>
      <c r="C24" s="126">
        <v>43252</v>
      </c>
      <c r="D24" s="112"/>
      <c r="E24" s="112"/>
      <c r="F24" s="112" t="s">
        <v>101</v>
      </c>
      <c r="G24" s="112"/>
      <c r="H24" s="112"/>
      <c r="I24" s="112"/>
    </row>
    <row r="25" spans="1:10">
      <c r="A25" s="112"/>
      <c r="B25" s="112" t="s">
        <v>201</v>
      </c>
      <c r="C25" s="126">
        <v>45809</v>
      </c>
      <c r="D25" s="112"/>
      <c r="E25" s="112"/>
      <c r="F25" s="112" t="s">
        <v>265</v>
      </c>
      <c r="G25" s="112" t="s">
        <v>266</v>
      </c>
      <c r="H25" s="112"/>
      <c r="I25" s="112"/>
    </row>
    <row r="26" spans="1:10">
      <c r="A26" s="112"/>
      <c r="B26" s="112" t="s">
        <v>202</v>
      </c>
      <c r="C26" s="112">
        <v>100</v>
      </c>
      <c r="D26" s="112"/>
      <c r="E26" s="112"/>
      <c r="F26" s="112" t="s">
        <v>267</v>
      </c>
      <c r="G26" s="112"/>
      <c r="H26" s="112"/>
      <c r="I26" s="112"/>
    </row>
    <row r="27" spans="1:10">
      <c r="A27" s="112"/>
      <c r="B27" s="112" t="s">
        <v>203</v>
      </c>
      <c r="C27" s="112" t="s">
        <v>222</v>
      </c>
      <c r="D27" s="112"/>
      <c r="E27" s="112"/>
      <c r="F27" s="112"/>
      <c r="G27" s="112"/>
      <c r="H27" s="112"/>
      <c r="I27" s="112"/>
    </row>
    <row r="28" spans="1:10">
      <c r="A28" s="112"/>
      <c r="B28" s="112" t="s">
        <v>217</v>
      </c>
      <c r="C28" s="112">
        <v>0.04</v>
      </c>
      <c r="D28" s="112"/>
      <c r="E28" s="112"/>
      <c r="F28" s="112"/>
      <c r="G28" s="112"/>
      <c r="H28" s="112"/>
      <c r="I28" s="112"/>
    </row>
    <row r="29" spans="1:10">
      <c r="A29" s="112"/>
      <c r="B29" s="112" t="s">
        <v>206</v>
      </c>
      <c r="C29" s="112">
        <v>1</v>
      </c>
      <c r="D29" s="112"/>
      <c r="E29" s="112"/>
      <c r="F29" s="112"/>
      <c r="G29" s="162">
        <f ca="1">XIRR(G32:G40,B32:B40)</f>
        <v>5.3607949614524836E-2</v>
      </c>
      <c r="H29" s="112"/>
      <c r="I29" s="112"/>
    </row>
    <row r="30" spans="1:10">
      <c r="A30" s="112"/>
      <c r="B30" s="115" t="s">
        <v>208</v>
      </c>
      <c r="C30" s="112">
        <v>98</v>
      </c>
      <c r="D30" s="112"/>
      <c r="E30" s="112"/>
      <c r="F30" s="112"/>
      <c r="G30" s="112"/>
      <c r="H30" s="112"/>
      <c r="I30" s="112"/>
    </row>
    <row r="31" spans="1:10" ht="32">
      <c r="A31" s="116" t="s">
        <v>209</v>
      </c>
      <c r="B31" s="116" t="s">
        <v>175</v>
      </c>
      <c r="C31" s="116" t="s">
        <v>210</v>
      </c>
      <c r="D31" s="116" t="s">
        <v>211</v>
      </c>
      <c r="E31" s="116" t="s">
        <v>218</v>
      </c>
      <c r="F31" s="116" t="s">
        <v>212</v>
      </c>
      <c r="G31" s="116" t="s">
        <v>219</v>
      </c>
      <c r="H31" s="116" t="s">
        <v>220</v>
      </c>
      <c r="I31" s="116" t="s">
        <v>268</v>
      </c>
    </row>
    <row r="32" spans="1:10">
      <c r="A32" s="112"/>
      <c r="B32" s="128">
        <f ca="1">TODAY()+3</f>
        <v>45116</v>
      </c>
      <c r="C32" s="1"/>
      <c r="D32" s="1"/>
      <c r="E32" s="1"/>
      <c r="F32" s="1"/>
      <c r="G32" s="1">
        <f>-C30</f>
        <v>-98</v>
      </c>
      <c r="H32" s="112"/>
      <c r="I32" s="112"/>
      <c r="J32">
        <f t="shared" ref="J32:J33" ca="1" si="0">+(YEARFRAC($B$32,B32,3))</f>
        <v>0</v>
      </c>
    </row>
    <row r="33" spans="1:10">
      <c r="A33" s="118">
        <v>1</v>
      </c>
      <c r="B33" s="119">
        <v>43252</v>
      </c>
      <c r="C33" s="120">
        <v>0.04</v>
      </c>
      <c r="D33" s="120">
        <v>1</v>
      </c>
      <c r="E33" s="121">
        <f ca="1">IF(B33&lt;$B$32,0,(C33)*D33*100)</f>
        <v>0</v>
      </c>
      <c r="F33" s="121">
        <v>0</v>
      </c>
      <c r="G33" s="121">
        <f ca="1">E33+F33</f>
        <v>0</v>
      </c>
      <c r="H33" s="127">
        <f>D33*C33*100</f>
        <v>4</v>
      </c>
      <c r="I33" s="127"/>
      <c r="J33">
        <f t="shared" ca="1" si="0"/>
        <v>5.1068493150684935</v>
      </c>
    </row>
    <row r="34" spans="1:10">
      <c r="A34" s="118">
        <v>2</v>
      </c>
      <c r="B34" s="119">
        <v>43617</v>
      </c>
      <c r="C34" s="120">
        <v>0.04</v>
      </c>
      <c r="D34" s="120">
        <f>D33-F33/100</f>
        <v>1</v>
      </c>
      <c r="E34" s="121">
        <f t="shared" ref="E34:E40" ca="1" si="1">IF(B34&lt;$B$32,0,(C34)*D34*100)</f>
        <v>0</v>
      </c>
      <c r="F34" s="121">
        <v>0</v>
      </c>
      <c r="G34" s="121">
        <f t="shared" ref="G34:G40" ca="1" si="2">E34+F34</f>
        <v>0</v>
      </c>
      <c r="H34" s="127">
        <f t="shared" ref="H34:H40" si="3">D34*C34*100</f>
        <v>4</v>
      </c>
      <c r="I34" s="127">
        <f ca="1">G34/(1+$B$50)^(YEARFRAC($B$32,B34,3))</f>
        <v>0</v>
      </c>
      <c r="J34">
        <f ca="1">+(YEARFRAC($B$32,B34,3))</f>
        <v>4.1068493150684935</v>
      </c>
    </row>
    <row r="35" spans="1:10">
      <c r="A35" s="118">
        <v>3</v>
      </c>
      <c r="B35" s="119">
        <v>43983</v>
      </c>
      <c r="C35" s="120">
        <v>0.04</v>
      </c>
      <c r="D35" s="120">
        <f t="shared" ref="D35:D40" si="4">D34-F34/100</f>
        <v>1</v>
      </c>
      <c r="E35" s="121">
        <f t="shared" ca="1" si="1"/>
        <v>0</v>
      </c>
      <c r="F35" s="121">
        <v>0</v>
      </c>
      <c r="G35" s="121">
        <f t="shared" ca="1" si="2"/>
        <v>0</v>
      </c>
      <c r="H35" s="127">
        <f t="shared" si="3"/>
        <v>4</v>
      </c>
      <c r="I35" s="127">
        <f t="shared" ref="I35:I40" ca="1" si="5">G35/(1+$B$50)^(YEARFRAC($B$32,B35,3))</f>
        <v>0</v>
      </c>
      <c r="J35">
        <f ca="1">+(YEARFRAC($B$32,B35,3))</f>
        <v>3.1041095890410957</v>
      </c>
    </row>
    <row r="36" spans="1:10">
      <c r="A36" s="118">
        <v>4</v>
      </c>
      <c r="B36" s="119">
        <v>44348</v>
      </c>
      <c r="C36" s="120">
        <v>0.04</v>
      </c>
      <c r="D36" s="120">
        <f t="shared" si="4"/>
        <v>1</v>
      </c>
      <c r="E36" s="121">
        <f t="shared" ca="1" si="1"/>
        <v>0</v>
      </c>
      <c r="F36" s="121">
        <v>0</v>
      </c>
      <c r="G36" s="121">
        <f t="shared" ca="1" si="2"/>
        <v>0</v>
      </c>
      <c r="H36" s="127">
        <f t="shared" si="3"/>
        <v>4</v>
      </c>
      <c r="I36" s="127">
        <f ca="1">G36/(1+$B$50)^(YEARFRAC($B$32,B36,3))</f>
        <v>0</v>
      </c>
      <c r="J36">
        <f t="shared" ref="J36:J40" ca="1" si="6">+(YEARFRAC($B$32,B36,3))</f>
        <v>2.1041095890410957</v>
      </c>
    </row>
    <row r="37" spans="1:10">
      <c r="A37" s="118">
        <v>5</v>
      </c>
      <c r="B37" s="163">
        <v>44713</v>
      </c>
      <c r="C37" s="120">
        <v>0.04</v>
      </c>
      <c r="D37" s="120">
        <f t="shared" si="4"/>
        <v>1</v>
      </c>
      <c r="E37" s="121">
        <f t="shared" ca="1" si="1"/>
        <v>0</v>
      </c>
      <c r="F37" s="121">
        <v>0</v>
      </c>
      <c r="G37" s="164">
        <f t="shared" ca="1" si="2"/>
        <v>0</v>
      </c>
      <c r="H37" s="127">
        <f t="shared" si="3"/>
        <v>4</v>
      </c>
      <c r="I37" s="127">
        <f t="shared" ca="1" si="5"/>
        <v>0</v>
      </c>
      <c r="J37">
        <f t="shared" ca="1" si="6"/>
        <v>1.1041095890410959</v>
      </c>
    </row>
    <row r="38" spans="1:10">
      <c r="A38" s="118">
        <v>6</v>
      </c>
      <c r="B38" s="163">
        <v>45078</v>
      </c>
      <c r="C38" s="120">
        <v>0.04</v>
      </c>
      <c r="D38" s="120">
        <f t="shared" si="4"/>
        <v>1</v>
      </c>
      <c r="E38" s="121">
        <f t="shared" ca="1" si="1"/>
        <v>0</v>
      </c>
      <c r="F38" s="121">
        <v>0</v>
      </c>
      <c r="G38" s="164">
        <f t="shared" ca="1" si="2"/>
        <v>0</v>
      </c>
      <c r="H38" s="127">
        <f t="shared" si="3"/>
        <v>4</v>
      </c>
      <c r="I38" s="127">
        <f t="shared" ca="1" si="5"/>
        <v>0</v>
      </c>
      <c r="J38">
        <f t="shared" ca="1" si="6"/>
        <v>0.10410958904109589</v>
      </c>
    </row>
    <row r="39" spans="1:10">
      <c r="A39" s="118">
        <v>7</v>
      </c>
      <c r="B39" s="163">
        <v>45444</v>
      </c>
      <c r="C39" s="120">
        <v>0.04</v>
      </c>
      <c r="D39" s="120">
        <f t="shared" si="4"/>
        <v>1</v>
      </c>
      <c r="E39" s="121">
        <f t="shared" ca="1" si="1"/>
        <v>4</v>
      </c>
      <c r="F39" s="121">
        <v>0</v>
      </c>
      <c r="G39" s="164">
        <f t="shared" ca="1" si="2"/>
        <v>4</v>
      </c>
      <c r="H39" s="127">
        <f t="shared" si="3"/>
        <v>4</v>
      </c>
      <c r="I39" s="127">
        <f t="shared" ca="1" si="5"/>
        <v>3.8166288042059322</v>
      </c>
      <c r="J39">
        <f t="shared" ca="1" si="6"/>
        <v>0.89863013698630134</v>
      </c>
    </row>
    <row r="40" spans="1:10" ht="17" thickBot="1">
      <c r="A40" s="118">
        <v>8</v>
      </c>
      <c r="B40" s="163">
        <v>45809</v>
      </c>
      <c r="C40" s="120">
        <v>0.04</v>
      </c>
      <c r="D40" s="120">
        <f t="shared" si="4"/>
        <v>1</v>
      </c>
      <c r="E40" s="121">
        <f t="shared" ca="1" si="1"/>
        <v>4</v>
      </c>
      <c r="F40" s="121">
        <v>100</v>
      </c>
      <c r="G40" s="164">
        <f t="shared" ca="1" si="2"/>
        <v>104</v>
      </c>
      <c r="H40" s="127">
        <f t="shared" si="3"/>
        <v>4</v>
      </c>
      <c r="I40" s="127">
        <f t="shared" ca="1" si="5"/>
        <v>94.183371476704977</v>
      </c>
      <c r="J40">
        <f t="shared" ca="1" si="6"/>
        <v>1.8986301369863015</v>
      </c>
    </row>
    <row r="41" spans="1:10" ht="17" thickBot="1">
      <c r="A41" s="112"/>
      <c r="B41" s="112"/>
      <c r="C41" s="112"/>
      <c r="D41" s="112"/>
      <c r="E41" s="112"/>
      <c r="F41" s="112"/>
      <c r="G41" s="112"/>
      <c r="H41" s="112"/>
      <c r="I41" s="166">
        <f ca="1">SUM(I34:I40)</f>
        <v>98.000000280910911</v>
      </c>
    </row>
    <row r="42" spans="1:10">
      <c r="A42" s="112" t="s">
        <v>223</v>
      </c>
      <c r="B42" s="126">
        <f ca="1">TODAY()+3</f>
        <v>45116</v>
      </c>
      <c r="C42" s="112"/>
      <c r="D42" s="112"/>
      <c r="E42" s="112"/>
      <c r="F42" s="112" t="s">
        <v>223</v>
      </c>
      <c r="G42" s="126">
        <f ca="1">+B32</f>
        <v>45116</v>
      </c>
      <c r="H42" s="112"/>
      <c r="I42" s="112"/>
    </row>
    <row r="43" spans="1:10">
      <c r="A43" s="112" t="s">
        <v>224</v>
      </c>
      <c r="B43" s="112">
        <f ca="1">B42-B37</f>
        <v>403</v>
      </c>
      <c r="C43" s="112"/>
      <c r="D43" s="112"/>
      <c r="E43" s="112"/>
      <c r="F43" s="112" t="s">
        <v>224</v>
      </c>
      <c r="G43" s="167">
        <f ca="1">+B32-B37</f>
        <v>403</v>
      </c>
      <c r="H43" s="112"/>
      <c r="I43" s="112"/>
    </row>
    <row r="44" spans="1:10">
      <c r="A44" s="112" t="s">
        <v>225</v>
      </c>
      <c r="B44" s="112">
        <v>360</v>
      </c>
      <c r="C44" s="112"/>
      <c r="D44" s="112"/>
      <c r="E44" s="112"/>
      <c r="F44" s="112" t="s">
        <v>225</v>
      </c>
      <c r="G44" s="112">
        <v>360</v>
      </c>
      <c r="H44" s="112"/>
      <c r="I44" s="112"/>
    </row>
    <row r="45" spans="1:10">
      <c r="A45" s="112" t="s">
        <v>226</v>
      </c>
      <c r="B45" s="138">
        <f ca="1">E38*(B43/B44)</f>
        <v>0</v>
      </c>
      <c r="C45" s="112"/>
      <c r="D45" s="132" t="s">
        <v>237</v>
      </c>
      <c r="E45" s="112"/>
      <c r="F45" s="112" t="s">
        <v>226</v>
      </c>
      <c r="G45" s="169">
        <f ca="1">+G43/G44*E38</f>
        <v>0</v>
      </c>
      <c r="H45" s="112"/>
      <c r="I45" s="112"/>
    </row>
    <row r="46" spans="1:10">
      <c r="A46" s="112" t="s">
        <v>231</v>
      </c>
      <c r="B46" s="134">
        <f ca="1">D33*100+B45</f>
        <v>100</v>
      </c>
      <c r="C46" s="112"/>
      <c r="D46" s="132" t="s">
        <v>238</v>
      </c>
      <c r="E46" s="112"/>
      <c r="F46" s="112" t="s">
        <v>231</v>
      </c>
      <c r="G46" s="136">
        <f ca="1">+D38*C26+G45</f>
        <v>100</v>
      </c>
      <c r="H46" s="112"/>
      <c r="I46" s="112"/>
    </row>
    <row r="47" spans="1:10">
      <c r="A47" s="115" t="s">
        <v>239</v>
      </c>
      <c r="B47" s="112">
        <v>98</v>
      </c>
      <c r="C47" s="112"/>
      <c r="D47" s="112"/>
      <c r="E47" s="112"/>
      <c r="F47" s="115" t="s">
        <v>239</v>
      </c>
      <c r="G47" s="112">
        <f>+C30</f>
        <v>98</v>
      </c>
      <c r="H47" s="112"/>
      <c r="I47" s="112"/>
    </row>
    <row r="48" spans="1:10">
      <c r="A48" s="112" t="s">
        <v>240</v>
      </c>
      <c r="B48" s="139">
        <f ca="1">B47/B46</f>
        <v>0.98</v>
      </c>
      <c r="C48" s="112"/>
      <c r="D48" s="132" t="s">
        <v>241</v>
      </c>
      <c r="E48" s="112"/>
      <c r="F48" s="112" t="s">
        <v>240</v>
      </c>
      <c r="G48" s="136">
        <f ca="1">+G47/G46</f>
        <v>0.98</v>
      </c>
      <c r="H48" s="112"/>
      <c r="I48" s="112"/>
    </row>
    <row r="49" spans="1:12">
      <c r="A49" s="112" t="s">
        <v>256</v>
      </c>
      <c r="B49" s="162">
        <f ca="1">E38/(C30-B45)</f>
        <v>0</v>
      </c>
      <c r="C49" s="112"/>
      <c r="D49" s="132" t="s">
        <v>257</v>
      </c>
      <c r="E49" s="112"/>
      <c r="F49" s="112" t="s">
        <v>256</v>
      </c>
      <c r="G49" s="136">
        <f ca="1">+H38/(G47-G45)</f>
        <v>4.0816326530612242E-2</v>
      </c>
      <c r="H49" s="112"/>
      <c r="I49" s="112"/>
    </row>
    <row r="50" spans="1:12">
      <c r="A50" s="112" t="s">
        <v>269</v>
      </c>
      <c r="B50" s="162">
        <f ca="1">XIRR(G32:G40,B32:B40)</f>
        <v>5.3607949614524836E-2</v>
      </c>
      <c r="C50" s="112"/>
      <c r="D50" s="132"/>
      <c r="E50" s="112"/>
      <c r="F50" s="112" t="s">
        <v>269</v>
      </c>
      <c r="G50" s="112">
        <f ca="1">+XIRR(G32:G40, B32:B40)</f>
        <v>5.3607949614524836E-2</v>
      </c>
      <c r="H50" s="112"/>
    </row>
    <row r="51" spans="1:12">
      <c r="A51" s="112"/>
      <c r="B51" s="112"/>
      <c r="C51" s="112"/>
      <c r="D51" s="112"/>
      <c r="E51" s="112"/>
      <c r="F51" s="112"/>
      <c r="G51" s="112"/>
      <c r="H51" s="112"/>
      <c r="I51" s="112"/>
    </row>
    <row r="52" spans="1:12">
      <c r="A52" s="112"/>
      <c r="B52" s="112"/>
      <c r="C52" s="112"/>
      <c r="D52" s="112"/>
      <c r="E52" s="112"/>
      <c r="F52" s="112"/>
      <c r="G52" s="112"/>
      <c r="H52" s="112"/>
      <c r="I52" s="112"/>
    </row>
    <row r="53" spans="1:12">
      <c r="A53" s="112"/>
      <c r="B53" s="162"/>
      <c r="C53" s="112"/>
      <c r="D53" s="132"/>
      <c r="E53" s="112"/>
      <c r="F53" s="112"/>
      <c r="G53" s="112"/>
      <c r="H53" s="112"/>
      <c r="I53" s="112"/>
    </row>
    <row r="54" spans="1:12">
      <c r="A54" s="112"/>
      <c r="B54" s="112"/>
      <c r="C54" s="112"/>
      <c r="D54" s="112"/>
      <c r="E54" s="112"/>
      <c r="F54" s="112"/>
      <c r="G54" s="112"/>
      <c r="H54" s="112"/>
      <c r="I54" s="112"/>
    </row>
    <row r="55" spans="1:12">
      <c r="A55" s="112"/>
      <c r="B55" s="112"/>
      <c r="C55" s="112"/>
      <c r="D55" s="112"/>
      <c r="E55" s="112"/>
      <c r="F55" s="112"/>
      <c r="G55" s="112"/>
      <c r="H55" s="112"/>
      <c r="I55" s="112"/>
    </row>
    <row r="58" spans="1:12" ht="17" thickBot="1"/>
    <row r="59" spans="1:12">
      <c r="A59" s="273" t="s">
        <v>270</v>
      </c>
      <c r="B59" s="274"/>
      <c r="C59" s="170"/>
      <c r="D59" s="170" t="s">
        <v>271</v>
      </c>
      <c r="E59" s="170" t="s">
        <v>272</v>
      </c>
      <c r="F59" s="170"/>
      <c r="G59" s="170"/>
      <c r="H59" s="170"/>
      <c r="I59" s="170"/>
      <c r="J59" s="170"/>
      <c r="K59" s="170" t="s">
        <v>273</v>
      </c>
      <c r="L59" s="171"/>
    </row>
    <row r="60" spans="1:12">
      <c r="A60" s="172" t="s">
        <v>274</v>
      </c>
      <c r="B60" s="173" t="s">
        <v>275</v>
      </c>
      <c r="C60" s="173"/>
      <c r="D60" s="173"/>
      <c r="E60" s="173" t="s">
        <v>276</v>
      </c>
      <c r="F60" s="173"/>
      <c r="G60" s="173"/>
      <c r="H60" s="173" t="s">
        <v>101</v>
      </c>
      <c r="I60" s="174">
        <f>XIRR(I62:I71,D62:D71)</f>
        <v>-0.73664159141480934</v>
      </c>
      <c r="J60" s="173"/>
      <c r="K60" s="173" t="s">
        <v>277</v>
      </c>
      <c r="L60" s="175" t="s">
        <v>278</v>
      </c>
    </row>
    <row r="61" spans="1:12" ht="17" thickBot="1">
      <c r="A61" s="176"/>
      <c r="B61" s="177">
        <v>45014</v>
      </c>
      <c r="C61" s="178" t="s">
        <v>279</v>
      </c>
      <c r="D61" s="178" t="s">
        <v>175</v>
      </c>
      <c r="E61" s="178" t="s">
        <v>210</v>
      </c>
      <c r="F61" s="178" t="s">
        <v>280</v>
      </c>
      <c r="G61" s="178" t="s">
        <v>218</v>
      </c>
      <c r="H61" s="178" t="s">
        <v>212</v>
      </c>
      <c r="I61" s="178" t="s">
        <v>219</v>
      </c>
      <c r="J61" s="178" t="s">
        <v>281</v>
      </c>
      <c r="K61" s="179">
        <f t="shared" ref="K61:L61" si="7">SUM(K62:K71)</f>
        <v>0</v>
      </c>
      <c r="L61" s="180">
        <f t="shared" si="7"/>
        <v>0</v>
      </c>
    </row>
    <row r="62" spans="1:12" ht="17" thickBot="1">
      <c r="A62" s="181"/>
      <c r="B62" s="181"/>
      <c r="C62" s="182"/>
      <c r="D62" s="183">
        <f>+B61</f>
        <v>45014</v>
      </c>
      <c r="E62" s="182"/>
      <c r="F62" s="182"/>
      <c r="G62" s="182"/>
      <c r="H62" s="182"/>
      <c r="I62" s="184">
        <f>-B80</f>
        <v>-379.55</v>
      </c>
      <c r="J62" s="185"/>
      <c r="K62" s="182"/>
      <c r="L62" s="182"/>
    </row>
    <row r="63" spans="1:12">
      <c r="A63" s="273" t="s">
        <v>282</v>
      </c>
      <c r="B63" s="275"/>
      <c r="C63" s="118"/>
      <c r="D63" s="119">
        <v>43915</v>
      </c>
      <c r="E63" s="120"/>
      <c r="F63" s="121"/>
      <c r="G63" s="121">
        <f t="shared" ref="G63:G65" si="8">+E63*F63</f>
        <v>0</v>
      </c>
      <c r="H63" s="121">
        <v>0</v>
      </c>
      <c r="I63" s="187">
        <f>+H63+G63</f>
        <v>0</v>
      </c>
      <c r="J63" s="121"/>
      <c r="K63" s="121"/>
      <c r="L63" s="121"/>
    </row>
    <row r="64" spans="1:12">
      <c r="A64" s="271" t="s">
        <v>270</v>
      </c>
      <c r="B64" s="272"/>
      <c r="C64" s="118">
        <v>1</v>
      </c>
      <c r="D64" s="119">
        <v>44099</v>
      </c>
      <c r="E64" s="120"/>
      <c r="F64" s="121"/>
      <c r="G64" s="121">
        <f t="shared" si="8"/>
        <v>0</v>
      </c>
      <c r="H64" s="121">
        <v>0</v>
      </c>
      <c r="I64" s="187">
        <f t="shared" ref="I64:I70" si="9">+H64+G64</f>
        <v>0</v>
      </c>
      <c r="J64" s="121"/>
      <c r="K64" s="121"/>
      <c r="L64" s="121"/>
    </row>
    <row r="65" spans="1:12">
      <c r="A65" s="172" t="s">
        <v>174</v>
      </c>
      <c r="B65" s="175" t="s">
        <v>175</v>
      </c>
      <c r="C65" s="118">
        <f t="shared" ref="C65:C71" si="10">C64+1</f>
        <v>2</v>
      </c>
      <c r="D65" s="119">
        <v>44280</v>
      </c>
      <c r="E65" s="120"/>
      <c r="F65" s="121"/>
      <c r="G65" s="121">
        <f t="shared" si="8"/>
        <v>0</v>
      </c>
      <c r="H65" s="121">
        <v>0</v>
      </c>
      <c r="I65" s="187">
        <f t="shared" si="9"/>
        <v>0</v>
      </c>
      <c r="J65" s="121"/>
      <c r="K65" s="121"/>
      <c r="L65" s="121"/>
    </row>
    <row r="66" spans="1:12">
      <c r="A66" s="188">
        <v>43915</v>
      </c>
      <c r="B66" s="189">
        <v>45376</v>
      </c>
      <c r="C66" s="118">
        <f t="shared" si="10"/>
        <v>3</v>
      </c>
      <c r="D66" s="119">
        <v>44464</v>
      </c>
      <c r="E66" s="120"/>
      <c r="F66" s="121"/>
      <c r="G66" s="121">
        <f>+E66*F66</f>
        <v>0</v>
      </c>
      <c r="H66" s="121">
        <v>0</v>
      </c>
      <c r="I66" s="187">
        <f t="shared" si="9"/>
        <v>0</v>
      </c>
      <c r="J66" s="121"/>
      <c r="K66" s="121"/>
      <c r="L66" s="121"/>
    </row>
    <row r="67" spans="1:12">
      <c r="A67" s="271" t="s">
        <v>219</v>
      </c>
      <c r="B67" s="272"/>
      <c r="C67" s="118">
        <f t="shared" si="10"/>
        <v>4</v>
      </c>
      <c r="D67" s="119">
        <v>44645</v>
      </c>
      <c r="E67" s="120"/>
      <c r="F67" s="121"/>
      <c r="G67" s="121"/>
      <c r="H67" s="121">
        <v>0</v>
      </c>
      <c r="I67" s="187">
        <f t="shared" si="9"/>
        <v>0</v>
      </c>
      <c r="J67" s="121"/>
      <c r="K67" s="121"/>
      <c r="L67" s="121"/>
    </row>
    <row r="68" spans="1:12">
      <c r="A68" s="172" t="s">
        <v>283</v>
      </c>
      <c r="B68" s="175" t="s">
        <v>284</v>
      </c>
      <c r="C68" s="118">
        <f t="shared" si="10"/>
        <v>5</v>
      </c>
      <c r="D68" s="119">
        <v>44829</v>
      </c>
      <c r="E68" s="120"/>
      <c r="F68" s="121"/>
      <c r="G68" s="121"/>
      <c r="H68" s="121">
        <v>0</v>
      </c>
      <c r="I68" s="187">
        <f t="shared" si="9"/>
        <v>0</v>
      </c>
      <c r="J68" s="121"/>
      <c r="K68" s="121"/>
      <c r="L68" s="121"/>
    </row>
    <row r="69" spans="1:12">
      <c r="A69" s="188">
        <v>45010</v>
      </c>
      <c r="B69" s="190">
        <v>45194</v>
      </c>
      <c r="C69" s="118">
        <f t="shared" si="10"/>
        <v>6</v>
      </c>
      <c r="D69" s="119">
        <v>45010</v>
      </c>
      <c r="E69" s="120"/>
      <c r="F69" s="121"/>
      <c r="G69" s="121"/>
      <c r="H69" s="121">
        <v>0</v>
      </c>
      <c r="I69" s="187">
        <f t="shared" si="9"/>
        <v>0</v>
      </c>
      <c r="J69" s="121"/>
      <c r="K69" s="121"/>
      <c r="L69" s="121"/>
    </row>
    <row r="70" spans="1:12" ht="17" thickBot="1">
      <c r="A70" s="271" t="s">
        <v>285</v>
      </c>
      <c r="B70" s="272"/>
      <c r="C70" s="118">
        <f t="shared" si="10"/>
        <v>7</v>
      </c>
      <c r="D70" s="119">
        <v>45194</v>
      </c>
      <c r="E70" s="120">
        <f t="shared" ref="E70:E71" si="11">1.4%/2</f>
        <v>6.9999999999999993E-3</v>
      </c>
      <c r="F70" s="121">
        <v>100</v>
      </c>
      <c r="G70" s="121">
        <f t="shared" ref="G70" si="12">+E70*F70</f>
        <v>0.7</v>
      </c>
      <c r="H70" s="121">
        <v>0</v>
      </c>
      <c r="I70" s="187">
        <f t="shared" si="9"/>
        <v>0.7</v>
      </c>
      <c r="J70" s="121"/>
      <c r="K70" s="121"/>
      <c r="L70" s="121"/>
    </row>
    <row r="71" spans="1:12">
      <c r="A71" s="191">
        <v>1.4E-2</v>
      </c>
      <c r="B71" s="192" t="s">
        <v>295</v>
      </c>
      <c r="C71" s="118">
        <f t="shared" si="10"/>
        <v>8</v>
      </c>
      <c r="D71" s="119">
        <f>+B66</f>
        <v>45376</v>
      </c>
      <c r="E71" s="120">
        <f t="shared" si="11"/>
        <v>6.9999999999999993E-3</v>
      </c>
      <c r="F71" s="121">
        <v>100</v>
      </c>
      <c r="G71" s="121">
        <f>+E71*F71</f>
        <v>0.7</v>
      </c>
      <c r="H71" s="121">
        <v>100</v>
      </c>
      <c r="I71" s="187">
        <f>+H71+G71</f>
        <v>100.7</v>
      </c>
      <c r="J71" s="121"/>
      <c r="K71" s="121"/>
      <c r="L71" s="121"/>
    </row>
    <row r="72" spans="1:12" ht="17" thickBot="1">
      <c r="A72" s="271" t="s">
        <v>286</v>
      </c>
      <c r="B72" s="272"/>
      <c r="C72" s="118"/>
      <c r="D72" s="119"/>
      <c r="E72" s="120"/>
      <c r="F72" s="121"/>
      <c r="G72" s="121"/>
      <c r="H72" s="121"/>
      <c r="I72" s="187"/>
      <c r="J72" s="121"/>
      <c r="K72" s="121"/>
      <c r="L72" s="121"/>
    </row>
    <row r="73" spans="1:12">
      <c r="A73" s="278" t="s">
        <v>296</v>
      </c>
      <c r="B73" s="279"/>
      <c r="C73" s="118"/>
      <c r="D73" s="119"/>
      <c r="E73" s="120"/>
      <c r="F73" s="121"/>
      <c r="G73" s="121"/>
      <c r="H73" s="121"/>
      <c r="I73" s="187"/>
      <c r="J73" s="121"/>
      <c r="K73" s="121"/>
      <c r="L73" s="121"/>
    </row>
    <row r="74" spans="1:12">
      <c r="A74" s="172" t="s">
        <v>287</v>
      </c>
      <c r="B74" s="175" t="s">
        <v>288</v>
      </c>
      <c r="C74" s="118"/>
      <c r="D74" s="119"/>
      <c r="E74" s="120"/>
      <c r="F74" s="121"/>
      <c r="G74" s="121"/>
      <c r="H74" s="121"/>
      <c r="I74" s="187"/>
      <c r="J74" s="121"/>
      <c r="K74" s="121"/>
      <c r="L74" s="121"/>
    </row>
    <row r="75" spans="1:12" ht="17" thickBot="1">
      <c r="A75" s="193"/>
      <c r="B75" s="194"/>
      <c r="C75" s="118"/>
      <c r="D75" s="119"/>
      <c r="E75" s="120"/>
      <c r="F75" s="121"/>
      <c r="G75" s="121"/>
      <c r="H75" s="121"/>
      <c r="I75" s="187"/>
      <c r="J75" s="121"/>
      <c r="K75" s="121"/>
      <c r="L75" s="121"/>
    </row>
    <row r="76" spans="1:12" ht="17" thickBot="1">
      <c r="A76" s="112"/>
      <c r="B76" s="112"/>
      <c r="C76" s="118"/>
      <c r="D76" s="119"/>
      <c r="E76" s="120"/>
      <c r="F76" s="121"/>
      <c r="G76" s="121"/>
      <c r="H76" s="121"/>
      <c r="I76" s="187"/>
      <c r="J76" s="121"/>
      <c r="K76" s="121"/>
      <c r="L76" s="121"/>
    </row>
    <row r="77" spans="1:12">
      <c r="A77" s="273" t="s">
        <v>289</v>
      </c>
      <c r="B77" s="275"/>
      <c r="C77" s="118"/>
      <c r="D77" s="119"/>
      <c r="E77" s="120"/>
      <c r="F77" s="121"/>
      <c r="G77" s="121"/>
      <c r="H77" s="121"/>
      <c r="I77" s="187"/>
      <c r="J77" s="121"/>
      <c r="K77" s="121"/>
      <c r="L77" s="121"/>
    </row>
    <row r="78" spans="1:12">
      <c r="A78" s="271" t="s">
        <v>115</v>
      </c>
      <c r="B78" s="272"/>
      <c r="C78" s="118"/>
      <c r="D78" s="119"/>
      <c r="E78" s="120"/>
      <c r="F78" s="121"/>
      <c r="G78" s="121"/>
      <c r="H78" s="121"/>
      <c r="I78" s="187"/>
      <c r="J78" s="121"/>
      <c r="K78" s="121"/>
      <c r="L78" s="121"/>
    </row>
    <row r="79" spans="1:12" ht="17" thickBot="1">
      <c r="A79" s="172" t="s">
        <v>290</v>
      </c>
      <c r="B79" s="175" t="s">
        <v>291</v>
      </c>
      <c r="C79" s="118"/>
      <c r="D79" s="119"/>
      <c r="E79" s="120"/>
      <c r="F79" s="121"/>
      <c r="G79" s="121"/>
      <c r="H79" s="121"/>
      <c r="I79" s="187"/>
      <c r="J79" s="121"/>
      <c r="K79" s="121"/>
      <c r="L79" s="121"/>
    </row>
    <row r="80" spans="1:12" ht="18" thickTop="1" thickBot="1">
      <c r="A80" s="195"/>
      <c r="B80" s="196">
        <v>379.55</v>
      </c>
      <c r="C80" s="118"/>
      <c r="D80" s="119"/>
      <c r="E80" s="120"/>
      <c r="F80" s="121"/>
      <c r="G80" s="121"/>
      <c r="H80" s="121"/>
      <c r="I80" s="187"/>
      <c r="J80" s="121"/>
      <c r="K80" s="121"/>
      <c r="L80" s="121"/>
    </row>
    <row r="81" spans="1:12" ht="17" thickTop="1">
      <c r="A81" s="172" t="s">
        <v>292</v>
      </c>
      <c r="B81" s="175" t="s">
        <v>293</v>
      </c>
      <c r="C81" s="118"/>
      <c r="D81" s="119"/>
      <c r="E81" s="120"/>
      <c r="F81" s="121"/>
      <c r="G81" s="121"/>
      <c r="H81" s="121"/>
      <c r="I81" s="121"/>
      <c r="J81" s="121"/>
      <c r="K81" s="121"/>
      <c r="L81" s="121"/>
    </row>
    <row r="82" spans="1:12">
      <c r="A82" s="197"/>
      <c r="B82" s="198"/>
      <c r="C82" s="118"/>
      <c r="D82" s="119"/>
      <c r="E82" s="120"/>
      <c r="F82" s="121"/>
      <c r="G82" s="121"/>
      <c r="H82" s="121"/>
      <c r="I82" s="121"/>
      <c r="J82" s="121"/>
      <c r="K82" s="121"/>
      <c r="L82" s="121"/>
    </row>
    <row r="83" spans="1:12">
      <c r="A83" s="172" t="s">
        <v>234</v>
      </c>
      <c r="B83" s="175" t="s">
        <v>294</v>
      </c>
      <c r="C83" s="118"/>
      <c r="D83" s="119"/>
      <c r="E83" s="120"/>
      <c r="F83" s="121"/>
      <c r="G83" s="121"/>
      <c r="H83" s="121"/>
      <c r="I83" s="121"/>
      <c r="J83" s="121"/>
      <c r="K83" s="121"/>
      <c r="L83" s="121"/>
    </row>
    <row r="84" spans="1:12" ht="17" thickBot="1">
      <c r="A84" s="199"/>
      <c r="B84" s="200">
        <f>+(D62-D66)/360*G67</f>
        <v>0</v>
      </c>
      <c r="C84" s="118"/>
      <c r="D84" s="119"/>
      <c r="E84" s="120"/>
      <c r="F84" s="121"/>
      <c r="G84" s="121"/>
      <c r="H84" s="121"/>
      <c r="I84" s="121"/>
      <c r="J84" s="121"/>
      <c r="K84" s="121"/>
      <c r="L84" s="121"/>
    </row>
    <row r="85" spans="1:12">
      <c r="A85" s="181"/>
      <c r="B85" s="181"/>
      <c r="C85" s="118"/>
      <c r="D85" s="119"/>
      <c r="E85" s="120"/>
      <c r="F85" s="121"/>
      <c r="G85" s="121"/>
      <c r="H85" s="121"/>
      <c r="I85" s="121"/>
      <c r="J85" s="121"/>
      <c r="K85" s="121"/>
      <c r="L85" s="121"/>
    </row>
    <row r="89" spans="1:12">
      <c r="A89" s="276" t="s">
        <v>270</v>
      </c>
      <c r="B89" s="277"/>
      <c r="C89" s="201"/>
      <c r="D89" s="201" t="s">
        <v>271</v>
      </c>
      <c r="E89" s="201" t="s">
        <v>297</v>
      </c>
      <c r="F89" s="201"/>
      <c r="G89" s="201"/>
      <c r="H89" s="201"/>
      <c r="I89" s="201"/>
      <c r="J89" s="201"/>
      <c r="K89" s="201" t="s">
        <v>273</v>
      </c>
      <c r="L89" s="201"/>
    </row>
    <row r="90" spans="1:12">
      <c r="A90" s="202" t="s">
        <v>274</v>
      </c>
      <c r="B90" s="202" t="s">
        <v>275</v>
      </c>
      <c r="C90" s="201"/>
      <c r="D90" s="201"/>
      <c r="E90" s="201"/>
      <c r="F90" s="201"/>
      <c r="G90" s="201"/>
      <c r="H90" s="201" t="s">
        <v>101</v>
      </c>
      <c r="I90" s="203" t="e">
        <f>XIRR(I92:I110,D92:D110)</f>
        <v>#NUM!</v>
      </c>
      <c r="J90" s="201"/>
      <c r="K90" s="201" t="s">
        <v>277</v>
      </c>
      <c r="L90" s="201" t="s">
        <v>278</v>
      </c>
    </row>
    <row r="91" spans="1:12" ht="17" thickBot="1">
      <c r="A91" s="176"/>
      <c r="B91" s="177"/>
      <c r="C91" s="201" t="s">
        <v>279</v>
      </c>
      <c r="D91" s="201" t="s">
        <v>175</v>
      </c>
      <c r="E91" s="201" t="s">
        <v>210</v>
      </c>
      <c r="F91" s="201" t="s">
        <v>280</v>
      </c>
      <c r="G91" s="201" t="s">
        <v>218</v>
      </c>
      <c r="H91" s="201" t="s">
        <v>212</v>
      </c>
      <c r="I91" s="201" t="s">
        <v>219</v>
      </c>
      <c r="J91" s="201" t="s">
        <v>281</v>
      </c>
      <c r="K91" s="204">
        <f>SUM(K93:K110)</f>
        <v>0</v>
      </c>
      <c r="L91" s="204">
        <f>SUM(L93:L110)</f>
        <v>0</v>
      </c>
    </row>
    <row r="92" spans="1:12">
      <c r="A92" s="181"/>
      <c r="B92" s="181"/>
      <c r="C92" s="118"/>
      <c r="D92" s="205"/>
      <c r="E92" s="118"/>
      <c r="F92" s="118"/>
      <c r="G92" s="118"/>
      <c r="H92" s="118"/>
      <c r="I92" s="206"/>
      <c r="J92" s="121"/>
      <c r="K92" s="118"/>
      <c r="L92" s="118"/>
    </row>
    <row r="93" spans="1:12">
      <c r="A93" s="276" t="s">
        <v>282</v>
      </c>
      <c r="B93" s="277"/>
      <c r="C93" s="118"/>
      <c r="D93" s="119"/>
      <c r="E93" s="120"/>
      <c r="F93" s="121"/>
      <c r="G93" s="186"/>
      <c r="H93" s="121"/>
      <c r="I93" s="121"/>
      <c r="J93" s="121"/>
      <c r="K93" s="121"/>
      <c r="L93" s="121"/>
    </row>
    <row r="94" spans="1:12">
      <c r="A94" s="276" t="s">
        <v>270</v>
      </c>
      <c r="B94" s="277"/>
      <c r="C94" s="118"/>
      <c r="D94" s="119"/>
      <c r="E94" s="120"/>
      <c r="F94" s="121"/>
      <c r="G94" s="121"/>
      <c r="H94" s="121"/>
      <c r="I94" s="121"/>
      <c r="J94" s="121"/>
      <c r="K94" s="121"/>
      <c r="L94" s="121"/>
    </row>
    <row r="95" spans="1:12" ht="17" thickBot="1">
      <c r="A95" s="201" t="s">
        <v>174</v>
      </c>
      <c r="B95" s="201" t="s">
        <v>175</v>
      </c>
      <c r="C95" s="118"/>
      <c r="D95" s="119"/>
      <c r="E95" s="120"/>
      <c r="F95" s="121"/>
      <c r="G95" s="121"/>
      <c r="H95" s="121"/>
      <c r="I95" s="121"/>
      <c r="J95" s="121"/>
      <c r="K95" s="121"/>
      <c r="L95" s="121"/>
    </row>
    <row r="96" spans="1:12" ht="17" thickBot="1">
      <c r="A96" s="207"/>
      <c r="B96" s="208"/>
      <c r="C96" s="118"/>
      <c r="D96" s="119"/>
      <c r="E96" s="120"/>
      <c r="F96" s="121"/>
      <c r="G96" s="121"/>
      <c r="H96" s="121"/>
      <c r="I96" s="121"/>
      <c r="J96" s="121"/>
      <c r="K96" s="121"/>
      <c r="L96" s="121"/>
    </row>
    <row r="97" spans="1:12">
      <c r="A97" s="276" t="s">
        <v>219</v>
      </c>
      <c r="B97" s="277"/>
      <c r="C97" s="118"/>
      <c r="D97" s="119"/>
      <c r="E97" s="120"/>
      <c r="F97" s="121"/>
      <c r="G97" s="121"/>
      <c r="H97" s="121"/>
      <c r="I97" s="121"/>
      <c r="J97" s="121"/>
      <c r="K97" s="121"/>
      <c r="L97" s="121"/>
    </row>
    <row r="98" spans="1:12">
      <c r="A98" s="201" t="s">
        <v>283</v>
      </c>
      <c r="B98" s="201" t="s">
        <v>284</v>
      </c>
      <c r="C98" s="118"/>
      <c r="D98" s="119"/>
      <c r="E98" s="120"/>
      <c r="F98" s="121"/>
      <c r="G98" s="121"/>
      <c r="H98" s="121"/>
      <c r="I98" s="121"/>
      <c r="J98" s="121"/>
      <c r="K98" s="121"/>
      <c r="L98" s="121"/>
    </row>
    <row r="99" spans="1:12">
      <c r="A99" s="209"/>
      <c r="B99" s="209"/>
      <c r="C99" s="118"/>
      <c r="D99" s="119"/>
      <c r="E99" s="120"/>
      <c r="F99" s="121"/>
      <c r="G99" s="121"/>
      <c r="H99" s="121"/>
      <c r="I99" s="121"/>
      <c r="J99" s="121"/>
      <c r="K99" s="121"/>
      <c r="L99" s="121"/>
    </row>
    <row r="100" spans="1:12" ht="17" thickBot="1">
      <c r="A100" s="276" t="s">
        <v>285</v>
      </c>
      <c r="B100" s="277"/>
      <c r="C100" s="118"/>
      <c r="D100" s="119"/>
      <c r="E100" s="120"/>
      <c r="F100" s="121"/>
      <c r="G100" s="121"/>
      <c r="H100" s="121"/>
      <c r="I100" s="121"/>
      <c r="J100" s="121"/>
      <c r="K100" s="121"/>
      <c r="L100" s="121"/>
    </row>
    <row r="101" spans="1:12">
      <c r="A101" s="162"/>
      <c r="B101" s="192"/>
      <c r="C101" s="118"/>
      <c r="D101" s="119"/>
      <c r="E101" s="120"/>
      <c r="F101" s="121"/>
      <c r="G101" s="121"/>
      <c r="H101" s="121"/>
      <c r="I101" s="121"/>
      <c r="J101" s="121"/>
      <c r="K101" s="121"/>
      <c r="L101" s="121"/>
    </row>
    <row r="102" spans="1:12" ht="17" thickBot="1">
      <c r="A102" s="276" t="s">
        <v>286</v>
      </c>
      <c r="B102" s="277"/>
      <c r="C102" s="118"/>
      <c r="D102" s="119"/>
      <c r="E102" s="120"/>
      <c r="F102" s="121"/>
      <c r="G102" s="121"/>
      <c r="H102" s="121"/>
      <c r="I102" s="121"/>
      <c r="J102" s="121"/>
      <c r="K102" s="121"/>
      <c r="L102" s="121"/>
    </row>
    <row r="103" spans="1:12">
      <c r="A103" s="278"/>
      <c r="B103" s="279"/>
      <c r="C103" s="118"/>
      <c r="D103" s="119"/>
      <c r="E103" s="120"/>
      <c r="F103" s="121"/>
      <c r="G103" s="121"/>
      <c r="H103" s="121"/>
      <c r="I103" s="121"/>
      <c r="J103" s="121"/>
      <c r="K103" s="121"/>
      <c r="L103" s="121"/>
    </row>
    <row r="104" spans="1:12">
      <c r="A104" s="201" t="s">
        <v>287</v>
      </c>
      <c r="B104" s="201" t="s">
        <v>288</v>
      </c>
      <c r="C104" s="118"/>
      <c r="D104" s="119"/>
      <c r="E104" s="120"/>
      <c r="F104" s="121"/>
      <c r="G104" s="121"/>
      <c r="H104" s="121"/>
      <c r="I104" s="121"/>
      <c r="J104" s="121"/>
      <c r="K104" s="121"/>
      <c r="L104" s="121"/>
    </row>
    <row r="105" spans="1:12" ht="17" thickBot="1">
      <c r="A105" s="193"/>
      <c r="B105" s="194"/>
      <c r="C105" s="118"/>
      <c r="D105" s="119"/>
      <c r="E105" s="120"/>
      <c r="F105" s="121"/>
      <c r="G105" s="121"/>
      <c r="H105" s="121"/>
      <c r="I105" s="121"/>
      <c r="J105" s="121"/>
      <c r="K105" s="121"/>
      <c r="L105" s="121"/>
    </row>
    <row r="106" spans="1:12">
      <c r="A106" s="112"/>
      <c r="B106" s="112"/>
      <c r="C106" s="118"/>
      <c r="D106" s="119"/>
      <c r="E106" s="120"/>
      <c r="F106" s="121"/>
      <c r="G106" s="121"/>
      <c r="H106" s="121"/>
      <c r="I106" s="121"/>
      <c r="J106" s="121"/>
      <c r="K106" s="121"/>
      <c r="L106" s="121"/>
    </row>
    <row r="107" spans="1:12">
      <c r="A107" s="276" t="s">
        <v>289</v>
      </c>
      <c r="B107" s="277"/>
      <c r="C107" s="118"/>
      <c r="D107" s="119"/>
      <c r="E107" s="120"/>
      <c r="F107" s="121"/>
      <c r="G107" s="121"/>
      <c r="H107" s="121"/>
      <c r="I107" s="121"/>
      <c r="J107" s="121"/>
      <c r="K107" s="121"/>
      <c r="L107" s="121"/>
    </row>
    <row r="108" spans="1:12">
      <c r="A108" s="276" t="s">
        <v>115</v>
      </c>
      <c r="B108" s="277"/>
      <c r="C108" s="118"/>
      <c r="D108" s="119"/>
      <c r="E108" s="120"/>
      <c r="F108" s="121"/>
      <c r="G108" s="121"/>
      <c r="H108" s="121"/>
      <c r="I108" s="121"/>
      <c r="J108" s="121"/>
      <c r="K108" s="121"/>
      <c r="L108" s="121"/>
    </row>
    <row r="109" spans="1:12">
      <c r="A109" s="201" t="s">
        <v>290</v>
      </c>
      <c r="B109" s="201" t="s">
        <v>291</v>
      </c>
      <c r="C109" s="118"/>
      <c r="D109" s="119"/>
      <c r="E109" s="120"/>
      <c r="F109" s="121"/>
      <c r="G109" s="121"/>
      <c r="H109" s="121"/>
      <c r="I109" s="121"/>
      <c r="J109" s="121"/>
      <c r="K109" s="121"/>
      <c r="L109" s="121"/>
    </row>
    <row r="110" spans="1:12">
      <c r="A110" s="195"/>
      <c r="B110" s="210"/>
      <c r="C110" s="118"/>
      <c r="D110" s="119"/>
      <c r="E110" s="120"/>
      <c r="F110" s="121"/>
      <c r="G110" s="121"/>
      <c r="H110" s="121"/>
      <c r="I110" s="121"/>
      <c r="J110" s="121"/>
      <c r="K110" s="121"/>
      <c r="L110" s="121"/>
    </row>
    <row r="111" spans="1:12">
      <c r="A111" s="201" t="s">
        <v>292</v>
      </c>
      <c r="B111" s="201" t="s">
        <v>293</v>
      </c>
      <c r="C111" s="118"/>
      <c r="D111" s="119"/>
      <c r="E111" s="120"/>
      <c r="F111" s="121"/>
      <c r="G111" s="121"/>
      <c r="H111" s="121"/>
      <c r="I111" s="121"/>
      <c r="J111" s="121"/>
      <c r="K111" s="121"/>
      <c r="L111" s="121"/>
    </row>
    <row r="112" spans="1:12">
      <c r="A112" s="195"/>
      <c r="B112" s="210"/>
      <c r="C112" s="118"/>
      <c r="D112" s="119"/>
      <c r="E112" s="120"/>
      <c r="F112" s="121"/>
      <c r="G112" s="121"/>
      <c r="H112" s="121"/>
      <c r="I112" s="121"/>
      <c r="J112" s="121"/>
      <c r="K112" s="121"/>
      <c r="L112" s="121"/>
    </row>
    <row r="113" spans="1:12">
      <c r="A113" s="201" t="s">
        <v>234</v>
      </c>
      <c r="B113" s="201" t="s">
        <v>294</v>
      </c>
      <c r="C113" s="118"/>
      <c r="D113" s="119"/>
      <c r="E113" s="120"/>
      <c r="F113" s="121"/>
      <c r="G113" s="121"/>
      <c r="H113" s="121"/>
      <c r="I113" s="121"/>
      <c r="J113" s="121"/>
      <c r="K113" s="121"/>
      <c r="L113" s="121"/>
    </row>
    <row r="114" spans="1:12" ht="17" thickBot="1">
      <c r="A114" s="199"/>
      <c r="B114" s="200"/>
      <c r="C114" s="118"/>
      <c r="D114" s="119"/>
      <c r="E114" s="120"/>
      <c r="F114" s="121"/>
      <c r="G114" s="121"/>
      <c r="H114" s="121"/>
      <c r="I114" s="121"/>
      <c r="J114" s="121"/>
      <c r="K114" s="121"/>
      <c r="L114" s="121"/>
    </row>
  </sheetData>
  <mergeCells count="18">
    <mergeCell ref="A108:B108"/>
    <mergeCell ref="A73:B73"/>
    <mergeCell ref="A77:B77"/>
    <mergeCell ref="A78:B78"/>
    <mergeCell ref="A89:B89"/>
    <mergeCell ref="A93:B93"/>
    <mergeCell ref="A94:B94"/>
    <mergeCell ref="A97:B97"/>
    <mergeCell ref="A100:B100"/>
    <mergeCell ref="A102:B102"/>
    <mergeCell ref="A103:B103"/>
    <mergeCell ref="A107:B107"/>
    <mergeCell ref="A72:B72"/>
    <mergeCell ref="A59:B59"/>
    <mergeCell ref="A63:B63"/>
    <mergeCell ref="A64:B64"/>
    <mergeCell ref="A67:B67"/>
    <mergeCell ref="A70:B7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3F093-8127-814C-85B8-1062D3D5252F}">
  <sheetPr>
    <tabColor theme="5" tint="0.39997558519241921"/>
  </sheetPr>
  <dimension ref="A1:AH206"/>
  <sheetViews>
    <sheetView topLeftCell="A126" zoomScale="135" workbookViewId="0">
      <selection activeCell="H139" sqref="H139"/>
    </sheetView>
  </sheetViews>
  <sheetFormatPr baseColWidth="10" defaultRowHeight="16"/>
  <cols>
    <col min="1" max="1" width="37.33203125" customWidth="1"/>
    <col min="6" max="6" width="11.83203125" customWidth="1"/>
  </cols>
  <sheetData>
    <row r="1" spans="1:4" ht="21">
      <c r="A1" s="111" t="s">
        <v>319</v>
      </c>
    </row>
    <row r="2" spans="1:4">
      <c r="A2" t="s">
        <v>320</v>
      </c>
      <c r="B2" t="s">
        <v>300</v>
      </c>
    </row>
    <row r="12" spans="1:4">
      <c r="C12" t="s">
        <v>298</v>
      </c>
      <c r="D12" t="s">
        <v>299</v>
      </c>
    </row>
    <row r="17" spans="1:14">
      <c r="A17" t="s">
        <v>301</v>
      </c>
    </row>
    <row r="19" spans="1:14" ht="21">
      <c r="B19" s="111" t="s">
        <v>314</v>
      </c>
      <c r="C19" s="112"/>
      <c r="D19" s="112"/>
      <c r="E19" s="112"/>
      <c r="G19" s="111" t="s">
        <v>315</v>
      </c>
      <c r="L19" s="111" t="s">
        <v>318</v>
      </c>
    </row>
    <row r="20" spans="1:14">
      <c r="B20" s="112"/>
      <c r="C20" s="112"/>
      <c r="D20" s="112"/>
      <c r="E20" s="112"/>
    </row>
    <row r="21" spans="1:14" ht="19">
      <c r="B21" s="113" t="s">
        <v>199</v>
      </c>
      <c r="C21" s="112"/>
      <c r="D21" s="112"/>
      <c r="E21" s="112"/>
      <c r="G21" s="113" t="s">
        <v>199</v>
      </c>
      <c r="H21" s="112"/>
      <c r="I21" s="112"/>
      <c r="J21" s="112"/>
      <c r="L21" s="113" t="s">
        <v>199</v>
      </c>
      <c r="M21" s="112"/>
      <c r="N21" s="112"/>
    </row>
    <row r="22" spans="1:14" ht="19">
      <c r="B22" s="113"/>
      <c r="C22" s="112"/>
      <c r="D22" s="112"/>
      <c r="E22" s="112"/>
      <c r="G22" s="113"/>
      <c r="H22" s="112"/>
      <c r="I22" s="112"/>
      <c r="J22" s="112"/>
      <c r="L22" s="113"/>
      <c r="M22" s="112"/>
      <c r="N22" s="112"/>
    </row>
    <row r="23" spans="1:14">
      <c r="B23" s="112" t="s">
        <v>302</v>
      </c>
      <c r="C23" s="112"/>
      <c r="D23" s="112"/>
      <c r="E23" s="112"/>
      <c r="G23" s="112" t="s">
        <v>312</v>
      </c>
      <c r="H23" s="112"/>
      <c r="I23" s="112"/>
      <c r="J23" s="112"/>
      <c r="L23" s="112" t="s">
        <v>316</v>
      </c>
      <c r="M23" s="112"/>
      <c r="N23" s="112"/>
    </row>
    <row r="24" spans="1:14">
      <c r="B24" s="112"/>
      <c r="C24" s="112"/>
      <c r="D24" s="112"/>
      <c r="E24" s="112"/>
      <c r="G24" s="112" t="s">
        <v>313</v>
      </c>
      <c r="H24" s="112"/>
      <c r="I24" s="112"/>
      <c r="J24" s="112"/>
      <c r="L24" s="112"/>
      <c r="M24" s="112"/>
      <c r="N24" s="112"/>
    </row>
    <row r="25" spans="1:14">
      <c r="B25" s="211"/>
      <c r="C25" s="212" t="s">
        <v>303</v>
      </c>
      <c r="D25" s="212" t="s">
        <v>304</v>
      </c>
      <c r="E25" s="212" t="s">
        <v>305</v>
      </c>
      <c r="G25" s="211"/>
      <c r="H25" s="212" t="s">
        <v>303</v>
      </c>
      <c r="I25" s="212" t="s">
        <v>304</v>
      </c>
      <c r="J25" s="212" t="s">
        <v>305</v>
      </c>
      <c r="L25" s="211"/>
      <c r="M25" s="212" t="s">
        <v>303</v>
      </c>
      <c r="N25" s="212" t="s">
        <v>304</v>
      </c>
    </row>
    <row r="26" spans="1:14">
      <c r="B26" s="213" t="s">
        <v>202</v>
      </c>
      <c r="C26" s="112">
        <v>100</v>
      </c>
      <c r="D26" s="112">
        <v>100</v>
      </c>
      <c r="E26" s="112">
        <v>100</v>
      </c>
      <c r="G26" s="213" t="s">
        <v>202</v>
      </c>
      <c r="H26" s="112">
        <v>100</v>
      </c>
      <c r="I26" s="112">
        <v>100</v>
      </c>
      <c r="J26" s="112">
        <v>100</v>
      </c>
      <c r="L26" s="213" t="s">
        <v>202</v>
      </c>
      <c r="M26" s="112">
        <v>100</v>
      </c>
      <c r="N26" s="112">
        <v>100</v>
      </c>
    </row>
    <row r="27" spans="1:14">
      <c r="B27" s="213" t="s">
        <v>306</v>
      </c>
      <c r="C27" s="214">
        <v>0.1</v>
      </c>
      <c r="D27" s="214">
        <v>0.1</v>
      </c>
      <c r="E27" s="214">
        <v>0.1</v>
      </c>
      <c r="G27" s="213" t="s">
        <v>306</v>
      </c>
      <c r="H27" s="214">
        <v>0</v>
      </c>
      <c r="I27" s="214">
        <v>0</v>
      </c>
      <c r="J27" s="214">
        <v>0</v>
      </c>
      <c r="L27" s="213" t="s">
        <v>306</v>
      </c>
      <c r="M27" s="214">
        <v>0.1</v>
      </c>
      <c r="N27" s="214">
        <v>0.1</v>
      </c>
    </row>
    <row r="28" spans="1:14">
      <c r="B28" s="213" t="s">
        <v>269</v>
      </c>
      <c r="C28" s="214">
        <v>0.1</v>
      </c>
      <c r="D28" s="214">
        <v>0.1</v>
      </c>
      <c r="E28" s="214">
        <v>0.1</v>
      </c>
      <c r="G28" s="213" t="s">
        <v>269</v>
      </c>
      <c r="H28" s="214">
        <v>0.1</v>
      </c>
      <c r="I28" s="214">
        <v>0.1</v>
      </c>
      <c r="J28" s="214">
        <v>0.1</v>
      </c>
      <c r="L28" s="213" t="s">
        <v>317</v>
      </c>
      <c r="M28" s="215">
        <v>1</v>
      </c>
      <c r="N28" s="215">
        <v>2</v>
      </c>
    </row>
    <row r="29" spans="1:14">
      <c r="B29" s="213" t="s">
        <v>307</v>
      </c>
      <c r="C29" s="215">
        <v>1</v>
      </c>
      <c r="D29" s="215">
        <v>10</v>
      </c>
      <c r="E29" s="215">
        <v>25</v>
      </c>
      <c r="G29" s="213" t="s">
        <v>307</v>
      </c>
      <c r="H29" s="215">
        <v>1</v>
      </c>
      <c r="I29" s="215">
        <v>10</v>
      </c>
      <c r="J29" s="215">
        <v>25</v>
      </c>
      <c r="L29" s="213" t="s">
        <v>269</v>
      </c>
      <c r="M29" s="214">
        <v>0.1</v>
      </c>
      <c r="N29" s="214">
        <v>0.1</v>
      </c>
    </row>
    <row r="30" spans="1:14">
      <c r="B30" s="112"/>
      <c r="C30" s="112"/>
      <c r="D30" s="112"/>
      <c r="E30" s="112"/>
      <c r="G30" s="112"/>
      <c r="H30" s="112"/>
      <c r="I30" s="112"/>
      <c r="J30" s="112"/>
      <c r="L30" s="213" t="s">
        <v>307</v>
      </c>
      <c r="M30" s="215">
        <v>10</v>
      </c>
      <c r="N30" s="215">
        <v>10</v>
      </c>
    </row>
    <row r="31" spans="1:14">
      <c r="B31" s="112" t="s">
        <v>308</v>
      </c>
      <c r="C31" s="112"/>
      <c r="D31" s="112"/>
      <c r="E31" s="112"/>
      <c r="G31" s="112" t="s">
        <v>308</v>
      </c>
      <c r="H31" s="112"/>
      <c r="I31" s="112"/>
      <c r="J31" s="112"/>
      <c r="L31" s="112"/>
      <c r="M31" s="112"/>
      <c r="N31" s="112"/>
    </row>
    <row r="32" spans="1:14">
      <c r="B32" s="112"/>
      <c r="C32" s="112"/>
      <c r="D32" s="112"/>
      <c r="E32" s="112"/>
      <c r="G32" s="112"/>
      <c r="H32" s="112"/>
      <c r="I32" s="112"/>
      <c r="J32" s="112"/>
      <c r="L32" s="112" t="s">
        <v>308</v>
      </c>
      <c r="M32" s="112"/>
      <c r="N32" s="112"/>
    </row>
    <row r="33" spans="2:14">
      <c r="B33" s="213" t="s">
        <v>309</v>
      </c>
      <c r="C33" s="212" t="s">
        <v>303</v>
      </c>
      <c r="D33" s="212" t="s">
        <v>304</v>
      </c>
      <c r="E33" s="212" t="s">
        <v>305</v>
      </c>
      <c r="G33" s="213" t="s">
        <v>309</v>
      </c>
      <c r="H33" s="212" t="s">
        <v>303</v>
      </c>
      <c r="I33" s="212" t="s">
        <v>304</v>
      </c>
      <c r="J33" s="212" t="s">
        <v>305</v>
      </c>
      <c r="L33" s="112"/>
      <c r="M33" s="112"/>
      <c r="N33" s="112"/>
    </row>
    <row r="34" spans="2:14">
      <c r="B34" s="216">
        <v>0.1</v>
      </c>
      <c r="C34" s="219">
        <f>+NPV(B34, C44:C68)</f>
        <v>99.999999999999986</v>
      </c>
      <c r="D34" s="219">
        <f>+NPV(B34, D44:D68)</f>
        <v>99.999999999999943</v>
      </c>
      <c r="E34" s="219">
        <f>+NPV(B34, E44:E68)</f>
        <v>99.999999999999957</v>
      </c>
      <c r="G34" s="216">
        <v>0.1</v>
      </c>
      <c r="H34" s="219">
        <f>+NPV(G34, H44:H68)</f>
        <v>90.909090909090907</v>
      </c>
      <c r="I34" s="219">
        <f>+NPV(G34, I44:I68)</f>
        <v>38.554328942953141</v>
      </c>
      <c r="J34" s="219">
        <f>+NPV(G34, J44:J68)</f>
        <v>9.2295998177064043</v>
      </c>
      <c r="L34" s="213" t="s">
        <v>309</v>
      </c>
      <c r="M34" s="212" t="s">
        <v>303</v>
      </c>
      <c r="N34" s="212" t="s">
        <v>304</v>
      </c>
    </row>
    <row r="35" spans="2:14">
      <c r="B35" s="216">
        <v>0.11</v>
      </c>
      <c r="C35" s="219">
        <f>+NPV(B35, C44:C68)</f>
        <v>99.099099099099092</v>
      </c>
      <c r="D35" s="219">
        <f>+NPV(B35, D44:D68)</f>
        <v>94.11076798885874</v>
      </c>
      <c r="E35" s="219">
        <f>+NPV(B35, E44:E68)</f>
        <v>91.578255335332997</v>
      </c>
      <c r="G35" s="216">
        <v>0.11</v>
      </c>
      <c r="H35" s="219">
        <f>+NPV(G35, H44:H68)</f>
        <v>90.090090090090087</v>
      </c>
      <c r="I35" s="219">
        <f>+NPV(G35, I44:I68)</f>
        <v>35.2184478774467</v>
      </c>
      <c r="J35" s="219">
        <f>+NPV(G35, J44:J68)</f>
        <v>7.3608086886640471</v>
      </c>
      <c r="L35" s="216">
        <v>0.1</v>
      </c>
      <c r="M35" s="219">
        <f>+NPV(L35, M45:M69)</f>
        <v>99.999999999999943</v>
      </c>
      <c r="N35" s="219">
        <f>+NPV(L35, N45:N69)</f>
        <v>57.432181401207146</v>
      </c>
    </row>
    <row r="36" spans="2:14">
      <c r="B36" s="212" t="s">
        <v>310</v>
      </c>
      <c r="C36" s="3">
        <f>-(C34-C35)/C34</f>
        <v>-9.0090090090089361E-3</v>
      </c>
      <c r="D36" s="3">
        <f>-(D34-D35)/D34</f>
        <v>-5.8892320111412065E-2</v>
      </c>
      <c r="E36" s="3">
        <f>-(E34-E35)/E34</f>
        <v>-8.4217446646669636E-2</v>
      </c>
      <c r="G36" s="212" t="s">
        <v>310</v>
      </c>
      <c r="H36" s="3">
        <f>-(H34-H35)/H34</f>
        <v>-9.0090090090090211E-3</v>
      </c>
      <c r="I36" s="3">
        <f>-(I34-I35)/I34</f>
        <v>-8.6524163614476943E-2</v>
      </c>
      <c r="J36" s="3">
        <f>-(J34-J35)/J34</f>
        <v>-0.20247802352786731</v>
      </c>
      <c r="L36" s="216">
        <v>0.11</v>
      </c>
      <c r="M36" s="219">
        <f>+NPV(L36, M45:M69)</f>
        <v>94.11076798885874</v>
      </c>
      <c r="N36" s="219">
        <f>+NPV(L36, N45:N69)</f>
        <v>52.22003129579867</v>
      </c>
    </row>
    <row r="37" spans="2:14">
      <c r="B37" s="112"/>
      <c r="C37" s="112"/>
      <c r="D37" s="112"/>
      <c r="E37" s="112"/>
      <c r="G37" s="112"/>
      <c r="H37" s="112"/>
      <c r="I37" s="112"/>
      <c r="J37" s="112"/>
      <c r="L37" s="212" t="s">
        <v>310</v>
      </c>
      <c r="M37" s="3">
        <f>-(M35-M36)/M35</f>
        <v>-5.8892320111412065E-2</v>
      </c>
      <c r="N37" s="3">
        <f>-(N35-N36)/N35</f>
        <v>-9.0753127919653134E-2</v>
      </c>
    </row>
    <row r="38" spans="2:14">
      <c r="B38" s="112"/>
      <c r="C38" s="112"/>
      <c r="D38" s="112"/>
      <c r="E38" s="112"/>
      <c r="G38" s="112"/>
      <c r="H38" s="112"/>
      <c r="I38" s="112"/>
      <c r="J38" s="112"/>
      <c r="L38" s="112"/>
      <c r="M38" s="112"/>
      <c r="N38" s="112"/>
    </row>
    <row r="39" spans="2:14">
      <c r="B39" s="112" t="s">
        <v>311</v>
      </c>
      <c r="C39" s="112"/>
      <c r="D39" s="112"/>
      <c r="E39" s="112"/>
      <c r="G39" s="112" t="s">
        <v>311</v>
      </c>
      <c r="H39" s="112"/>
      <c r="I39" s="112"/>
      <c r="J39" s="112"/>
      <c r="L39" s="112"/>
      <c r="M39" s="112"/>
      <c r="N39" s="112"/>
    </row>
    <row r="40" spans="2:14">
      <c r="B40" s="112"/>
      <c r="C40" s="112"/>
      <c r="D40" s="112"/>
      <c r="E40" s="112"/>
      <c r="G40" s="112"/>
      <c r="H40" s="112"/>
      <c r="I40" s="112"/>
      <c r="J40" s="112"/>
      <c r="L40" s="112" t="s">
        <v>311</v>
      </c>
      <c r="M40" s="112"/>
      <c r="N40" s="112"/>
    </row>
    <row r="41" spans="2:14">
      <c r="B41" s="217" t="s">
        <v>0</v>
      </c>
      <c r="C41" s="212" t="s">
        <v>303</v>
      </c>
      <c r="D41" s="212" t="s">
        <v>304</v>
      </c>
      <c r="E41" s="212" t="s">
        <v>305</v>
      </c>
      <c r="G41" s="217" t="s">
        <v>0</v>
      </c>
      <c r="H41" s="212" t="s">
        <v>303</v>
      </c>
      <c r="I41" s="212" t="s">
        <v>304</v>
      </c>
      <c r="J41" s="212" t="s">
        <v>305</v>
      </c>
      <c r="L41" s="112"/>
      <c r="M41" s="112"/>
      <c r="N41" s="112"/>
    </row>
    <row r="42" spans="2:14">
      <c r="B42" s="218"/>
      <c r="C42" s="112"/>
      <c r="D42" s="112"/>
      <c r="E42" s="112"/>
      <c r="G42" s="218"/>
      <c r="H42" s="112"/>
      <c r="I42" s="112"/>
      <c r="J42" s="112"/>
      <c r="L42" s="217" t="s">
        <v>0</v>
      </c>
      <c r="M42" s="212" t="s">
        <v>303</v>
      </c>
      <c r="N42" s="212" t="s">
        <v>304</v>
      </c>
    </row>
    <row r="43" spans="2:14">
      <c r="B43" s="218">
        <v>0</v>
      </c>
      <c r="C43" s="112"/>
      <c r="D43" s="112"/>
      <c r="E43" s="112"/>
      <c r="G43" s="218">
        <v>0</v>
      </c>
      <c r="H43" s="112"/>
      <c r="I43" s="112"/>
      <c r="J43" s="112"/>
      <c r="L43" s="218"/>
      <c r="M43" s="112"/>
      <c r="N43" s="112"/>
    </row>
    <row r="44" spans="2:14">
      <c r="B44" s="218">
        <v>1</v>
      </c>
      <c r="C44" s="112">
        <f>$C$27*$C$26+C26</f>
        <v>110</v>
      </c>
      <c r="D44" s="220">
        <f>$D$26*$D$27</f>
        <v>10</v>
      </c>
      <c r="E44" s="220">
        <f>$D$26*$D$27</f>
        <v>10</v>
      </c>
      <c r="G44" s="218">
        <v>1</v>
      </c>
      <c r="H44" s="112">
        <f>$H$27*$H$26+H26</f>
        <v>100</v>
      </c>
      <c r="I44" s="220">
        <f>$I$26*$I$27</f>
        <v>0</v>
      </c>
      <c r="J44" s="220">
        <f>$J$26*$J$27</f>
        <v>0</v>
      </c>
      <c r="L44" s="218">
        <v>0</v>
      </c>
      <c r="M44" s="112"/>
      <c r="N44" s="112"/>
    </row>
    <row r="45" spans="2:14">
      <c r="B45" s="218">
        <v>2</v>
      </c>
      <c r="C45" s="112">
        <v>0</v>
      </c>
      <c r="D45" s="220">
        <f t="shared" ref="D45:E60" si="0">$D$26*$D$27</f>
        <v>10</v>
      </c>
      <c r="E45" s="220">
        <f t="shared" si="0"/>
        <v>10</v>
      </c>
      <c r="G45" s="218">
        <v>2</v>
      </c>
      <c r="H45" s="112"/>
      <c r="I45" s="220">
        <f t="shared" ref="I45:I52" si="1">$I$26*$I$27</f>
        <v>0</v>
      </c>
      <c r="J45" s="220">
        <f t="shared" ref="J45:J67" si="2">$J$26*$J$27</f>
        <v>0</v>
      </c>
      <c r="L45" s="218">
        <f>L44+0.5</f>
        <v>0.5</v>
      </c>
      <c r="M45" s="112"/>
      <c r="N45" s="220">
        <v>5</v>
      </c>
    </row>
    <row r="46" spans="2:14">
      <c r="B46" s="218">
        <v>3</v>
      </c>
      <c r="C46" s="112">
        <v>0</v>
      </c>
      <c r="D46" s="220">
        <f t="shared" si="0"/>
        <v>10</v>
      </c>
      <c r="E46" s="220">
        <f t="shared" si="0"/>
        <v>10</v>
      </c>
      <c r="G46" s="218">
        <v>3</v>
      </c>
      <c r="H46" s="112"/>
      <c r="I46" s="220">
        <f t="shared" si="1"/>
        <v>0</v>
      </c>
      <c r="J46" s="220">
        <f t="shared" si="2"/>
        <v>0</v>
      </c>
      <c r="L46" s="218">
        <f t="shared" ref="L46:L64" si="3">L45+0.5</f>
        <v>1</v>
      </c>
      <c r="M46" s="220">
        <v>10</v>
      </c>
      <c r="N46" s="220">
        <v>5</v>
      </c>
    </row>
    <row r="47" spans="2:14">
      <c r="B47" s="218">
        <v>4</v>
      </c>
      <c r="C47" s="112">
        <v>0</v>
      </c>
      <c r="D47" s="220">
        <f t="shared" si="0"/>
        <v>10</v>
      </c>
      <c r="E47" s="220">
        <f t="shared" si="0"/>
        <v>10</v>
      </c>
      <c r="G47" s="218">
        <v>4</v>
      </c>
      <c r="H47" s="112"/>
      <c r="I47" s="220">
        <f t="shared" si="1"/>
        <v>0</v>
      </c>
      <c r="J47" s="220">
        <f t="shared" si="2"/>
        <v>0</v>
      </c>
      <c r="L47" s="218">
        <f t="shared" si="3"/>
        <v>1.5</v>
      </c>
      <c r="M47" s="112"/>
      <c r="N47" s="220">
        <v>5</v>
      </c>
    </row>
    <row r="48" spans="2:14">
      <c r="B48" s="218">
        <v>5</v>
      </c>
      <c r="C48" s="112">
        <v>0</v>
      </c>
      <c r="D48" s="220">
        <f t="shared" si="0"/>
        <v>10</v>
      </c>
      <c r="E48" s="220">
        <f t="shared" si="0"/>
        <v>10</v>
      </c>
      <c r="G48" s="218">
        <v>5</v>
      </c>
      <c r="H48" s="112"/>
      <c r="I48" s="220">
        <f t="shared" si="1"/>
        <v>0</v>
      </c>
      <c r="J48" s="220">
        <f t="shared" si="2"/>
        <v>0</v>
      </c>
      <c r="L48" s="218">
        <f t="shared" si="3"/>
        <v>2</v>
      </c>
      <c r="M48" s="220">
        <v>10</v>
      </c>
      <c r="N48" s="220">
        <v>5</v>
      </c>
    </row>
    <row r="49" spans="2:14">
      <c r="B49" s="218">
        <v>6</v>
      </c>
      <c r="C49" s="112">
        <v>0</v>
      </c>
      <c r="D49" s="220">
        <f t="shared" si="0"/>
        <v>10</v>
      </c>
      <c r="E49" s="220">
        <f t="shared" si="0"/>
        <v>10</v>
      </c>
      <c r="G49" s="218">
        <v>6</v>
      </c>
      <c r="H49" s="112"/>
      <c r="I49" s="220">
        <f t="shared" si="1"/>
        <v>0</v>
      </c>
      <c r="J49" s="220">
        <f t="shared" si="2"/>
        <v>0</v>
      </c>
      <c r="L49" s="218">
        <f t="shared" si="3"/>
        <v>2.5</v>
      </c>
      <c r="M49" s="112"/>
      <c r="N49" s="220">
        <v>5</v>
      </c>
    </row>
    <row r="50" spans="2:14">
      <c r="B50" s="218">
        <v>7</v>
      </c>
      <c r="C50" s="112">
        <v>0</v>
      </c>
      <c r="D50" s="220">
        <f t="shared" si="0"/>
        <v>10</v>
      </c>
      <c r="E50" s="220">
        <f t="shared" si="0"/>
        <v>10</v>
      </c>
      <c r="G50" s="218">
        <v>7</v>
      </c>
      <c r="H50" s="112"/>
      <c r="I50" s="220">
        <f t="shared" si="1"/>
        <v>0</v>
      </c>
      <c r="J50" s="220">
        <f t="shared" si="2"/>
        <v>0</v>
      </c>
      <c r="L50" s="218">
        <f t="shared" si="3"/>
        <v>3</v>
      </c>
      <c r="M50" s="220">
        <v>10</v>
      </c>
      <c r="N50" s="220">
        <v>5</v>
      </c>
    </row>
    <row r="51" spans="2:14">
      <c r="B51" s="218">
        <v>8</v>
      </c>
      <c r="C51" s="112">
        <v>0</v>
      </c>
      <c r="D51" s="220">
        <f t="shared" si="0"/>
        <v>10</v>
      </c>
      <c r="E51" s="220">
        <f t="shared" si="0"/>
        <v>10</v>
      </c>
      <c r="G51" s="218">
        <v>8</v>
      </c>
      <c r="H51" s="112"/>
      <c r="I51" s="220">
        <f t="shared" si="1"/>
        <v>0</v>
      </c>
      <c r="J51" s="220">
        <f t="shared" si="2"/>
        <v>0</v>
      </c>
      <c r="L51" s="218">
        <f t="shared" si="3"/>
        <v>3.5</v>
      </c>
      <c r="M51" s="112"/>
      <c r="N51" s="220">
        <v>5</v>
      </c>
    </row>
    <row r="52" spans="2:14">
      <c r="B52" s="218">
        <v>9</v>
      </c>
      <c r="C52" s="112">
        <v>0</v>
      </c>
      <c r="D52" s="220">
        <f t="shared" si="0"/>
        <v>10</v>
      </c>
      <c r="E52" s="220">
        <f t="shared" si="0"/>
        <v>10</v>
      </c>
      <c r="G52" s="218">
        <v>9</v>
      </c>
      <c r="H52" s="112"/>
      <c r="I52" s="220">
        <f t="shared" si="1"/>
        <v>0</v>
      </c>
      <c r="J52" s="220">
        <f t="shared" si="2"/>
        <v>0</v>
      </c>
      <c r="L52" s="218">
        <f t="shared" si="3"/>
        <v>4</v>
      </c>
      <c r="M52" s="220">
        <v>10</v>
      </c>
      <c r="N52" s="220">
        <v>5</v>
      </c>
    </row>
    <row r="53" spans="2:14">
      <c r="B53" s="218">
        <v>10</v>
      </c>
      <c r="C53" s="112">
        <v>0</v>
      </c>
      <c r="D53" s="112">
        <f>$D$26*$D$27+D26</f>
        <v>110</v>
      </c>
      <c r="E53" s="220">
        <f t="shared" si="0"/>
        <v>10</v>
      </c>
      <c r="G53" s="218">
        <v>10</v>
      </c>
      <c r="H53" s="112"/>
      <c r="I53" s="112">
        <f>$I$26*$I$27+I26</f>
        <v>100</v>
      </c>
      <c r="J53" s="220">
        <f t="shared" si="2"/>
        <v>0</v>
      </c>
      <c r="L53" s="218">
        <f t="shared" si="3"/>
        <v>4.5</v>
      </c>
      <c r="M53" s="112"/>
      <c r="N53" s="220">
        <v>5</v>
      </c>
    </row>
    <row r="54" spans="2:14">
      <c r="B54" s="218">
        <v>11</v>
      </c>
      <c r="C54" s="112">
        <v>0</v>
      </c>
      <c r="D54" s="112"/>
      <c r="E54" s="220">
        <f t="shared" si="0"/>
        <v>10</v>
      </c>
      <c r="G54" s="218">
        <v>11</v>
      </c>
      <c r="H54" s="112"/>
      <c r="I54" s="112"/>
      <c r="J54" s="220">
        <f t="shared" si="2"/>
        <v>0</v>
      </c>
      <c r="L54" s="218">
        <f t="shared" si="3"/>
        <v>5</v>
      </c>
      <c r="M54" s="220">
        <v>10</v>
      </c>
      <c r="N54" s="220">
        <v>5</v>
      </c>
    </row>
    <row r="55" spans="2:14">
      <c r="B55" s="218">
        <v>12</v>
      </c>
      <c r="C55" s="112">
        <v>0</v>
      </c>
      <c r="D55" s="112"/>
      <c r="E55" s="220">
        <f t="shared" si="0"/>
        <v>10</v>
      </c>
      <c r="G55" s="218">
        <v>12</v>
      </c>
      <c r="H55" s="112"/>
      <c r="I55" s="112"/>
      <c r="J55" s="220">
        <f t="shared" si="2"/>
        <v>0</v>
      </c>
      <c r="L55" s="218">
        <f t="shared" si="3"/>
        <v>5.5</v>
      </c>
      <c r="M55" s="112"/>
      <c r="N55" s="220">
        <v>5</v>
      </c>
    </row>
    <row r="56" spans="2:14">
      <c r="B56" s="218">
        <v>13</v>
      </c>
      <c r="C56" s="112">
        <v>0</v>
      </c>
      <c r="D56" s="112"/>
      <c r="E56" s="220">
        <f t="shared" si="0"/>
        <v>10</v>
      </c>
      <c r="G56" s="218">
        <v>13</v>
      </c>
      <c r="H56" s="112"/>
      <c r="I56" s="112"/>
      <c r="J56" s="220">
        <f t="shared" si="2"/>
        <v>0</v>
      </c>
      <c r="L56" s="218">
        <f t="shared" si="3"/>
        <v>6</v>
      </c>
      <c r="M56" s="220">
        <v>10</v>
      </c>
      <c r="N56" s="220">
        <v>5</v>
      </c>
    </row>
    <row r="57" spans="2:14">
      <c r="B57" s="218">
        <v>14</v>
      </c>
      <c r="C57" s="112">
        <v>0</v>
      </c>
      <c r="D57" s="112"/>
      <c r="E57" s="220">
        <f t="shared" si="0"/>
        <v>10</v>
      </c>
      <c r="G57" s="218">
        <v>14</v>
      </c>
      <c r="H57" s="112"/>
      <c r="I57" s="112"/>
      <c r="J57" s="220">
        <f t="shared" si="2"/>
        <v>0</v>
      </c>
      <c r="L57" s="218">
        <f t="shared" si="3"/>
        <v>6.5</v>
      </c>
      <c r="M57" s="112"/>
      <c r="N57" s="220">
        <v>5</v>
      </c>
    </row>
    <row r="58" spans="2:14">
      <c r="B58" s="218">
        <v>15</v>
      </c>
      <c r="C58" s="112">
        <v>0</v>
      </c>
      <c r="D58" s="112"/>
      <c r="E58" s="220">
        <f t="shared" si="0"/>
        <v>10</v>
      </c>
      <c r="G58" s="218">
        <v>15</v>
      </c>
      <c r="H58" s="112"/>
      <c r="I58" s="112"/>
      <c r="J58" s="220">
        <f t="shared" si="2"/>
        <v>0</v>
      </c>
      <c r="L58" s="218">
        <f t="shared" si="3"/>
        <v>7</v>
      </c>
      <c r="M58" s="220">
        <v>10</v>
      </c>
      <c r="N58" s="220">
        <v>5</v>
      </c>
    </row>
    <row r="59" spans="2:14">
      <c r="B59" s="218">
        <v>16</v>
      </c>
      <c r="C59" s="112">
        <v>0</v>
      </c>
      <c r="D59" s="112"/>
      <c r="E59" s="220">
        <f t="shared" si="0"/>
        <v>10</v>
      </c>
      <c r="G59" s="218">
        <v>16</v>
      </c>
      <c r="H59" s="112"/>
      <c r="I59" s="112"/>
      <c r="J59" s="220">
        <f t="shared" si="2"/>
        <v>0</v>
      </c>
      <c r="L59" s="218">
        <f t="shared" si="3"/>
        <v>7.5</v>
      </c>
      <c r="M59" s="112"/>
      <c r="N59" s="220">
        <v>5</v>
      </c>
    </row>
    <row r="60" spans="2:14">
      <c r="B60" s="218">
        <v>17</v>
      </c>
      <c r="C60" s="112">
        <v>0</v>
      </c>
      <c r="D60" s="112"/>
      <c r="E60" s="220">
        <f t="shared" si="0"/>
        <v>10</v>
      </c>
      <c r="G60" s="218">
        <v>17</v>
      </c>
      <c r="H60" s="112"/>
      <c r="I60" s="112"/>
      <c r="J60" s="220">
        <f t="shared" si="2"/>
        <v>0</v>
      </c>
      <c r="L60" s="218">
        <f t="shared" si="3"/>
        <v>8</v>
      </c>
      <c r="M60" s="220">
        <v>10</v>
      </c>
      <c r="N60" s="220">
        <v>5</v>
      </c>
    </row>
    <row r="61" spans="2:14">
      <c r="B61" s="218">
        <v>18</v>
      </c>
      <c r="C61" s="112">
        <v>0</v>
      </c>
      <c r="D61" s="112"/>
      <c r="E61" s="220">
        <f t="shared" ref="E61:E67" si="4">$D$26*$D$27</f>
        <v>10</v>
      </c>
      <c r="G61" s="218">
        <v>18</v>
      </c>
      <c r="H61" s="112"/>
      <c r="I61" s="112"/>
      <c r="J61" s="220">
        <f t="shared" si="2"/>
        <v>0</v>
      </c>
      <c r="L61" s="218">
        <f t="shared" si="3"/>
        <v>8.5</v>
      </c>
      <c r="M61" s="112"/>
      <c r="N61" s="220">
        <v>5</v>
      </c>
    </row>
    <row r="62" spans="2:14">
      <c r="B62" s="218">
        <v>19</v>
      </c>
      <c r="C62" s="112">
        <v>0</v>
      </c>
      <c r="D62" s="112"/>
      <c r="E62" s="220">
        <f t="shared" si="4"/>
        <v>10</v>
      </c>
      <c r="G62" s="218">
        <v>19</v>
      </c>
      <c r="H62" s="112"/>
      <c r="I62" s="112"/>
      <c r="J62" s="220">
        <f t="shared" si="2"/>
        <v>0</v>
      </c>
      <c r="L62" s="218">
        <f t="shared" si="3"/>
        <v>9</v>
      </c>
      <c r="M62" s="220">
        <v>10</v>
      </c>
      <c r="N62" s="220">
        <v>5</v>
      </c>
    </row>
    <row r="63" spans="2:14">
      <c r="B63" s="218">
        <v>20</v>
      </c>
      <c r="C63" s="112">
        <v>0</v>
      </c>
      <c r="D63" s="112"/>
      <c r="E63" s="220">
        <f t="shared" si="4"/>
        <v>10</v>
      </c>
      <c r="G63" s="218">
        <v>20</v>
      </c>
      <c r="H63" s="112"/>
      <c r="I63" s="112"/>
      <c r="J63" s="220">
        <f t="shared" si="2"/>
        <v>0</v>
      </c>
      <c r="L63" s="218">
        <f t="shared" si="3"/>
        <v>9.5</v>
      </c>
      <c r="M63" s="112"/>
      <c r="N63" s="220">
        <v>5</v>
      </c>
    </row>
    <row r="64" spans="2:14">
      <c r="B64" s="218">
        <v>21</v>
      </c>
      <c r="C64" s="112">
        <v>0</v>
      </c>
      <c r="D64" s="112"/>
      <c r="E64" s="220">
        <f t="shared" si="4"/>
        <v>10</v>
      </c>
      <c r="G64" s="218">
        <v>21</v>
      </c>
      <c r="H64" s="112"/>
      <c r="I64" s="112"/>
      <c r="J64" s="220">
        <f t="shared" si="2"/>
        <v>0</v>
      </c>
      <c r="L64" s="218">
        <f t="shared" si="3"/>
        <v>10</v>
      </c>
      <c r="M64" s="220">
        <v>110</v>
      </c>
      <c r="N64" s="220">
        <v>105</v>
      </c>
    </row>
    <row r="65" spans="1:10">
      <c r="B65" s="218">
        <v>22</v>
      </c>
      <c r="C65" s="112">
        <v>0</v>
      </c>
      <c r="D65" s="112"/>
      <c r="E65" s="220">
        <f t="shared" si="4"/>
        <v>10</v>
      </c>
      <c r="G65" s="218">
        <v>22</v>
      </c>
      <c r="H65" s="112"/>
      <c r="I65" s="112"/>
      <c r="J65" s="220">
        <f t="shared" si="2"/>
        <v>0</v>
      </c>
    </row>
    <row r="66" spans="1:10">
      <c r="B66" s="218">
        <v>23</v>
      </c>
      <c r="C66" s="112">
        <v>0</v>
      </c>
      <c r="D66" s="112"/>
      <c r="E66" s="220">
        <f t="shared" si="4"/>
        <v>10</v>
      </c>
      <c r="G66" s="218">
        <v>23</v>
      </c>
      <c r="H66" s="112"/>
      <c r="I66" s="112"/>
      <c r="J66" s="220">
        <f t="shared" si="2"/>
        <v>0</v>
      </c>
    </row>
    <row r="67" spans="1:10">
      <c r="B67" s="218">
        <v>24</v>
      </c>
      <c r="C67" s="112">
        <v>0</v>
      </c>
      <c r="D67" s="112"/>
      <c r="E67" s="220">
        <f t="shared" si="4"/>
        <v>10</v>
      </c>
      <c r="G67" s="218">
        <v>24</v>
      </c>
      <c r="H67" s="112"/>
      <c r="I67" s="112"/>
      <c r="J67" s="220">
        <f t="shared" si="2"/>
        <v>0</v>
      </c>
    </row>
    <row r="68" spans="1:10">
      <c r="B68" s="218">
        <v>25</v>
      </c>
      <c r="C68" s="112">
        <v>0</v>
      </c>
      <c r="D68" s="112"/>
      <c r="E68" s="112">
        <f>$D$26*$D$27+D26</f>
        <v>110</v>
      </c>
      <c r="G68" s="218">
        <v>25</v>
      </c>
      <c r="H68" s="112"/>
      <c r="I68" s="112"/>
      <c r="J68" s="112">
        <f>$J$26*$J$27+J26</f>
        <v>100</v>
      </c>
    </row>
    <row r="69" spans="1:10">
      <c r="B69" s="112"/>
      <c r="C69" s="112"/>
      <c r="D69" s="112"/>
      <c r="E69" s="112"/>
    </row>
    <row r="70" spans="1:10">
      <c r="B70" s="112"/>
      <c r="C70" s="112"/>
      <c r="D70" s="112"/>
      <c r="E70" s="112"/>
    </row>
    <row r="74" spans="1:10" ht="21">
      <c r="A74" s="111" t="s">
        <v>273</v>
      </c>
    </row>
    <row r="110" spans="2:2">
      <c r="B110" t="s">
        <v>321</v>
      </c>
    </row>
    <row r="130" spans="1:34" ht="19">
      <c r="A130" s="113" t="s">
        <v>199</v>
      </c>
      <c r="B130" s="112"/>
      <c r="C130" s="112"/>
      <c r="D130" s="112"/>
      <c r="E130" s="112"/>
      <c r="F130" s="112"/>
      <c r="G130" s="112"/>
      <c r="H130" s="112"/>
      <c r="I130" s="112"/>
      <c r="J130" s="112"/>
      <c r="K130" s="112"/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  <c r="V130" s="112"/>
      <c r="W130" s="112"/>
      <c r="X130" s="223"/>
    </row>
    <row r="131" spans="1:34">
      <c r="A131" s="112"/>
      <c r="B131" s="112"/>
      <c r="C131" s="112"/>
      <c r="D131" s="112"/>
      <c r="E131" s="112"/>
      <c r="F131" s="112"/>
      <c r="G131" s="112"/>
      <c r="H131" s="112"/>
      <c r="I131" s="112"/>
      <c r="J131" s="112"/>
      <c r="K131" s="112"/>
      <c r="L131" s="112"/>
      <c r="M131" s="224">
        <v>20</v>
      </c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223"/>
    </row>
    <row r="132" spans="1:34">
      <c r="A132" s="112" t="s">
        <v>322</v>
      </c>
      <c r="B132" s="112">
        <v>0.1</v>
      </c>
      <c r="C132" s="112"/>
      <c r="D132" s="112"/>
      <c r="E132" s="112"/>
      <c r="F132" s="112"/>
      <c r="G132" s="112" t="s">
        <v>269</v>
      </c>
      <c r="H132" s="214">
        <f>IRR(E138:E143)</f>
        <v>0.10000000000000009</v>
      </c>
      <c r="I132" s="112"/>
      <c r="J132" s="112"/>
      <c r="K132" s="112"/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  <c r="V132" s="112"/>
      <c r="W132" s="112"/>
      <c r="X132" s="223"/>
    </row>
    <row r="133" spans="1:34">
      <c r="A133" s="112" t="s">
        <v>323</v>
      </c>
      <c r="B133" s="112">
        <v>100</v>
      </c>
      <c r="C133" s="112"/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223"/>
    </row>
    <row r="134" spans="1:34">
      <c r="A134" s="112" t="s">
        <v>307</v>
      </c>
      <c r="B134" s="112">
        <v>5</v>
      </c>
      <c r="C134" s="112"/>
      <c r="D134" s="112"/>
      <c r="E134" s="112"/>
      <c r="F134" s="112"/>
      <c r="G134" s="112" t="s">
        <v>324</v>
      </c>
      <c r="H134" s="112"/>
      <c r="I134" s="112"/>
      <c r="J134" s="112"/>
      <c r="K134" s="112"/>
      <c r="L134" s="112" t="s">
        <v>269</v>
      </c>
      <c r="M134" s="112">
        <f>0.005*M131</f>
        <v>0.1</v>
      </c>
      <c r="N134" s="112"/>
      <c r="O134" s="112"/>
      <c r="P134" s="112"/>
      <c r="Q134" s="112"/>
      <c r="R134" s="112"/>
      <c r="S134" s="112"/>
      <c r="T134" s="112"/>
      <c r="U134" s="112"/>
      <c r="V134" s="112"/>
      <c r="W134" s="112"/>
      <c r="X134" s="223"/>
    </row>
    <row r="135" spans="1:34">
      <c r="A135" s="112" t="s">
        <v>325</v>
      </c>
      <c r="B135" s="112"/>
      <c r="C135" s="112"/>
      <c r="D135" s="112"/>
      <c r="E135" s="112"/>
      <c r="F135" s="112"/>
      <c r="G135" s="112" t="s">
        <v>269</v>
      </c>
      <c r="H135" s="214">
        <f>RATE(5,E139,E138,D143)</f>
        <v>0.10000000000000003</v>
      </c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112"/>
      <c r="T135" s="112"/>
      <c r="U135" s="112"/>
      <c r="V135" s="112"/>
      <c r="W135" s="112"/>
      <c r="X135" s="223"/>
    </row>
    <row r="136" spans="1:34">
      <c r="A136" s="112" t="s">
        <v>326</v>
      </c>
      <c r="B136" s="112">
        <v>100</v>
      </c>
      <c r="C136" s="112"/>
      <c r="D136" s="112"/>
      <c r="E136" s="112"/>
      <c r="F136" s="112"/>
      <c r="G136" s="112"/>
      <c r="H136" s="112"/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223"/>
    </row>
    <row r="137" spans="1:34" ht="48">
      <c r="A137" s="225"/>
      <c r="B137" s="226" t="s">
        <v>270</v>
      </c>
      <c r="C137" s="226" t="s">
        <v>218</v>
      </c>
      <c r="D137" s="226" t="s">
        <v>327</v>
      </c>
      <c r="E137" s="226" t="s">
        <v>219</v>
      </c>
      <c r="F137" s="226" t="s">
        <v>328</v>
      </c>
      <c r="G137" s="226" t="s">
        <v>273</v>
      </c>
      <c r="H137" s="226" t="s">
        <v>329</v>
      </c>
      <c r="I137" s="280" t="s">
        <v>330</v>
      </c>
      <c r="J137" s="280"/>
      <c r="K137" s="225"/>
      <c r="L137" s="226" t="s">
        <v>331</v>
      </c>
      <c r="M137" s="226" t="s">
        <v>332</v>
      </c>
      <c r="N137" s="226" t="s">
        <v>333</v>
      </c>
      <c r="O137" s="227"/>
      <c r="P137" s="227"/>
      <c r="Q137" s="227"/>
      <c r="R137" s="227"/>
      <c r="S137" s="227"/>
      <c r="T137" s="227"/>
      <c r="U137" s="225"/>
      <c r="V137" s="225"/>
      <c r="W137" s="225"/>
      <c r="X137" s="228" t="s">
        <v>334</v>
      </c>
      <c r="Y137" s="226" t="s">
        <v>331</v>
      </c>
      <c r="Z137" s="226" t="s">
        <v>332</v>
      </c>
      <c r="AA137" s="226" t="s">
        <v>333</v>
      </c>
      <c r="AB137" s="225"/>
      <c r="AC137" s="225"/>
      <c r="AD137" s="225"/>
      <c r="AE137" s="225"/>
      <c r="AF137" s="225"/>
      <c r="AG137" s="225"/>
      <c r="AH137" s="225"/>
    </row>
    <row r="138" spans="1:34">
      <c r="A138" s="112"/>
      <c r="B138" s="112">
        <v>0</v>
      </c>
      <c r="C138" s="112"/>
      <c r="D138" s="112">
        <v>0</v>
      </c>
      <c r="E138" s="112">
        <v>-100</v>
      </c>
      <c r="F138" s="112"/>
      <c r="G138" s="112"/>
      <c r="H138" s="112"/>
      <c r="I138" s="214"/>
      <c r="J138" s="214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223"/>
      <c r="Y138" s="223">
        <f>L147</f>
        <v>0</v>
      </c>
      <c r="Z138" s="223">
        <f>M147</f>
        <v>0</v>
      </c>
      <c r="AA138" s="223">
        <f>N147</f>
        <v>0</v>
      </c>
      <c r="AB138" s="112"/>
      <c r="AC138" s="112"/>
      <c r="AD138" s="112"/>
      <c r="AE138" s="112"/>
      <c r="AF138" s="112"/>
      <c r="AG138" s="112"/>
      <c r="AH138" s="112"/>
    </row>
    <row r="139" spans="1:34">
      <c r="A139" s="112"/>
      <c r="B139" s="112">
        <v>1</v>
      </c>
      <c r="C139" s="112">
        <f>+B132*B133</f>
        <v>10</v>
      </c>
      <c r="D139" s="112">
        <v>0</v>
      </c>
      <c r="E139" s="112">
        <f>+D139+C139</f>
        <v>10</v>
      </c>
      <c r="F139" s="223">
        <f>+E139/(1+$H$135)^B139</f>
        <v>9.0909090909090899</v>
      </c>
      <c r="G139" s="229">
        <f>+F139*B139/$B$136</f>
        <v>9.0909090909090898E-2</v>
      </c>
      <c r="H139" s="229">
        <f>+G139/(1+$H$135)</f>
        <v>8.2644628099173542E-2</v>
      </c>
      <c r="I139" s="112"/>
      <c r="J139" s="112"/>
      <c r="K139" s="112"/>
      <c r="L139" s="223"/>
      <c r="M139" s="223"/>
      <c r="N139" s="223"/>
      <c r="O139" s="112"/>
      <c r="P139" s="112"/>
      <c r="Q139" s="112"/>
      <c r="R139" s="112"/>
      <c r="S139" s="112"/>
      <c r="T139" s="112"/>
      <c r="U139" s="112"/>
      <c r="V139" s="112"/>
      <c r="W139" s="112"/>
      <c r="X139" s="223">
        <v>0.01</v>
      </c>
      <c r="Y139" s="223">
        <v>0</v>
      </c>
      <c r="Z139" s="223">
        <v>0</v>
      </c>
      <c r="AA139" s="223">
        <v>0</v>
      </c>
      <c r="AB139" s="112"/>
      <c r="AC139" s="112"/>
      <c r="AD139" s="112"/>
      <c r="AE139" s="112"/>
      <c r="AF139" s="112"/>
      <c r="AG139" s="112"/>
      <c r="AH139" s="112"/>
    </row>
    <row r="140" spans="1:34">
      <c r="A140" s="112"/>
      <c r="B140" s="112">
        <v>2</v>
      </c>
      <c r="C140" s="112">
        <v>10</v>
      </c>
      <c r="D140" s="112">
        <v>0</v>
      </c>
      <c r="E140" s="112">
        <f t="shared" ref="E140:E143" si="5">+D140+C140</f>
        <v>10</v>
      </c>
      <c r="F140" s="223">
        <f t="shared" ref="F140:F143" si="6">+E140/(1+$H$135)^B140</f>
        <v>8.2644628099173545</v>
      </c>
      <c r="G140" s="229">
        <f t="shared" ref="G140:G143" si="7">+F140*B140/$B$136</f>
        <v>0.16528925619834708</v>
      </c>
      <c r="H140" s="229">
        <f t="shared" ref="H140:H143" si="8">+G140/(1+$H$135)</f>
        <v>0.15026296018031551</v>
      </c>
      <c r="I140" s="112"/>
      <c r="J140" s="112"/>
      <c r="K140" s="112"/>
      <c r="L140" s="223"/>
      <c r="M140" s="223"/>
      <c r="N140" s="223"/>
      <c r="O140" s="112"/>
      <c r="P140" s="112"/>
      <c r="Q140" s="112"/>
      <c r="R140" s="112"/>
      <c r="S140" s="112"/>
      <c r="T140" s="112"/>
      <c r="U140" s="112"/>
      <c r="V140" s="112"/>
      <c r="W140" s="112"/>
      <c r="X140" s="223">
        <f>X139+0.01</f>
        <v>0.02</v>
      </c>
      <c r="Y140" s="223">
        <v>0</v>
      </c>
      <c r="Z140" s="223">
        <v>0</v>
      </c>
      <c r="AA140" s="223">
        <v>0</v>
      </c>
      <c r="AB140" s="112"/>
      <c r="AC140" s="112"/>
      <c r="AD140" s="112"/>
      <c r="AE140" s="112"/>
      <c r="AF140" s="112"/>
      <c r="AG140" s="112"/>
      <c r="AH140" s="112"/>
    </row>
    <row r="141" spans="1:34">
      <c r="A141" s="112"/>
      <c r="B141" s="112">
        <v>3</v>
      </c>
      <c r="C141" s="112">
        <v>10</v>
      </c>
      <c r="D141" s="112">
        <v>0</v>
      </c>
      <c r="E141" s="112">
        <f t="shared" si="5"/>
        <v>10</v>
      </c>
      <c r="F141" s="223">
        <f t="shared" si="6"/>
        <v>7.513148009015775</v>
      </c>
      <c r="G141" s="229">
        <f t="shared" si="7"/>
        <v>0.22539444027047323</v>
      </c>
      <c r="H141" s="229">
        <f t="shared" si="8"/>
        <v>0.20490403660952111</v>
      </c>
      <c r="I141" s="112"/>
      <c r="J141" s="112"/>
      <c r="K141" s="112"/>
      <c r="L141" s="223"/>
      <c r="M141" s="223"/>
      <c r="N141" s="223"/>
      <c r="O141" s="112"/>
      <c r="P141" s="112"/>
      <c r="Q141" s="112"/>
      <c r="R141" s="112"/>
      <c r="S141" s="112"/>
      <c r="T141" s="112"/>
      <c r="U141" s="112"/>
      <c r="V141" s="112"/>
      <c r="W141" s="112"/>
      <c r="X141" s="223">
        <f t="shared" ref="X141:X157" si="9">X140+0.01</f>
        <v>0.03</v>
      </c>
      <c r="Y141" s="223">
        <v>0</v>
      </c>
      <c r="Z141" s="223">
        <v>0</v>
      </c>
      <c r="AA141" s="223">
        <v>0</v>
      </c>
      <c r="AB141" s="112"/>
      <c r="AC141" s="112"/>
      <c r="AD141" s="112"/>
      <c r="AE141" s="112"/>
      <c r="AF141" s="112"/>
      <c r="AG141" s="112"/>
      <c r="AH141" s="112"/>
    </row>
    <row r="142" spans="1:34">
      <c r="A142" s="112"/>
      <c r="B142" s="112">
        <v>4</v>
      </c>
      <c r="C142" s="112">
        <v>10</v>
      </c>
      <c r="D142" s="112">
        <v>0</v>
      </c>
      <c r="E142" s="112">
        <f t="shared" si="5"/>
        <v>10</v>
      </c>
      <c r="F142" s="223">
        <f t="shared" si="6"/>
        <v>6.830134553650705</v>
      </c>
      <c r="G142" s="229">
        <f t="shared" si="7"/>
        <v>0.27320538214602819</v>
      </c>
      <c r="H142" s="229">
        <f t="shared" si="8"/>
        <v>0.24836852922366195</v>
      </c>
      <c r="I142" s="112"/>
      <c r="J142" s="112"/>
      <c r="K142" s="112"/>
      <c r="L142" s="223"/>
      <c r="M142" s="223"/>
      <c r="N142" s="223"/>
      <c r="O142" s="112"/>
      <c r="P142" s="112"/>
      <c r="Q142" s="112"/>
      <c r="R142" s="112"/>
      <c r="S142" s="112"/>
      <c r="T142" s="112"/>
      <c r="U142" s="112"/>
      <c r="V142" s="112"/>
      <c r="W142" s="112"/>
      <c r="X142" s="223">
        <f t="shared" si="9"/>
        <v>0.04</v>
      </c>
      <c r="Y142" s="223">
        <v>0</v>
      </c>
      <c r="Z142" s="223">
        <v>0</v>
      </c>
      <c r="AA142" s="223">
        <v>0</v>
      </c>
      <c r="AB142" s="112"/>
      <c r="AC142" s="112"/>
      <c r="AD142" s="112"/>
      <c r="AE142" s="112"/>
      <c r="AF142" s="112"/>
      <c r="AG142" s="112"/>
      <c r="AH142" s="112"/>
    </row>
    <row r="143" spans="1:34">
      <c r="A143" s="112"/>
      <c r="B143" s="112">
        <v>5</v>
      </c>
      <c r="C143" s="112">
        <v>10</v>
      </c>
      <c r="D143" s="112">
        <v>100</v>
      </c>
      <c r="E143" s="112">
        <f t="shared" si="5"/>
        <v>110</v>
      </c>
      <c r="F143" s="223">
        <f t="shared" si="6"/>
        <v>68.301345536507043</v>
      </c>
      <c r="G143" s="229">
        <f t="shared" si="7"/>
        <v>3.415067276825352</v>
      </c>
      <c r="H143" s="229">
        <f t="shared" si="8"/>
        <v>3.1046066152957743</v>
      </c>
      <c r="I143" s="112"/>
      <c r="J143" s="112"/>
      <c r="K143" s="112"/>
      <c r="L143" s="223"/>
      <c r="M143" s="223"/>
      <c r="N143" s="223"/>
      <c r="O143" s="112"/>
      <c r="P143" s="112"/>
      <c r="Q143" s="112"/>
      <c r="R143" s="112"/>
      <c r="S143" s="112"/>
      <c r="T143" s="112"/>
      <c r="U143" s="112"/>
      <c r="V143" s="112"/>
      <c r="W143" s="112"/>
      <c r="X143" s="223">
        <f t="shared" si="9"/>
        <v>0.05</v>
      </c>
      <c r="Y143" s="223">
        <v>0</v>
      </c>
      <c r="Z143" s="223">
        <v>0</v>
      </c>
      <c r="AA143" s="223">
        <v>0</v>
      </c>
      <c r="AB143" s="112"/>
      <c r="AC143" s="112"/>
      <c r="AD143" s="112"/>
      <c r="AE143" s="112"/>
      <c r="AF143" s="112"/>
      <c r="AG143" s="112"/>
      <c r="AH143" s="112"/>
    </row>
    <row r="144" spans="1:34">
      <c r="A144" s="112"/>
      <c r="B144" s="112"/>
      <c r="C144" s="112"/>
      <c r="D144" s="112"/>
      <c r="E144" s="112"/>
      <c r="F144" s="223">
        <f>+SUM(F139:F143)</f>
        <v>99.999999999999972</v>
      </c>
      <c r="G144" s="230">
        <f>+SUM(G139:G143)</f>
        <v>4.1698654463492915</v>
      </c>
      <c r="H144" s="230">
        <f>+SUM(H139:H143)</f>
        <v>3.7907867694084465</v>
      </c>
      <c r="I144" s="231"/>
      <c r="J144" s="231"/>
      <c r="K144" s="112"/>
      <c r="L144" s="112"/>
      <c r="M144" s="112"/>
      <c r="N144" s="112"/>
      <c r="O144" s="112"/>
      <c r="P144" s="112"/>
      <c r="Q144" s="112"/>
      <c r="R144" s="112"/>
      <c r="S144" s="112"/>
      <c r="T144" s="112"/>
      <c r="U144" s="112"/>
      <c r="V144" s="112"/>
      <c r="W144" s="112"/>
      <c r="X144" s="223">
        <f t="shared" si="9"/>
        <v>6.0000000000000005E-2</v>
      </c>
      <c r="Y144" s="223">
        <v>0</v>
      </c>
      <c r="Z144" s="223">
        <v>0</v>
      </c>
      <c r="AA144" s="223">
        <v>0</v>
      </c>
      <c r="AB144" s="112"/>
      <c r="AC144" s="112"/>
      <c r="AD144" s="112"/>
      <c r="AE144" s="112"/>
      <c r="AF144" s="112"/>
      <c r="AG144" s="112"/>
      <c r="AH144" s="112"/>
    </row>
    <row r="145" spans="1:34">
      <c r="A145" s="112"/>
      <c r="B145" s="112"/>
      <c r="C145" s="112"/>
      <c r="D145" s="112"/>
      <c r="E145" s="112"/>
      <c r="F145" s="112"/>
      <c r="G145" s="112" t="s">
        <v>273</v>
      </c>
      <c r="H145" s="112" t="s">
        <v>342</v>
      </c>
      <c r="I145" s="112"/>
      <c r="J145" s="112"/>
      <c r="K145" s="112"/>
      <c r="L145" s="112"/>
      <c r="M145" s="112"/>
      <c r="N145" s="112"/>
      <c r="O145" s="112"/>
      <c r="P145" s="112"/>
      <c r="Q145" s="112"/>
      <c r="R145" s="112"/>
      <c r="S145" s="112"/>
      <c r="T145" s="112"/>
      <c r="U145" s="112"/>
      <c r="V145" s="112"/>
      <c r="W145" s="112"/>
      <c r="X145" s="223">
        <f t="shared" si="9"/>
        <v>7.0000000000000007E-2</v>
      </c>
      <c r="Y145" s="223">
        <v>0</v>
      </c>
      <c r="Z145" s="223">
        <v>0</v>
      </c>
      <c r="AA145" s="223">
        <v>0</v>
      </c>
      <c r="AB145" s="112"/>
      <c r="AC145" s="112"/>
      <c r="AD145" s="112"/>
      <c r="AE145" s="112"/>
      <c r="AF145" s="112"/>
      <c r="AG145" s="112"/>
      <c r="AH145" s="112"/>
    </row>
    <row r="146" spans="1:34">
      <c r="A146" s="112"/>
      <c r="B146" s="112"/>
      <c r="C146" s="112"/>
      <c r="D146" s="112"/>
      <c r="E146" s="112"/>
      <c r="F146" s="229"/>
      <c r="G146" s="112"/>
      <c r="H146" s="112"/>
      <c r="I146" s="112"/>
      <c r="J146" s="112"/>
      <c r="K146" s="112"/>
      <c r="L146" s="112"/>
      <c r="M146" s="112"/>
      <c r="N146" s="112"/>
      <c r="O146" s="112"/>
      <c r="P146" s="112"/>
      <c r="Q146" s="112"/>
      <c r="R146" s="112"/>
      <c r="S146" s="112"/>
      <c r="T146" s="112"/>
      <c r="U146" s="112"/>
      <c r="V146" s="112"/>
      <c r="W146" s="112"/>
      <c r="X146" s="223">
        <f t="shared" si="9"/>
        <v>0.08</v>
      </c>
      <c r="Y146" s="223">
        <v>0</v>
      </c>
      <c r="Z146" s="223">
        <v>0</v>
      </c>
      <c r="AA146" s="223">
        <v>0</v>
      </c>
      <c r="AB146" s="112"/>
      <c r="AC146" s="112"/>
      <c r="AD146" s="112"/>
      <c r="AE146" s="112"/>
      <c r="AF146" s="112"/>
      <c r="AG146" s="112"/>
      <c r="AH146" s="112"/>
    </row>
    <row r="147" spans="1:34">
      <c r="A147" s="112"/>
      <c r="B147" s="112"/>
      <c r="C147" s="112"/>
      <c r="D147" s="112"/>
      <c r="E147" s="112"/>
      <c r="F147" s="112"/>
      <c r="G147" s="112"/>
      <c r="H147" s="112"/>
      <c r="I147" s="112"/>
      <c r="J147" s="112"/>
      <c r="K147" s="112"/>
      <c r="L147" s="223"/>
      <c r="M147" s="223"/>
      <c r="N147" s="223"/>
      <c r="O147" s="112"/>
      <c r="P147" s="112"/>
      <c r="Q147" s="112"/>
      <c r="R147" s="112"/>
      <c r="S147" s="112"/>
      <c r="T147" s="112"/>
      <c r="U147" s="112"/>
      <c r="V147" s="112"/>
      <c r="W147" s="112"/>
      <c r="X147" s="223">
        <f t="shared" si="9"/>
        <v>0.09</v>
      </c>
      <c r="Y147" s="223">
        <v>0</v>
      </c>
      <c r="Z147" s="223">
        <v>0</v>
      </c>
      <c r="AA147" s="223">
        <v>0</v>
      </c>
      <c r="AB147" s="112"/>
      <c r="AC147" s="112"/>
      <c r="AD147" s="112"/>
      <c r="AE147" s="112"/>
      <c r="AF147" s="112"/>
      <c r="AG147" s="112"/>
      <c r="AH147" s="112"/>
    </row>
    <row r="148" spans="1:34">
      <c r="A148" s="112"/>
      <c r="B148" s="112"/>
      <c r="C148" s="112"/>
      <c r="D148" s="112"/>
      <c r="E148" s="112"/>
      <c r="F148" s="112"/>
      <c r="G148" s="112"/>
      <c r="H148" s="112"/>
      <c r="I148" s="112"/>
      <c r="J148" s="112"/>
      <c r="K148" s="112"/>
      <c r="L148" s="112"/>
      <c r="M148" s="112"/>
      <c r="N148" s="112"/>
      <c r="O148" s="112"/>
      <c r="P148" s="112"/>
      <c r="Q148" s="112"/>
      <c r="R148" s="112"/>
      <c r="S148" s="112"/>
      <c r="T148" s="112"/>
      <c r="U148" s="112"/>
      <c r="V148" s="112"/>
      <c r="W148" s="112"/>
      <c r="X148" s="223">
        <f t="shared" si="9"/>
        <v>9.9999999999999992E-2</v>
      </c>
      <c r="Y148" s="223">
        <v>0</v>
      </c>
      <c r="Z148" s="223">
        <v>0</v>
      </c>
      <c r="AA148" s="223">
        <v>0</v>
      </c>
      <c r="AB148" s="112"/>
      <c r="AC148" s="112"/>
      <c r="AD148" s="112"/>
      <c r="AE148" s="112"/>
      <c r="AF148" s="112"/>
      <c r="AG148" s="112"/>
      <c r="AH148" s="112"/>
    </row>
    <row r="149" spans="1:34">
      <c r="A149" s="112" t="s">
        <v>335</v>
      </c>
      <c r="B149" s="112" t="s">
        <v>336</v>
      </c>
      <c r="C149" s="112"/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  <c r="V149" s="112"/>
      <c r="W149" s="112"/>
      <c r="X149" s="223">
        <f t="shared" si="9"/>
        <v>0.10999999999999999</v>
      </c>
      <c r="Y149" s="223">
        <v>0</v>
      </c>
      <c r="Z149" s="223">
        <v>0</v>
      </c>
      <c r="AA149" s="223">
        <v>0</v>
      </c>
      <c r="AB149" s="112"/>
      <c r="AC149" s="112"/>
      <c r="AD149" s="112"/>
      <c r="AE149" s="112"/>
      <c r="AF149" s="112"/>
      <c r="AG149" s="112"/>
      <c r="AH149" s="112"/>
    </row>
    <row r="150" spans="1:34">
      <c r="A150" s="112"/>
      <c r="B150" s="112"/>
      <c r="C150" s="112"/>
      <c r="D150" s="112"/>
      <c r="E150" s="112"/>
      <c r="F150" s="112"/>
      <c r="G150" s="112"/>
      <c r="H150" s="112"/>
      <c r="I150" s="112"/>
      <c r="J150" s="112"/>
      <c r="K150" s="112"/>
      <c r="L150" s="112"/>
      <c r="M150" s="112"/>
      <c r="N150" s="112"/>
      <c r="O150" s="112"/>
      <c r="P150" s="112"/>
      <c r="Q150" s="112"/>
      <c r="R150" s="112"/>
      <c r="S150" s="112"/>
      <c r="T150" s="112"/>
      <c r="U150" s="112"/>
      <c r="V150" s="112"/>
      <c r="W150" s="112"/>
      <c r="X150" s="223">
        <f>X149+0.01</f>
        <v>0.11999999999999998</v>
      </c>
      <c r="Y150" s="223">
        <v>0</v>
      </c>
      <c r="Z150" s="223">
        <v>0</v>
      </c>
      <c r="AA150" s="223">
        <v>0</v>
      </c>
      <c r="AB150" s="112"/>
      <c r="AC150" s="112"/>
      <c r="AD150" s="112"/>
      <c r="AE150" s="112"/>
      <c r="AF150" s="112"/>
      <c r="AG150" s="112"/>
      <c r="AH150" s="112"/>
    </row>
    <row r="151" spans="1:34">
      <c r="A151" s="112"/>
      <c r="B151" s="112"/>
      <c r="C151" s="112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  <c r="T151" s="112"/>
      <c r="U151" s="112"/>
      <c r="V151" s="112"/>
      <c r="W151" s="112"/>
      <c r="X151" s="223">
        <f t="shared" si="9"/>
        <v>0.12999999999999998</v>
      </c>
      <c r="Y151" s="223">
        <v>0</v>
      </c>
      <c r="Z151" s="223">
        <v>0</v>
      </c>
      <c r="AA151" s="223">
        <v>0</v>
      </c>
      <c r="AB151" s="112"/>
      <c r="AC151" s="112"/>
      <c r="AD151" s="112"/>
      <c r="AE151" s="112"/>
      <c r="AF151" s="112"/>
      <c r="AG151" s="112"/>
      <c r="AH151" s="112"/>
    </row>
    <row r="152" spans="1:34">
      <c r="A152" s="112"/>
      <c r="B152" s="112"/>
      <c r="C152" s="112"/>
      <c r="D152" s="112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  <c r="V152" s="112"/>
      <c r="W152" s="112"/>
      <c r="X152" s="223">
        <f>X151+0.01</f>
        <v>0.13999999999999999</v>
      </c>
      <c r="Y152" s="223">
        <v>0</v>
      </c>
      <c r="Z152" s="223">
        <v>0</v>
      </c>
      <c r="AA152" s="223">
        <v>0</v>
      </c>
      <c r="AB152" s="112"/>
      <c r="AC152" s="112"/>
      <c r="AD152" s="112"/>
      <c r="AE152" s="112"/>
      <c r="AF152" s="112"/>
      <c r="AG152" s="112"/>
      <c r="AH152" s="112"/>
    </row>
    <row r="153" spans="1:34">
      <c r="A153" s="112"/>
      <c r="B153" s="112"/>
      <c r="C153" s="112"/>
      <c r="D153" s="112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12"/>
      <c r="P153" s="112"/>
      <c r="Q153" s="112"/>
      <c r="R153" s="112"/>
      <c r="S153" s="112"/>
      <c r="T153" s="112"/>
      <c r="U153" s="112"/>
      <c r="V153" s="112"/>
      <c r="W153" s="112"/>
      <c r="X153" s="223">
        <f t="shared" si="9"/>
        <v>0.15</v>
      </c>
      <c r="Y153" s="223">
        <v>0</v>
      </c>
      <c r="Z153" s="223">
        <v>0</v>
      </c>
      <c r="AA153" s="223">
        <v>0</v>
      </c>
      <c r="AB153" s="112"/>
      <c r="AC153" s="112"/>
      <c r="AD153" s="112"/>
      <c r="AE153" s="112"/>
      <c r="AF153" s="112"/>
      <c r="AG153" s="112"/>
      <c r="AH153" s="112"/>
    </row>
    <row r="154" spans="1:34">
      <c r="A154" s="112"/>
      <c r="B154" s="112"/>
      <c r="C154" s="112"/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  <c r="O154" s="112"/>
      <c r="P154" s="112"/>
      <c r="Q154" s="112"/>
      <c r="R154" s="112"/>
      <c r="S154" s="112"/>
      <c r="T154" s="112"/>
      <c r="U154" s="112"/>
      <c r="V154" s="112"/>
      <c r="W154" s="112"/>
      <c r="X154" s="223">
        <f t="shared" si="9"/>
        <v>0.16</v>
      </c>
      <c r="Y154" s="223">
        <v>0</v>
      </c>
      <c r="Z154" s="223">
        <v>0</v>
      </c>
      <c r="AA154" s="223">
        <v>0</v>
      </c>
      <c r="AB154" s="112"/>
      <c r="AC154" s="112"/>
      <c r="AD154" s="112"/>
      <c r="AE154" s="112"/>
      <c r="AF154" s="112"/>
      <c r="AG154" s="112"/>
      <c r="AH154" s="112"/>
    </row>
    <row r="155" spans="1:34">
      <c r="A155" s="112" t="s">
        <v>337</v>
      </c>
      <c r="B155" s="112" t="s">
        <v>338</v>
      </c>
      <c r="C155" s="112"/>
      <c r="D155" s="112"/>
      <c r="E155" s="112"/>
      <c r="F155" s="112"/>
      <c r="G155" s="112"/>
      <c r="H155" s="112"/>
      <c r="I155" s="112"/>
      <c r="J155" s="112"/>
      <c r="K155" s="112"/>
      <c r="L155" s="112"/>
      <c r="M155" s="112"/>
      <c r="N155" s="112"/>
      <c r="O155" s="112"/>
      <c r="P155" s="112"/>
      <c r="Q155" s="112"/>
      <c r="R155" s="112"/>
      <c r="S155" s="112"/>
      <c r="T155" s="112"/>
      <c r="U155" s="112"/>
      <c r="V155" s="112"/>
      <c r="W155" s="112"/>
      <c r="X155" s="223">
        <f>X154+0.01</f>
        <v>0.17</v>
      </c>
      <c r="Y155" s="223">
        <v>0</v>
      </c>
      <c r="Z155" s="223">
        <v>0</v>
      </c>
      <c r="AA155" s="223">
        <v>0</v>
      </c>
      <c r="AB155" s="112"/>
      <c r="AC155" s="112"/>
      <c r="AD155" s="112"/>
      <c r="AE155" s="112"/>
      <c r="AF155" s="112"/>
      <c r="AG155" s="112"/>
      <c r="AH155" s="112"/>
    </row>
    <row r="156" spans="1:34">
      <c r="A156" s="112"/>
      <c r="B156" s="112"/>
      <c r="C156" s="112"/>
      <c r="D156" s="112"/>
      <c r="E156" s="112"/>
      <c r="F156" s="112"/>
      <c r="G156" s="112"/>
      <c r="H156" s="112"/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  <c r="V156" s="112"/>
      <c r="W156" s="112"/>
      <c r="X156" s="223">
        <f t="shared" si="9"/>
        <v>0.18000000000000002</v>
      </c>
      <c r="Y156" s="223">
        <v>0</v>
      </c>
      <c r="Z156" s="223">
        <v>0</v>
      </c>
      <c r="AA156" s="223">
        <v>0</v>
      </c>
      <c r="AB156" s="112"/>
      <c r="AC156" s="112"/>
      <c r="AD156" s="112"/>
      <c r="AE156" s="112"/>
      <c r="AF156" s="112"/>
      <c r="AG156" s="112"/>
      <c r="AH156" s="112"/>
    </row>
    <row r="157" spans="1:34">
      <c r="A157" s="112"/>
      <c r="B157" s="112"/>
      <c r="C157" s="112"/>
      <c r="D157" s="112"/>
      <c r="E157" s="280" t="s">
        <v>330</v>
      </c>
      <c r="F157" s="280"/>
      <c r="G157" s="112"/>
      <c r="H157" s="112"/>
      <c r="I157" s="112"/>
      <c r="J157" s="112"/>
      <c r="K157" s="112"/>
      <c r="L157" s="112"/>
      <c r="M157" s="112"/>
      <c r="N157" s="112"/>
      <c r="O157" s="112"/>
      <c r="P157" s="112"/>
      <c r="Q157" s="112"/>
      <c r="R157" s="112"/>
      <c r="S157" s="112"/>
      <c r="T157" s="112"/>
      <c r="U157" s="112"/>
      <c r="V157" s="112"/>
      <c r="W157" s="112"/>
      <c r="X157" s="223">
        <f t="shared" si="9"/>
        <v>0.19000000000000003</v>
      </c>
      <c r="Y157" s="223">
        <v>0</v>
      </c>
      <c r="Z157" s="223">
        <v>0</v>
      </c>
      <c r="AA157" s="223">
        <v>0</v>
      </c>
      <c r="AB157" s="112"/>
      <c r="AC157" s="112"/>
      <c r="AD157" s="112"/>
      <c r="AE157" s="112"/>
      <c r="AF157" s="112"/>
      <c r="AG157" s="112"/>
      <c r="AH157" s="112"/>
    </row>
    <row r="158" spans="1:34">
      <c r="A158" s="112"/>
      <c r="B158" s="112"/>
      <c r="C158" s="112"/>
      <c r="D158" s="112"/>
      <c r="E158" s="214">
        <v>0.01</v>
      </c>
      <c r="F158" s="214">
        <v>-0.01</v>
      </c>
      <c r="G158" s="112"/>
      <c r="H158" s="112"/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223">
        <f>X157+0.01</f>
        <v>0.20000000000000004</v>
      </c>
      <c r="Y158" s="223">
        <v>0</v>
      </c>
      <c r="Z158" s="223">
        <v>0</v>
      </c>
      <c r="AA158" s="223">
        <v>0</v>
      </c>
      <c r="AB158" s="112"/>
      <c r="AC158" s="112"/>
      <c r="AD158" s="112"/>
      <c r="AE158" s="112"/>
      <c r="AF158" s="112"/>
      <c r="AG158" s="112"/>
      <c r="AH158" s="112"/>
    </row>
    <row r="159" spans="1:34">
      <c r="A159" s="112"/>
      <c r="B159" s="112"/>
      <c r="C159" s="112"/>
      <c r="D159" s="112"/>
      <c r="E159" s="231">
        <f>-$I$17*E158</f>
        <v>0</v>
      </c>
      <c r="F159" s="231">
        <f>-$I$17*F158</f>
        <v>0</v>
      </c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112"/>
      <c r="T159" s="112"/>
      <c r="U159" s="112"/>
      <c r="V159" s="112"/>
      <c r="W159" s="112"/>
      <c r="X159" s="223"/>
    </row>
    <row r="160" spans="1:34">
      <c r="A160" s="112"/>
      <c r="B160" s="112"/>
      <c r="C160" s="112"/>
      <c r="D160" s="112"/>
      <c r="E160" s="231"/>
      <c r="F160" s="231"/>
      <c r="G160" s="112"/>
      <c r="H160" s="112"/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223"/>
    </row>
    <row r="161" spans="1:24">
      <c r="A161" s="112" t="s">
        <v>339</v>
      </c>
      <c r="B161" s="112" t="s">
        <v>340</v>
      </c>
      <c r="C161" s="112"/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223"/>
    </row>
    <row r="162" spans="1:24">
      <c r="A162" s="112"/>
      <c r="B162" s="112" t="s">
        <v>341</v>
      </c>
      <c r="C162" s="112"/>
      <c r="D162" s="112"/>
      <c r="E162" s="112"/>
      <c r="F162" s="112"/>
      <c r="G162" s="112"/>
      <c r="H162" s="112"/>
      <c r="I162" s="112"/>
      <c r="J162" s="112"/>
      <c r="K162" s="112"/>
      <c r="L162" s="112"/>
      <c r="M162" s="112"/>
      <c r="N162" s="112"/>
      <c r="O162" s="112"/>
      <c r="P162" s="112"/>
      <c r="Q162" s="112"/>
      <c r="R162" s="112"/>
      <c r="S162" s="112"/>
      <c r="T162" s="112"/>
      <c r="U162" s="112"/>
      <c r="V162" s="112"/>
      <c r="W162" s="112"/>
      <c r="X162" s="223"/>
    </row>
    <row r="163" spans="1:24">
      <c r="A163" s="112"/>
      <c r="B163" s="112"/>
      <c r="C163" s="112"/>
      <c r="D163" s="112"/>
      <c r="E163" s="112"/>
      <c r="F163" s="112"/>
      <c r="G163" s="112"/>
      <c r="H163" s="112"/>
      <c r="I163" s="112"/>
      <c r="J163" s="112"/>
      <c r="K163" s="112"/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  <c r="V163" s="112"/>
      <c r="W163" s="112"/>
      <c r="X163" s="223"/>
    </row>
    <row r="164" spans="1:24">
      <c r="A164" s="112"/>
      <c r="B164" s="112"/>
      <c r="C164" s="112"/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223"/>
    </row>
    <row r="165" spans="1:24">
      <c r="A165" s="112"/>
      <c r="B165" s="112"/>
      <c r="C165" s="112"/>
      <c r="D165" s="112"/>
      <c r="E165" s="112"/>
      <c r="F165" s="112"/>
      <c r="G165" s="112"/>
      <c r="H165" s="112"/>
      <c r="I165" s="112"/>
      <c r="J165" s="112"/>
      <c r="K165" s="112"/>
      <c r="L165" s="112"/>
      <c r="M165" s="112"/>
      <c r="N165" s="112"/>
      <c r="O165" s="112"/>
      <c r="P165" s="112"/>
      <c r="Q165" s="112"/>
      <c r="R165" s="112"/>
      <c r="S165" s="112"/>
      <c r="T165" s="112"/>
      <c r="U165" s="112"/>
      <c r="V165" s="112"/>
      <c r="W165" s="112"/>
      <c r="X165" s="223"/>
    </row>
    <row r="166" spans="1:24">
      <c r="A166" s="112"/>
      <c r="B166" s="112"/>
      <c r="C166" s="112"/>
      <c r="D166" s="112"/>
      <c r="E166" s="112"/>
      <c r="F166" s="112"/>
      <c r="G166" s="112"/>
      <c r="H166" s="112"/>
      <c r="I166" s="112"/>
      <c r="J166" s="112"/>
      <c r="K166" s="112"/>
      <c r="L166" s="112"/>
      <c r="M166" s="112"/>
      <c r="N166" s="112"/>
      <c r="O166" s="112"/>
      <c r="P166" s="112"/>
      <c r="Q166" s="112"/>
      <c r="R166" s="112"/>
      <c r="S166" s="112"/>
      <c r="T166" s="112"/>
      <c r="U166" s="112"/>
      <c r="V166" s="112"/>
      <c r="W166" s="112"/>
      <c r="X166" s="223"/>
    </row>
    <row r="167" spans="1:24">
      <c r="A167" s="112"/>
      <c r="B167" s="112"/>
      <c r="C167" s="112"/>
      <c r="D167" s="112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223"/>
    </row>
    <row r="168" spans="1:24">
      <c r="A168" s="112"/>
      <c r="B168" s="112"/>
      <c r="C168" s="112"/>
      <c r="D168" s="112"/>
      <c r="E168" s="112"/>
      <c r="F168" s="112"/>
      <c r="G168" s="112"/>
      <c r="H168" s="112"/>
      <c r="I168" s="112"/>
      <c r="J168" s="112"/>
      <c r="K168" s="112"/>
      <c r="L168" s="112"/>
      <c r="M168" s="112"/>
      <c r="N168" s="112"/>
      <c r="O168" s="112"/>
      <c r="P168" s="112"/>
      <c r="Q168" s="112"/>
      <c r="R168" s="112"/>
      <c r="S168" s="112"/>
      <c r="T168" s="112"/>
      <c r="U168" s="112"/>
      <c r="V168" s="112"/>
      <c r="W168" s="112"/>
      <c r="X168" s="223"/>
    </row>
    <row r="169" spans="1:24">
      <c r="A169" s="112"/>
      <c r="B169" s="112"/>
      <c r="C169" s="112"/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  <c r="X169" s="223"/>
    </row>
    <row r="170" spans="1:24">
      <c r="A170" s="112"/>
      <c r="B170" s="112"/>
      <c r="C170" s="112"/>
      <c r="D170" s="112"/>
      <c r="E170" s="112"/>
      <c r="F170" s="112"/>
      <c r="G170" s="112"/>
      <c r="H170" s="112"/>
      <c r="I170" s="112"/>
      <c r="J170" s="112"/>
      <c r="K170" s="112"/>
      <c r="L170" s="112"/>
      <c r="M170" s="112"/>
      <c r="N170" s="112"/>
      <c r="O170" s="112"/>
      <c r="P170" s="112"/>
      <c r="Q170" s="112"/>
      <c r="R170" s="112"/>
      <c r="S170" s="112"/>
      <c r="T170" s="112"/>
      <c r="U170" s="112"/>
      <c r="V170" s="112"/>
      <c r="W170" s="112"/>
      <c r="X170" s="223"/>
    </row>
    <row r="171" spans="1:24">
      <c r="A171" s="112"/>
      <c r="B171" s="112"/>
      <c r="C171" s="112"/>
      <c r="D171" s="112"/>
      <c r="E171" s="112"/>
      <c r="F171" s="112"/>
      <c r="G171" s="112"/>
      <c r="H171" s="112"/>
      <c r="I171" s="112"/>
      <c r="J171" s="112"/>
      <c r="K171" s="112"/>
      <c r="L171" s="112"/>
      <c r="M171" s="112"/>
      <c r="N171" s="112"/>
      <c r="O171" s="112"/>
      <c r="P171" s="112"/>
      <c r="Q171" s="112"/>
      <c r="R171" s="112"/>
      <c r="S171" s="112"/>
      <c r="T171" s="112"/>
      <c r="U171" s="112"/>
      <c r="V171" s="112"/>
      <c r="W171" s="112"/>
      <c r="X171" s="223"/>
    </row>
    <row r="172" spans="1:24">
      <c r="A172" s="112"/>
      <c r="B172" s="112"/>
      <c r="C172" s="112"/>
      <c r="D172" s="112"/>
      <c r="E172" s="112"/>
      <c r="F172" s="112"/>
      <c r="G172" s="112"/>
      <c r="H172" s="112"/>
      <c r="I172" s="112"/>
      <c r="J172" s="112"/>
      <c r="K172" s="112"/>
      <c r="L172" s="112"/>
      <c r="M172" s="112"/>
      <c r="N172" s="112"/>
      <c r="O172" s="112"/>
      <c r="P172" s="112"/>
      <c r="Q172" s="112"/>
      <c r="R172" s="112"/>
      <c r="S172" s="112"/>
      <c r="T172" s="112"/>
      <c r="U172" s="112"/>
      <c r="V172" s="112"/>
      <c r="W172" s="112"/>
      <c r="X172" s="223"/>
    </row>
    <row r="173" spans="1:24">
      <c r="A173" s="112"/>
      <c r="B173" s="112"/>
      <c r="C173" s="112"/>
      <c r="D173" s="112"/>
      <c r="E173" s="112"/>
      <c r="F173" s="112"/>
      <c r="G173" s="112"/>
      <c r="H173" s="112"/>
      <c r="I173" s="112"/>
      <c r="J173" s="112"/>
      <c r="K173" s="112"/>
      <c r="L173" s="112"/>
      <c r="M173" s="112"/>
      <c r="N173" s="112"/>
      <c r="O173" s="112"/>
      <c r="P173" s="112"/>
      <c r="Q173" s="112"/>
      <c r="R173" s="112"/>
      <c r="S173" s="112"/>
      <c r="T173" s="112"/>
      <c r="U173" s="112"/>
      <c r="V173" s="112"/>
      <c r="W173" s="112"/>
      <c r="X173" s="223"/>
    </row>
    <row r="174" spans="1:24">
      <c r="A174" s="112"/>
      <c r="B174" s="112"/>
      <c r="C174" s="112"/>
      <c r="D174" s="112"/>
      <c r="E174" s="112"/>
      <c r="F174" s="112"/>
      <c r="G174" s="112"/>
      <c r="H174" s="112"/>
      <c r="I174" s="112"/>
      <c r="J174" s="112"/>
      <c r="K174" s="112"/>
      <c r="L174" s="112"/>
      <c r="M174" s="112"/>
      <c r="N174" s="112"/>
      <c r="O174" s="112"/>
      <c r="P174" s="112"/>
      <c r="Q174" s="112"/>
      <c r="R174" s="112"/>
      <c r="S174" s="112"/>
      <c r="T174" s="112"/>
      <c r="U174" s="112"/>
      <c r="V174" s="112"/>
      <c r="W174" s="112"/>
      <c r="X174" s="223"/>
    </row>
    <row r="175" spans="1:24">
      <c r="A175" s="112"/>
      <c r="B175" s="112"/>
      <c r="C175" s="112"/>
      <c r="D175" s="112"/>
      <c r="E175" s="112"/>
      <c r="F175" s="112"/>
      <c r="G175" s="112"/>
      <c r="H175" s="112"/>
      <c r="I175" s="112"/>
      <c r="J175" s="112"/>
      <c r="K175" s="112"/>
      <c r="L175" s="112"/>
      <c r="M175" s="112"/>
      <c r="N175" s="112"/>
      <c r="O175" s="112"/>
      <c r="P175" s="112"/>
      <c r="Q175" s="112"/>
      <c r="R175" s="112"/>
      <c r="S175" s="112"/>
      <c r="T175" s="112"/>
      <c r="U175" s="112"/>
      <c r="V175" s="112"/>
      <c r="W175" s="112"/>
      <c r="X175" s="223"/>
    </row>
    <row r="176" spans="1:24">
      <c r="A176" s="112"/>
      <c r="B176" s="112"/>
      <c r="C176" s="112"/>
      <c r="D176" s="112"/>
      <c r="E176" s="112"/>
      <c r="F176" s="112"/>
      <c r="G176" s="112"/>
      <c r="H176" s="112"/>
      <c r="I176" s="112"/>
      <c r="J176" s="112"/>
      <c r="K176" s="112"/>
      <c r="L176" s="112"/>
      <c r="M176" s="112"/>
      <c r="N176" s="112"/>
      <c r="O176" s="112"/>
      <c r="P176" s="112"/>
      <c r="Q176" s="112"/>
      <c r="R176" s="112"/>
      <c r="S176" s="112"/>
      <c r="T176" s="112"/>
      <c r="U176" s="112"/>
      <c r="V176" s="112"/>
      <c r="W176" s="112"/>
      <c r="X176" s="223"/>
    </row>
    <row r="177" spans="1:24">
      <c r="A177" s="112"/>
      <c r="B177" s="112"/>
      <c r="C177" s="112"/>
      <c r="D177" s="112"/>
      <c r="E177" s="112"/>
      <c r="F177" s="112"/>
      <c r="G177" s="112"/>
      <c r="H177" s="112"/>
      <c r="I177" s="112"/>
      <c r="J177" s="112"/>
      <c r="K177" s="112"/>
      <c r="L177" s="112"/>
      <c r="M177" s="112"/>
      <c r="N177" s="112"/>
      <c r="O177" s="112"/>
      <c r="P177" s="112"/>
      <c r="Q177" s="112"/>
      <c r="R177" s="112"/>
      <c r="S177" s="112"/>
      <c r="T177" s="112"/>
      <c r="U177" s="112"/>
      <c r="V177" s="112"/>
      <c r="W177" s="112"/>
      <c r="X177" s="223"/>
    </row>
    <row r="178" spans="1:24">
      <c r="A178" s="112"/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112"/>
      <c r="S178" s="112"/>
      <c r="T178" s="112"/>
      <c r="U178" s="112"/>
      <c r="V178" s="112"/>
      <c r="W178" s="112"/>
      <c r="X178" s="223"/>
    </row>
    <row r="179" spans="1:24">
      <c r="A179" s="112"/>
      <c r="B179" s="112"/>
      <c r="C179" s="112"/>
      <c r="D179" s="112"/>
      <c r="E179" s="112"/>
      <c r="F179" s="112"/>
      <c r="G179" s="112"/>
      <c r="H179" s="112"/>
      <c r="I179" s="112"/>
      <c r="J179" s="112"/>
      <c r="K179" s="112"/>
      <c r="L179" s="112"/>
      <c r="M179" s="112"/>
      <c r="N179" s="112"/>
      <c r="O179" s="112"/>
      <c r="P179" s="112"/>
      <c r="Q179" s="112"/>
      <c r="R179" s="112"/>
      <c r="S179" s="112"/>
      <c r="T179" s="112"/>
      <c r="U179" s="112"/>
      <c r="V179" s="112"/>
      <c r="W179" s="112"/>
      <c r="X179" s="223"/>
    </row>
    <row r="180" spans="1:24">
      <c r="A180" s="112"/>
      <c r="B180" s="112"/>
      <c r="C180" s="112"/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223"/>
    </row>
    <row r="181" spans="1:24">
      <c r="A181" s="112"/>
      <c r="B181" s="112"/>
      <c r="C181" s="112"/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2"/>
      <c r="Q181" s="112"/>
      <c r="R181" s="112"/>
      <c r="S181" s="112"/>
      <c r="T181" s="112"/>
      <c r="U181" s="112"/>
      <c r="V181" s="112"/>
      <c r="W181" s="112"/>
      <c r="X181" s="223"/>
    </row>
    <row r="182" spans="1:24">
      <c r="A182" s="112"/>
      <c r="B182" s="112"/>
      <c r="C182" s="112"/>
      <c r="D182" s="112"/>
      <c r="E182" s="112"/>
      <c r="F182" s="112"/>
      <c r="G182" s="112"/>
      <c r="H182" s="112"/>
      <c r="I182" s="112"/>
      <c r="J182" s="112"/>
      <c r="K182" s="112"/>
      <c r="L182" s="112"/>
      <c r="M182" s="112"/>
      <c r="N182" s="112"/>
      <c r="O182" s="112"/>
      <c r="P182" s="112"/>
      <c r="Q182" s="112"/>
      <c r="R182" s="112"/>
      <c r="S182" s="112"/>
      <c r="T182" s="112"/>
      <c r="U182" s="112"/>
      <c r="V182" s="112"/>
      <c r="W182" s="112"/>
      <c r="X182" s="223"/>
    </row>
    <row r="183" spans="1:24">
      <c r="A183" s="112"/>
      <c r="B183" s="112"/>
      <c r="C183" s="112"/>
      <c r="D183" s="112"/>
      <c r="E183" s="112"/>
      <c r="F183" s="112"/>
      <c r="G183" s="112"/>
      <c r="H183" s="112"/>
      <c r="I183" s="112"/>
      <c r="J183" s="112"/>
      <c r="K183" s="112"/>
      <c r="L183" s="112"/>
      <c r="M183" s="112"/>
      <c r="N183" s="112"/>
      <c r="O183" s="112"/>
      <c r="P183" s="112"/>
      <c r="Q183" s="112"/>
      <c r="R183" s="112"/>
      <c r="S183" s="112"/>
      <c r="T183" s="112"/>
      <c r="U183" s="112"/>
      <c r="V183" s="112"/>
      <c r="W183" s="112"/>
      <c r="X183" s="223"/>
    </row>
    <row r="184" spans="1:24">
      <c r="A184" s="112"/>
      <c r="B184" s="112"/>
      <c r="C184" s="112"/>
      <c r="D184" s="112"/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2"/>
      <c r="Q184" s="112"/>
      <c r="R184" s="112"/>
      <c r="S184" s="112"/>
      <c r="T184" s="112"/>
      <c r="U184" s="112"/>
      <c r="V184" s="112"/>
      <c r="W184" s="112"/>
      <c r="X184" s="223"/>
    </row>
    <row r="185" spans="1:24">
      <c r="A185" s="112"/>
      <c r="B185" s="112"/>
      <c r="C185" s="112"/>
      <c r="D185" s="112"/>
      <c r="E185" s="112"/>
      <c r="F185" s="112"/>
      <c r="G185" s="112"/>
      <c r="H185" s="112"/>
      <c r="I185" s="112"/>
      <c r="J185" s="112"/>
      <c r="K185" s="112"/>
      <c r="L185" s="112"/>
      <c r="M185" s="112"/>
      <c r="N185" s="112"/>
      <c r="O185" s="112"/>
      <c r="P185" s="112"/>
      <c r="Q185" s="112"/>
      <c r="R185" s="112"/>
      <c r="S185" s="112"/>
      <c r="T185" s="112"/>
      <c r="U185" s="112"/>
      <c r="V185" s="112"/>
      <c r="W185" s="112"/>
      <c r="X185" s="223"/>
    </row>
    <row r="186" spans="1:24">
      <c r="A186" s="112"/>
      <c r="B186" s="112"/>
      <c r="C186" s="112"/>
      <c r="D186" s="112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12"/>
      <c r="P186" s="112"/>
      <c r="Q186" s="112"/>
      <c r="R186" s="112"/>
      <c r="S186" s="112"/>
      <c r="T186" s="112"/>
      <c r="U186" s="112"/>
      <c r="V186" s="112"/>
      <c r="W186" s="112"/>
      <c r="X186" s="223"/>
    </row>
    <row r="187" spans="1:24">
      <c r="A187" s="112"/>
      <c r="B187" s="112"/>
      <c r="C187" s="112"/>
      <c r="D187" s="112"/>
      <c r="E187" s="112"/>
      <c r="F187" s="112"/>
      <c r="G187" s="112"/>
      <c r="H187" s="112"/>
      <c r="I187" s="112"/>
      <c r="J187" s="112"/>
      <c r="K187" s="112"/>
      <c r="L187" s="112"/>
      <c r="M187" s="112"/>
      <c r="N187" s="112"/>
      <c r="O187" s="112"/>
      <c r="P187" s="112"/>
      <c r="Q187" s="112"/>
      <c r="R187" s="112"/>
      <c r="S187" s="112"/>
      <c r="T187" s="112"/>
      <c r="U187" s="112"/>
      <c r="V187" s="112"/>
      <c r="W187" s="112"/>
      <c r="X187" s="223"/>
    </row>
    <row r="188" spans="1:24">
      <c r="A188" s="112"/>
      <c r="B188" s="112"/>
      <c r="C188" s="112"/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  <c r="O188" s="112"/>
      <c r="P188" s="112"/>
      <c r="Q188" s="112"/>
      <c r="R188" s="112"/>
      <c r="S188" s="112"/>
      <c r="T188" s="112"/>
      <c r="U188" s="112"/>
      <c r="V188" s="112"/>
      <c r="W188" s="112"/>
      <c r="X188" s="223"/>
    </row>
    <row r="189" spans="1:24">
      <c r="A189" s="112"/>
      <c r="B189" s="112"/>
      <c r="C189" s="112"/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  <c r="O189" s="112"/>
      <c r="P189" s="112"/>
      <c r="Q189" s="112"/>
      <c r="R189" s="112"/>
      <c r="S189" s="112"/>
      <c r="T189" s="112"/>
      <c r="U189" s="112"/>
      <c r="V189" s="112"/>
      <c r="W189" s="112"/>
      <c r="X189" s="223"/>
    </row>
    <row r="190" spans="1:24">
      <c r="A190" s="112"/>
      <c r="B190" s="112"/>
      <c r="C190" s="112"/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  <c r="O190" s="112"/>
      <c r="P190" s="112"/>
      <c r="Q190" s="112"/>
      <c r="R190" s="112"/>
      <c r="S190" s="112"/>
      <c r="T190" s="112"/>
      <c r="U190" s="112"/>
      <c r="V190" s="112"/>
      <c r="W190" s="112"/>
      <c r="X190" s="223"/>
    </row>
    <row r="191" spans="1:24">
      <c r="A191" s="112"/>
      <c r="B191" s="112"/>
      <c r="C191" s="112"/>
      <c r="D191" s="112"/>
      <c r="E191" s="112"/>
      <c r="F191" s="112"/>
      <c r="G191" s="112"/>
      <c r="H191" s="112"/>
      <c r="I191" s="112"/>
      <c r="J191" s="112"/>
      <c r="K191" s="112"/>
      <c r="L191" s="112"/>
      <c r="M191" s="112"/>
      <c r="N191" s="112"/>
      <c r="O191" s="112"/>
      <c r="P191" s="112"/>
      <c r="Q191" s="112"/>
      <c r="R191" s="112"/>
      <c r="S191" s="112"/>
      <c r="T191" s="112"/>
      <c r="U191" s="112"/>
      <c r="V191" s="112"/>
      <c r="W191" s="112"/>
      <c r="X191" s="223"/>
    </row>
    <row r="192" spans="1:24">
      <c r="A192" s="112"/>
      <c r="B192" s="112"/>
      <c r="C192" s="112"/>
      <c r="D192" s="112"/>
      <c r="E192" s="112"/>
      <c r="F192" s="112"/>
      <c r="G192" s="112"/>
      <c r="H192" s="112"/>
      <c r="I192" s="112"/>
      <c r="J192" s="112"/>
      <c r="K192" s="112"/>
      <c r="L192" s="112"/>
      <c r="M192" s="112"/>
      <c r="N192" s="112"/>
      <c r="O192" s="112"/>
      <c r="P192" s="112"/>
      <c r="Q192" s="112"/>
      <c r="R192" s="112"/>
      <c r="S192" s="112"/>
      <c r="T192" s="112"/>
      <c r="U192" s="112"/>
      <c r="V192" s="112"/>
      <c r="W192" s="112"/>
      <c r="X192" s="223"/>
    </row>
    <row r="193" spans="1:24">
      <c r="A193" s="112"/>
      <c r="B193" s="112"/>
      <c r="C193" s="112"/>
      <c r="D193" s="112"/>
      <c r="E193" s="112"/>
      <c r="F193" s="112"/>
      <c r="G193" s="112"/>
      <c r="H193" s="112"/>
      <c r="I193" s="112"/>
      <c r="J193" s="112"/>
      <c r="K193" s="112"/>
      <c r="L193" s="112"/>
      <c r="M193" s="112"/>
      <c r="N193" s="112"/>
      <c r="O193" s="112"/>
      <c r="P193" s="112"/>
      <c r="Q193" s="112"/>
      <c r="R193" s="112"/>
      <c r="S193" s="112"/>
      <c r="T193" s="112"/>
      <c r="U193" s="112"/>
      <c r="V193" s="112"/>
      <c r="W193" s="112"/>
      <c r="X193" s="223"/>
    </row>
    <row r="194" spans="1:24">
      <c r="A194" s="112"/>
      <c r="B194" s="112"/>
      <c r="C194" s="112"/>
      <c r="D194" s="112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112"/>
      <c r="P194" s="112"/>
      <c r="Q194" s="112"/>
      <c r="R194" s="112"/>
      <c r="S194" s="112"/>
      <c r="T194" s="112"/>
      <c r="U194" s="112"/>
      <c r="V194" s="112"/>
      <c r="W194" s="112"/>
      <c r="X194" s="223"/>
    </row>
    <row r="195" spans="1:24">
      <c r="A195" s="112"/>
      <c r="B195" s="112"/>
      <c r="C195" s="112"/>
      <c r="D195" s="112"/>
      <c r="E195" s="112"/>
      <c r="F195" s="112"/>
      <c r="G195" s="112"/>
      <c r="H195" s="112"/>
      <c r="I195" s="112"/>
      <c r="J195" s="112"/>
      <c r="K195" s="112"/>
      <c r="L195" s="112"/>
      <c r="M195" s="112"/>
      <c r="N195" s="112"/>
      <c r="O195" s="112"/>
      <c r="P195" s="112"/>
      <c r="Q195" s="112"/>
      <c r="R195" s="112"/>
      <c r="S195" s="112"/>
      <c r="T195" s="112"/>
      <c r="U195" s="112"/>
      <c r="V195" s="112"/>
      <c r="W195" s="112"/>
      <c r="X195" s="223"/>
    </row>
    <row r="196" spans="1:24">
      <c r="A196" s="112"/>
      <c r="B196" s="112"/>
      <c r="C196" s="112"/>
      <c r="D196" s="112"/>
      <c r="E196" s="112"/>
      <c r="F196" s="112"/>
      <c r="G196" s="112"/>
      <c r="H196" s="112"/>
      <c r="I196" s="112"/>
      <c r="J196" s="112"/>
      <c r="K196" s="112"/>
      <c r="L196" s="112"/>
      <c r="M196" s="112"/>
      <c r="N196" s="112"/>
      <c r="O196" s="112"/>
      <c r="P196" s="112"/>
      <c r="Q196" s="112"/>
      <c r="R196" s="112"/>
      <c r="S196" s="112"/>
      <c r="T196" s="112"/>
      <c r="U196" s="112"/>
      <c r="V196" s="112"/>
      <c r="W196" s="112"/>
      <c r="X196" s="223"/>
    </row>
    <row r="197" spans="1:24">
      <c r="A197" s="112"/>
      <c r="B197" s="112"/>
      <c r="C197" s="112"/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  <c r="O197" s="112"/>
      <c r="P197" s="112"/>
      <c r="Q197" s="112"/>
      <c r="R197" s="112"/>
      <c r="S197" s="112"/>
      <c r="T197" s="112"/>
      <c r="U197" s="112"/>
      <c r="V197" s="112"/>
      <c r="W197" s="112"/>
      <c r="X197" s="223"/>
    </row>
    <row r="198" spans="1:24">
      <c r="A198" s="112"/>
      <c r="B198" s="112"/>
      <c r="C198" s="112"/>
      <c r="D198" s="112"/>
      <c r="E198" s="112"/>
      <c r="F198" s="112"/>
      <c r="G198" s="112"/>
      <c r="H198" s="112"/>
      <c r="I198" s="112"/>
      <c r="J198" s="112"/>
      <c r="K198" s="112"/>
      <c r="L198" s="112"/>
      <c r="M198" s="112"/>
      <c r="N198" s="112"/>
      <c r="O198" s="112"/>
      <c r="P198" s="112"/>
      <c r="Q198" s="112"/>
      <c r="R198" s="112"/>
      <c r="S198" s="112"/>
      <c r="T198" s="112"/>
      <c r="U198" s="112"/>
      <c r="V198" s="112"/>
      <c r="W198" s="112"/>
      <c r="X198" s="223"/>
    </row>
    <row r="199" spans="1:24">
      <c r="A199" s="112"/>
      <c r="B199" s="112"/>
      <c r="C199" s="112"/>
      <c r="D199" s="112"/>
      <c r="E199" s="112"/>
      <c r="F199" s="112"/>
      <c r="G199" s="112"/>
      <c r="H199" s="112"/>
      <c r="I199" s="112"/>
      <c r="J199" s="112"/>
      <c r="K199" s="112"/>
      <c r="L199" s="112"/>
      <c r="M199" s="112"/>
      <c r="N199" s="112"/>
      <c r="O199" s="112"/>
      <c r="P199" s="112"/>
      <c r="Q199" s="112"/>
      <c r="R199" s="112"/>
      <c r="S199" s="112"/>
      <c r="T199" s="112"/>
      <c r="U199" s="112"/>
      <c r="V199" s="112"/>
      <c r="W199" s="112"/>
      <c r="X199" s="223"/>
    </row>
    <row r="200" spans="1:24">
      <c r="A200" s="112"/>
      <c r="B200" s="112"/>
      <c r="C200" s="112"/>
      <c r="D200" s="112"/>
      <c r="E200" s="112"/>
      <c r="F200" s="112"/>
      <c r="G200" s="112"/>
      <c r="H200" s="112"/>
      <c r="I200" s="112"/>
      <c r="J200" s="112"/>
      <c r="K200" s="112"/>
      <c r="L200" s="112"/>
      <c r="M200" s="112"/>
      <c r="N200" s="112"/>
      <c r="O200" s="112"/>
      <c r="P200" s="112"/>
      <c r="Q200" s="112"/>
      <c r="R200" s="112"/>
      <c r="S200" s="112"/>
      <c r="T200" s="112"/>
      <c r="U200" s="112"/>
      <c r="V200" s="112"/>
      <c r="W200" s="112"/>
      <c r="X200" s="223"/>
    </row>
    <row r="201" spans="1:24">
      <c r="A201" s="112"/>
      <c r="B201" s="112"/>
      <c r="C201" s="112"/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223"/>
    </row>
    <row r="202" spans="1:24">
      <c r="A202" s="112"/>
      <c r="B202" s="112"/>
      <c r="C202" s="112"/>
      <c r="D202" s="112"/>
      <c r="E202" s="112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223"/>
    </row>
    <row r="203" spans="1:24">
      <c r="A203" s="112"/>
      <c r="B203" s="112"/>
      <c r="C203" s="112"/>
      <c r="D203" s="112"/>
      <c r="E203" s="112"/>
      <c r="F203" s="112"/>
      <c r="G203" s="112"/>
      <c r="H203" s="112"/>
      <c r="I203" s="112"/>
      <c r="J203" s="112"/>
      <c r="K203" s="112"/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  <c r="V203" s="112"/>
      <c r="W203" s="112"/>
      <c r="X203" s="223"/>
    </row>
    <row r="204" spans="1:24">
      <c r="A204" s="112"/>
      <c r="B204" s="112"/>
      <c r="C204" s="112"/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223"/>
    </row>
    <row r="205" spans="1:24">
      <c r="A205" s="112"/>
      <c r="B205" s="112"/>
      <c r="C205" s="112"/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223"/>
    </row>
    <row r="206" spans="1:24">
      <c r="A206" s="112"/>
      <c r="B206" s="112"/>
      <c r="C206" s="112"/>
      <c r="D206" s="112"/>
      <c r="E206" s="112"/>
      <c r="F206" s="112"/>
      <c r="G206" s="112"/>
      <c r="H206" s="112"/>
      <c r="I206" s="112"/>
      <c r="J206" s="112"/>
      <c r="K206" s="112"/>
      <c r="L206" s="112"/>
      <c r="M206" s="112"/>
      <c r="N206" s="112"/>
      <c r="O206" s="112"/>
      <c r="P206" s="112"/>
      <c r="Q206" s="112"/>
      <c r="R206" s="112"/>
      <c r="S206" s="112"/>
      <c r="T206" s="112"/>
      <c r="U206" s="112"/>
      <c r="V206" s="112"/>
      <c r="W206" s="112"/>
      <c r="X206" s="223"/>
    </row>
  </sheetData>
  <mergeCells count="2">
    <mergeCell ref="I137:J137"/>
    <mergeCell ref="E157:F15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3" name="Spinner 1">
              <controlPr locked="0" defaultSize="0" autoPict="0">
                <anchor moveWithCells="1" sizeWithCells="1">
                  <from>
                    <xdr:col>13</xdr:col>
                    <xdr:colOff>330200</xdr:colOff>
                    <xdr:row>132</xdr:row>
                    <xdr:rowOff>88900</xdr:rowOff>
                  </from>
                  <to>
                    <xdr:col>13</xdr:col>
                    <xdr:colOff>698500</xdr:colOff>
                    <xdr:row>134</xdr:row>
                    <xdr:rowOff>127000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22CFA-93C9-DB40-A4CC-F4458F1A9CBF}">
  <sheetPr>
    <tabColor theme="5" tint="0.39997558519241921"/>
  </sheetPr>
  <dimension ref="A1:AH153"/>
  <sheetViews>
    <sheetView topLeftCell="A36" zoomScale="125" zoomScaleNormal="80" workbookViewId="0">
      <selection activeCell="I61" sqref="I61"/>
    </sheetView>
  </sheetViews>
  <sheetFormatPr baseColWidth="10" defaultRowHeight="16"/>
  <sheetData>
    <row r="1" spans="1:34" ht="21">
      <c r="A1" s="111" t="s">
        <v>273</v>
      </c>
      <c r="B1" s="112"/>
      <c r="C1" s="112"/>
      <c r="D1" s="112"/>
      <c r="E1" s="112"/>
      <c r="F1" s="112"/>
      <c r="G1" s="112"/>
      <c r="H1" s="135"/>
      <c r="I1" s="135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223"/>
    </row>
    <row r="2" spans="1:34">
      <c r="A2" s="112"/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224">
        <v>20</v>
      </c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223"/>
    </row>
    <row r="3" spans="1:34">
      <c r="A3" s="112" t="s">
        <v>322</v>
      </c>
      <c r="B3" s="112">
        <v>0.1</v>
      </c>
      <c r="C3" s="112"/>
      <c r="D3" s="112"/>
      <c r="E3" s="112"/>
      <c r="F3" s="112"/>
      <c r="G3" s="112" t="s">
        <v>269</v>
      </c>
      <c r="H3" s="214">
        <f>IRR(E9:E14)</f>
        <v>0.10000000000000009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223"/>
    </row>
    <row r="4" spans="1:34">
      <c r="A4" s="112" t="s">
        <v>323</v>
      </c>
      <c r="B4" s="112">
        <v>100</v>
      </c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>
        <v>42</v>
      </c>
      <c r="O4" s="112"/>
      <c r="P4" s="112"/>
      <c r="Q4" s="112"/>
      <c r="R4" s="112"/>
      <c r="S4" s="112"/>
      <c r="T4" s="112"/>
      <c r="U4" s="112"/>
      <c r="V4" s="112"/>
      <c r="W4" s="112"/>
      <c r="X4" s="223"/>
    </row>
    <row r="5" spans="1:34">
      <c r="A5" s="112" t="s">
        <v>307</v>
      </c>
      <c r="B5" s="112">
        <v>5</v>
      </c>
      <c r="C5" s="112"/>
      <c r="D5" s="112"/>
      <c r="E5" s="112"/>
      <c r="F5" s="112"/>
      <c r="G5" s="112" t="s">
        <v>324</v>
      </c>
      <c r="H5" s="112"/>
      <c r="I5" s="112"/>
      <c r="J5" s="112"/>
      <c r="K5" s="112"/>
      <c r="L5" s="112" t="s">
        <v>269</v>
      </c>
      <c r="M5" s="112">
        <f>0.005*N4</f>
        <v>0.21</v>
      </c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223"/>
    </row>
    <row r="6" spans="1:34">
      <c r="A6" s="112" t="s">
        <v>325</v>
      </c>
      <c r="B6" s="112"/>
      <c r="C6" s="112"/>
      <c r="D6" s="112"/>
      <c r="E6" s="112"/>
      <c r="F6" s="112"/>
      <c r="G6" s="112" t="s">
        <v>269</v>
      </c>
      <c r="H6" s="214">
        <f>RATE(5,E10,E9,D14)</f>
        <v>0.10000000000000003</v>
      </c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223"/>
    </row>
    <row r="7" spans="1:34">
      <c r="A7" s="112" t="s">
        <v>326</v>
      </c>
      <c r="B7" s="112">
        <v>100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223"/>
    </row>
    <row r="8" spans="1:34" ht="48">
      <c r="A8" s="225"/>
      <c r="B8" s="226" t="s">
        <v>270</v>
      </c>
      <c r="C8" s="226" t="s">
        <v>218</v>
      </c>
      <c r="D8" s="226" t="s">
        <v>327</v>
      </c>
      <c r="E8" s="226" t="s">
        <v>219</v>
      </c>
      <c r="F8" s="226" t="s">
        <v>328</v>
      </c>
      <c r="G8" s="226" t="s">
        <v>273</v>
      </c>
      <c r="H8" s="226" t="s">
        <v>329</v>
      </c>
      <c r="I8" s="280" t="s">
        <v>330</v>
      </c>
      <c r="J8" s="280"/>
      <c r="K8" s="225"/>
      <c r="L8" s="226" t="s">
        <v>331</v>
      </c>
      <c r="M8" s="226" t="s">
        <v>332</v>
      </c>
      <c r="N8" s="226" t="s">
        <v>333</v>
      </c>
      <c r="O8" s="227"/>
      <c r="P8" s="227"/>
      <c r="Q8" s="227"/>
      <c r="R8" s="227"/>
      <c r="S8" s="227"/>
      <c r="T8" s="227"/>
      <c r="U8" s="225"/>
      <c r="V8" s="225"/>
      <c r="W8" s="225"/>
      <c r="X8" s="228" t="s">
        <v>334</v>
      </c>
      <c r="Y8" s="226" t="s">
        <v>331</v>
      </c>
      <c r="Z8" s="226" t="s">
        <v>332</v>
      </c>
      <c r="AA8" s="226" t="s">
        <v>333</v>
      </c>
      <c r="AB8" s="225"/>
      <c r="AC8" s="225"/>
      <c r="AD8" s="225"/>
      <c r="AE8" s="225"/>
      <c r="AF8" s="225"/>
      <c r="AG8" s="225"/>
      <c r="AH8" s="225"/>
    </row>
    <row r="9" spans="1:34">
      <c r="A9" s="112"/>
      <c r="B9" s="112">
        <v>0</v>
      </c>
      <c r="C9" s="112"/>
      <c r="D9" s="112">
        <v>0</v>
      </c>
      <c r="E9" s="112">
        <v>-100</v>
      </c>
      <c r="F9" s="112"/>
      <c r="G9" s="112"/>
      <c r="H9" s="112"/>
      <c r="I9" s="214"/>
      <c r="J9" s="214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223"/>
      <c r="Y9" s="223">
        <f>L18</f>
        <v>0</v>
      </c>
      <c r="Z9" s="223">
        <f>M18</f>
        <v>0</v>
      </c>
      <c r="AA9" s="223">
        <f>N18</f>
        <v>0</v>
      </c>
      <c r="AB9" s="112"/>
      <c r="AC9" s="112"/>
      <c r="AD9" s="112"/>
      <c r="AE9" s="112"/>
      <c r="AF9" s="112"/>
      <c r="AG9" s="112"/>
      <c r="AH9" s="112"/>
    </row>
    <row r="10" spans="1:34">
      <c r="A10" s="112"/>
      <c r="B10" s="112">
        <v>1</v>
      </c>
      <c r="C10" s="112">
        <f>+B3*B4</f>
        <v>10</v>
      </c>
      <c r="D10" s="112">
        <v>0</v>
      </c>
      <c r="E10" s="112">
        <f>+D10+C10</f>
        <v>10</v>
      </c>
      <c r="F10" s="223">
        <f>+E10/(1+$H$6)^B10</f>
        <v>9.0909090909090899</v>
      </c>
      <c r="G10" s="229">
        <f>+F10*B10/$B$7</f>
        <v>9.0909090909090898E-2</v>
      </c>
      <c r="H10" s="229">
        <f>+G10/(1+$H$6)</f>
        <v>8.2644628099173542E-2</v>
      </c>
      <c r="I10" s="112"/>
      <c r="J10" s="112"/>
      <c r="K10" s="112"/>
      <c r="L10" s="223">
        <f>+E10*(1+$M$5)^(G15-B10)</f>
        <v>18.298626168837952</v>
      </c>
      <c r="M10" s="223"/>
      <c r="N10" s="223"/>
      <c r="O10" s="112"/>
      <c r="P10" s="112"/>
      <c r="Q10" s="112"/>
      <c r="R10" s="112"/>
      <c r="S10" s="112"/>
      <c r="T10" s="112"/>
      <c r="U10" s="112"/>
      <c r="V10" s="112"/>
      <c r="W10" s="112"/>
      <c r="X10" s="223">
        <v>0.01</v>
      </c>
      <c r="Y10" s="223">
        <v>149.76782746531336</v>
      </c>
      <c r="Z10" s="223">
        <v>0</v>
      </c>
      <c r="AA10" s="223">
        <v>0</v>
      </c>
      <c r="AB10" s="112"/>
      <c r="AC10" s="112"/>
      <c r="AD10" s="112"/>
      <c r="AE10" s="112"/>
      <c r="AF10" s="112"/>
      <c r="AG10" s="112"/>
      <c r="AH10" s="112"/>
    </row>
    <row r="11" spans="1:34">
      <c r="A11" s="112"/>
      <c r="B11" s="112">
        <v>2</v>
      </c>
      <c r="C11" s="112">
        <v>10</v>
      </c>
      <c r="D11" s="112">
        <v>0</v>
      </c>
      <c r="E11" s="112">
        <f t="shared" ref="E11:E14" si="0">+D11+C11</f>
        <v>10</v>
      </c>
      <c r="F11" s="223">
        <f t="shared" ref="F11:F14" si="1">+E11/(1+$H$6)^B11</f>
        <v>8.2644628099173545</v>
      </c>
      <c r="G11" s="229">
        <f t="shared" ref="G11:G14" si="2">+F11*B11/$B$7</f>
        <v>0.16528925619834708</v>
      </c>
      <c r="H11" s="229">
        <f t="shared" ref="H11:H14" si="3">+G11/(1+$H$6)</f>
        <v>0.15026296018031551</v>
      </c>
      <c r="I11" s="112"/>
      <c r="J11" s="112"/>
      <c r="K11" s="112"/>
      <c r="L11" s="223">
        <f>+E11*(1+$M$5)^($G$15-B11)</f>
        <v>15.122831544494176</v>
      </c>
      <c r="M11" s="223"/>
      <c r="N11" s="223"/>
      <c r="O11" s="112"/>
      <c r="P11" s="112"/>
      <c r="Q11" s="112"/>
      <c r="R11" s="112"/>
      <c r="S11" s="112"/>
      <c r="T11" s="112"/>
      <c r="U11" s="112"/>
      <c r="V11" s="112"/>
      <c r="W11" s="112"/>
      <c r="X11" s="223">
        <f>X10+0.01</f>
        <v>0.02</v>
      </c>
      <c r="Y11" s="223">
        <v>0</v>
      </c>
      <c r="Z11" s="223">
        <v>0</v>
      </c>
      <c r="AA11" s="223">
        <v>0</v>
      </c>
      <c r="AB11" s="112"/>
      <c r="AC11" s="112"/>
      <c r="AD11" s="112"/>
      <c r="AE11" s="112"/>
      <c r="AF11" s="112"/>
      <c r="AG11" s="112"/>
      <c r="AH11" s="112"/>
    </row>
    <row r="12" spans="1:34">
      <c r="A12" s="112"/>
      <c r="B12" s="112">
        <v>3</v>
      </c>
      <c r="C12" s="112">
        <v>10</v>
      </c>
      <c r="D12" s="112">
        <v>0</v>
      </c>
      <c r="E12" s="112">
        <f t="shared" si="0"/>
        <v>10</v>
      </c>
      <c r="F12" s="223">
        <f t="shared" si="1"/>
        <v>7.513148009015775</v>
      </c>
      <c r="G12" s="229">
        <f t="shared" si="2"/>
        <v>0.22539444027047323</v>
      </c>
      <c r="H12" s="229">
        <f t="shared" si="3"/>
        <v>0.20490403660952111</v>
      </c>
      <c r="I12" s="112"/>
      <c r="J12" s="112"/>
      <c r="K12" s="112"/>
      <c r="L12" s="223">
        <f t="shared" ref="L12:L13" si="4">+E12*(1+$M$5)^($G$15-B12)</f>
        <v>12.498207888011716</v>
      </c>
      <c r="M12" s="223"/>
      <c r="N12" s="223"/>
      <c r="O12" s="112"/>
      <c r="P12" s="112"/>
      <c r="Q12" s="112"/>
      <c r="R12" s="112"/>
      <c r="S12" s="112"/>
      <c r="T12" s="112"/>
      <c r="U12" s="112"/>
      <c r="V12" s="112"/>
      <c r="W12" s="112"/>
      <c r="X12" s="223">
        <f t="shared" ref="X12:X28" si="5">X11+0.01</f>
        <v>0.03</v>
      </c>
      <c r="Y12" s="223">
        <v>0</v>
      </c>
      <c r="Z12" s="223">
        <v>0</v>
      </c>
      <c r="AA12" s="223">
        <v>0</v>
      </c>
      <c r="AB12" s="112"/>
      <c r="AC12" s="112"/>
      <c r="AD12" s="112"/>
      <c r="AE12" s="112"/>
      <c r="AF12" s="112"/>
      <c r="AG12" s="112"/>
      <c r="AH12" s="112"/>
    </row>
    <row r="13" spans="1:34">
      <c r="A13" s="112"/>
      <c r="B13" s="112">
        <v>4</v>
      </c>
      <c r="C13" s="112">
        <v>10</v>
      </c>
      <c r="D13" s="112">
        <v>0</v>
      </c>
      <c r="E13" s="112">
        <f t="shared" si="0"/>
        <v>10</v>
      </c>
      <c r="F13" s="223">
        <f t="shared" si="1"/>
        <v>6.830134553650705</v>
      </c>
      <c r="G13" s="229">
        <f t="shared" si="2"/>
        <v>0.27320538214602819</v>
      </c>
      <c r="H13" s="229">
        <f t="shared" si="3"/>
        <v>0.24836852922366195</v>
      </c>
      <c r="I13" s="112"/>
      <c r="J13" s="112"/>
      <c r="K13" s="112"/>
      <c r="L13" s="223">
        <f t="shared" si="4"/>
        <v>10.329097428108858</v>
      </c>
      <c r="M13" s="223"/>
      <c r="N13" s="223"/>
      <c r="O13" s="112"/>
      <c r="P13" s="112"/>
      <c r="Q13" s="112"/>
      <c r="R13" s="112"/>
      <c r="S13" s="112"/>
      <c r="T13" s="112"/>
      <c r="U13" s="112"/>
      <c r="V13" s="112"/>
      <c r="W13" s="112"/>
      <c r="X13" s="223">
        <f t="shared" si="5"/>
        <v>0.04</v>
      </c>
      <c r="Y13" s="223">
        <v>0</v>
      </c>
      <c r="Z13" s="223">
        <v>0</v>
      </c>
      <c r="AA13" s="223">
        <v>0</v>
      </c>
      <c r="AB13" s="112"/>
      <c r="AC13" s="112"/>
      <c r="AD13" s="112"/>
      <c r="AE13" s="112"/>
      <c r="AF13" s="112"/>
      <c r="AG13" s="112"/>
      <c r="AH13" s="112"/>
    </row>
    <row r="14" spans="1:34">
      <c r="A14" s="112"/>
      <c r="B14" s="112">
        <v>5</v>
      </c>
      <c r="C14" s="112">
        <v>10</v>
      </c>
      <c r="D14" s="112">
        <v>100</v>
      </c>
      <c r="E14" s="112">
        <f t="shared" si="0"/>
        <v>110</v>
      </c>
      <c r="F14" s="223">
        <f t="shared" si="1"/>
        <v>68.301345536507043</v>
      </c>
      <c r="G14" s="229">
        <f t="shared" si="2"/>
        <v>3.415067276825352</v>
      </c>
      <c r="H14" s="229">
        <f t="shared" si="3"/>
        <v>3.1046066152957743</v>
      </c>
      <c r="I14" s="112"/>
      <c r="J14" s="112"/>
      <c r="K14" s="112"/>
      <c r="L14" s="223"/>
      <c r="M14" s="223">
        <f>+E14/(1+M5)^(B14-G15)</f>
        <v>93.900885710080516</v>
      </c>
      <c r="N14" s="223"/>
      <c r="O14" s="112"/>
      <c r="P14" s="112"/>
      <c r="Q14" s="112"/>
      <c r="R14" s="112"/>
      <c r="S14" s="112"/>
      <c r="T14" s="112"/>
      <c r="U14" s="112"/>
      <c r="V14" s="112"/>
      <c r="W14" s="112"/>
      <c r="X14" s="223">
        <f t="shared" si="5"/>
        <v>0.05</v>
      </c>
      <c r="Y14" s="223">
        <v>0</v>
      </c>
      <c r="Z14" s="223">
        <v>0</v>
      </c>
      <c r="AA14" s="223">
        <v>0</v>
      </c>
      <c r="AB14" s="112"/>
      <c r="AC14" s="112"/>
      <c r="AD14" s="112"/>
      <c r="AE14" s="112"/>
      <c r="AF14" s="112"/>
      <c r="AG14" s="112"/>
      <c r="AH14" s="112"/>
    </row>
    <row r="15" spans="1:34">
      <c r="A15" s="112"/>
      <c r="B15" s="112"/>
      <c r="C15" s="112"/>
      <c r="D15" s="112"/>
      <c r="E15" s="112"/>
      <c r="F15" s="223">
        <f>+SUM(F10:F14)</f>
        <v>99.999999999999972</v>
      </c>
      <c r="G15" s="230">
        <f>+SUM(G10:G14)</f>
        <v>4.1698654463492915</v>
      </c>
      <c r="H15" s="230">
        <f>+SUM(H10:H14)</f>
        <v>3.7907867694084465</v>
      </c>
      <c r="I15" s="231"/>
      <c r="J15" s="231"/>
      <c r="K15" s="112"/>
      <c r="L15" s="168">
        <f>+SUM(L10:L13)</f>
        <v>56.248763029452711</v>
      </c>
      <c r="M15" s="168">
        <f>+M14</f>
        <v>93.900885710080516</v>
      </c>
      <c r="N15" s="112">
        <f>+M15+L15</f>
        <v>150.14964873953323</v>
      </c>
      <c r="O15" s="112"/>
      <c r="P15" s="112"/>
      <c r="Q15" s="112"/>
      <c r="R15" s="112"/>
      <c r="S15" s="112"/>
      <c r="T15" s="112"/>
      <c r="U15" s="112"/>
      <c r="V15" s="112"/>
      <c r="W15" s="112"/>
      <c r="X15" s="223">
        <f t="shared" si="5"/>
        <v>6.0000000000000005E-2</v>
      </c>
      <c r="Y15" s="223">
        <v>0</v>
      </c>
      <c r="Z15" s="223">
        <v>0</v>
      </c>
      <c r="AA15" s="223">
        <v>0</v>
      </c>
      <c r="AB15" s="112"/>
      <c r="AC15" s="112"/>
      <c r="AD15" s="112"/>
      <c r="AE15" s="112"/>
      <c r="AF15" s="112"/>
      <c r="AG15" s="112"/>
      <c r="AH15" s="112"/>
    </row>
    <row r="16" spans="1:34">
      <c r="A16" s="112"/>
      <c r="B16" s="112"/>
      <c r="C16" s="112"/>
      <c r="D16" s="112"/>
      <c r="E16" s="112"/>
      <c r="F16" s="112"/>
      <c r="G16" s="112" t="s">
        <v>273</v>
      </c>
      <c r="H16" s="112" t="s">
        <v>342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223">
        <f t="shared" si="5"/>
        <v>7.0000000000000007E-2</v>
      </c>
      <c r="Y16" s="223">
        <v>0</v>
      </c>
      <c r="Z16" s="223">
        <v>0</v>
      </c>
      <c r="AA16" s="223">
        <v>0</v>
      </c>
      <c r="AB16" s="112"/>
      <c r="AC16" s="112"/>
      <c r="AD16" s="112"/>
      <c r="AE16" s="112"/>
      <c r="AF16" s="112"/>
      <c r="AG16" s="112"/>
      <c r="AH16" s="112"/>
    </row>
    <row r="17" spans="1:34">
      <c r="A17" s="112"/>
      <c r="B17" s="112"/>
      <c r="C17" s="112"/>
      <c r="D17" s="112"/>
      <c r="E17" s="112"/>
      <c r="F17" s="229"/>
      <c r="G17" t="s">
        <v>376</v>
      </c>
      <c r="H17" s="112" t="s">
        <v>375</v>
      </c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223">
        <f t="shared" si="5"/>
        <v>0.08</v>
      </c>
      <c r="Y17" s="223">
        <v>0</v>
      </c>
      <c r="Z17" s="223">
        <v>0</v>
      </c>
      <c r="AA17" s="223">
        <v>0</v>
      </c>
      <c r="AB17" s="112"/>
      <c r="AC17" s="112"/>
      <c r="AD17" s="112"/>
      <c r="AE17" s="112"/>
      <c r="AF17" s="112"/>
      <c r="AG17" s="112"/>
      <c r="AH17" s="112"/>
    </row>
    <row r="18" spans="1:34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223"/>
      <c r="M18" s="223"/>
      <c r="N18" s="223"/>
      <c r="O18" s="112"/>
      <c r="P18" s="112"/>
      <c r="Q18" s="112"/>
      <c r="R18" s="112"/>
      <c r="S18" s="112"/>
      <c r="T18" s="112"/>
      <c r="U18" s="112"/>
      <c r="V18" s="112"/>
      <c r="W18" s="112"/>
      <c r="X18" s="223">
        <f t="shared" si="5"/>
        <v>0.09</v>
      </c>
      <c r="Y18" s="223">
        <v>0</v>
      </c>
      <c r="Z18" s="223">
        <v>0</v>
      </c>
      <c r="AA18" s="223">
        <v>0</v>
      </c>
      <c r="AB18" s="112"/>
      <c r="AC18" s="112"/>
      <c r="AD18" s="112"/>
      <c r="AE18" s="112"/>
      <c r="AF18" s="112"/>
      <c r="AG18" s="112"/>
      <c r="AH18" s="112"/>
    </row>
    <row r="19" spans="1:34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223">
        <f t="shared" si="5"/>
        <v>9.9999999999999992E-2</v>
      </c>
      <c r="Y19" s="223">
        <v>0</v>
      </c>
      <c r="Z19" s="223">
        <v>0</v>
      </c>
      <c r="AA19" s="223">
        <v>0</v>
      </c>
      <c r="AB19" s="112"/>
      <c r="AC19" s="112"/>
      <c r="AD19" s="112"/>
      <c r="AE19" s="112"/>
      <c r="AF19" s="112"/>
      <c r="AG19" s="112"/>
      <c r="AH19" s="112"/>
    </row>
    <row r="20" spans="1:34">
      <c r="A20" s="112" t="s">
        <v>335</v>
      </c>
      <c r="B20" s="112" t="s">
        <v>336</v>
      </c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223">
        <f t="shared" si="5"/>
        <v>0.10999999999999999</v>
      </c>
      <c r="Y20" s="223">
        <v>0</v>
      </c>
      <c r="Z20" s="223">
        <v>0</v>
      </c>
      <c r="AA20" s="223">
        <v>0</v>
      </c>
      <c r="AB20" s="112"/>
      <c r="AC20" s="112"/>
      <c r="AD20" s="112"/>
      <c r="AE20" s="112"/>
      <c r="AF20" s="112"/>
      <c r="AG20" s="112"/>
      <c r="AH20" s="112"/>
    </row>
    <row r="21" spans="1:34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223">
        <f>X20+0.01</f>
        <v>0.11999999999999998</v>
      </c>
      <c r="Y21" s="223">
        <v>0</v>
      </c>
      <c r="Z21" s="223">
        <v>0</v>
      </c>
      <c r="AA21" s="223">
        <v>0</v>
      </c>
      <c r="AB21" s="112"/>
      <c r="AC21" s="112"/>
      <c r="AD21" s="112"/>
      <c r="AE21" s="112"/>
      <c r="AF21" s="112"/>
      <c r="AG21" s="112"/>
      <c r="AH21" s="112"/>
    </row>
    <row r="22" spans="1:34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223">
        <f t="shared" si="5"/>
        <v>0.12999999999999998</v>
      </c>
      <c r="Y22" s="223">
        <v>0</v>
      </c>
      <c r="Z22" s="223">
        <v>0</v>
      </c>
      <c r="AA22" s="223">
        <v>0</v>
      </c>
      <c r="AB22" s="112"/>
      <c r="AC22" s="112"/>
      <c r="AD22" s="112"/>
      <c r="AE22" s="112"/>
      <c r="AF22" s="112"/>
      <c r="AG22" s="112"/>
      <c r="AH22" s="112"/>
    </row>
    <row r="23" spans="1:34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223">
        <f>X22+0.01</f>
        <v>0.13999999999999999</v>
      </c>
      <c r="Y23" s="223">
        <v>0</v>
      </c>
      <c r="Z23" s="223">
        <v>0</v>
      </c>
      <c r="AA23" s="223">
        <v>0</v>
      </c>
      <c r="AB23" s="112"/>
      <c r="AC23" s="112"/>
      <c r="AD23" s="112"/>
      <c r="AE23" s="112"/>
      <c r="AF23" s="112"/>
      <c r="AG23" s="112"/>
      <c r="AH23" s="112"/>
    </row>
    <row r="24" spans="1:34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223">
        <f t="shared" si="5"/>
        <v>0.15</v>
      </c>
      <c r="Y24" s="223">
        <v>0</v>
      </c>
      <c r="Z24" s="223">
        <v>0</v>
      </c>
      <c r="AA24" s="223">
        <v>0</v>
      </c>
      <c r="AB24" s="112"/>
      <c r="AC24" s="112"/>
      <c r="AD24" s="112"/>
      <c r="AE24" s="112"/>
      <c r="AF24" s="112"/>
      <c r="AG24" s="112"/>
      <c r="AH24" s="112"/>
    </row>
    <row r="25" spans="1:34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223">
        <f t="shared" si="5"/>
        <v>0.16</v>
      </c>
      <c r="Y25" s="223">
        <v>0</v>
      </c>
      <c r="Z25" s="223">
        <v>0</v>
      </c>
      <c r="AA25" s="223">
        <v>0</v>
      </c>
      <c r="AB25" s="112"/>
      <c r="AC25" s="112"/>
      <c r="AD25" s="112"/>
      <c r="AE25" s="112"/>
      <c r="AF25" s="112"/>
      <c r="AG25" s="112"/>
      <c r="AH25" s="112"/>
    </row>
    <row r="26" spans="1:34">
      <c r="A26" s="112" t="s">
        <v>337</v>
      </c>
      <c r="B26" s="112" t="s">
        <v>338</v>
      </c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223">
        <f>X25+0.01</f>
        <v>0.17</v>
      </c>
      <c r="Y26" s="223">
        <v>0</v>
      </c>
      <c r="Z26" s="223">
        <v>0</v>
      </c>
      <c r="AA26" s="223">
        <v>0</v>
      </c>
      <c r="AB26" s="112"/>
      <c r="AC26" s="112"/>
      <c r="AD26" s="112"/>
      <c r="AE26" s="112"/>
      <c r="AF26" s="112"/>
      <c r="AG26" s="112"/>
      <c r="AH26" s="112"/>
    </row>
    <row r="27" spans="1:34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223">
        <f t="shared" si="5"/>
        <v>0.18000000000000002</v>
      </c>
      <c r="Y27" s="223">
        <v>0</v>
      </c>
      <c r="Z27" s="223">
        <v>0</v>
      </c>
      <c r="AA27" s="223">
        <v>0</v>
      </c>
      <c r="AB27" s="112"/>
      <c r="AC27" s="112"/>
      <c r="AD27" s="112"/>
      <c r="AE27" s="112"/>
      <c r="AF27" s="112"/>
      <c r="AG27" s="112"/>
      <c r="AH27" s="112"/>
    </row>
    <row r="28" spans="1:34">
      <c r="A28" s="112"/>
      <c r="B28" s="112"/>
      <c r="C28" s="112"/>
      <c r="D28" s="112"/>
      <c r="E28" s="280" t="s">
        <v>330</v>
      </c>
      <c r="F28" s="280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223">
        <f t="shared" si="5"/>
        <v>0.19000000000000003</v>
      </c>
      <c r="Y28" s="223">
        <v>0</v>
      </c>
      <c r="Z28" s="223">
        <v>0</v>
      </c>
      <c r="AA28" s="223">
        <v>0</v>
      </c>
      <c r="AB28" s="112"/>
      <c r="AC28" s="112"/>
      <c r="AD28" s="112"/>
      <c r="AE28" s="112"/>
      <c r="AF28" s="112"/>
      <c r="AG28" s="112"/>
      <c r="AH28" s="112"/>
    </row>
    <row r="29" spans="1:34">
      <c r="A29" s="112"/>
      <c r="B29" s="112"/>
      <c r="C29" s="112"/>
      <c r="D29" s="112"/>
      <c r="E29" s="214">
        <v>0.01</v>
      </c>
      <c r="F29" s="214">
        <v>-0.01</v>
      </c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223">
        <f>X28+0.01</f>
        <v>0.20000000000000004</v>
      </c>
      <c r="Y29" s="223">
        <v>0</v>
      </c>
      <c r="Z29" s="223">
        <v>0</v>
      </c>
      <c r="AA29" s="223">
        <v>0</v>
      </c>
      <c r="AB29" s="112"/>
      <c r="AC29" s="112"/>
      <c r="AD29" s="112"/>
      <c r="AE29" s="112"/>
      <c r="AF29" s="112"/>
      <c r="AG29" s="112"/>
      <c r="AH29" s="112"/>
    </row>
    <row r="30" spans="1:34">
      <c r="A30" s="112"/>
      <c r="B30" s="112"/>
      <c r="C30" s="112"/>
      <c r="D30" s="112"/>
      <c r="E30" s="231">
        <f>-$I$17*E29</f>
        <v>0</v>
      </c>
      <c r="F30" s="231">
        <f>-$I$17*F29</f>
        <v>0</v>
      </c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223"/>
    </row>
    <row r="31" spans="1:34">
      <c r="A31" s="112"/>
      <c r="B31" s="112"/>
      <c r="C31" s="112"/>
      <c r="D31" s="112"/>
      <c r="E31" s="231"/>
      <c r="F31" s="231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223"/>
    </row>
    <row r="32" spans="1:34">
      <c r="A32" s="112" t="s">
        <v>339</v>
      </c>
      <c r="B32" s="112" t="s">
        <v>340</v>
      </c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223"/>
    </row>
    <row r="33" spans="1:24">
      <c r="A33" s="112"/>
      <c r="B33" s="112" t="s">
        <v>341</v>
      </c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223"/>
    </row>
    <row r="34" spans="1:24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223"/>
    </row>
    <row r="35" spans="1:24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223"/>
    </row>
    <row r="36" spans="1:24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223"/>
    </row>
    <row r="37" spans="1:24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223"/>
    </row>
    <row r="38" spans="1:24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223"/>
    </row>
    <row r="39" spans="1:24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223"/>
    </row>
    <row r="40" spans="1:24" ht="21">
      <c r="A40" s="111" t="s">
        <v>374</v>
      </c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223"/>
    </row>
    <row r="41" spans="1:24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223"/>
    </row>
    <row r="42" spans="1:24" ht="19">
      <c r="A42" s="113" t="s">
        <v>199</v>
      </c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223"/>
    </row>
    <row r="43" spans="1:24" ht="19">
      <c r="A43" s="113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223"/>
    </row>
    <row r="44" spans="1:24">
      <c r="A44" s="112"/>
      <c r="B44" s="112" t="s">
        <v>200</v>
      </c>
      <c r="C44" s="126">
        <v>43252</v>
      </c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</row>
    <row r="45" spans="1:24">
      <c r="A45" s="112"/>
      <c r="B45" s="112" t="s">
        <v>201</v>
      </c>
      <c r="C45" s="126">
        <v>45809</v>
      </c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</row>
    <row r="46" spans="1:24">
      <c r="A46" s="112"/>
      <c r="B46" s="112" t="s">
        <v>202</v>
      </c>
      <c r="C46" s="112">
        <v>100</v>
      </c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</row>
    <row r="47" spans="1:24">
      <c r="A47" s="112"/>
      <c r="B47" s="112" t="s">
        <v>203</v>
      </c>
      <c r="C47" s="112" t="s">
        <v>222</v>
      </c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</row>
    <row r="48" spans="1:24">
      <c r="A48" s="112"/>
      <c r="B48" s="112" t="s">
        <v>217</v>
      </c>
      <c r="C48" s="112">
        <v>0.04</v>
      </c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</row>
    <row r="49" spans="1:19">
      <c r="A49" s="112"/>
      <c r="B49" s="112" t="s">
        <v>206</v>
      </c>
      <c r="C49" s="112">
        <v>1</v>
      </c>
      <c r="D49" s="112"/>
      <c r="E49" s="112"/>
      <c r="F49" s="112"/>
      <c r="G49" s="162">
        <f>XIRR(G52:G60,B52:B60)</f>
        <v>6.7628934979438796E-2</v>
      </c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</row>
    <row r="50" spans="1:19">
      <c r="A50" s="112"/>
      <c r="B50" s="115" t="s">
        <v>208</v>
      </c>
      <c r="C50" s="112">
        <v>98</v>
      </c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</row>
    <row r="51" spans="1:19" ht="33" thickBot="1">
      <c r="A51" s="116" t="s">
        <v>209</v>
      </c>
      <c r="B51" s="116" t="s">
        <v>175</v>
      </c>
      <c r="C51" s="116" t="s">
        <v>210</v>
      </c>
      <c r="D51" s="116" t="s">
        <v>211</v>
      </c>
      <c r="E51" s="116" t="s">
        <v>218</v>
      </c>
      <c r="F51" s="116" t="s">
        <v>212</v>
      </c>
      <c r="G51" s="116" t="s">
        <v>219</v>
      </c>
      <c r="H51" s="116" t="s">
        <v>220</v>
      </c>
      <c r="I51" s="116" t="s">
        <v>268</v>
      </c>
      <c r="J51" s="116" t="s">
        <v>377</v>
      </c>
      <c r="K51" s="116" t="s">
        <v>273</v>
      </c>
      <c r="L51" s="112"/>
      <c r="M51" s="112"/>
      <c r="N51" s="112"/>
      <c r="O51" s="112"/>
      <c r="P51" s="112"/>
      <c r="Q51" s="112"/>
      <c r="R51" s="112"/>
      <c r="S51" s="112"/>
    </row>
    <row r="52" spans="1:19" ht="17" thickBot="1">
      <c r="A52" s="112"/>
      <c r="B52" s="128">
        <v>45023</v>
      </c>
      <c r="C52" s="1"/>
      <c r="D52" s="1"/>
      <c r="E52" s="1"/>
      <c r="F52" s="1"/>
      <c r="G52" s="1">
        <f>-C50</f>
        <v>-98</v>
      </c>
      <c r="H52" s="112"/>
      <c r="I52" s="165">
        <f>SUM(I54:I60)</f>
        <v>98.021254896715035</v>
      </c>
      <c r="J52" s="165">
        <f>+SUM(J53:J60)</f>
        <v>2.0461839530332679</v>
      </c>
      <c r="K52" s="165">
        <f>+SUM(K53:K60)</f>
        <v>2.0346333900171976</v>
      </c>
      <c r="L52" s="112"/>
      <c r="M52" s="112"/>
      <c r="N52" s="112"/>
      <c r="O52" s="112"/>
      <c r="P52" s="112"/>
      <c r="Q52" s="112"/>
      <c r="R52" s="112"/>
      <c r="S52" s="112"/>
    </row>
    <row r="53" spans="1:19">
      <c r="A53" s="118">
        <v>1</v>
      </c>
      <c r="B53" s="119">
        <v>43252</v>
      </c>
      <c r="C53" s="120">
        <v>0.04</v>
      </c>
      <c r="D53" s="120">
        <v>1</v>
      </c>
      <c r="E53" s="121">
        <f>IF(B53&lt;$B$52,0,(C53)*D53*100)</f>
        <v>0</v>
      </c>
      <c r="F53" s="121">
        <v>0</v>
      </c>
      <c r="G53" s="121">
        <f>E53+F53</f>
        <v>0</v>
      </c>
      <c r="H53" s="127">
        <f>+C53*100*D53</f>
        <v>4</v>
      </c>
      <c r="I53" s="127"/>
      <c r="J53" s="112"/>
      <c r="K53" s="126"/>
      <c r="L53" s="112"/>
      <c r="M53" s="112"/>
      <c r="N53" s="112"/>
      <c r="O53" s="112"/>
      <c r="P53" s="112"/>
      <c r="Q53" s="112"/>
      <c r="R53" s="112"/>
      <c r="S53" s="112"/>
    </row>
    <row r="54" spans="1:19">
      <c r="A54" s="118">
        <v>2</v>
      </c>
      <c r="B54" s="119">
        <v>43617</v>
      </c>
      <c r="C54" s="120">
        <v>0.04</v>
      </c>
      <c r="D54" s="120">
        <f>D53-F53/100</f>
        <v>1</v>
      </c>
      <c r="E54" s="121">
        <f t="shared" ref="E54:E60" si="6">IF(B54&lt;$B$52,0,(C54)*D54*100)</f>
        <v>0</v>
      </c>
      <c r="F54" s="121">
        <v>0</v>
      </c>
      <c r="G54" s="121">
        <f t="shared" ref="G54:G60" si="7">E54+F54</f>
        <v>0</v>
      </c>
      <c r="H54" s="127">
        <f t="shared" ref="H54:H60" si="8">+C54*100*D54</f>
        <v>4</v>
      </c>
      <c r="I54" s="127"/>
      <c r="J54" s="232"/>
      <c r="K54" s="167"/>
      <c r="L54" s="112"/>
      <c r="M54" s="112"/>
      <c r="N54" s="112"/>
      <c r="O54" s="112"/>
      <c r="P54" s="112"/>
      <c r="Q54" s="112"/>
      <c r="R54" s="112"/>
      <c r="S54" s="112"/>
    </row>
    <row r="55" spans="1:19">
      <c r="A55" s="118">
        <v>3</v>
      </c>
      <c r="B55" s="119">
        <v>43983</v>
      </c>
      <c r="C55" s="120">
        <v>0.04</v>
      </c>
      <c r="D55" s="120">
        <f t="shared" ref="D55:D60" si="9">D54-F54/100</f>
        <v>1</v>
      </c>
      <c r="E55" s="121">
        <f t="shared" si="6"/>
        <v>0</v>
      </c>
      <c r="F55" s="121">
        <v>0</v>
      </c>
      <c r="G55" s="121">
        <f t="shared" si="7"/>
        <v>0</v>
      </c>
      <c r="H55" s="127">
        <f t="shared" si="8"/>
        <v>4</v>
      </c>
      <c r="I55" s="127"/>
      <c r="J55" s="232"/>
      <c r="K55" s="167"/>
      <c r="L55" s="112"/>
      <c r="M55" s="112"/>
      <c r="N55" s="112"/>
      <c r="O55" s="112"/>
      <c r="P55" s="112"/>
      <c r="Q55" s="112"/>
      <c r="R55" s="112"/>
      <c r="S55" s="112"/>
    </row>
    <row r="56" spans="1:19">
      <c r="A56" s="118">
        <v>4</v>
      </c>
      <c r="B56" s="119">
        <v>44348</v>
      </c>
      <c r="C56" s="120">
        <v>0.04</v>
      </c>
      <c r="D56" s="120">
        <f t="shared" si="9"/>
        <v>1</v>
      </c>
      <c r="E56" s="121">
        <f t="shared" si="6"/>
        <v>0</v>
      </c>
      <c r="F56" s="121">
        <v>0</v>
      </c>
      <c r="G56" s="121">
        <f t="shared" si="7"/>
        <v>0</v>
      </c>
      <c r="H56" s="127">
        <f t="shared" si="8"/>
        <v>4</v>
      </c>
      <c r="I56" s="127"/>
      <c r="J56" s="232"/>
      <c r="K56" s="167"/>
      <c r="L56" s="112"/>
      <c r="M56" s="112"/>
      <c r="N56" s="112"/>
      <c r="O56" s="112"/>
      <c r="P56" s="112"/>
      <c r="Q56" s="112"/>
      <c r="R56" s="112"/>
      <c r="S56" s="112"/>
    </row>
    <row r="57" spans="1:19">
      <c r="A57" s="118">
        <v>5</v>
      </c>
      <c r="B57" s="163">
        <v>44713</v>
      </c>
      <c r="C57" s="120">
        <v>0.04</v>
      </c>
      <c r="D57" s="120">
        <f t="shared" si="9"/>
        <v>1</v>
      </c>
      <c r="E57" s="121">
        <f t="shared" si="6"/>
        <v>0</v>
      </c>
      <c r="F57" s="121">
        <v>0</v>
      </c>
      <c r="G57" s="164">
        <f t="shared" si="7"/>
        <v>0</v>
      </c>
      <c r="H57" s="127">
        <f t="shared" si="8"/>
        <v>4</v>
      </c>
      <c r="I57" s="127"/>
      <c r="J57" s="232"/>
      <c r="K57" s="167"/>
      <c r="L57" s="112"/>
      <c r="M57" s="112"/>
      <c r="N57" s="112"/>
      <c r="O57" s="112"/>
      <c r="P57" s="112"/>
      <c r="Q57" s="112"/>
      <c r="R57" s="112"/>
      <c r="S57" s="112"/>
    </row>
    <row r="58" spans="1:19">
      <c r="A58" s="118">
        <v>6</v>
      </c>
      <c r="B58" s="163">
        <v>45078</v>
      </c>
      <c r="C58" s="120">
        <v>0.04</v>
      </c>
      <c r="D58" s="120">
        <f t="shared" si="9"/>
        <v>1</v>
      </c>
      <c r="E58" s="121">
        <f t="shared" si="6"/>
        <v>4</v>
      </c>
      <c r="F58" s="121">
        <v>0</v>
      </c>
      <c r="G58" s="164">
        <f t="shared" si="7"/>
        <v>4</v>
      </c>
      <c r="H58" s="127">
        <f t="shared" si="8"/>
        <v>4</v>
      </c>
      <c r="I58" s="127">
        <f>+G58/(1+$G$49)^(YEARFRAC($B$52,B58))</f>
        <v>3.9609279355236606</v>
      </c>
      <c r="J58" s="232">
        <f>+(G58/$G$61)*YEARFRAC($B$52, B58, 3)</f>
        <v>5.3816046966731895E-3</v>
      </c>
      <c r="K58" s="167">
        <f>+YEARFRAC($B$52,B58,3)*(G58/((1+$G$49)^(YEARFRAC($B$52,B58,3)))/$C$50)</f>
        <v>6.0900551337830415E-3</v>
      </c>
      <c r="L58" s="112"/>
      <c r="M58" s="112"/>
      <c r="N58" s="112"/>
      <c r="O58" s="112"/>
      <c r="P58" s="112"/>
      <c r="Q58" s="112"/>
      <c r="R58" s="112"/>
      <c r="S58" s="112"/>
    </row>
    <row r="59" spans="1:19">
      <c r="A59" s="118">
        <v>7</v>
      </c>
      <c r="B59" s="163">
        <v>45444</v>
      </c>
      <c r="C59" s="120">
        <v>0.04</v>
      </c>
      <c r="D59" s="120">
        <f t="shared" si="9"/>
        <v>1</v>
      </c>
      <c r="E59" s="121">
        <f t="shared" si="6"/>
        <v>4</v>
      </c>
      <c r="F59" s="121">
        <v>0</v>
      </c>
      <c r="G59" s="164">
        <f t="shared" si="7"/>
        <v>4</v>
      </c>
      <c r="H59" s="127">
        <f t="shared" si="8"/>
        <v>4</v>
      </c>
      <c r="I59" s="127">
        <f t="shared" ref="I59:I60" si="10">+G59/(1+$G$49)^(YEARFRAC($B$52,B59))</f>
        <v>3.7100230293027257</v>
      </c>
      <c r="J59" s="232">
        <f t="shared" ref="J59:J60" si="11">+(G59/$G$61)*YEARFRAC($B$52, B59, 3)</f>
        <v>4.1193737769080231E-2</v>
      </c>
      <c r="K59" s="167">
        <f t="shared" ref="K59:K60" si="12">+YEARFRAC($B$52,B59,3)*(G59/((1+$G$49)^(YEARFRAC($B$52,B59,3)))/$C$50)</f>
        <v>4.3655848255168973E-2</v>
      </c>
      <c r="L59" s="112"/>
      <c r="M59" s="112"/>
      <c r="N59" s="112"/>
      <c r="O59" s="112"/>
      <c r="P59" s="112"/>
      <c r="Q59" s="112"/>
      <c r="R59" s="112"/>
      <c r="S59" s="112"/>
    </row>
    <row r="60" spans="1:19" ht="17" thickBot="1">
      <c r="A60" s="118">
        <v>8</v>
      </c>
      <c r="B60" s="163">
        <v>45809</v>
      </c>
      <c r="C60" s="120">
        <v>0.04</v>
      </c>
      <c r="D60" s="120">
        <f t="shared" si="9"/>
        <v>1</v>
      </c>
      <c r="E60" s="121">
        <f t="shared" si="6"/>
        <v>4</v>
      </c>
      <c r="F60" s="121">
        <v>100</v>
      </c>
      <c r="G60" s="164">
        <f t="shared" si="7"/>
        <v>104</v>
      </c>
      <c r="H60" s="127">
        <f t="shared" si="8"/>
        <v>4</v>
      </c>
      <c r="I60" s="127">
        <f t="shared" si="10"/>
        <v>90.350303931888647</v>
      </c>
      <c r="J60" s="232">
        <f t="shared" si="11"/>
        <v>1.9996086105675146</v>
      </c>
      <c r="K60" s="167">
        <f t="shared" si="12"/>
        <v>1.9848874866282458</v>
      </c>
      <c r="L60" s="112"/>
      <c r="M60" s="112"/>
      <c r="N60" s="112"/>
      <c r="O60" s="112"/>
      <c r="P60" s="112"/>
      <c r="Q60" s="112"/>
      <c r="R60" s="112"/>
      <c r="S60" s="112"/>
    </row>
    <row r="61" spans="1:19" ht="17" thickBot="1">
      <c r="A61" s="112"/>
      <c r="B61" s="112"/>
      <c r="C61" s="112"/>
      <c r="D61" s="112"/>
      <c r="E61" s="112"/>
      <c r="F61" s="112"/>
      <c r="G61" s="229">
        <f>SUM(G54:G60)</f>
        <v>112</v>
      </c>
      <c r="H61" s="112"/>
      <c r="I61" s="165"/>
      <c r="J61" s="112"/>
      <c r="K61" s="112"/>
      <c r="L61" s="112"/>
      <c r="M61" s="112"/>
      <c r="N61" s="112"/>
      <c r="O61" s="112"/>
      <c r="P61" s="112"/>
      <c r="Q61" s="112"/>
      <c r="R61" s="112"/>
      <c r="S61" s="112"/>
    </row>
    <row r="62" spans="1:19">
      <c r="A62" s="112" t="s">
        <v>223</v>
      </c>
      <c r="B62" s="126">
        <f ca="1">TODAY()+3</f>
        <v>45116</v>
      </c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</row>
    <row r="63" spans="1:19">
      <c r="A63" s="112" t="s">
        <v>224</v>
      </c>
      <c r="B63" s="112">
        <f ca="1">B62-B57</f>
        <v>403</v>
      </c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</row>
    <row r="64" spans="1:19">
      <c r="A64" s="112" t="s">
        <v>225</v>
      </c>
      <c r="B64" s="112">
        <v>360</v>
      </c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</row>
    <row r="65" spans="1:19">
      <c r="A65" s="112" t="s">
        <v>226</v>
      </c>
      <c r="B65" s="138">
        <f ca="1">E58*(B63/B64)</f>
        <v>4.4777777777777779</v>
      </c>
      <c r="C65" s="112"/>
      <c r="D65" s="13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</row>
    <row r="66" spans="1:19">
      <c r="A66" s="112" t="s">
        <v>231</v>
      </c>
      <c r="B66" s="134">
        <f ca="1">D53*100+B65</f>
        <v>104.47777777777777</v>
      </c>
      <c r="C66" s="112"/>
      <c r="D66" s="13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</row>
    <row r="67" spans="1:19">
      <c r="A67" s="115" t="s">
        <v>239</v>
      </c>
      <c r="B67" s="112">
        <v>98</v>
      </c>
      <c r="C67" s="112"/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</row>
    <row r="68" spans="1:19">
      <c r="A68" s="112" t="s">
        <v>240</v>
      </c>
      <c r="B68" s="139">
        <f ca="1">B67/B66</f>
        <v>0.93799851111347443</v>
      </c>
      <c r="C68" s="112"/>
      <c r="D68" s="13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</row>
    <row r="69" spans="1:19">
      <c r="A69" s="112" t="s">
        <v>256</v>
      </c>
      <c r="B69" s="162">
        <f ca="1">E58/(C50-B65)</f>
        <v>4.2770583343233928E-2</v>
      </c>
      <c r="C69" s="112"/>
      <c r="D69" s="13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</row>
    <row r="70" spans="1:19">
      <c r="A70" s="112" t="s">
        <v>269</v>
      </c>
      <c r="B70" s="162">
        <f>XIRR(G52:G60,B52:B60)</f>
        <v>6.7628934979438796E-2</v>
      </c>
      <c r="C70" s="112"/>
      <c r="D70" s="13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</row>
    <row r="71" spans="1:19">
      <c r="A71" s="112"/>
      <c r="B71" s="112"/>
      <c r="C71" s="112"/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</row>
    <row r="72" spans="1:19">
      <c r="A72" s="112"/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</row>
    <row r="73" spans="1:19">
      <c r="A73" s="112"/>
      <c r="B73" s="162"/>
      <c r="C73" s="112"/>
      <c r="D73" s="132"/>
      <c r="E73" s="112"/>
      <c r="F73" s="112"/>
      <c r="G73" s="112"/>
      <c r="H73" s="112"/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</row>
    <row r="74" spans="1:19">
      <c r="A74" s="112"/>
      <c r="B74" s="112"/>
      <c r="C74" s="112"/>
      <c r="D74" s="112"/>
      <c r="E74" s="112"/>
      <c r="F74" s="112"/>
      <c r="G74" s="112"/>
      <c r="H74" s="112"/>
      <c r="I74" s="112"/>
      <c r="J74" s="112"/>
      <c r="K74" s="112"/>
      <c r="L74" s="112"/>
      <c r="M74" s="112"/>
      <c r="N74" s="112"/>
      <c r="O74" s="112"/>
      <c r="P74" s="112"/>
      <c r="Q74" s="112"/>
      <c r="R74" s="112"/>
      <c r="S74" s="112"/>
    </row>
    <row r="75" spans="1:19">
      <c r="A75" s="112"/>
      <c r="B75" s="112"/>
      <c r="C75" s="112"/>
      <c r="D75" s="112"/>
      <c r="E75" s="112"/>
      <c r="F75" s="112"/>
      <c r="G75" s="112"/>
      <c r="H75" s="112"/>
      <c r="I75" s="112"/>
      <c r="J75" s="112"/>
      <c r="K75" s="112"/>
      <c r="L75" s="112"/>
      <c r="M75" s="112"/>
      <c r="N75" s="112"/>
      <c r="O75" s="112"/>
      <c r="P75" s="112"/>
      <c r="Q75" s="112"/>
      <c r="R75" s="112"/>
      <c r="S75" s="112"/>
    </row>
    <row r="76" spans="1:19">
      <c r="A76" s="112"/>
      <c r="B76" s="112"/>
      <c r="C76" s="112"/>
      <c r="D76" s="112"/>
      <c r="E76" s="112"/>
      <c r="F76" s="112"/>
      <c r="G76" s="112"/>
      <c r="H76" s="233"/>
      <c r="I76" s="112"/>
      <c r="J76" s="112"/>
      <c r="K76" s="112"/>
      <c r="L76" s="112"/>
      <c r="M76" s="112"/>
      <c r="N76" s="112"/>
      <c r="O76" s="112"/>
      <c r="P76" s="112"/>
      <c r="Q76" s="112"/>
      <c r="R76" s="112"/>
      <c r="S76" s="112"/>
    </row>
    <row r="77" spans="1:19">
      <c r="A77" s="112"/>
      <c r="B77" s="112"/>
      <c r="C77" s="112"/>
      <c r="D77" s="112"/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</row>
    <row r="78" spans="1:19">
      <c r="A78" s="112"/>
      <c r="B78" s="112"/>
      <c r="C78" s="112"/>
      <c r="D78" s="112"/>
      <c r="E78" s="112"/>
      <c r="F78" s="112"/>
      <c r="G78" s="112"/>
      <c r="H78" s="112"/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</row>
    <row r="79" spans="1:19">
      <c r="A79" s="112"/>
      <c r="B79" s="112"/>
      <c r="C79" s="112"/>
      <c r="D79" s="112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</row>
    <row r="83" spans="1:17" ht="19">
      <c r="A83" s="113" t="s">
        <v>199</v>
      </c>
      <c r="B83" s="112"/>
      <c r="C83" s="112"/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</row>
    <row r="84" spans="1:17" ht="19">
      <c r="A84" s="113"/>
      <c r="B84" s="112"/>
      <c r="C84" s="112"/>
      <c r="D84" s="112"/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</row>
    <row r="85" spans="1:17">
      <c r="A85" s="112"/>
      <c r="B85" s="112" t="s">
        <v>200</v>
      </c>
      <c r="C85" s="126">
        <v>43252</v>
      </c>
      <c r="D85" s="112"/>
      <c r="E85" s="112"/>
      <c r="F85" s="112"/>
      <c r="G85" s="112"/>
      <c r="H85" s="112"/>
      <c r="I85" s="112"/>
      <c r="J85" s="112"/>
      <c r="K85" s="112"/>
      <c r="L85" s="112"/>
      <c r="M85" s="112"/>
      <c r="N85" s="112"/>
      <c r="O85" s="112"/>
      <c r="P85" s="112"/>
      <c r="Q85" s="112"/>
    </row>
    <row r="86" spans="1:17">
      <c r="A86" s="112"/>
      <c r="B86" s="112" t="s">
        <v>201</v>
      </c>
      <c r="C86" s="126">
        <v>45809</v>
      </c>
      <c r="D86" s="112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</row>
    <row r="87" spans="1:17">
      <c r="A87" s="112"/>
      <c r="B87" s="112" t="s">
        <v>202</v>
      </c>
      <c r="C87" s="112">
        <v>100</v>
      </c>
      <c r="D87" s="112"/>
      <c r="E87" s="112"/>
      <c r="F87" s="112"/>
      <c r="G87" s="112"/>
      <c r="H87" s="112"/>
      <c r="I87" s="112"/>
      <c r="J87" s="112"/>
      <c r="K87" s="112"/>
      <c r="L87" s="112"/>
      <c r="M87" s="112"/>
      <c r="N87" s="112"/>
      <c r="O87" s="112"/>
      <c r="P87" s="112"/>
      <c r="Q87" s="112"/>
    </row>
    <row r="88" spans="1:17">
      <c r="A88" s="112"/>
      <c r="B88" s="112" t="s">
        <v>203</v>
      </c>
      <c r="C88" s="112" t="s">
        <v>222</v>
      </c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</row>
    <row r="89" spans="1:17">
      <c r="A89" s="112"/>
      <c r="B89" s="112" t="s">
        <v>217</v>
      </c>
      <c r="C89" s="112">
        <v>0.04</v>
      </c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</row>
    <row r="90" spans="1:17">
      <c r="A90" s="112"/>
      <c r="B90" s="112" t="s">
        <v>206</v>
      </c>
      <c r="C90" s="112">
        <v>1</v>
      </c>
      <c r="D90" s="112"/>
      <c r="E90" s="112"/>
      <c r="F90" s="112"/>
      <c r="G90" s="162">
        <f>XIRR(G93:G101,B93:B101)</f>
        <v>8.7984463572502128E-2</v>
      </c>
      <c r="H90" s="112"/>
      <c r="I90" s="112"/>
      <c r="J90" s="112"/>
      <c r="K90" s="112"/>
      <c r="L90" s="112"/>
      <c r="M90" s="112"/>
      <c r="N90" s="112"/>
      <c r="O90" s="112"/>
      <c r="P90" s="112"/>
      <c r="Q90" s="112"/>
    </row>
    <row r="91" spans="1:17">
      <c r="A91" s="112"/>
      <c r="B91" s="115" t="s">
        <v>208</v>
      </c>
      <c r="C91" s="112">
        <v>98</v>
      </c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</row>
    <row r="92" spans="1:17" ht="33" thickBot="1">
      <c r="A92" s="116" t="s">
        <v>209</v>
      </c>
      <c r="B92" s="116" t="s">
        <v>175</v>
      </c>
      <c r="C92" s="116" t="s">
        <v>210</v>
      </c>
      <c r="D92" s="116" t="s">
        <v>211</v>
      </c>
      <c r="E92" s="116" t="s">
        <v>218</v>
      </c>
      <c r="F92" s="116" t="s">
        <v>212</v>
      </c>
      <c r="G92" s="116" t="s">
        <v>219</v>
      </c>
      <c r="H92" s="116" t="s">
        <v>220</v>
      </c>
      <c r="I92" s="116" t="s">
        <v>268</v>
      </c>
      <c r="J92" s="116" t="s">
        <v>377</v>
      </c>
      <c r="K92" s="112"/>
      <c r="L92" s="112"/>
      <c r="M92" s="112"/>
      <c r="N92" s="112"/>
      <c r="O92" s="112"/>
      <c r="P92" s="112"/>
      <c r="Q92" s="112"/>
    </row>
    <row r="93" spans="1:17" ht="17" thickBot="1">
      <c r="A93" s="112"/>
      <c r="B93" s="128">
        <v>45022</v>
      </c>
      <c r="C93" s="1"/>
      <c r="D93" s="1"/>
      <c r="E93" s="1"/>
      <c r="F93" s="1"/>
      <c r="G93" s="1">
        <f>-C91</f>
        <v>-98</v>
      </c>
      <c r="H93" s="112"/>
      <c r="I93" s="165">
        <f>SUM(I95:I101)</f>
        <v>108.4</v>
      </c>
      <c r="J93" s="165">
        <f>+SUM(J94:J101)</f>
        <v>1.225415761006925</v>
      </c>
      <c r="K93" s="112"/>
      <c r="L93" s="112">
        <f>SUM(L99:L101)</f>
        <v>1.2424354243542435</v>
      </c>
      <c r="M93" s="112"/>
      <c r="N93" s="112"/>
      <c r="O93" s="112"/>
      <c r="P93" s="112"/>
      <c r="Q93" s="112"/>
    </row>
    <row r="94" spans="1:17">
      <c r="A94" s="118">
        <v>1</v>
      </c>
      <c r="B94" s="119">
        <v>43252</v>
      </c>
      <c r="C94" s="120">
        <f t="shared" ref="C94:C101" si="13">0.04</f>
        <v>0.04</v>
      </c>
      <c r="D94" s="120">
        <v>1</v>
      </c>
      <c r="E94" s="121">
        <f t="shared" ref="E94:E101" si="14">IF(B94&lt;$B$93,0,(C94)*D94*100)</f>
        <v>0</v>
      </c>
      <c r="F94" s="121">
        <v>0</v>
      </c>
      <c r="G94" s="121">
        <f>E94+F94</f>
        <v>0</v>
      </c>
      <c r="H94" s="127">
        <f>D94*C94*100</f>
        <v>4</v>
      </c>
      <c r="I94" s="127"/>
      <c r="J94" s="127"/>
      <c r="K94" s="112"/>
      <c r="L94" s="112"/>
      <c r="M94" s="112"/>
      <c r="N94" s="112"/>
      <c r="O94" s="112"/>
      <c r="P94" s="112"/>
      <c r="Q94" s="112"/>
    </row>
    <row r="95" spans="1:17">
      <c r="A95" s="118">
        <v>2</v>
      </c>
      <c r="B95" s="119">
        <v>43617</v>
      </c>
      <c r="C95" s="120">
        <f t="shared" si="13"/>
        <v>0.04</v>
      </c>
      <c r="D95" s="120">
        <f>D94-F94/100</f>
        <v>1</v>
      </c>
      <c r="E95" s="121">
        <f t="shared" si="14"/>
        <v>0</v>
      </c>
      <c r="F95" s="121">
        <v>0</v>
      </c>
      <c r="G95" s="121">
        <f t="shared" ref="G95:G101" si="15">E95+F95</f>
        <v>0</v>
      </c>
      <c r="H95" s="127">
        <f t="shared" ref="H95:H101" si="16">D95*C95*100</f>
        <v>4</v>
      </c>
      <c r="I95" s="127">
        <f>G95/(1+$C$31)^(YEARFRAC($C$13,B95,3))</f>
        <v>0</v>
      </c>
      <c r="J95" s="127">
        <f t="shared" ref="J95:J101" si="17">(G95/$G$102)*YEARFRAC($B$93,B95,3)</f>
        <v>0</v>
      </c>
      <c r="K95" s="112"/>
      <c r="L95" s="112"/>
      <c r="M95" s="112"/>
      <c r="N95" s="112"/>
      <c r="O95" s="112"/>
      <c r="P95" s="112"/>
      <c r="Q95" s="112"/>
    </row>
    <row r="96" spans="1:17">
      <c r="A96" s="118">
        <v>3</v>
      </c>
      <c r="B96" s="119">
        <v>43983</v>
      </c>
      <c r="C96" s="120">
        <f>0.04</f>
        <v>0.04</v>
      </c>
      <c r="D96" s="120">
        <f t="shared" ref="D96:D101" si="18">D95-F95/100</f>
        <v>1</v>
      </c>
      <c r="E96" s="121">
        <f t="shared" si="14"/>
        <v>0</v>
      </c>
      <c r="F96" s="121">
        <v>0</v>
      </c>
      <c r="G96" s="121">
        <f t="shared" si="15"/>
        <v>0</v>
      </c>
      <c r="H96" s="127">
        <f t="shared" si="16"/>
        <v>4</v>
      </c>
      <c r="I96" s="127">
        <f t="shared" ref="I96:I101" si="19">G96/(1+$C$31)^(YEARFRAC($C$13,B96,3))</f>
        <v>0</v>
      </c>
      <c r="J96" s="127">
        <f t="shared" si="17"/>
        <v>0</v>
      </c>
      <c r="K96" s="112"/>
      <c r="L96" s="112"/>
      <c r="M96" s="112"/>
      <c r="N96" s="112"/>
      <c r="O96" s="112"/>
      <c r="P96" s="112"/>
      <c r="Q96" s="112"/>
    </row>
    <row r="97" spans="1:17">
      <c r="A97" s="118">
        <v>4</v>
      </c>
      <c r="B97" s="119">
        <v>44348</v>
      </c>
      <c r="C97" s="120">
        <f t="shared" si="13"/>
        <v>0.04</v>
      </c>
      <c r="D97" s="120">
        <f t="shared" si="18"/>
        <v>1</v>
      </c>
      <c r="E97" s="121">
        <f t="shared" si="14"/>
        <v>0</v>
      </c>
      <c r="F97" s="121">
        <v>0</v>
      </c>
      <c r="G97" s="121">
        <f t="shared" si="15"/>
        <v>0</v>
      </c>
      <c r="H97" s="127">
        <f t="shared" si="16"/>
        <v>4</v>
      </c>
      <c r="I97" s="127">
        <f t="shared" si="19"/>
        <v>0</v>
      </c>
      <c r="J97" s="127">
        <f t="shared" si="17"/>
        <v>0</v>
      </c>
      <c r="K97" s="112"/>
      <c r="L97" s="112"/>
      <c r="M97" s="112"/>
      <c r="N97" s="112"/>
      <c r="O97" s="112"/>
      <c r="P97" s="112"/>
      <c r="Q97" s="112"/>
    </row>
    <row r="98" spans="1:17">
      <c r="A98" s="118">
        <v>5</v>
      </c>
      <c r="B98" s="163">
        <v>44713</v>
      </c>
      <c r="C98" s="120">
        <f t="shared" si="13"/>
        <v>0.04</v>
      </c>
      <c r="D98" s="120">
        <f t="shared" si="18"/>
        <v>1</v>
      </c>
      <c r="E98" s="121">
        <f t="shared" si="14"/>
        <v>0</v>
      </c>
      <c r="F98" s="121">
        <v>0</v>
      </c>
      <c r="G98" s="164">
        <f t="shared" si="15"/>
        <v>0</v>
      </c>
      <c r="H98" s="127">
        <f t="shared" si="16"/>
        <v>4</v>
      </c>
      <c r="I98" s="127">
        <f t="shared" si="19"/>
        <v>0</v>
      </c>
      <c r="J98" s="127">
        <f t="shared" si="17"/>
        <v>0</v>
      </c>
      <c r="K98" s="112"/>
      <c r="L98" s="112"/>
      <c r="M98" s="112"/>
      <c r="N98" s="112"/>
      <c r="O98" s="112"/>
      <c r="P98" s="112"/>
      <c r="Q98" s="112"/>
    </row>
    <row r="99" spans="1:17">
      <c r="A99" s="118">
        <v>6</v>
      </c>
      <c r="B99" s="163">
        <v>45078</v>
      </c>
      <c r="C99" s="120">
        <f t="shared" si="13"/>
        <v>0.04</v>
      </c>
      <c r="D99" s="120">
        <f t="shared" si="18"/>
        <v>1</v>
      </c>
      <c r="E99" s="121">
        <f>IF(B99&lt;$B$93,0,(C99)*D99*100)</f>
        <v>4</v>
      </c>
      <c r="F99" s="121">
        <v>30</v>
      </c>
      <c r="G99" s="164">
        <f t="shared" si="15"/>
        <v>34</v>
      </c>
      <c r="H99" s="127">
        <f t="shared" si="16"/>
        <v>4</v>
      </c>
      <c r="I99" s="127">
        <f t="shared" si="19"/>
        <v>34</v>
      </c>
      <c r="J99" s="127">
        <f>(G99/$G$102)*YEARFRAC($B$93,B99,3)</f>
        <v>4.8122125056867006E-2</v>
      </c>
      <c r="K99" s="112"/>
      <c r="L99" s="112">
        <f>(G99/G102)*((B99-B93)/360)</f>
        <v>4.8790487904879047E-2</v>
      </c>
      <c r="M99" s="112"/>
      <c r="N99" s="112"/>
      <c r="O99" s="112"/>
      <c r="P99" s="112"/>
      <c r="Q99" s="112"/>
    </row>
    <row r="100" spans="1:17">
      <c r="A100" s="118">
        <v>7</v>
      </c>
      <c r="B100" s="163">
        <v>45444</v>
      </c>
      <c r="C100" s="120">
        <f t="shared" si="13"/>
        <v>0.04</v>
      </c>
      <c r="D100" s="120">
        <f t="shared" si="18"/>
        <v>0.7</v>
      </c>
      <c r="E100" s="121">
        <f t="shared" si="14"/>
        <v>2.8</v>
      </c>
      <c r="F100" s="121">
        <v>30</v>
      </c>
      <c r="G100" s="164">
        <f t="shared" si="15"/>
        <v>32.799999999999997</v>
      </c>
      <c r="H100" s="127">
        <f t="shared" si="16"/>
        <v>2.8</v>
      </c>
      <c r="I100" s="127">
        <f t="shared" si="19"/>
        <v>32.799999999999997</v>
      </c>
      <c r="J100" s="127">
        <f t="shared" si="17"/>
        <v>0.34983571753525744</v>
      </c>
      <c r="K100" s="112"/>
      <c r="L100" s="112">
        <f>(G100/G102)*((B100-B93)/360)</f>
        <v>0.35469454694546942</v>
      </c>
      <c r="M100" s="112"/>
      <c r="N100" s="112"/>
      <c r="O100" s="112"/>
      <c r="P100" s="112"/>
      <c r="Q100" s="112"/>
    </row>
    <row r="101" spans="1:17">
      <c r="A101" s="118">
        <v>8</v>
      </c>
      <c r="B101" s="163">
        <v>45809</v>
      </c>
      <c r="C101" s="120">
        <f t="shared" si="13"/>
        <v>0.04</v>
      </c>
      <c r="D101" s="120">
        <f t="shared" si="18"/>
        <v>0.39999999999999997</v>
      </c>
      <c r="E101" s="121">
        <f t="shared" si="14"/>
        <v>1.6</v>
      </c>
      <c r="F101" s="121">
        <v>40</v>
      </c>
      <c r="G101" s="164">
        <f t="shared" si="15"/>
        <v>41.6</v>
      </c>
      <c r="H101" s="127">
        <f t="shared" si="16"/>
        <v>1.6</v>
      </c>
      <c r="I101" s="127">
        <f t="shared" si="19"/>
        <v>41.6</v>
      </c>
      <c r="J101" s="127">
        <f t="shared" si="17"/>
        <v>0.82745791841480054</v>
      </c>
      <c r="K101" s="112"/>
      <c r="L101" s="112">
        <f>(G101/G102)*((B101-B93)/360)</f>
        <v>0.838950389503895</v>
      </c>
      <c r="M101" s="112"/>
      <c r="N101" s="112"/>
      <c r="O101" s="112"/>
      <c r="P101" s="112"/>
      <c r="Q101" s="112"/>
    </row>
    <row r="102" spans="1:17">
      <c r="A102" s="112"/>
      <c r="B102" s="112"/>
      <c r="C102" s="112"/>
      <c r="D102" s="112"/>
      <c r="E102" s="112"/>
      <c r="F102" s="112"/>
      <c r="G102" s="229">
        <f>SUM(G95:G101)</f>
        <v>108.4</v>
      </c>
      <c r="H102" s="112"/>
      <c r="I102" s="234"/>
      <c r="J102" s="234"/>
      <c r="K102" s="112"/>
      <c r="L102" s="112"/>
      <c r="M102" s="112"/>
      <c r="N102" s="112"/>
      <c r="O102" s="112"/>
      <c r="P102" s="112"/>
      <c r="Q102" s="112"/>
    </row>
    <row r="103" spans="1:17">
      <c r="A103" s="112" t="s">
        <v>223</v>
      </c>
      <c r="B103" s="126">
        <f ca="1">TODAY()+3</f>
        <v>45116</v>
      </c>
      <c r="C103" s="112"/>
      <c r="D103" s="112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</row>
    <row r="104" spans="1:17">
      <c r="A104" s="112" t="s">
        <v>224</v>
      </c>
      <c r="B104" s="112">
        <f ca="1">B103-B98</f>
        <v>403</v>
      </c>
      <c r="C104" s="112"/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</row>
    <row r="105" spans="1:17">
      <c r="A105" s="112" t="s">
        <v>225</v>
      </c>
      <c r="B105" s="112">
        <v>360</v>
      </c>
      <c r="C105" s="112"/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</row>
    <row r="106" spans="1:17">
      <c r="A106" s="112" t="s">
        <v>226</v>
      </c>
      <c r="B106" s="138">
        <f ca="1">E99*(B104/B105)</f>
        <v>4.4777777777777779</v>
      </c>
      <c r="C106" s="112"/>
      <c r="D106" s="13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</row>
    <row r="107" spans="1:17">
      <c r="A107" s="112" t="s">
        <v>231</v>
      </c>
      <c r="B107" s="134">
        <f ca="1">D94*100+B106</f>
        <v>104.47777777777777</v>
      </c>
      <c r="C107" s="112"/>
      <c r="D107" s="13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</row>
    <row r="108" spans="1:17">
      <c r="A108" s="115" t="s">
        <v>239</v>
      </c>
      <c r="B108" s="112">
        <v>98</v>
      </c>
      <c r="C108" s="112"/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</row>
    <row r="109" spans="1:17">
      <c r="A109" s="112" t="s">
        <v>240</v>
      </c>
      <c r="B109" s="139">
        <f ca="1">B108/B107</f>
        <v>0.93799851111347443</v>
      </c>
      <c r="C109" s="112"/>
      <c r="D109" s="13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2"/>
      <c r="Q109" s="112"/>
    </row>
    <row r="110" spans="1:17">
      <c r="A110" s="112" t="s">
        <v>256</v>
      </c>
      <c r="B110" s="162">
        <f ca="1">E99/(C91-B106)</f>
        <v>4.2770583343233928E-2</v>
      </c>
      <c r="C110" s="112"/>
      <c r="D110" s="13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2"/>
      <c r="Q110" s="112"/>
    </row>
    <row r="111" spans="1:17">
      <c r="A111" s="112" t="s">
        <v>269</v>
      </c>
      <c r="B111" s="162">
        <f>XIRR(G93:G101,B93:B101)</f>
        <v>8.7984463572502128E-2</v>
      </c>
      <c r="C111" s="112"/>
      <c r="D111" s="132"/>
      <c r="E111" s="112"/>
      <c r="F111" s="112"/>
      <c r="G111" s="112"/>
      <c r="H111" s="112"/>
      <c r="I111" s="112"/>
      <c r="J111" s="112"/>
      <c r="K111" s="112"/>
      <c r="L111" s="112"/>
      <c r="M111" s="112"/>
      <c r="N111" s="112"/>
      <c r="O111" s="112"/>
      <c r="P111" s="112"/>
      <c r="Q111" s="112"/>
    </row>
    <row r="112" spans="1:17">
      <c r="A112" s="112"/>
      <c r="B112" s="112"/>
      <c r="C112" s="112"/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2"/>
      <c r="Q112" s="112"/>
    </row>
    <row r="113" spans="1:17">
      <c r="A113" s="112"/>
      <c r="B113" s="112"/>
      <c r="C113" s="112"/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</row>
    <row r="114" spans="1:17">
      <c r="A114" s="112"/>
      <c r="B114" s="162"/>
      <c r="C114" s="112"/>
      <c r="D114" s="132"/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  <c r="P114" s="112"/>
      <c r="Q114" s="112"/>
    </row>
    <row r="115" spans="1:17">
      <c r="A115" s="112"/>
      <c r="B115" s="112"/>
      <c r="C115" s="112"/>
      <c r="D115" s="112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  <c r="P115" s="112"/>
      <c r="Q115" s="112"/>
    </row>
    <row r="116" spans="1:17">
      <c r="A116" s="112"/>
      <c r="B116" s="112"/>
      <c r="C116" s="112"/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  <c r="P116" s="112"/>
      <c r="Q116" s="112"/>
    </row>
    <row r="117" spans="1:17">
      <c r="A117" s="112"/>
      <c r="B117" s="112"/>
      <c r="C117" s="112"/>
      <c r="D117" s="112"/>
      <c r="E117" s="112"/>
      <c r="F117" s="112"/>
      <c r="G117" s="112"/>
      <c r="H117" s="233"/>
      <c r="I117" s="112"/>
      <c r="J117" s="112"/>
      <c r="K117" s="112"/>
      <c r="L117" s="112"/>
      <c r="M117" s="112"/>
      <c r="N117" s="112"/>
      <c r="O117" s="112"/>
      <c r="P117" s="112"/>
      <c r="Q117" s="112"/>
    </row>
    <row r="118" spans="1:17">
      <c r="A118" s="112"/>
      <c r="B118" s="112"/>
      <c r="C118" s="112"/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/>
      <c r="O118" s="112"/>
      <c r="P118" s="112"/>
      <c r="Q118" s="112"/>
    </row>
    <row r="121" spans="1:17" ht="19">
      <c r="A121" s="113" t="s">
        <v>199</v>
      </c>
      <c r="B121" s="112"/>
      <c r="C121" s="112"/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  <c r="N121" s="112"/>
      <c r="O121" s="112"/>
      <c r="P121" s="112"/>
      <c r="Q121" s="112"/>
    </row>
    <row r="122" spans="1:17" ht="19">
      <c r="A122" s="113"/>
      <c r="B122" s="112"/>
      <c r="C122" s="112"/>
      <c r="D122" s="112"/>
      <c r="E122" s="112"/>
      <c r="F122" s="112"/>
      <c r="G122" s="112"/>
      <c r="H122" s="112"/>
      <c r="I122" s="112"/>
      <c r="J122" s="112"/>
      <c r="K122" s="112"/>
      <c r="L122" s="112"/>
      <c r="M122" s="112"/>
      <c r="N122" s="112"/>
      <c r="O122" s="112"/>
      <c r="P122" s="112"/>
      <c r="Q122" s="112"/>
    </row>
    <row r="123" spans="1:17">
      <c r="A123" s="112"/>
      <c r="B123" s="112" t="s">
        <v>200</v>
      </c>
      <c r="C123" s="126">
        <v>43252</v>
      </c>
      <c r="D123" s="112"/>
      <c r="E123" s="112"/>
      <c r="F123" s="112"/>
      <c r="G123" s="112"/>
      <c r="H123" s="112"/>
      <c r="I123" s="112"/>
      <c r="J123" s="112"/>
      <c r="K123" s="112"/>
      <c r="L123" s="112"/>
      <c r="M123" s="112"/>
      <c r="N123" s="112"/>
      <c r="O123" s="112"/>
      <c r="P123" s="112"/>
      <c r="Q123" s="112"/>
    </row>
    <row r="124" spans="1:17">
      <c r="A124" s="112"/>
      <c r="B124" s="112" t="s">
        <v>201</v>
      </c>
      <c r="C124" s="126">
        <v>45809</v>
      </c>
      <c r="D124" s="112"/>
      <c r="E124" s="112"/>
      <c r="F124" s="112"/>
      <c r="G124" s="112"/>
      <c r="H124" s="112"/>
      <c r="I124" s="112"/>
      <c r="J124" s="112"/>
      <c r="K124" s="112"/>
      <c r="L124" s="112"/>
      <c r="M124" s="112"/>
      <c r="N124" s="112"/>
      <c r="O124" s="112"/>
      <c r="P124" s="112"/>
      <c r="Q124" s="112"/>
    </row>
    <row r="125" spans="1:17">
      <c r="A125" s="112"/>
      <c r="B125" s="112" t="s">
        <v>202</v>
      </c>
      <c r="C125" s="112">
        <v>100</v>
      </c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2"/>
      <c r="Q125" s="112"/>
    </row>
    <row r="126" spans="1:17">
      <c r="A126" s="112"/>
      <c r="B126" s="112" t="s">
        <v>203</v>
      </c>
      <c r="C126" s="112" t="s">
        <v>380</v>
      </c>
      <c r="D126" s="112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12"/>
      <c r="P126" s="112"/>
      <c r="Q126" s="112"/>
    </row>
    <row r="127" spans="1:17">
      <c r="A127" s="112"/>
      <c r="B127" s="112" t="s">
        <v>217</v>
      </c>
      <c r="C127" s="112">
        <v>0.04</v>
      </c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</row>
    <row r="128" spans="1:17">
      <c r="A128" s="112"/>
      <c r="B128" s="112" t="s">
        <v>206</v>
      </c>
      <c r="C128" s="112">
        <v>1</v>
      </c>
      <c r="D128" s="112"/>
      <c r="E128" s="112"/>
      <c r="F128" s="112"/>
      <c r="G128" s="162">
        <f>XIRR(G131:G139,B131:B139)</f>
        <v>8.7984463572502128E-2</v>
      </c>
      <c r="H128" s="112"/>
      <c r="I128" s="112"/>
      <c r="J128" s="112"/>
      <c r="K128" s="112"/>
      <c r="L128" s="112"/>
      <c r="M128" s="112"/>
      <c r="N128" s="112"/>
      <c r="O128" s="112"/>
      <c r="P128" s="112"/>
      <c r="Q128" s="112"/>
    </row>
    <row r="129" spans="1:17">
      <c r="A129" s="112"/>
      <c r="B129" s="115" t="s">
        <v>208</v>
      </c>
      <c r="C129" s="112">
        <v>98</v>
      </c>
      <c r="D129" s="112"/>
      <c r="E129" s="112"/>
      <c r="F129" s="112"/>
      <c r="G129" s="112"/>
      <c r="H129" s="112"/>
      <c r="I129" s="112"/>
      <c r="J129" s="112"/>
      <c r="K129" s="112"/>
      <c r="L129" s="112"/>
      <c r="M129" s="112"/>
      <c r="N129" s="112"/>
      <c r="O129" s="112"/>
      <c r="P129" s="112"/>
      <c r="Q129" s="112"/>
    </row>
    <row r="130" spans="1:17" ht="33" thickBot="1">
      <c r="A130" s="116" t="s">
        <v>209</v>
      </c>
      <c r="B130" s="116" t="s">
        <v>175</v>
      </c>
      <c r="C130" s="116" t="s">
        <v>210</v>
      </c>
      <c r="D130" s="116" t="s">
        <v>211</v>
      </c>
      <c r="E130" s="116" t="s">
        <v>218</v>
      </c>
      <c r="F130" s="116" t="s">
        <v>212</v>
      </c>
      <c r="G130" s="116" t="s">
        <v>219</v>
      </c>
      <c r="H130" s="116" t="s">
        <v>220</v>
      </c>
      <c r="I130" s="116" t="s">
        <v>268</v>
      </c>
      <c r="J130" s="116" t="s">
        <v>377</v>
      </c>
      <c r="K130" s="112"/>
      <c r="L130" s="112"/>
      <c r="M130" s="112"/>
      <c r="N130" s="112"/>
      <c r="O130" s="112"/>
      <c r="P130" s="112"/>
      <c r="Q130" s="112"/>
    </row>
    <row r="131" spans="1:17" ht="17" thickBot="1">
      <c r="A131" s="112"/>
      <c r="B131" s="128">
        <v>45022</v>
      </c>
      <c r="C131" s="1"/>
      <c r="D131" s="1"/>
      <c r="E131" s="1"/>
      <c r="F131" s="1"/>
      <c r="G131" s="1">
        <f>-C129</f>
        <v>-98</v>
      </c>
      <c r="H131" s="112"/>
      <c r="I131" s="165">
        <f>SUM(I133:I139)</f>
        <v>108.4</v>
      </c>
      <c r="J131" s="165">
        <f>+SUM(J132:J139)</f>
        <v>1.225415761006925</v>
      </c>
      <c r="K131" s="112"/>
      <c r="L131" s="112">
        <f>SUM(L137:L139)</f>
        <v>1.2424354243542435</v>
      </c>
      <c r="M131" s="112"/>
      <c r="N131" s="112"/>
      <c r="O131" s="112"/>
      <c r="P131" s="112"/>
      <c r="Q131" s="112"/>
    </row>
    <row r="132" spans="1:17">
      <c r="A132" s="118">
        <v>1</v>
      </c>
      <c r="B132" s="119">
        <v>43252</v>
      </c>
      <c r="C132" s="120">
        <f>+$C$127</f>
        <v>0.04</v>
      </c>
      <c r="D132" s="120">
        <v>1</v>
      </c>
      <c r="E132" s="121">
        <f t="shared" ref="E132:E139" si="20">IF(B132&lt;$B$131,0,(C132)*D132*100)</f>
        <v>0</v>
      </c>
      <c r="F132" s="121">
        <v>0</v>
      </c>
      <c r="G132" s="121">
        <f>E132+F132</f>
        <v>0</v>
      </c>
      <c r="H132" s="127">
        <f>D132*C132*100</f>
        <v>4</v>
      </c>
      <c r="I132" s="127"/>
      <c r="J132" s="127"/>
      <c r="K132" s="112"/>
      <c r="L132" s="112"/>
      <c r="M132" s="112"/>
      <c r="N132" s="112"/>
      <c r="O132" s="112"/>
      <c r="P132" s="112"/>
      <c r="Q132" s="112"/>
    </row>
    <row r="133" spans="1:17">
      <c r="A133" s="118">
        <v>2</v>
      </c>
      <c r="B133" s="119">
        <v>43617</v>
      </c>
      <c r="C133" s="120">
        <f t="shared" ref="C133:C139" si="21">+$C$127</f>
        <v>0.04</v>
      </c>
      <c r="D133" s="120">
        <f>D132-F132/100</f>
        <v>1</v>
      </c>
      <c r="E133" s="121">
        <f t="shared" si="20"/>
        <v>0</v>
      </c>
      <c r="F133" s="121">
        <v>0</v>
      </c>
      <c r="G133" s="121">
        <f t="shared" ref="G133:G139" si="22">E133+F133</f>
        <v>0</v>
      </c>
      <c r="H133" s="127">
        <f t="shared" ref="H133:H139" si="23">D133*C133*100</f>
        <v>4</v>
      </c>
      <c r="I133" s="127">
        <f>G133/(1+$C$31)^(YEARFRAC($C$13,B133,3))</f>
        <v>0</v>
      </c>
      <c r="J133" s="127">
        <f t="shared" ref="J133:J138" si="24">(G133/$G$140)*YEARFRAC($B$131,B133,3)</f>
        <v>0</v>
      </c>
      <c r="K133" s="112"/>
      <c r="L133" s="112"/>
      <c r="M133" s="112"/>
      <c r="N133" s="112"/>
      <c r="O133" s="112"/>
      <c r="P133" s="112"/>
      <c r="Q133" s="112"/>
    </row>
    <row r="134" spans="1:17">
      <c r="A134" s="118">
        <v>3</v>
      </c>
      <c r="B134" s="119">
        <v>43983</v>
      </c>
      <c r="C134" s="120">
        <f t="shared" si="21"/>
        <v>0.04</v>
      </c>
      <c r="D134" s="120">
        <f t="shared" ref="D134:D139" si="25">D133-F133/100</f>
        <v>1</v>
      </c>
      <c r="E134" s="121">
        <f t="shared" si="20"/>
        <v>0</v>
      </c>
      <c r="F134" s="121">
        <v>0</v>
      </c>
      <c r="G134" s="121">
        <f t="shared" si="22"/>
        <v>0</v>
      </c>
      <c r="H134" s="127">
        <f t="shared" si="23"/>
        <v>4</v>
      </c>
      <c r="I134" s="127">
        <f t="shared" ref="I134:I139" si="26">G134/(1+$C$31)^(YEARFRAC($C$13,B134,3))</f>
        <v>0</v>
      </c>
      <c r="J134" s="127">
        <f t="shared" si="24"/>
        <v>0</v>
      </c>
      <c r="K134" s="112"/>
      <c r="L134" s="112"/>
      <c r="M134" s="112"/>
      <c r="N134" s="112"/>
      <c r="O134" s="112"/>
      <c r="P134" s="112"/>
      <c r="Q134" s="112"/>
    </row>
    <row r="135" spans="1:17">
      <c r="A135" s="118">
        <v>4</v>
      </c>
      <c r="B135" s="119">
        <v>44348</v>
      </c>
      <c r="C135" s="120">
        <f t="shared" si="21"/>
        <v>0.04</v>
      </c>
      <c r="D135" s="120">
        <f t="shared" si="25"/>
        <v>1</v>
      </c>
      <c r="E135" s="121">
        <f t="shared" si="20"/>
        <v>0</v>
      </c>
      <c r="F135" s="121">
        <v>0</v>
      </c>
      <c r="G135" s="121">
        <f t="shared" si="22"/>
        <v>0</v>
      </c>
      <c r="H135" s="127">
        <f t="shared" si="23"/>
        <v>4</v>
      </c>
      <c r="I135" s="127">
        <f t="shared" si="26"/>
        <v>0</v>
      </c>
      <c r="J135" s="127">
        <f t="shared" si="24"/>
        <v>0</v>
      </c>
      <c r="K135" s="112"/>
      <c r="L135" s="112"/>
      <c r="M135" s="112"/>
      <c r="N135" s="112"/>
      <c r="O135" s="112"/>
      <c r="P135" s="112"/>
      <c r="Q135" s="112"/>
    </row>
    <row r="136" spans="1:17">
      <c r="A136" s="118">
        <v>5</v>
      </c>
      <c r="B136" s="163">
        <v>44713</v>
      </c>
      <c r="C136" s="120">
        <f t="shared" si="21"/>
        <v>0.04</v>
      </c>
      <c r="D136" s="120">
        <f t="shared" si="25"/>
        <v>1</v>
      </c>
      <c r="E136" s="121">
        <f t="shared" si="20"/>
        <v>0</v>
      </c>
      <c r="F136" s="121">
        <v>0</v>
      </c>
      <c r="G136" s="164">
        <f t="shared" si="22"/>
        <v>0</v>
      </c>
      <c r="H136" s="127">
        <f t="shared" si="23"/>
        <v>4</v>
      </c>
      <c r="I136" s="127">
        <f t="shared" si="26"/>
        <v>0</v>
      </c>
      <c r="J136" s="127">
        <f t="shared" si="24"/>
        <v>0</v>
      </c>
      <c r="K136" s="112"/>
      <c r="L136" s="112"/>
      <c r="M136" s="112"/>
      <c r="N136" s="112"/>
      <c r="O136" s="112"/>
      <c r="P136" s="112"/>
      <c r="Q136" s="112"/>
    </row>
    <row r="137" spans="1:17">
      <c r="A137" s="118">
        <v>6</v>
      </c>
      <c r="B137" s="163">
        <v>45078</v>
      </c>
      <c r="C137" s="120">
        <f t="shared" si="21"/>
        <v>0.04</v>
      </c>
      <c r="D137" s="120">
        <f t="shared" si="25"/>
        <v>1</v>
      </c>
      <c r="E137" s="121">
        <f>IF(B137&lt;$B$131,0,(C137)*D137*100)</f>
        <v>4</v>
      </c>
      <c r="F137" s="121">
        <v>30</v>
      </c>
      <c r="G137" s="164">
        <f t="shared" si="22"/>
        <v>34</v>
      </c>
      <c r="H137" s="127">
        <f t="shared" si="23"/>
        <v>4</v>
      </c>
      <c r="I137" s="127">
        <f t="shared" si="26"/>
        <v>34</v>
      </c>
      <c r="J137" s="127">
        <f t="shared" si="24"/>
        <v>4.8122125056867006E-2</v>
      </c>
      <c r="K137" s="112"/>
      <c r="L137" s="112">
        <f>(G137/G140)*((B137-B131)/360)</f>
        <v>4.8790487904879047E-2</v>
      </c>
      <c r="M137" s="112"/>
      <c r="N137" s="112"/>
      <c r="O137" s="112"/>
      <c r="P137" s="112"/>
      <c r="Q137" s="112"/>
    </row>
    <row r="138" spans="1:17">
      <c r="A138" s="118">
        <v>7</v>
      </c>
      <c r="B138" s="163">
        <v>45444</v>
      </c>
      <c r="C138" s="120">
        <f t="shared" si="21"/>
        <v>0.04</v>
      </c>
      <c r="D138" s="120">
        <f t="shared" si="25"/>
        <v>0.7</v>
      </c>
      <c r="E138" s="121">
        <f t="shared" si="20"/>
        <v>2.8</v>
      </c>
      <c r="F138" s="121">
        <v>30</v>
      </c>
      <c r="G138" s="164">
        <f t="shared" si="22"/>
        <v>32.799999999999997</v>
      </c>
      <c r="H138" s="127">
        <f t="shared" si="23"/>
        <v>2.8</v>
      </c>
      <c r="I138" s="127">
        <f t="shared" si="26"/>
        <v>32.799999999999997</v>
      </c>
      <c r="J138" s="127">
        <f t="shared" si="24"/>
        <v>0.34983571753525744</v>
      </c>
      <c r="K138" s="112"/>
      <c r="L138" s="112">
        <f>(G138/G140)*((B138-B131)/360)</f>
        <v>0.35469454694546942</v>
      </c>
      <c r="M138" s="112"/>
      <c r="N138" s="112"/>
      <c r="O138" s="112"/>
      <c r="P138" s="112"/>
      <c r="Q138" s="112"/>
    </row>
    <row r="139" spans="1:17">
      <c r="A139" s="118">
        <v>8</v>
      </c>
      <c r="B139" s="163">
        <v>45809</v>
      </c>
      <c r="C139" s="120">
        <f t="shared" si="21"/>
        <v>0.04</v>
      </c>
      <c r="D139" s="120">
        <f t="shared" si="25"/>
        <v>0.39999999999999997</v>
      </c>
      <c r="E139" s="121">
        <f t="shared" si="20"/>
        <v>1.6</v>
      </c>
      <c r="F139" s="121">
        <v>40</v>
      </c>
      <c r="G139" s="164">
        <f t="shared" si="22"/>
        <v>41.6</v>
      </c>
      <c r="H139" s="127">
        <f t="shared" si="23"/>
        <v>1.6</v>
      </c>
      <c r="I139" s="127">
        <f t="shared" si="26"/>
        <v>41.6</v>
      </c>
      <c r="J139" s="127">
        <f>(G139/$G$140)*YEARFRAC($B$131,B139,3)</f>
        <v>0.82745791841480054</v>
      </c>
      <c r="K139" s="112"/>
      <c r="L139" s="112">
        <f>(G139/G140)*((B139-B131)/360)</f>
        <v>0.838950389503895</v>
      </c>
      <c r="M139" s="112"/>
      <c r="N139" s="112"/>
      <c r="O139" s="112"/>
      <c r="P139" s="112"/>
      <c r="Q139" s="112"/>
    </row>
    <row r="140" spans="1:17">
      <c r="A140" s="112"/>
      <c r="B140" s="112"/>
      <c r="C140" s="112"/>
      <c r="D140" s="112"/>
      <c r="E140" s="112"/>
      <c r="F140" s="112"/>
      <c r="G140" s="229">
        <f>SUM(G133:G139)</f>
        <v>108.4</v>
      </c>
      <c r="H140" s="112"/>
      <c r="I140" s="234"/>
      <c r="J140" s="234"/>
      <c r="K140" s="112"/>
      <c r="L140" s="112"/>
      <c r="M140" s="112"/>
      <c r="N140" s="112"/>
      <c r="O140" s="112"/>
      <c r="P140" s="112"/>
      <c r="Q140" s="112"/>
    </row>
    <row r="141" spans="1:17">
      <c r="A141" s="112" t="s">
        <v>223</v>
      </c>
      <c r="B141" s="126">
        <f ca="1">TODAY()+3</f>
        <v>45116</v>
      </c>
      <c r="C141" s="112"/>
      <c r="D141" s="112"/>
      <c r="E141" s="112"/>
      <c r="F141" s="112"/>
      <c r="G141" s="112"/>
      <c r="H141" s="112"/>
      <c r="I141" s="112"/>
      <c r="J141" s="112"/>
      <c r="K141" s="112"/>
      <c r="L141" s="112"/>
      <c r="M141" s="112"/>
      <c r="N141" s="112"/>
      <c r="O141" s="112"/>
      <c r="P141" s="112"/>
      <c r="Q141" s="112"/>
    </row>
    <row r="142" spans="1:17">
      <c r="A142" s="112" t="s">
        <v>224</v>
      </c>
      <c r="B142" s="112">
        <f ca="1">B141-B136</f>
        <v>403</v>
      </c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</row>
    <row r="143" spans="1:17">
      <c r="A143" s="112" t="s">
        <v>225</v>
      </c>
      <c r="B143" s="112">
        <v>360</v>
      </c>
      <c r="C143" s="112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</row>
    <row r="144" spans="1:17">
      <c r="A144" s="112" t="s">
        <v>226</v>
      </c>
      <c r="B144" s="138">
        <f ca="1">E137*(B142/B143)</f>
        <v>4.4777777777777779</v>
      </c>
      <c r="C144" s="112"/>
      <c r="D144" s="132"/>
      <c r="E144" s="112"/>
      <c r="F144" s="112"/>
      <c r="G144" s="112"/>
      <c r="H144" s="112"/>
      <c r="I144" s="112"/>
      <c r="J144" s="112"/>
      <c r="K144" s="112"/>
      <c r="L144" s="112"/>
      <c r="M144" s="112"/>
      <c r="N144" s="112"/>
      <c r="O144" s="112"/>
      <c r="P144" s="112"/>
      <c r="Q144" s="112"/>
    </row>
    <row r="145" spans="1:17">
      <c r="A145" s="112" t="s">
        <v>231</v>
      </c>
      <c r="B145" s="134">
        <f ca="1">D132*100+B144</f>
        <v>104.47777777777777</v>
      </c>
      <c r="C145" s="112"/>
      <c r="D145" s="132"/>
      <c r="E145" s="112"/>
      <c r="F145" s="112"/>
      <c r="G145" s="112"/>
      <c r="H145" s="112"/>
      <c r="I145" s="112"/>
      <c r="J145" s="112"/>
      <c r="K145" s="112"/>
      <c r="L145" s="112"/>
      <c r="M145" s="112"/>
      <c r="N145" s="112"/>
      <c r="O145" s="112"/>
      <c r="P145" s="112"/>
      <c r="Q145" s="112"/>
    </row>
    <row r="146" spans="1:17">
      <c r="A146" s="115" t="s">
        <v>239</v>
      </c>
      <c r="B146" s="112">
        <v>98</v>
      </c>
      <c r="C146" s="112"/>
      <c r="D146" s="112"/>
      <c r="E146" s="112"/>
      <c r="F146" s="112"/>
      <c r="G146" s="112"/>
      <c r="H146" s="112"/>
      <c r="I146" s="112"/>
      <c r="J146" s="112"/>
      <c r="K146" s="112"/>
      <c r="L146" s="112"/>
      <c r="M146" s="112"/>
      <c r="N146" s="112"/>
      <c r="O146" s="112"/>
      <c r="P146" s="112"/>
      <c r="Q146" s="112"/>
    </row>
    <row r="147" spans="1:17">
      <c r="A147" s="112" t="s">
        <v>240</v>
      </c>
      <c r="B147" s="139">
        <f ca="1">B146/B145</f>
        <v>0.93799851111347443</v>
      </c>
      <c r="C147" s="112"/>
      <c r="D147" s="132"/>
      <c r="E147" s="112"/>
      <c r="F147" s="112"/>
      <c r="G147" s="112"/>
      <c r="H147" s="112"/>
      <c r="I147" s="112"/>
      <c r="J147" s="112"/>
      <c r="K147" s="112"/>
      <c r="L147" s="112"/>
      <c r="M147" s="112"/>
      <c r="N147" s="112"/>
      <c r="O147" s="112"/>
      <c r="P147" s="112"/>
      <c r="Q147" s="112"/>
    </row>
    <row r="148" spans="1:17">
      <c r="A148" s="112" t="s">
        <v>256</v>
      </c>
      <c r="B148" s="162">
        <f ca="1">E137/(C129-B144)</f>
        <v>4.2770583343233928E-2</v>
      </c>
      <c r="C148" s="112"/>
      <c r="D148" s="132"/>
      <c r="E148" s="112"/>
      <c r="F148" s="112"/>
      <c r="G148" s="112"/>
      <c r="H148" s="112"/>
      <c r="I148" s="112"/>
      <c r="J148" s="112"/>
      <c r="K148" s="112"/>
      <c r="L148" s="112"/>
      <c r="M148" s="112"/>
      <c r="N148" s="112"/>
      <c r="O148" s="112"/>
      <c r="P148" s="112"/>
      <c r="Q148" s="112"/>
    </row>
    <row r="149" spans="1:17">
      <c r="A149" s="112" t="s">
        <v>269</v>
      </c>
      <c r="B149" s="162">
        <f>XIRR(G131:G139,B131:B139)</f>
        <v>8.7984463572502128E-2</v>
      </c>
      <c r="C149" s="112"/>
      <c r="D149" s="13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2"/>
      <c r="Q149" s="112"/>
    </row>
    <row r="150" spans="1:17">
      <c r="A150" s="112"/>
      <c r="B150" s="112"/>
      <c r="C150" s="112"/>
      <c r="D150" s="112"/>
      <c r="E150" s="112"/>
      <c r="F150" s="112"/>
      <c r="G150" s="112"/>
      <c r="H150" s="112"/>
      <c r="I150" s="112"/>
      <c r="J150" s="112"/>
      <c r="K150" s="112"/>
      <c r="L150" s="112"/>
      <c r="M150" s="112"/>
      <c r="N150" s="112"/>
      <c r="O150" s="112"/>
      <c r="P150" s="112"/>
      <c r="Q150" s="112"/>
    </row>
    <row r="151" spans="1:17">
      <c r="A151" s="112"/>
      <c r="B151" s="112"/>
      <c r="C151" s="112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</row>
    <row r="152" spans="1:17">
      <c r="A152" s="112"/>
      <c r="B152" s="162"/>
      <c r="C152" s="112"/>
      <c r="D152" s="132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2"/>
      <c r="Q152" s="112"/>
    </row>
    <row r="153" spans="1:17">
      <c r="A153" s="112"/>
      <c r="B153" s="112"/>
      <c r="C153" s="112"/>
      <c r="D153" s="112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12"/>
      <c r="P153" s="112"/>
      <c r="Q153" s="112"/>
    </row>
  </sheetData>
  <mergeCells count="2">
    <mergeCell ref="I8:J8"/>
    <mergeCell ref="E28:F28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3" r:id="rId3" name="Spinner 1">
              <controlPr locked="0" defaultSize="0" autoPict="0">
                <anchor moveWithCells="1" sizeWithCells="1">
                  <from>
                    <xdr:col>13</xdr:col>
                    <xdr:colOff>330200</xdr:colOff>
                    <xdr:row>3</xdr:row>
                    <xdr:rowOff>88900</xdr:rowOff>
                  </from>
                  <to>
                    <xdr:col>13</xdr:col>
                    <xdr:colOff>698500</xdr:colOff>
                    <xdr:row>5</xdr:row>
                    <xdr:rowOff>127000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03661-FD95-6A43-8DE6-D0918ECC11C5}">
  <sheetPr>
    <tabColor theme="5" tint="0.39997558519241921"/>
  </sheetPr>
  <dimension ref="A1:AB112"/>
  <sheetViews>
    <sheetView tabSelected="1" topLeftCell="O73" zoomScale="125" workbookViewId="0">
      <selection activeCell="D107" sqref="D107"/>
    </sheetView>
  </sheetViews>
  <sheetFormatPr baseColWidth="10" defaultRowHeight="16"/>
  <cols>
    <col min="1" max="1" width="14.1640625" style="80" customWidth="1"/>
    <col min="2" max="2" width="58.5" style="80" bestFit="1" customWidth="1"/>
    <col min="3" max="3" width="13.5" style="80" bestFit="1" customWidth="1"/>
    <col min="4" max="4" width="13.83203125" style="80" customWidth="1"/>
    <col min="5" max="5" width="11.1640625" style="80" bestFit="1" customWidth="1"/>
    <col min="6" max="6" width="14" style="80" customWidth="1"/>
    <col min="7" max="7" width="17.33203125" style="80" customWidth="1"/>
    <col min="8" max="8" width="12" style="80" customWidth="1"/>
    <col min="9" max="12" width="11.1640625" style="80" bestFit="1" customWidth="1"/>
    <col min="13" max="14" width="11.6640625" style="80" bestFit="1" customWidth="1"/>
    <col min="15" max="24" width="11.1640625" style="80" bestFit="1" customWidth="1"/>
    <col min="25" max="25" width="11" style="80" bestFit="1" customWidth="1"/>
    <col min="26" max="26" width="12" style="80" customWidth="1"/>
    <col min="27" max="27" width="11" style="80" bestFit="1" customWidth="1"/>
    <col min="28" max="28" width="11.6640625" style="80" bestFit="1" customWidth="1"/>
    <col min="29" max="16384" width="10.83203125" style="80"/>
  </cols>
  <sheetData>
    <row r="1" spans="1:1" ht="21">
      <c r="A1" s="281" t="s">
        <v>378</v>
      </c>
    </row>
    <row r="2" spans="1:1">
      <c r="A2" s="80" t="s">
        <v>379</v>
      </c>
    </row>
    <row r="27" spans="16:22" ht="26">
      <c r="P27" s="304" t="s">
        <v>449</v>
      </c>
      <c r="Q27"/>
      <c r="R27"/>
      <c r="S27"/>
      <c r="T27"/>
      <c r="U27"/>
      <c r="V27"/>
    </row>
    <row r="28" spans="16:22">
      <c r="P28"/>
      <c r="Q28"/>
      <c r="R28"/>
      <c r="S28"/>
      <c r="T28"/>
      <c r="U28"/>
      <c r="V28"/>
    </row>
    <row r="29" spans="16:22">
      <c r="P29" t="s">
        <v>14</v>
      </c>
      <c r="Q29">
        <v>100</v>
      </c>
      <c r="R29">
        <f>-Q29</f>
        <v>-100</v>
      </c>
      <c r="S29"/>
      <c r="T29" s="305">
        <f>+IRR(R29:R31)</f>
        <v>0.13066238629180749</v>
      </c>
      <c r="U29"/>
      <c r="V29"/>
    </row>
    <row r="30" spans="16:22">
      <c r="P30" t="s">
        <v>450</v>
      </c>
      <c r="Q30">
        <v>60</v>
      </c>
      <c r="R30">
        <f>+Q30</f>
        <v>60</v>
      </c>
      <c r="S30"/>
      <c r="T30"/>
      <c r="U30"/>
      <c r="V30"/>
    </row>
    <row r="31" spans="16:22">
      <c r="P31" t="s">
        <v>451</v>
      </c>
      <c r="Q31">
        <v>60</v>
      </c>
      <c r="R31">
        <f>+Q31</f>
        <v>60</v>
      </c>
      <c r="S31"/>
      <c r="T31"/>
      <c r="U31"/>
      <c r="V31"/>
    </row>
    <row r="32" spans="16:22">
      <c r="P32"/>
      <c r="Q32"/>
      <c r="R32"/>
      <c r="S32"/>
      <c r="T32"/>
      <c r="U32"/>
      <c r="V32"/>
    </row>
    <row r="33" spans="1:22">
      <c r="P33"/>
      <c r="Q33"/>
      <c r="R33"/>
      <c r="S33"/>
      <c r="T33"/>
      <c r="U33"/>
      <c r="V33"/>
    </row>
    <row r="34" spans="1:22">
      <c r="P34" t="s">
        <v>452</v>
      </c>
      <c r="Q34" t="s">
        <v>453</v>
      </c>
      <c r="R34" s="2">
        <v>0.1</v>
      </c>
      <c r="S34"/>
      <c r="T34"/>
      <c r="U34"/>
      <c r="V34"/>
    </row>
    <row r="35" spans="1:22">
      <c r="P35"/>
      <c r="Q35" t="s">
        <v>62</v>
      </c>
      <c r="R35" s="221">
        <f>+NPV(R34, Q30:Q31)</f>
        <v>104.13223140495866</v>
      </c>
      <c r="S35"/>
      <c r="T35"/>
      <c r="U35"/>
      <c r="V35"/>
    </row>
    <row r="36" spans="1:22">
      <c r="P36"/>
      <c r="Q36"/>
      <c r="R36"/>
      <c r="S36"/>
      <c r="T36"/>
      <c r="U36"/>
      <c r="V36"/>
    </row>
    <row r="37" spans="1:22">
      <c r="P37" t="s">
        <v>454</v>
      </c>
      <c r="Q37" s="2">
        <f>+R34</f>
        <v>0.1</v>
      </c>
      <c r="R37" t="s">
        <v>455</v>
      </c>
      <c r="S37"/>
      <c r="T37" t="s">
        <v>456</v>
      </c>
      <c r="U37"/>
      <c r="V37"/>
    </row>
    <row r="38" spans="1:22">
      <c r="P38" t="s">
        <v>457</v>
      </c>
      <c r="Q38"/>
      <c r="R38"/>
      <c r="S38"/>
      <c r="T38" t="s">
        <v>458</v>
      </c>
      <c r="U38"/>
      <c r="V38"/>
    </row>
    <row r="39" spans="1:22">
      <c r="P39" t="s">
        <v>459</v>
      </c>
      <c r="Q39" t="s">
        <v>453</v>
      </c>
      <c r="R39" s="2">
        <v>0.2</v>
      </c>
      <c r="S39"/>
      <c r="T39"/>
      <c r="U39"/>
      <c r="V39"/>
    </row>
    <row r="40" spans="1:22">
      <c r="P40"/>
      <c r="Q40" t="s">
        <v>62</v>
      </c>
      <c r="R40" s="221">
        <f>+NPV(R39, Q30:Q31)</f>
        <v>91.666666666666671</v>
      </c>
      <c r="S40"/>
      <c r="T40"/>
      <c r="U40"/>
      <c r="V40"/>
    </row>
    <row r="41" spans="1:22">
      <c r="P41"/>
      <c r="Q41"/>
      <c r="R41"/>
      <c r="S41"/>
      <c r="T41"/>
      <c r="U41"/>
      <c r="V41"/>
    </row>
    <row r="42" spans="1:22">
      <c r="P42" t="s">
        <v>460</v>
      </c>
      <c r="Q42"/>
      <c r="R42"/>
      <c r="S42"/>
      <c r="T42"/>
      <c r="U42"/>
      <c r="V42"/>
    </row>
    <row r="43" spans="1:22">
      <c r="P43"/>
      <c r="Q43"/>
      <c r="R43"/>
      <c r="S43"/>
      <c r="T43"/>
      <c r="U43"/>
      <c r="V43"/>
    </row>
    <row r="44" spans="1:22">
      <c r="P44" t="s">
        <v>461</v>
      </c>
      <c r="Q44" s="2">
        <f>+R39-R34</f>
        <v>0.1</v>
      </c>
      <c r="R44" t="s">
        <v>462</v>
      </c>
      <c r="S44" s="221">
        <f>+R35-R40</f>
        <v>12.465564738291988</v>
      </c>
      <c r="T44"/>
      <c r="U44"/>
      <c r="V44"/>
    </row>
    <row r="45" spans="1:22">
      <c r="P45" t="s">
        <v>463</v>
      </c>
      <c r="Q45" t="s">
        <v>464</v>
      </c>
      <c r="R45" t="s">
        <v>462</v>
      </c>
      <c r="S45" s="221">
        <f>+R35-Q29</f>
        <v>4.1322314049586595</v>
      </c>
      <c r="T45"/>
      <c r="U45"/>
      <c r="V45"/>
    </row>
    <row r="46" spans="1:22">
      <c r="A46" s="80" t="s">
        <v>383</v>
      </c>
      <c r="E46" s="300">
        <f>+YEARFRAC($F$46,F46,)</f>
        <v>0</v>
      </c>
      <c r="F46" s="309">
        <v>43831</v>
      </c>
      <c r="G46" s="307">
        <v>0</v>
      </c>
      <c r="J46" s="80">
        <v>-881.73497811208699</v>
      </c>
      <c r="K46" s="302">
        <f>+IRR(J46:J56)</f>
        <v>8.5026640133400555E-2</v>
      </c>
      <c r="L46" s="80">
        <f>+SUM(L47:L56)</f>
        <v>797.22928551174505</v>
      </c>
      <c r="M46" s="80">
        <f>+J46</f>
        <v>-881.73497811208699</v>
      </c>
      <c r="P46"/>
      <c r="Q46"/>
      <c r="R46"/>
      <c r="S46"/>
      <c r="T46"/>
      <c r="U46"/>
      <c r="V46"/>
    </row>
    <row r="47" spans="1:22">
      <c r="E47" s="300">
        <f t="shared" ref="E47:E56" si="0">+YEARFRAC($F$46,F47,)</f>
        <v>1</v>
      </c>
      <c r="F47" s="309">
        <v>44197</v>
      </c>
      <c r="G47" s="307">
        <v>1.0166666666666599</v>
      </c>
      <c r="I47" s="80">
        <v>1</v>
      </c>
      <c r="J47" s="80">
        <v>67</v>
      </c>
      <c r="L47" s="80">
        <f>+J47/(1+0.1)^I47</f>
        <v>60.909090909090907</v>
      </c>
      <c r="M47" s="301">
        <f>+J47/(1+0.1)^G47</f>
        <v>60.812413442205347</v>
      </c>
      <c r="P47" t="s">
        <v>101</v>
      </c>
      <c r="Q47" s="96">
        <f>+R34+(S45*Q44/S44)</f>
        <v>0.13314917127071815</v>
      </c>
      <c r="R47"/>
      <c r="S47"/>
      <c r="T47"/>
      <c r="U47"/>
      <c r="V47"/>
    </row>
    <row r="48" spans="1:22">
      <c r="E48" s="300">
        <f t="shared" si="0"/>
        <v>2</v>
      </c>
      <c r="F48" s="309">
        <v>44562</v>
      </c>
      <c r="G48" s="307">
        <v>2.0361111111111101</v>
      </c>
      <c r="H48" s="80">
        <v>1</v>
      </c>
      <c r="I48" s="80">
        <v>2</v>
      </c>
      <c r="J48" s="80">
        <v>67</v>
      </c>
      <c r="L48" s="80">
        <f t="shared" ref="L48:M56" si="1">+J48/(1+0.1)^I48</f>
        <v>55.371900826446272</v>
      </c>
      <c r="M48" s="301">
        <f t="shared" ref="M48:N56" si="2">+J48/(1+0.1)^G48</f>
        <v>55.181651810446304</v>
      </c>
      <c r="P48" s="1"/>
      <c r="Q48" s="1"/>
      <c r="R48" s="1"/>
      <c r="S48" s="1"/>
      <c r="T48" s="1"/>
      <c r="U48" s="1"/>
      <c r="V48"/>
    </row>
    <row r="49" spans="5:22">
      <c r="E49" s="300">
        <f t="shared" si="0"/>
        <v>3</v>
      </c>
      <c r="F49" s="309">
        <v>44927</v>
      </c>
      <c r="G49" s="307">
        <v>3.0472222222222198</v>
      </c>
      <c r="H49" s="80">
        <v>2</v>
      </c>
      <c r="I49" s="80">
        <v>3</v>
      </c>
      <c r="J49" s="80">
        <v>67</v>
      </c>
      <c r="L49" s="80">
        <f t="shared" si="1"/>
        <v>50.338091660405695</v>
      </c>
      <c r="M49" s="301">
        <f t="shared" si="2"/>
        <v>50.112041147926895</v>
      </c>
      <c r="P49" t="s">
        <v>14</v>
      </c>
      <c r="Q49">
        <v>100</v>
      </c>
      <c r="R49">
        <f>-Q49</f>
        <v>-100</v>
      </c>
      <c r="S49"/>
      <c r="T49" s="305">
        <f>+IRR(R49:R51)</f>
        <v>6.3941029804984284E-2</v>
      </c>
      <c r="U49"/>
      <c r="V49"/>
    </row>
    <row r="50" spans="5:22">
      <c r="E50" s="300">
        <f t="shared" si="0"/>
        <v>4</v>
      </c>
      <c r="F50" s="309">
        <v>45292</v>
      </c>
      <c r="G50" s="307">
        <v>4.05833333333333</v>
      </c>
      <c r="H50" s="80">
        <v>3</v>
      </c>
      <c r="I50" s="80">
        <v>4</v>
      </c>
      <c r="J50" s="80">
        <v>67</v>
      </c>
      <c r="L50" s="80">
        <f t="shared" si="1"/>
        <v>45.761901509459726</v>
      </c>
      <c r="M50" s="301">
        <f t="shared" si="2"/>
        <v>45.508182260251331</v>
      </c>
      <c r="P50" t="s">
        <v>450</v>
      </c>
      <c r="Q50">
        <v>50</v>
      </c>
      <c r="R50">
        <f>+Q50</f>
        <v>50</v>
      </c>
      <c r="S50"/>
      <c r="T50"/>
      <c r="U50"/>
      <c r="V50"/>
    </row>
    <row r="51" spans="5:22">
      <c r="E51" s="300">
        <f t="shared" si="0"/>
        <v>5</v>
      </c>
      <c r="F51" s="309">
        <v>45658</v>
      </c>
      <c r="G51" s="307">
        <v>5.0750000000000002</v>
      </c>
      <c r="H51" s="80">
        <v>4</v>
      </c>
      <c r="I51" s="80">
        <v>5</v>
      </c>
      <c r="J51" s="80">
        <v>67</v>
      </c>
      <c r="L51" s="80">
        <f t="shared" si="1"/>
        <v>41.60172864496338</v>
      </c>
      <c r="M51" s="301">
        <f t="shared" si="2"/>
        <v>41.305408874830398</v>
      </c>
      <c r="P51" t="s">
        <v>451</v>
      </c>
      <c r="Q51">
        <v>60</v>
      </c>
      <c r="R51">
        <f>+Q51</f>
        <v>60</v>
      </c>
      <c r="S51"/>
      <c r="T51"/>
      <c r="U51"/>
      <c r="V51"/>
    </row>
    <row r="52" spans="5:22">
      <c r="E52" s="300">
        <f t="shared" si="0"/>
        <v>6</v>
      </c>
      <c r="F52" s="309">
        <v>46023</v>
      </c>
      <c r="G52" s="307">
        <v>6.0888888888888797</v>
      </c>
      <c r="H52" s="80">
        <v>5</v>
      </c>
      <c r="I52" s="80">
        <v>6</v>
      </c>
      <c r="J52" s="80">
        <v>67</v>
      </c>
      <c r="L52" s="80">
        <f t="shared" si="1"/>
        <v>37.819753313603073</v>
      </c>
      <c r="M52" s="301">
        <f t="shared" si="2"/>
        <v>37.500697191707644</v>
      </c>
      <c r="P52"/>
      <c r="Q52"/>
      <c r="R52"/>
      <c r="S52"/>
      <c r="T52"/>
      <c r="U52"/>
      <c r="V52"/>
    </row>
    <row r="53" spans="5:22">
      <c r="E53" s="300">
        <f t="shared" si="0"/>
        <v>7</v>
      </c>
      <c r="F53" s="309">
        <v>46388</v>
      </c>
      <c r="G53" s="307">
        <v>7.1027777777777699</v>
      </c>
      <c r="H53" s="80">
        <v>6</v>
      </c>
      <c r="I53" s="80">
        <v>7</v>
      </c>
      <c r="J53" s="80">
        <v>67</v>
      </c>
      <c r="L53" s="80">
        <f t="shared" si="1"/>
        <v>34.381593921457331</v>
      </c>
      <c r="M53" s="301">
        <f t="shared" si="2"/>
        <v>34.046443992982326</v>
      </c>
      <c r="P53"/>
      <c r="Q53"/>
      <c r="R53"/>
      <c r="S53"/>
      <c r="T53"/>
      <c r="U53"/>
      <c r="V53"/>
    </row>
    <row r="54" spans="5:22">
      <c r="E54" s="300">
        <f t="shared" si="0"/>
        <v>8</v>
      </c>
      <c r="F54" s="309">
        <v>46753</v>
      </c>
      <c r="G54" s="307">
        <v>8.12222222222222</v>
      </c>
      <c r="H54" s="80">
        <v>7</v>
      </c>
      <c r="I54" s="80">
        <v>8</v>
      </c>
      <c r="J54" s="80">
        <v>67</v>
      </c>
      <c r="L54" s="80">
        <f t="shared" si="1"/>
        <v>31.255994474052123</v>
      </c>
      <c r="M54" s="301">
        <f t="shared" si="2"/>
        <v>30.894005211454409</v>
      </c>
      <c r="P54" t="s">
        <v>452</v>
      </c>
      <c r="Q54" t="s">
        <v>453</v>
      </c>
      <c r="R54" s="2">
        <v>0.1</v>
      </c>
      <c r="S54"/>
      <c r="T54"/>
      <c r="U54"/>
      <c r="V54"/>
    </row>
    <row r="55" spans="5:22">
      <c r="E55" s="300">
        <f t="shared" si="0"/>
        <v>9</v>
      </c>
      <c r="F55" s="309">
        <v>47119</v>
      </c>
      <c r="G55" s="307">
        <v>9.1333333333333293</v>
      </c>
      <c r="H55" s="80">
        <v>8</v>
      </c>
      <c r="I55" s="80">
        <v>9</v>
      </c>
      <c r="J55" s="80">
        <v>67</v>
      </c>
      <c r="L55" s="80">
        <f t="shared" si="1"/>
        <v>28.414540430956471</v>
      </c>
      <c r="M55" s="301">
        <f t="shared" si="2"/>
        <v>28.05573246880574</v>
      </c>
      <c r="P55"/>
      <c r="Q55" t="s">
        <v>62</v>
      </c>
      <c r="R55" s="308">
        <f>+M59</f>
        <v>789.05925770752492</v>
      </c>
      <c r="S55"/>
      <c r="T55"/>
      <c r="U55"/>
      <c r="V55"/>
    </row>
    <row r="56" spans="5:22">
      <c r="E56" s="300">
        <f t="shared" si="0"/>
        <v>10</v>
      </c>
      <c r="F56" s="309">
        <v>47484</v>
      </c>
      <c r="G56" s="307">
        <v>10.147222222222201</v>
      </c>
      <c r="H56" s="80">
        <v>9</v>
      </c>
      <c r="I56" s="80">
        <v>10</v>
      </c>
      <c r="J56" s="80">
        <v>1067</v>
      </c>
      <c r="L56" s="80">
        <f t="shared" si="1"/>
        <v>411.37468982131008</v>
      </c>
      <c r="M56" s="301">
        <f t="shared" si="2"/>
        <v>405.64268130691448</v>
      </c>
      <c r="N56" s="301">
        <f>+J56/(1+0.1)^G56</f>
        <v>405.64268130691448</v>
      </c>
      <c r="P56"/>
      <c r="Q56"/>
      <c r="R56"/>
      <c r="S56"/>
      <c r="T56"/>
      <c r="U56"/>
      <c r="V56"/>
    </row>
    <row r="57" spans="5:22">
      <c r="H57" s="80">
        <v>10</v>
      </c>
      <c r="P57" t="s">
        <v>454</v>
      </c>
      <c r="Q57" s="2">
        <f>+R54</f>
        <v>0.1</v>
      </c>
      <c r="R57" t="s">
        <v>455</v>
      </c>
      <c r="S57"/>
      <c r="T57" t="s">
        <v>456</v>
      </c>
      <c r="U57"/>
      <c r="V57"/>
    </row>
    <row r="58" spans="5:22">
      <c r="P58" t="s">
        <v>457</v>
      </c>
      <c r="Q58"/>
      <c r="R58"/>
      <c r="S58"/>
      <c r="T58" t="s">
        <v>458</v>
      </c>
      <c r="U58"/>
      <c r="V58"/>
    </row>
    <row r="59" spans="5:22">
      <c r="G59" s="306">
        <f>+XIRR(J46:J56, F46:F56)</f>
        <v>8.4950819611549377E-2</v>
      </c>
      <c r="M59" s="80">
        <f>+SUM(M46:M56)-J46</f>
        <v>789.05925770752492</v>
      </c>
      <c r="P59" t="s">
        <v>459</v>
      </c>
      <c r="Q59" t="s">
        <v>453</v>
      </c>
      <c r="R59" s="301">
        <v>0.1</v>
      </c>
      <c r="S59"/>
      <c r="T59"/>
      <c r="U59"/>
      <c r="V59"/>
    </row>
    <row r="60" spans="5:22">
      <c r="G60" s="310">
        <f>+XNPV(G59, J47:J56, F47:F56)/(1+G59)</f>
        <v>881.93197708082653</v>
      </c>
      <c r="P60"/>
      <c r="Q60" t="s">
        <v>62</v>
      </c>
      <c r="R60" s="221">
        <f>+NPV(R59, L47:L56)</f>
        <v>420.26685146405936</v>
      </c>
      <c r="S60"/>
      <c r="T60"/>
      <c r="U60"/>
      <c r="V60"/>
    </row>
    <row r="61" spans="5:22">
      <c r="P61"/>
      <c r="Q61"/>
      <c r="R61"/>
      <c r="S61"/>
      <c r="T61"/>
      <c r="U61"/>
      <c r="V61"/>
    </row>
    <row r="62" spans="5:22">
      <c r="P62" t="s">
        <v>460</v>
      </c>
      <c r="Q62"/>
      <c r="R62"/>
      <c r="S62"/>
      <c r="T62"/>
      <c r="U62"/>
      <c r="V62"/>
    </row>
    <row r="63" spans="5:22">
      <c r="P63"/>
      <c r="Q63"/>
      <c r="R63"/>
      <c r="S63"/>
      <c r="T63"/>
      <c r="U63"/>
      <c r="V63"/>
    </row>
    <row r="64" spans="5:22">
      <c r="P64" t="s">
        <v>461</v>
      </c>
      <c r="Q64" s="2">
        <f>+R59-R54</f>
        <v>0</v>
      </c>
      <c r="R64" t="s">
        <v>462</v>
      </c>
      <c r="S64" s="221">
        <f>+R55-R60</f>
        <v>368.79240624346556</v>
      </c>
      <c r="T64"/>
      <c r="U64"/>
      <c r="V64"/>
    </row>
    <row r="65" spans="2:28">
      <c r="P65" t="s">
        <v>463</v>
      </c>
      <c r="Q65" t="s">
        <v>464</v>
      </c>
      <c r="R65" t="s">
        <v>462</v>
      </c>
      <c r="S65" s="221">
        <f>+R55-Q49</f>
        <v>689.05925770752492</v>
      </c>
      <c r="T65"/>
      <c r="U65"/>
      <c r="V65"/>
    </row>
    <row r="66" spans="2:28">
      <c r="P66"/>
      <c r="Q66"/>
      <c r="R66"/>
      <c r="S66"/>
      <c r="T66"/>
      <c r="U66"/>
      <c r="V66"/>
    </row>
    <row r="67" spans="2:28">
      <c r="P67" t="s">
        <v>101</v>
      </c>
      <c r="Q67" s="96">
        <f>+R54+(S65*Q64/S64)</f>
        <v>0.1</v>
      </c>
      <c r="R67"/>
      <c r="S67"/>
      <c r="T67"/>
      <c r="U67"/>
      <c r="V67"/>
    </row>
    <row r="73" spans="2:28">
      <c r="J73" s="282" t="s">
        <v>357</v>
      </c>
      <c r="K73" s="282"/>
      <c r="L73" s="282"/>
      <c r="M73" s="282"/>
      <c r="N73" s="283" t="s">
        <v>358</v>
      </c>
      <c r="O73" s="283"/>
      <c r="P73" s="283"/>
      <c r="Q73" s="283"/>
      <c r="R73" s="284" t="s">
        <v>305</v>
      </c>
      <c r="S73" s="284"/>
      <c r="T73" s="284"/>
      <c r="U73" s="284"/>
      <c r="V73" s="285" t="s">
        <v>403</v>
      </c>
      <c r="W73" s="285"/>
      <c r="X73" s="285"/>
      <c r="Y73" s="285"/>
      <c r="Z73" s="285"/>
      <c r="AA73" s="285"/>
    </row>
    <row r="74" spans="2:28" ht="51">
      <c r="B74" s="286" t="s">
        <v>404</v>
      </c>
      <c r="C74" s="286"/>
      <c r="D74" s="286"/>
      <c r="E74" s="286"/>
      <c r="F74" s="286"/>
      <c r="G74" s="286">
        <v>1000</v>
      </c>
      <c r="H74" s="287"/>
      <c r="I74" s="288" t="s">
        <v>405</v>
      </c>
      <c r="J74" s="289" t="s">
        <v>406</v>
      </c>
      <c r="K74" s="289" t="s">
        <v>407</v>
      </c>
      <c r="L74" s="289" t="s">
        <v>408</v>
      </c>
      <c r="M74" s="289" t="s">
        <v>409</v>
      </c>
      <c r="N74" s="290" t="s">
        <v>406</v>
      </c>
      <c r="O74" s="290" t="s">
        <v>407</v>
      </c>
      <c r="P74" s="290" t="s">
        <v>408</v>
      </c>
      <c r="Q74" s="290" t="s">
        <v>409</v>
      </c>
      <c r="R74" s="291" t="s">
        <v>406</v>
      </c>
      <c r="S74" s="291" t="s">
        <v>407</v>
      </c>
      <c r="T74" s="291" t="s">
        <v>408</v>
      </c>
      <c r="U74" s="291" t="s">
        <v>409</v>
      </c>
      <c r="V74" s="292" t="s">
        <v>410</v>
      </c>
      <c r="W74" s="292" t="s">
        <v>411</v>
      </c>
      <c r="X74" s="292" t="s">
        <v>412</v>
      </c>
      <c r="Y74" s="292" t="s">
        <v>407</v>
      </c>
      <c r="Z74" s="292" t="s">
        <v>408</v>
      </c>
      <c r="AA74" s="292" t="s">
        <v>409</v>
      </c>
    </row>
    <row r="75" spans="2:28">
      <c r="B75" s="80" t="s">
        <v>413</v>
      </c>
      <c r="C75" s="80">
        <v>10</v>
      </c>
      <c r="D75" s="80" t="s">
        <v>414</v>
      </c>
      <c r="G75" s="80">
        <v>0.08</v>
      </c>
      <c r="I75" s="80">
        <v>0</v>
      </c>
      <c r="J75" s="293">
        <f>+NPV(E83,J76:J85)</f>
        <v>881.73497811208688</v>
      </c>
      <c r="K75" s="293">
        <f>+SUM(K76:K106)</f>
        <v>7.3850063432956432</v>
      </c>
      <c r="L75" s="293">
        <f t="shared" ref="L75:M75" si="3">+SUM(L76:L106)</f>
        <v>970.59968521595908</v>
      </c>
      <c r="M75" s="293">
        <f t="shared" si="3"/>
        <v>1000</v>
      </c>
      <c r="N75" s="241">
        <f>+NPV(E83,N76:N90)</f>
        <v>1599.1635081548452</v>
      </c>
      <c r="O75" s="241">
        <f>+SUM(O76:O106)</f>
        <v>8.2514370157175261</v>
      </c>
      <c r="P75" s="241">
        <f t="shared" ref="P75:Q75" si="4">+SUM(P76:P106)</f>
        <v>2172.9843698864761</v>
      </c>
      <c r="Q75" s="241">
        <f t="shared" si="4"/>
        <v>1279.4897025954658</v>
      </c>
      <c r="R75" s="242">
        <f>+NPV(E83,R76:R105)</f>
        <v>763.58654979432231</v>
      </c>
      <c r="S75" s="242">
        <f>+SUM(S76:S106)</f>
        <v>12.767931715477172</v>
      </c>
      <c r="T75" s="242">
        <f t="shared" ref="T75:U75" si="5">+SUM(T76:T106)</f>
        <v>854.70718548868047</v>
      </c>
      <c r="U75" s="242">
        <f t="shared" si="5"/>
        <v>793.81890444356452</v>
      </c>
      <c r="V75" s="244">
        <f>+NPV(0.08, V76:V90)</f>
        <v>612.84</v>
      </c>
      <c r="W75" s="244">
        <f>+NPV(0.08, W76:W105)</f>
        <v>387.1599999999998</v>
      </c>
      <c r="X75" s="244">
        <f>+W75+V75</f>
        <v>999.99999999999977</v>
      </c>
      <c r="Y75" s="244">
        <f>+SUM(Y76:Y105)</f>
        <v>10.000043103676472</v>
      </c>
      <c r="Z75" s="244">
        <f>+SUM(Z76:Z105)</f>
        <v>1266.1034445006298</v>
      </c>
      <c r="AA75" s="244">
        <f>+SUM(AA76:AA105)</f>
        <v>892.82155277215804</v>
      </c>
      <c r="AB75" s="80">
        <f>+AA75+Z75</f>
        <v>2158.924997272788</v>
      </c>
    </row>
    <row r="76" spans="2:28">
      <c r="I76" s="80">
        <v>1</v>
      </c>
      <c r="J76" s="243">
        <f>$C$88*$C$86</f>
        <v>67</v>
      </c>
      <c r="K76" s="243">
        <f>+I76*J76/((1+$E$83)^I76)/$J$75</f>
        <v>7.0357917715668558E-2</v>
      </c>
      <c r="L76" s="243">
        <f>+J76*(1+0.08)^I76</f>
        <v>72.36</v>
      </c>
      <c r="M76" s="243"/>
      <c r="N76" s="241">
        <f>+$D$88*$D$86</f>
        <v>150</v>
      </c>
      <c r="O76" s="241">
        <f>+I76*N76/((1+$E$83)^I76)/$N$75</f>
        <v>8.6850961881404079E-2</v>
      </c>
      <c r="P76" s="241">
        <f>+N76*(1+0.08)^(10-I76)</f>
        <v>299.85069406566498</v>
      </c>
      <c r="Q76" s="241"/>
      <c r="R76" s="242">
        <f>$E$88*$E$86</f>
        <v>59</v>
      </c>
      <c r="S76" s="242">
        <f>+I76*R76/((1+$E$83)^I76)/$R$75</f>
        <v>7.1543467658439663E-2</v>
      </c>
      <c r="T76" s="242">
        <f>+R76*(1+0.08)^(10-I76)</f>
        <v>117.94127299916155</v>
      </c>
      <c r="U76" s="242"/>
      <c r="V76" s="244">
        <f>+$G$87*$D$86</f>
        <v>57.483802957751656</v>
      </c>
      <c r="W76" s="244">
        <f>$H$87*$E$86</f>
        <v>29.914670453732814</v>
      </c>
      <c r="X76" s="244">
        <f>+W76+V76</f>
        <v>87.398473411484474</v>
      </c>
      <c r="Y76" s="244">
        <f>+X76*I76/$X$75/((1+$E$83)^I76)</f>
        <v>8.0924512418041189E-2</v>
      </c>
      <c r="Z76" s="244">
        <f>+X76*(1+$E$83)^(10-I76)</f>
        <v>174.70995275142124</v>
      </c>
      <c r="AA76" s="244"/>
    </row>
    <row r="77" spans="2:28">
      <c r="I77" s="80">
        <v>2</v>
      </c>
      <c r="J77" s="243">
        <f t="shared" ref="J77:J84" si="6">$C$88*$C$86</f>
        <v>67</v>
      </c>
      <c r="K77" s="243">
        <f t="shared" ref="K77:K85" si="7">+I77*J77/((1+$E$83)^I77)/$J$75</f>
        <v>0.13029244021420103</v>
      </c>
      <c r="L77" s="243">
        <f t="shared" ref="L77:L84" si="8">+J77*(1+0.08)^I77</f>
        <v>78.148800000000008</v>
      </c>
      <c r="M77" s="243"/>
      <c r="N77" s="241">
        <f t="shared" ref="N77:N89" si="9">+$D$88*$D$86</f>
        <v>150</v>
      </c>
      <c r="O77" s="241">
        <f t="shared" ref="O77:O90" si="10">+I77*N77/((1+$E$83)^I77)/$N$75</f>
        <v>0.16083511459519273</v>
      </c>
      <c r="P77" s="241">
        <f t="shared" ref="P77:P84" si="11">+N77*(1+0.08)^(10-I77)</f>
        <v>277.63953154228233</v>
      </c>
      <c r="Q77" s="241"/>
      <c r="R77" s="242">
        <f t="shared" ref="R77:R104" si="12">$E$88*$E$86</f>
        <v>59</v>
      </c>
      <c r="S77" s="242">
        <f t="shared" ref="S77:S105" si="13">+I77*R77/((1+$E$83)^I77)/$R$75</f>
        <v>0.13248790307118458</v>
      </c>
      <c r="T77" s="242">
        <f t="shared" ref="T77:T84" si="14">+R77*(1+0.08)^(10-I77)</f>
        <v>109.20488240663106</v>
      </c>
      <c r="U77" s="242"/>
      <c r="V77" s="244">
        <f t="shared" ref="V77:V89" si="15">+$G$87*$D$86</f>
        <v>57.483802957751656</v>
      </c>
      <c r="W77" s="244">
        <f t="shared" ref="W77:W104" si="16">$H$87*$E$86</f>
        <v>29.914670453732814</v>
      </c>
      <c r="X77" s="244">
        <f t="shared" ref="X77:X105" si="17">+W77+V77</f>
        <v>87.398473411484474</v>
      </c>
      <c r="Y77" s="244">
        <f t="shared" ref="Y77:Y105" si="18">+X77*I77/$X$75/((1+$E$83)^I77)</f>
        <v>0.14986020818155776</v>
      </c>
      <c r="Z77" s="244">
        <f t="shared" ref="Z77:Z85" si="19">+X77*(1+$E$83)^(10-I77)</f>
        <v>161.76847476983446</v>
      </c>
      <c r="AA77" s="244"/>
    </row>
    <row r="78" spans="2:28">
      <c r="B78" s="80" t="s">
        <v>415</v>
      </c>
      <c r="E78" s="245"/>
      <c r="I78" s="80">
        <v>3</v>
      </c>
      <c r="J78" s="243">
        <f t="shared" si="6"/>
        <v>67</v>
      </c>
      <c r="K78" s="243">
        <f t="shared" si="7"/>
        <v>0.18096172251972364</v>
      </c>
      <c r="L78" s="243">
        <f t="shared" si="8"/>
        <v>84.400704000000005</v>
      </c>
      <c r="M78" s="243"/>
      <c r="N78" s="241">
        <f t="shared" si="9"/>
        <v>150</v>
      </c>
      <c r="O78" s="241">
        <f t="shared" si="10"/>
        <v>0.22338210360443436</v>
      </c>
      <c r="P78" s="241">
        <f t="shared" si="11"/>
        <v>257.07364031692811</v>
      </c>
      <c r="Q78" s="241"/>
      <c r="R78" s="242">
        <f t="shared" si="12"/>
        <v>59</v>
      </c>
      <c r="S78" s="242">
        <f t="shared" si="13"/>
        <v>0.18401097648775633</v>
      </c>
      <c r="T78" s="242">
        <f t="shared" si="14"/>
        <v>101.11563185799172</v>
      </c>
      <c r="U78" s="242"/>
      <c r="V78" s="244">
        <f t="shared" si="15"/>
        <v>57.483802957751656</v>
      </c>
      <c r="W78" s="244">
        <f t="shared" si="16"/>
        <v>29.914670453732814</v>
      </c>
      <c r="X78" s="244">
        <f t="shared" si="17"/>
        <v>87.398473411484474</v>
      </c>
      <c r="Y78" s="244">
        <f t="shared" si="18"/>
        <v>0.20813917802994131</v>
      </c>
      <c r="Z78" s="244">
        <f t="shared" si="19"/>
        <v>149.78562478688374</v>
      </c>
      <c r="AA78" s="244"/>
    </row>
    <row r="79" spans="2:28">
      <c r="I79" s="80">
        <v>4</v>
      </c>
      <c r="J79" s="243">
        <f t="shared" si="6"/>
        <v>67</v>
      </c>
      <c r="K79" s="243">
        <f t="shared" si="7"/>
        <v>0.22340953397496749</v>
      </c>
      <c r="L79" s="243">
        <f t="shared" si="8"/>
        <v>91.152760320000027</v>
      </c>
      <c r="M79" s="243"/>
      <c r="N79" s="241">
        <f t="shared" si="9"/>
        <v>150</v>
      </c>
      <c r="O79" s="241">
        <f t="shared" si="10"/>
        <v>0.27578037482028928</v>
      </c>
      <c r="P79" s="241">
        <f t="shared" si="11"/>
        <v>238.0311484416001</v>
      </c>
      <c r="Q79" s="241"/>
      <c r="R79" s="242">
        <f t="shared" si="12"/>
        <v>59</v>
      </c>
      <c r="S79" s="242">
        <f t="shared" si="13"/>
        <v>0.2271740450466127</v>
      </c>
      <c r="T79" s="242">
        <f t="shared" si="14"/>
        <v>93.625585053696028</v>
      </c>
      <c r="U79" s="242"/>
      <c r="V79" s="244">
        <f t="shared" si="15"/>
        <v>57.483802957751656</v>
      </c>
      <c r="W79" s="244">
        <f t="shared" si="16"/>
        <v>29.914670453732814</v>
      </c>
      <c r="X79" s="244">
        <f t="shared" si="17"/>
        <v>87.398473411484474</v>
      </c>
      <c r="Y79" s="244">
        <f t="shared" si="18"/>
        <v>0.2569619481851127</v>
      </c>
      <c r="Z79" s="244">
        <f t="shared" si="19"/>
        <v>138.69039332118865</v>
      </c>
      <c r="AA79" s="244"/>
    </row>
    <row r="80" spans="2:28">
      <c r="I80" s="80">
        <v>5</v>
      </c>
      <c r="J80" s="243">
        <f t="shared" si="6"/>
        <v>67</v>
      </c>
      <c r="K80" s="243">
        <f t="shared" si="7"/>
        <v>0.25857584950806423</v>
      </c>
      <c r="L80" s="243">
        <f t="shared" si="8"/>
        <v>98.444981145600025</v>
      </c>
      <c r="M80" s="243"/>
      <c r="N80" s="241">
        <f t="shared" si="9"/>
        <v>150</v>
      </c>
      <c r="O80" s="241">
        <f t="shared" si="10"/>
        <v>0.31919024863459411</v>
      </c>
      <c r="P80" s="241">
        <f t="shared" si="11"/>
        <v>220.39921152000005</v>
      </c>
      <c r="Q80" s="241"/>
      <c r="R80" s="242">
        <f t="shared" si="12"/>
        <v>59</v>
      </c>
      <c r="S80" s="242">
        <f t="shared" si="13"/>
        <v>0.26293292250765365</v>
      </c>
      <c r="T80" s="242">
        <f t="shared" si="14"/>
        <v>86.690356531200024</v>
      </c>
      <c r="U80" s="242"/>
      <c r="V80" s="244">
        <f t="shared" si="15"/>
        <v>57.483802957751656</v>
      </c>
      <c r="W80" s="244">
        <f t="shared" si="16"/>
        <v>29.914670453732814</v>
      </c>
      <c r="X80" s="244">
        <f t="shared" si="17"/>
        <v>87.398473411484474</v>
      </c>
      <c r="Y80" s="244">
        <f t="shared" si="18"/>
        <v>0.29740966225128784</v>
      </c>
      <c r="Z80" s="244">
        <f t="shared" si="19"/>
        <v>128.41703085295245</v>
      </c>
      <c r="AA80" s="244"/>
    </row>
    <row r="81" spans="2:27">
      <c r="B81" s="80" t="s">
        <v>416</v>
      </c>
      <c r="C81" s="80">
        <f>7%*1000</f>
        <v>70</v>
      </c>
      <c r="I81" s="80">
        <v>6</v>
      </c>
      <c r="J81" s="243">
        <f t="shared" si="6"/>
        <v>67</v>
      </c>
      <c r="K81" s="243">
        <f t="shared" si="7"/>
        <v>0.28730649945340464</v>
      </c>
      <c r="L81" s="243">
        <f t="shared" si="8"/>
        <v>106.32057963724803</v>
      </c>
      <c r="M81" s="243"/>
      <c r="N81" s="241">
        <f t="shared" si="9"/>
        <v>150</v>
      </c>
      <c r="O81" s="241">
        <f t="shared" si="10"/>
        <v>0.35465583181621557</v>
      </c>
      <c r="P81" s="241">
        <f t="shared" si="11"/>
        <v>204.07334400000005</v>
      </c>
      <c r="Q81" s="241"/>
      <c r="R81" s="242">
        <f t="shared" si="12"/>
        <v>59</v>
      </c>
      <c r="S81" s="242">
        <f t="shared" si="13"/>
        <v>0.29214769167517063</v>
      </c>
      <c r="T81" s="242">
        <f t="shared" si="14"/>
        <v>80.268848640000016</v>
      </c>
      <c r="U81" s="242"/>
      <c r="V81" s="244">
        <f t="shared" si="15"/>
        <v>57.483802957751656</v>
      </c>
      <c r="W81" s="244">
        <f t="shared" si="16"/>
        <v>29.914670453732814</v>
      </c>
      <c r="X81" s="244">
        <f t="shared" si="17"/>
        <v>87.398473411484474</v>
      </c>
      <c r="Y81" s="244">
        <f t="shared" si="18"/>
        <v>0.33045518027920867</v>
      </c>
      <c r="Z81" s="244">
        <f t="shared" si="19"/>
        <v>118.90465819717819</v>
      </c>
      <c r="AA81" s="244"/>
    </row>
    <row r="82" spans="2:27">
      <c r="D82" s="80" t="s">
        <v>417</v>
      </c>
      <c r="E82" s="80">
        <v>0.08</v>
      </c>
      <c r="I82" s="80">
        <v>7</v>
      </c>
      <c r="J82" s="243">
        <f t="shared" si="6"/>
        <v>67</v>
      </c>
      <c r="K82" s="243">
        <f t="shared" si="7"/>
        <v>0.31036195928608523</v>
      </c>
      <c r="L82" s="243">
        <f t="shared" si="8"/>
        <v>114.82622600822788</v>
      </c>
      <c r="M82" s="243"/>
      <c r="N82" s="241">
        <f t="shared" si="9"/>
        <v>150</v>
      </c>
      <c r="O82" s="241">
        <f t="shared" si="10"/>
        <v>0.38311586770270201</v>
      </c>
      <c r="P82" s="241">
        <f t="shared" si="11"/>
        <v>188.95680000000002</v>
      </c>
      <c r="Q82" s="241"/>
      <c r="R82" s="242">
        <f t="shared" si="12"/>
        <v>59</v>
      </c>
      <c r="S82" s="242">
        <f t="shared" si="13"/>
        <v>0.31559164224169667</v>
      </c>
      <c r="T82" s="242">
        <f t="shared" si="14"/>
        <v>74.323008000000016</v>
      </c>
      <c r="U82" s="242"/>
      <c r="V82" s="244">
        <f t="shared" si="15"/>
        <v>57.483802957751656</v>
      </c>
      <c r="W82" s="244">
        <f t="shared" si="16"/>
        <v>29.914670453732814</v>
      </c>
      <c r="X82" s="244">
        <f t="shared" si="17"/>
        <v>87.398473411484474</v>
      </c>
      <c r="Y82" s="244">
        <f t="shared" si="18"/>
        <v>0.3569731885732193</v>
      </c>
      <c r="Z82" s="244">
        <f t="shared" si="19"/>
        <v>110.09690573812794</v>
      </c>
      <c r="AA82" s="244"/>
    </row>
    <row r="83" spans="2:27">
      <c r="C83" s="80">
        <f>+C88*C86</f>
        <v>67</v>
      </c>
      <c r="D83" s="80" t="s">
        <v>418</v>
      </c>
      <c r="E83" s="80">
        <v>0.08</v>
      </c>
      <c r="G83" s="294" t="s">
        <v>356</v>
      </c>
      <c r="H83" s="294"/>
      <c r="I83" s="80">
        <v>8</v>
      </c>
      <c r="J83" s="243">
        <f t="shared" si="6"/>
        <v>67</v>
      </c>
      <c r="K83" s="243">
        <f t="shared" si="7"/>
        <v>0.32842535374188914</v>
      </c>
      <c r="L83" s="243">
        <f t="shared" si="8"/>
        <v>124.01232408888612</v>
      </c>
      <c r="M83" s="243"/>
      <c r="N83" s="241">
        <f t="shared" si="9"/>
        <v>150</v>
      </c>
      <c r="O83" s="241">
        <f t="shared" si="10"/>
        <v>0.4054136166166159</v>
      </c>
      <c r="P83" s="241">
        <f t="shared" si="11"/>
        <v>174.96</v>
      </c>
      <c r="Q83" s="241"/>
      <c r="R83" s="242">
        <f t="shared" si="12"/>
        <v>59</v>
      </c>
      <c r="S83" s="242">
        <f t="shared" si="13"/>
        <v>0.33395940977957322</v>
      </c>
      <c r="T83" s="242">
        <f t="shared" si="14"/>
        <v>68.817600000000013</v>
      </c>
      <c r="U83" s="242"/>
      <c r="V83" s="244">
        <f t="shared" si="15"/>
        <v>57.483802957751656</v>
      </c>
      <c r="W83" s="244">
        <f t="shared" si="16"/>
        <v>29.914670453732814</v>
      </c>
      <c r="X83" s="244">
        <f t="shared" si="17"/>
        <v>87.398473411484474</v>
      </c>
      <c r="Y83" s="244">
        <f t="shared" si="18"/>
        <v>0.37774940589758649</v>
      </c>
      <c r="Z83" s="244">
        <f t="shared" si="19"/>
        <v>101.9415793871555</v>
      </c>
      <c r="AA83" s="244"/>
    </row>
    <row r="84" spans="2:27">
      <c r="G84" s="295" t="s">
        <v>419</v>
      </c>
      <c r="H84" s="295" t="s">
        <v>420</v>
      </c>
      <c r="I84" s="80">
        <v>9</v>
      </c>
      <c r="J84" s="243">
        <f t="shared" si="6"/>
        <v>67</v>
      </c>
      <c r="K84" s="243">
        <f t="shared" si="7"/>
        <v>0.34210974348113454</v>
      </c>
      <c r="L84" s="243">
        <f t="shared" si="8"/>
        <v>133.93331001599702</v>
      </c>
      <c r="M84" s="243"/>
      <c r="N84" s="241">
        <f t="shared" si="9"/>
        <v>150</v>
      </c>
      <c r="O84" s="241">
        <f t="shared" si="10"/>
        <v>0.42230585064230819</v>
      </c>
      <c r="P84" s="241">
        <f t="shared" si="11"/>
        <v>162</v>
      </c>
      <c r="Q84" s="241"/>
      <c r="R84" s="242">
        <f t="shared" si="12"/>
        <v>59</v>
      </c>
      <c r="S84" s="242">
        <f t="shared" si="13"/>
        <v>0.34787438518705538</v>
      </c>
      <c r="T84" s="242">
        <f t="shared" si="14"/>
        <v>63.720000000000006</v>
      </c>
      <c r="U84" s="242"/>
      <c r="V84" s="244">
        <f t="shared" si="15"/>
        <v>57.483802957751656</v>
      </c>
      <c r="W84" s="244">
        <f t="shared" si="16"/>
        <v>29.914670453732814</v>
      </c>
      <c r="X84" s="244">
        <f t="shared" si="17"/>
        <v>87.398473411484474</v>
      </c>
      <c r="Y84" s="244">
        <f t="shared" si="18"/>
        <v>0.3934889644766526</v>
      </c>
      <c r="Z84" s="244">
        <f t="shared" si="19"/>
        <v>94.390351284403238</v>
      </c>
      <c r="AA84" s="244"/>
    </row>
    <row r="85" spans="2:27">
      <c r="B85" s="296"/>
      <c r="C85" s="296" t="s">
        <v>357</v>
      </c>
      <c r="D85" s="296" t="s">
        <v>358</v>
      </c>
      <c r="E85" s="296" t="s">
        <v>305</v>
      </c>
      <c r="G85" s="80">
        <v>0.61284000000000005</v>
      </c>
      <c r="H85" s="80">
        <f>1-G85</f>
        <v>0.38715999999999995</v>
      </c>
      <c r="I85" s="297">
        <v>10</v>
      </c>
      <c r="J85" s="246">
        <f>$C$88*$C$15+$C$88</f>
        <v>1000</v>
      </c>
      <c r="K85" s="243">
        <f t="shared" si="7"/>
        <v>5.2532053234005049</v>
      </c>
      <c r="L85" s="246">
        <v>67</v>
      </c>
      <c r="M85" s="246">
        <v>1000</v>
      </c>
      <c r="N85" s="241">
        <f t="shared" si="9"/>
        <v>150</v>
      </c>
      <c r="O85" s="241">
        <f t="shared" si="10"/>
        <v>0.43447103975546109</v>
      </c>
      <c r="P85" s="246">
        <v>150</v>
      </c>
      <c r="Q85" s="246"/>
      <c r="R85" s="242">
        <f t="shared" si="12"/>
        <v>59</v>
      </c>
      <c r="S85" s="242">
        <f t="shared" si="13"/>
        <v>0.35789545801137385</v>
      </c>
      <c r="T85" s="246">
        <v>59</v>
      </c>
      <c r="U85" s="246"/>
      <c r="V85" s="244">
        <f t="shared" si="15"/>
        <v>57.483802957751656</v>
      </c>
      <c r="W85" s="244">
        <f t="shared" si="16"/>
        <v>29.914670453732814</v>
      </c>
      <c r="X85" s="244">
        <f t="shared" si="17"/>
        <v>87.398473411484474</v>
      </c>
      <c r="Y85" s="244">
        <f t="shared" si="18"/>
        <v>0.40482403752742036</v>
      </c>
      <c r="Z85" s="244">
        <f t="shared" si="19"/>
        <v>87.398473411484474</v>
      </c>
      <c r="AA85" s="244"/>
    </row>
    <row r="86" spans="2:27">
      <c r="B86" s="245" t="s">
        <v>369</v>
      </c>
      <c r="C86" s="301">
        <v>6.7000000000000004E-2</v>
      </c>
      <c r="D86" s="80">
        <v>0.15</v>
      </c>
      <c r="E86" s="80">
        <v>5.8999999999999997E-2</v>
      </c>
      <c r="I86" s="80">
        <v>11</v>
      </c>
      <c r="J86" s="243"/>
      <c r="K86" s="243"/>
      <c r="L86" s="243"/>
      <c r="M86" s="243"/>
      <c r="N86" s="241">
        <f t="shared" si="9"/>
        <v>150</v>
      </c>
      <c r="O86" s="241">
        <f t="shared" si="10"/>
        <v>0.44251679975093255</v>
      </c>
      <c r="P86" s="241"/>
      <c r="Q86" s="241">
        <f>+N86/(1+0.08)^(I86-10)</f>
        <v>138.88888888888889</v>
      </c>
      <c r="R86" s="242">
        <f t="shared" si="12"/>
        <v>59</v>
      </c>
      <c r="S86" s="242">
        <f t="shared" si="13"/>
        <v>0.36452315167825117</v>
      </c>
      <c r="T86" s="242"/>
      <c r="U86" s="242">
        <f>+R86/(1+0.08)^(I86-10)</f>
        <v>54.629629629629626</v>
      </c>
      <c r="V86" s="244">
        <f t="shared" si="15"/>
        <v>57.483802957751656</v>
      </c>
      <c r="W86" s="244">
        <f t="shared" si="16"/>
        <v>29.914670453732814</v>
      </c>
      <c r="X86" s="244">
        <f t="shared" si="17"/>
        <v>87.398473411484474</v>
      </c>
      <c r="Y86" s="244">
        <f t="shared" si="18"/>
        <v>0.41232077896311337</v>
      </c>
      <c r="Z86" s="244"/>
      <c r="AA86" s="244">
        <f>+X86/(1+$E$83)^(I86-10)</f>
        <v>80.924512418041175</v>
      </c>
    </row>
    <row r="87" spans="2:27">
      <c r="B87" s="245" t="s">
        <v>175</v>
      </c>
      <c r="C87" s="80">
        <v>10</v>
      </c>
      <c r="D87" s="80">
        <v>15</v>
      </c>
      <c r="E87" s="80">
        <v>30</v>
      </c>
      <c r="G87" s="80">
        <f>+D98*G85</f>
        <v>383.2253530516777</v>
      </c>
      <c r="H87" s="80">
        <f>+E98*H85</f>
        <v>507.02831277513246</v>
      </c>
      <c r="I87" s="80">
        <v>12</v>
      </c>
      <c r="J87" s="243"/>
      <c r="K87" s="243"/>
      <c r="L87" s="243"/>
      <c r="M87" s="243"/>
      <c r="N87" s="241">
        <f t="shared" si="9"/>
        <v>150</v>
      </c>
      <c r="O87" s="241">
        <f t="shared" si="10"/>
        <v>0.44698666641508339</v>
      </c>
      <c r="P87" s="241"/>
      <c r="Q87" s="241">
        <f t="shared" ref="Q87:Q105" si="20">+N87/(1+0.08)^(I87-10)</f>
        <v>128.60082304526748</v>
      </c>
      <c r="R87" s="242">
        <f t="shared" si="12"/>
        <v>59</v>
      </c>
      <c r="S87" s="242">
        <f t="shared" si="13"/>
        <v>0.36820520371540522</v>
      </c>
      <c r="T87" s="242"/>
      <c r="U87" s="242">
        <f t="shared" ref="U87:U105" si="21">+R87/(1+0.08)^(I87-10)</f>
        <v>50.582990397805212</v>
      </c>
      <c r="V87" s="244">
        <f t="shared" si="15"/>
        <v>57.483802957751656</v>
      </c>
      <c r="W87" s="244">
        <f t="shared" si="16"/>
        <v>29.914670453732814</v>
      </c>
      <c r="X87" s="244">
        <f t="shared" si="17"/>
        <v>87.398473411484474</v>
      </c>
      <c r="Y87" s="244">
        <f t="shared" si="18"/>
        <v>0.41648563531627603</v>
      </c>
      <c r="Z87" s="244"/>
      <c r="AA87" s="244">
        <f t="shared" ref="AA87:AA105" si="22">+X87/(1+$E$83)^(I87-10)</f>
        <v>74.930104090778869</v>
      </c>
    </row>
    <row r="88" spans="2:27">
      <c r="B88" s="245" t="s">
        <v>421</v>
      </c>
      <c r="C88" s="80">
        <v>1000</v>
      </c>
      <c r="D88" s="80">
        <v>1000</v>
      </c>
      <c r="E88" s="80">
        <v>1000</v>
      </c>
      <c r="I88" s="80">
        <v>13</v>
      </c>
      <c r="J88" s="243"/>
      <c r="K88" s="243"/>
      <c r="L88" s="243"/>
      <c r="M88" s="243"/>
      <c r="N88" s="241">
        <f t="shared" si="9"/>
        <v>150</v>
      </c>
      <c r="O88" s="241">
        <f t="shared" si="10"/>
        <v>0.44836625489167314</v>
      </c>
      <c r="P88" s="241"/>
      <c r="Q88" s="241">
        <f t="shared" si="20"/>
        <v>119.07483615302544</v>
      </c>
      <c r="R88" s="242">
        <f t="shared" si="12"/>
        <v>59</v>
      </c>
      <c r="S88" s="242">
        <f t="shared" si="13"/>
        <v>0.36934163952934163</v>
      </c>
      <c r="T88" s="242"/>
      <c r="U88" s="242">
        <f t="shared" si="21"/>
        <v>46.836102220190007</v>
      </c>
      <c r="V88" s="244">
        <f t="shared" si="15"/>
        <v>57.483802957751656</v>
      </c>
      <c r="W88" s="244">
        <f t="shared" si="16"/>
        <v>29.914670453732814</v>
      </c>
      <c r="X88" s="244">
        <f t="shared" si="17"/>
        <v>87.398473411484474</v>
      </c>
      <c r="Y88" s="244">
        <f t="shared" si="18"/>
        <v>0.41777108480799297</v>
      </c>
      <c r="Z88" s="244"/>
      <c r="AA88" s="244">
        <f t="shared" si="22"/>
        <v>69.37972600998043</v>
      </c>
    </row>
    <row r="89" spans="2:27">
      <c r="B89" s="245" t="s">
        <v>115</v>
      </c>
      <c r="C89" s="303">
        <f>J75</f>
        <v>881.73497811208688</v>
      </c>
      <c r="D89" s="80">
        <f>N75</f>
        <v>1599.1635081548452</v>
      </c>
      <c r="E89" s="80">
        <f>R75</f>
        <v>763.58654979432231</v>
      </c>
      <c r="I89" s="80">
        <v>14</v>
      </c>
      <c r="J89" s="243"/>
      <c r="K89" s="243"/>
      <c r="L89" s="243"/>
      <c r="M89" s="243"/>
      <c r="N89" s="241">
        <f t="shared" si="9"/>
        <v>150</v>
      </c>
      <c r="O89" s="241">
        <f t="shared" si="10"/>
        <v>0.44708885815409</v>
      </c>
      <c r="P89" s="241"/>
      <c r="Q89" s="241">
        <f t="shared" si="20"/>
        <v>110.25447791946799</v>
      </c>
      <c r="R89" s="242">
        <f t="shared" si="12"/>
        <v>59</v>
      </c>
      <c r="S89" s="242">
        <f t="shared" si="13"/>
        <v>0.36828938414606704</v>
      </c>
      <c r="T89" s="242"/>
      <c r="U89" s="242">
        <f t="shared" si="21"/>
        <v>43.36676131499074</v>
      </c>
      <c r="V89" s="244">
        <f t="shared" si="15"/>
        <v>57.483802957751656</v>
      </c>
      <c r="W89" s="244">
        <f t="shared" si="16"/>
        <v>29.914670453732814</v>
      </c>
      <c r="X89" s="244">
        <f t="shared" si="17"/>
        <v>87.398473411484474</v>
      </c>
      <c r="Y89" s="244">
        <f t="shared" si="18"/>
        <v>0.41658085379714394</v>
      </c>
      <c r="Z89" s="244"/>
      <c r="AA89" s="244">
        <f t="shared" si="22"/>
        <v>64.240487046278162</v>
      </c>
    </row>
    <row r="90" spans="2:27">
      <c r="I90" s="80">
        <v>15</v>
      </c>
      <c r="J90" s="243"/>
      <c r="K90" s="243"/>
      <c r="L90" s="243"/>
      <c r="M90" s="243"/>
      <c r="N90" s="241">
        <f>$D$88*$D$86+$D$88</f>
        <v>1150</v>
      </c>
      <c r="O90" s="241">
        <f t="shared" si="10"/>
        <v>3.4004774264365305</v>
      </c>
      <c r="P90" s="241"/>
      <c r="Q90" s="241">
        <f t="shared" si="20"/>
        <v>782.67067658881592</v>
      </c>
      <c r="R90" s="242">
        <f t="shared" si="12"/>
        <v>59</v>
      </c>
      <c r="S90" s="242">
        <f t="shared" si="13"/>
        <v>0.36536645252586014</v>
      </c>
      <c r="T90" s="242"/>
      <c r="U90" s="242">
        <f t="shared" si="21"/>
        <v>40.154408624991426</v>
      </c>
      <c r="V90" s="244">
        <f>+$G$87*$D$86+$G$87</f>
        <v>440.70915600942936</v>
      </c>
      <c r="W90" s="244">
        <f t="shared" si="16"/>
        <v>29.914670453732814</v>
      </c>
      <c r="X90" s="244">
        <f t="shared" si="17"/>
        <v>470.62382646316217</v>
      </c>
      <c r="Y90" s="244">
        <f t="shared" si="18"/>
        <v>2.2254038617772762</v>
      </c>
      <c r="Z90" s="244"/>
      <c r="AA90" s="244">
        <f t="shared" si="22"/>
        <v>320.29866841455708</v>
      </c>
    </row>
    <row r="91" spans="2:27">
      <c r="I91" s="80">
        <v>16</v>
      </c>
      <c r="J91" s="243"/>
      <c r="K91" s="243"/>
      <c r="L91" s="243"/>
      <c r="M91" s="243"/>
      <c r="N91" s="241"/>
      <c r="O91" s="241"/>
      <c r="P91" s="241"/>
      <c r="Q91" s="241">
        <f t="shared" si="20"/>
        <v>0</v>
      </c>
      <c r="R91" s="242">
        <f t="shared" si="12"/>
        <v>59</v>
      </c>
      <c r="S91" s="242">
        <f t="shared" si="13"/>
        <v>0.36085575558109645</v>
      </c>
      <c r="T91" s="242"/>
      <c r="U91" s="242">
        <f t="shared" si="21"/>
        <v>37.18000798610317</v>
      </c>
      <c r="V91" s="244"/>
      <c r="W91" s="244">
        <f t="shared" si="16"/>
        <v>29.914670453732814</v>
      </c>
      <c r="X91" s="244">
        <f t="shared" si="17"/>
        <v>29.914670453732814</v>
      </c>
      <c r="Y91" s="244">
        <f t="shared" si="18"/>
        <v>0.13970891433077728</v>
      </c>
      <c r="Z91" s="244"/>
      <c r="AA91" s="244">
        <f t="shared" si="22"/>
        <v>18.85131671815984</v>
      </c>
    </row>
    <row r="92" spans="2:27">
      <c r="B92" s="245" t="s">
        <v>422</v>
      </c>
      <c r="I92" s="80">
        <v>17</v>
      </c>
      <c r="J92" s="243"/>
      <c r="K92" s="243"/>
      <c r="L92" s="243"/>
      <c r="M92" s="243"/>
      <c r="N92" s="241"/>
      <c r="O92" s="241"/>
      <c r="P92" s="241"/>
      <c r="Q92" s="241">
        <f t="shared" si="20"/>
        <v>0</v>
      </c>
      <c r="R92" s="242">
        <f t="shared" si="12"/>
        <v>59</v>
      </c>
      <c r="S92" s="242">
        <f t="shared" si="13"/>
        <v>0.35500855583788421</v>
      </c>
      <c r="T92" s="242"/>
      <c r="U92" s="242">
        <f t="shared" si="21"/>
        <v>34.425933320465894</v>
      </c>
      <c r="V92" s="244"/>
      <c r="W92" s="244">
        <f t="shared" si="16"/>
        <v>29.914670453732814</v>
      </c>
      <c r="X92" s="244">
        <f t="shared" si="17"/>
        <v>29.914670453732814</v>
      </c>
      <c r="Y92" s="244">
        <f t="shared" si="18"/>
        <v>0.13744511247819527</v>
      </c>
      <c r="Z92" s="244"/>
      <c r="AA92" s="244">
        <f t="shared" si="22"/>
        <v>17.454922887185035</v>
      </c>
    </row>
    <row r="93" spans="2:27">
      <c r="I93" s="80">
        <v>18</v>
      </c>
      <c r="J93" s="243"/>
      <c r="K93" s="243"/>
      <c r="L93" s="243"/>
      <c r="M93" s="243"/>
      <c r="N93" s="241"/>
      <c r="O93" s="241"/>
      <c r="P93" s="241"/>
      <c r="Q93" s="241">
        <f t="shared" si="20"/>
        <v>0</v>
      </c>
      <c r="R93" s="242">
        <f t="shared" si="12"/>
        <v>59</v>
      </c>
      <c r="S93" s="242">
        <f t="shared" si="13"/>
        <v>0.34804760376263155</v>
      </c>
      <c r="T93" s="242"/>
      <c r="U93" s="242">
        <f t="shared" si="21"/>
        <v>31.875864185616571</v>
      </c>
      <c r="V93" s="244"/>
      <c r="W93" s="244">
        <f t="shared" si="16"/>
        <v>29.914670453732814</v>
      </c>
      <c r="X93" s="244">
        <f t="shared" si="17"/>
        <v>29.914670453732814</v>
      </c>
      <c r="Y93" s="244">
        <f t="shared" si="18"/>
        <v>0.13475011027274045</v>
      </c>
      <c r="Z93" s="244"/>
      <c r="AA93" s="244">
        <f t="shared" si="22"/>
        <v>16.161965636282442</v>
      </c>
    </row>
    <row r="94" spans="2:27">
      <c r="F94" s="80">
        <v>500000</v>
      </c>
      <c r="I94" s="80">
        <v>19</v>
      </c>
      <c r="J94" s="243"/>
      <c r="K94" s="243"/>
      <c r="L94" s="243"/>
      <c r="M94" s="243"/>
      <c r="N94" s="241"/>
      <c r="O94" s="241"/>
      <c r="P94" s="241"/>
      <c r="Q94" s="241">
        <f t="shared" si="20"/>
        <v>0</v>
      </c>
      <c r="R94" s="242">
        <f t="shared" si="12"/>
        <v>59</v>
      </c>
      <c r="S94" s="242">
        <f t="shared" si="13"/>
        <v>0.34016998310133739</v>
      </c>
      <c r="T94" s="242"/>
      <c r="U94" s="242">
        <f t="shared" si="21"/>
        <v>29.51468906075608</v>
      </c>
      <c r="V94" s="244"/>
      <c r="W94" s="244">
        <f t="shared" si="16"/>
        <v>29.914670453732814</v>
      </c>
      <c r="X94" s="244">
        <f t="shared" si="17"/>
        <v>29.914670453732814</v>
      </c>
      <c r="Y94" s="244">
        <f t="shared" si="18"/>
        <v>0.13170021065751381</v>
      </c>
      <c r="Z94" s="244"/>
      <c r="AA94" s="244">
        <f t="shared" si="22"/>
        <v>14.964782996557814</v>
      </c>
    </row>
    <row r="95" spans="2:27">
      <c r="B95" s="296"/>
      <c r="C95" s="296" t="s">
        <v>357</v>
      </c>
      <c r="D95" s="296" t="s">
        <v>358</v>
      </c>
      <c r="E95" s="296" t="s">
        <v>305</v>
      </c>
      <c r="F95" s="296" t="s">
        <v>357</v>
      </c>
      <c r="G95" s="296" t="s">
        <v>358</v>
      </c>
      <c r="H95" s="296" t="s">
        <v>305</v>
      </c>
      <c r="I95" s="80">
        <v>20</v>
      </c>
      <c r="J95" s="243"/>
      <c r="K95" s="243"/>
      <c r="L95" s="243"/>
      <c r="M95" s="243"/>
      <c r="N95" s="241"/>
      <c r="O95" s="241"/>
      <c r="P95" s="241"/>
      <c r="Q95" s="241">
        <f t="shared" si="20"/>
        <v>0</v>
      </c>
      <c r="R95" s="242">
        <f t="shared" si="12"/>
        <v>59</v>
      </c>
      <c r="S95" s="242">
        <f t="shared" si="13"/>
        <v>0.33154969113190785</v>
      </c>
      <c r="T95" s="242"/>
      <c r="U95" s="242">
        <f t="shared" si="21"/>
        <v>27.328415796996371</v>
      </c>
      <c r="V95" s="244"/>
      <c r="W95" s="244">
        <f t="shared" si="16"/>
        <v>29.914670453732814</v>
      </c>
      <c r="X95" s="244">
        <f t="shared" si="17"/>
        <v>29.914670453732814</v>
      </c>
      <c r="Y95" s="244">
        <f t="shared" si="18"/>
        <v>0.12836277841862945</v>
      </c>
      <c r="Z95" s="244"/>
      <c r="AA95" s="244">
        <f t="shared" si="22"/>
        <v>13.856280552368347</v>
      </c>
    </row>
    <row r="96" spans="2:27">
      <c r="B96" s="80" t="s">
        <v>423</v>
      </c>
      <c r="C96" s="80">
        <f>+J75</f>
        <v>881.73497811208688</v>
      </c>
      <c r="D96" s="80">
        <f>+N75</f>
        <v>1599.1635081548452</v>
      </c>
      <c r="E96" s="80">
        <f>+R75</f>
        <v>763.58654979432231</v>
      </c>
      <c r="F96" s="80">
        <f>+C96</f>
        <v>881.73497811208688</v>
      </c>
      <c r="G96" s="80">
        <f>+D96</f>
        <v>1599.1635081548452</v>
      </c>
      <c r="H96" s="80">
        <f>E96</f>
        <v>763.58654979432231</v>
      </c>
      <c r="I96" s="80">
        <v>21</v>
      </c>
      <c r="J96" s="243"/>
      <c r="K96" s="243"/>
      <c r="L96" s="243"/>
      <c r="M96" s="243"/>
      <c r="N96" s="241"/>
      <c r="O96" s="241"/>
      <c r="P96" s="241"/>
      <c r="Q96" s="241">
        <f t="shared" si="20"/>
        <v>0</v>
      </c>
      <c r="R96" s="242">
        <f t="shared" si="12"/>
        <v>59</v>
      </c>
      <c r="S96" s="242">
        <f t="shared" si="13"/>
        <v>0.32233997748935478</v>
      </c>
      <c r="T96" s="242"/>
      <c r="U96" s="242">
        <f t="shared" si="21"/>
        <v>25.304088700922566</v>
      </c>
      <c r="V96" s="244"/>
      <c r="W96" s="244">
        <f t="shared" si="16"/>
        <v>29.914670453732814</v>
      </c>
      <c r="X96" s="244">
        <f t="shared" si="17"/>
        <v>29.914670453732814</v>
      </c>
      <c r="Y96" s="244">
        <f t="shared" si="18"/>
        <v>0.12479714568477862</v>
      </c>
      <c r="Z96" s="244"/>
      <c r="AA96" s="244">
        <f t="shared" si="22"/>
        <v>12.829889400341061</v>
      </c>
    </row>
    <row r="97" spans="2:27">
      <c r="B97" s="80" t="s">
        <v>424</v>
      </c>
      <c r="C97" s="80">
        <f>1000/C96</f>
        <v>1.134127628849583</v>
      </c>
      <c r="D97" s="80">
        <f t="shared" ref="D97:E97" si="23">1000/D96</f>
        <v>0.62532692554610936</v>
      </c>
      <c r="E97" s="80">
        <f t="shared" si="23"/>
        <v>1.3096092384934719</v>
      </c>
      <c r="F97" s="80">
        <f>$F$94/F96</f>
        <v>567.06381442479142</v>
      </c>
      <c r="G97" s="80">
        <f t="shared" ref="G97:H97" si="24">$F$94/G96</f>
        <v>312.66346277305468</v>
      </c>
      <c r="H97" s="80">
        <f t="shared" si="24"/>
        <v>654.80461924673591</v>
      </c>
      <c r="I97" s="80">
        <v>22</v>
      </c>
      <c r="J97" s="243"/>
      <c r="K97" s="243"/>
      <c r="L97" s="243"/>
      <c r="M97" s="243"/>
      <c r="N97" s="241"/>
      <c r="O97" s="241"/>
      <c r="P97" s="241"/>
      <c r="Q97" s="241">
        <f t="shared" si="20"/>
        <v>0</v>
      </c>
      <c r="R97" s="242">
        <f t="shared" si="12"/>
        <v>59</v>
      </c>
      <c r="S97" s="242">
        <f t="shared" si="13"/>
        <v>0.31267546317309541</v>
      </c>
      <c r="T97" s="242"/>
      <c r="U97" s="242">
        <f t="shared" si="21"/>
        <v>23.429711760113484</v>
      </c>
      <c r="V97" s="244"/>
      <c r="W97" s="244">
        <f t="shared" si="16"/>
        <v>29.914670453732814</v>
      </c>
      <c r="X97" s="244">
        <f t="shared" si="17"/>
        <v>29.914670453732814</v>
      </c>
      <c r="Y97" s="244">
        <f t="shared" si="18"/>
        <v>0.12105543232209563</v>
      </c>
      <c r="Z97" s="244"/>
      <c r="AA97" s="244">
        <f t="shared" si="22"/>
        <v>11.87952722253802</v>
      </c>
    </row>
    <row r="98" spans="2:27">
      <c r="B98" s="298" t="s">
        <v>448</v>
      </c>
      <c r="C98" s="80">
        <f>1000*C97</f>
        <v>1134.1276288495831</v>
      </c>
      <c r="D98" s="80">
        <f t="shared" ref="D98:E98" si="25">1000*D97</f>
        <v>625.32692554610935</v>
      </c>
      <c r="E98" s="80">
        <f t="shared" si="25"/>
        <v>1309.6092384934718</v>
      </c>
      <c r="F98" s="80">
        <f>1000*F97</f>
        <v>567063.81442479137</v>
      </c>
      <c r="G98" s="80">
        <f t="shared" ref="G98:H98" si="26">1000*G97</f>
        <v>312663.46277305466</v>
      </c>
      <c r="H98" s="80">
        <f t="shared" si="26"/>
        <v>654804.61924673594</v>
      </c>
      <c r="I98" s="80">
        <v>23</v>
      </c>
      <c r="J98" s="243"/>
      <c r="K98" s="243"/>
      <c r="L98" s="243"/>
      <c r="M98" s="243"/>
      <c r="N98" s="241"/>
      <c r="O98" s="241"/>
      <c r="P98" s="241"/>
      <c r="Q98" s="241">
        <f t="shared" si="20"/>
        <v>0</v>
      </c>
      <c r="R98" s="242">
        <f t="shared" si="12"/>
        <v>59</v>
      </c>
      <c r="S98" s="242">
        <f t="shared" si="13"/>
        <v>0.30267405946890552</v>
      </c>
      <c r="T98" s="242"/>
      <c r="U98" s="242">
        <f t="shared" si="21"/>
        <v>21.694177555660634</v>
      </c>
      <c r="V98" s="244"/>
      <c r="W98" s="244">
        <f t="shared" si="16"/>
        <v>29.914670453732814</v>
      </c>
      <c r="X98" s="244">
        <f t="shared" si="17"/>
        <v>29.914670453732814</v>
      </c>
      <c r="Y98" s="244">
        <f t="shared" si="18"/>
        <v>0.11718328886398147</v>
      </c>
      <c r="Z98" s="244"/>
      <c r="AA98" s="244">
        <f t="shared" si="22"/>
        <v>10.999562243090759</v>
      </c>
    </row>
    <row r="99" spans="2:27">
      <c r="B99" s="80" t="s">
        <v>407</v>
      </c>
      <c r="C99" s="80">
        <f>+K75</f>
        <v>7.3850063432956432</v>
      </c>
      <c r="D99" s="80">
        <f>+O75</f>
        <v>8.2514370157175261</v>
      </c>
      <c r="E99" s="80">
        <f>+S75</f>
        <v>12.767931715477172</v>
      </c>
      <c r="F99" s="80">
        <f>+N75</f>
        <v>1599.1635081548452</v>
      </c>
      <c r="G99" s="80">
        <f>+R75</f>
        <v>763.58654979432231</v>
      </c>
      <c r="H99" s="80">
        <f>+V75</f>
        <v>612.84</v>
      </c>
      <c r="I99" s="80">
        <v>24</v>
      </c>
      <c r="J99" s="243"/>
      <c r="K99" s="243"/>
      <c r="L99" s="243"/>
      <c r="M99" s="243"/>
      <c r="N99" s="241"/>
      <c r="O99" s="241"/>
      <c r="P99" s="241"/>
      <c r="Q99" s="241">
        <f t="shared" si="20"/>
        <v>0</v>
      </c>
      <c r="R99" s="242">
        <f t="shared" si="12"/>
        <v>59</v>
      </c>
      <c r="S99" s="242">
        <f t="shared" si="13"/>
        <v>0.29243870480087492</v>
      </c>
      <c r="T99" s="242"/>
      <c r="U99" s="242">
        <f t="shared" si="21"/>
        <v>20.087201440426508</v>
      </c>
      <c r="V99" s="244"/>
      <c r="W99" s="244">
        <f t="shared" si="16"/>
        <v>29.914670453732814</v>
      </c>
      <c r="X99" s="244">
        <f t="shared" si="17"/>
        <v>29.914670453732814</v>
      </c>
      <c r="Y99" s="244">
        <f t="shared" si="18"/>
        <v>0.11322056895070673</v>
      </c>
      <c r="Z99" s="244"/>
      <c r="AA99" s="244">
        <f t="shared" si="22"/>
        <v>10.184779854713662</v>
      </c>
    </row>
    <row r="100" spans="2:27">
      <c r="I100" s="80">
        <v>25</v>
      </c>
      <c r="J100" s="243"/>
      <c r="K100" s="243"/>
      <c r="L100" s="243"/>
      <c r="M100" s="243"/>
      <c r="N100" s="241"/>
      <c r="O100" s="241"/>
      <c r="P100" s="241"/>
      <c r="Q100" s="241">
        <f t="shared" si="20"/>
        <v>0</v>
      </c>
      <c r="R100" s="242">
        <f t="shared" si="12"/>
        <v>59</v>
      </c>
      <c r="S100" s="242">
        <f t="shared" si="13"/>
        <v>0.28205893595763393</v>
      </c>
      <c r="T100" s="242"/>
      <c r="U100" s="242">
        <f t="shared" si="21"/>
        <v>18.599260592987509</v>
      </c>
      <c r="V100" s="244"/>
      <c r="W100" s="244">
        <f t="shared" si="16"/>
        <v>29.914670453732814</v>
      </c>
      <c r="X100" s="244">
        <f t="shared" si="17"/>
        <v>29.914670453732814</v>
      </c>
      <c r="Y100" s="244">
        <f t="shared" si="18"/>
        <v>0.10920193764535754</v>
      </c>
      <c r="Z100" s="244"/>
      <c r="AA100" s="244">
        <f t="shared" si="22"/>
        <v>9.4303517173274649</v>
      </c>
    </row>
    <row r="101" spans="2:27">
      <c r="I101" s="80">
        <v>26</v>
      </c>
      <c r="J101" s="243"/>
      <c r="K101" s="243"/>
      <c r="L101" s="243"/>
      <c r="M101" s="243"/>
      <c r="N101" s="241"/>
      <c r="O101" s="241"/>
      <c r="P101" s="241"/>
      <c r="Q101" s="241">
        <f t="shared" si="20"/>
        <v>0</v>
      </c>
      <c r="R101" s="242">
        <f t="shared" si="12"/>
        <v>59</v>
      </c>
      <c r="S101" s="242">
        <f t="shared" si="13"/>
        <v>0.27161230869994379</v>
      </c>
      <c r="T101" s="242"/>
      <c r="U101" s="242">
        <f t="shared" si="21"/>
        <v>17.221537586099544</v>
      </c>
      <c r="V101" s="244"/>
      <c r="W101" s="244">
        <f t="shared" si="16"/>
        <v>29.914670453732814</v>
      </c>
      <c r="X101" s="244">
        <f t="shared" si="17"/>
        <v>29.914670453732814</v>
      </c>
      <c r="Y101" s="244">
        <f t="shared" si="18"/>
        <v>0.10515742143627024</v>
      </c>
      <c r="Z101" s="244"/>
      <c r="AA101" s="244">
        <f t="shared" si="22"/>
        <v>8.7318071456735797</v>
      </c>
    </row>
    <row r="102" spans="2:27">
      <c r="I102" s="80">
        <v>27</v>
      </c>
      <c r="J102" s="243"/>
      <c r="K102" s="243"/>
      <c r="L102" s="243"/>
      <c r="M102" s="243"/>
      <c r="N102" s="241"/>
      <c r="O102" s="241"/>
      <c r="P102" s="241"/>
      <c r="Q102" s="241">
        <f t="shared" si="20"/>
        <v>0</v>
      </c>
      <c r="R102" s="242">
        <f t="shared" si="12"/>
        <v>59</v>
      </c>
      <c r="S102" s="242">
        <f t="shared" si="13"/>
        <v>0.26116568144225366</v>
      </c>
      <c r="T102" s="242"/>
      <c r="U102" s="242">
        <f t="shared" si="21"/>
        <v>15.945868135277356</v>
      </c>
      <c r="V102" s="244"/>
      <c r="W102" s="244">
        <f t="shared" si="16"/>
        <v>29.914670453732814</v>
      </c>
      <c r="X102" s="244">
        <f t="shared" si="17"/>
        <v>29.914670453732814</v>
      </c>
      <c r="Y102" s="244">
        <f t="shared" si="18"/>
        <v>0.10111290522718291</v>
      </c>
      <c r="Z102" s="244"/>
      <c r="AA102" s="244">
        <f t="shared" si="22"/>
        <v>8.0850066163644243</v>
      </c>
    </row>
    <row r="103" spans="2:27">
      <c r="B103" s="296"/>
      <c r="C103" s="296" t="s">
        <v>357</v>
      </c>
      <c r="D103" s="296" t="s">
        <v>358</v>
      </c>
      <c r="E103" s="296" t="s">
        <v>305</v>
      </c>
      <c r="I103" s="80">
        <v>28</v>
      </c>
      <c r="J103" s="243"/>
      <c r="K103" s="243"/>
      <c r="L103" s="243"/>
      <c r="M103" s="243"/>
      <c r="N103" s="241"/>
      <c r="O103" s="241"/>
      <c r="P103" s="241"/>
      <c r="Q103" s="241">
        <f t="shared" si="20"/>
        <v>0</v>
      </c>
      <c r="R103" s="242">
        <f t="shared" si="12"/>
        <v>59</v>
      </c>
      <c r="S103" s="242">
        <f t="shared" si="13"/>
        <v>0.25077637449873463</v>
      </c>
      <c r="T103" s="242"/>
      <c r="U103" s="242">
        <f t="shared" si="21"/>
        <v>14.764692717849401</v>
      </c>
      <c r="V103" s="244"/>
      <c r="W103" s="244">
        <f t="shared" si="16"/>
        <v>29.914670453732814</v>
      </c>
      <c r="X103" s="244">
        <f t="shared" si="17"/>
        <v>29.914670453732814</v>
      </c>
      <c r="Y103" s="244">
        <f t="shared" si="18"/>
        <v>9.7090581150930097E-2</v>
      </c>
      <c r="Z103" s="244"/>
      <c r="AA103" s="244">
        <f t="shared" si="22"/>
        <v>7.4861172373744669</v>
      </c>
    </row>
    <row r="104" spans="2:27">
      <c r="B104" s="80" t="s">
        <v>408</v>
      </c>
      <c r="C104" s="80">
        <f>+L75</f>
        <v>970.59968521595908</v>
      </c>
      <c r="D104" s="80">
        <f>+P75</f>
        <v>2172.9843698864761</v>
      </c>
      <c r="E104" s="80">
        <f>+T75</f>
        <v>854.70718548868047</v>
      </c>
      <c r="I104" s="80">
        <v>29</v>
      </c>
      <c r="J104" s="243"/>
      <c r="K104" s="243"/>
      <c r="L104" s="243"/>
      <c r="M104" s="243"/>
      <c r="N104" s="241"/>
      <c r="O104" s="241"/>
      <c r="P104" s="241"/>
      <c r="Q104" s="241">
        <f t="shared" si="20"/>
        <v>0</v>
      </c>
      <c r="R104" s="242">
        <f t="shared" si="12"/>
        <v>59</v>
      </c>
      <c r="S104" s="242">
        <f t="shared" si="13"/>
        <v>0.24049321628516218</v>
      </c>
      <c r="T104" s="242"/>
      <c r="U104" s="242">
        <f t="shared" si="21"/>
        <v>13.671011775786482</v>
      </c>
      <c r="V104" s="244"/>
      <c r="W104" s="244">
        <f t="shared" si="16"/>
        <v>29.914670453732814</v>
      </c>
      <c r="X104" s="244">
        <f t="shared" si="17"/>
        <v>29.914670453732814</v>
      </c>
      <c r="Y104" s="244">
        <f t="shared" si="18"/>
        <v>9.3109353616963389E-2</v>
      </c>
      <c r="Z104" s="244"/>
      <c r="AA104" s="244">
        <f t="shared" si="22"/>
        <v>6.9315900346059873</v>
      </c>
    </row>
    <row r="105" spans="2:27">
      <c r="B105" s="80" t="s">
        <v>409</v>
      </c>
      <c r="C105" s="80">
        <f>+M75</f>
        <v>1000</v>
      </c>
      <c r="D105" s="80">
        <f>+Q75</f>
        <v>1279.4897025954658</v>
      </c>
      <c r="E105" s="80">
        <f>+U75</f>
        <v>793.81890444356452</v>
      </c>
      <c r="I105" s="80">
        <v>30</v>
      </c>
      <c r="J105" s="243"/>
      <c r="K105" s="243"/>
      <c r="L105" s="243"/>
      <c r="M105" s="243"/>
      <c r="N105" s="241"/>
      <c r="O105" s="241"/>
      <c r="P105" s="241"/>
      <c r="Q105" s="241">
        <f t="shared" si="20"/>
        <v>0</v>
      </c>
      <c r="R105" s="242">
        <f>$E$88*$E$86+$E$88</f>
        <v>1059</v>
      </c>
      <c r="S105" s="242">
        <f t="shared" si="13"/>
        <v>4.1347216709849137</v>
      </c>
      <c r="T105" s="242"/>
      <c r="U105" s="242">
        <f t="shared" si="21"/>
        <v>227.20655164089587</v>
      </c>
      <c r="V105" s="244"/>
      <c r="W105" s="244">
        <f>$H$87*$E$86+H87</f>
        <v>536.94298322886527</v>
      </c>
      <c r="X105" s="244">
        <f t="shared" si="17"/>
        <v>536.94298322886527</v>
      </c>
      <c r="Y105" s="244">
        <f t="shared" si="18"/>
        <v>1.6007988421385189</v>
      </c>
      <c r="Z105" s="244"/>
      <c r="AA105" s="244">
        <f t="shared" si="22"/>
        <v>115.20015452993944</v>
      </c>
    </row>
    <row r="106" spans="2:27">
      <c r="B106" s="80" t="s">
        <v>425</v>
      </c>
      <c r="C106" s="80">
        <f>+C105+C104</f>
        <v>1970.5996852159592</v>
      </c>
      <c r="D106" s="80">
        <f>+D105+D104</f>
        <v>3452.4740724819421</v>
      </c>
      <c r="E106" s="80">
        <f>+E105+E104</f>
        <v>1648.526089932245</v>
      </c>
    </row>
    <row r="107" spans="2:27">
      <c r="B107" s="80" t="s">
        <v>426</v>
      </c>
      <c r="C107" s="80">
        <f>1000/C96</f>
        <v>1.134127628849583</v>
      </c>
      <c r="D107" s="80">
        <f t="shared" ref="D107:E107" si="27">1000/D96</f>
        <v>0.62532692554610936</v>
      </c>
      <c r="E107" s="80">
        <f t="shared" si="27"/>
        <v>1.3096092384934719</v>
      </c>
    </row>
    <row r="108" spans="2:27">
      <c r="B108" s="80" t="s">
        <v>427</v>
      </c>
      <c r="C108" s="80">
        <f>+C107*C106</f>
        <v>2234.9115484057102</v>
      </c>
      <c r="D108" s="80">
        <f t="shared" ref="D108:E108" si="28">+D107*D106</f>
        <v>2158.9249972727885</v>
      </c>
      <c r="E108" s="80">
        <f t="shared" si="28"/>
        <v>2158.924997272788</v>
      </c>
    </row>
    <row r="112" spans="2:27">
      <c r="B112" s="299" t="s">
        <v>428</v>
      </c>
      <c r="C112" s="296" t="s">
        <v>357</v>
      </c>
      <c r="D112" s="296" t="s">
        <v>358</v>
      </c>
      <c r="E112" s="296" t="s">
        <v>305</v>
      </c>
      <c r="F112" s="296" t="s">
        <v>403</v>
      </c>
    </row>
  </sheetData>
  <mergeCells count="5">
    <mergeCell ref="J73:M73"/>
    <mergeCell ref="N73:Q73"/>
    <mergeCell ref="R73:U73"/>
    <mergeCell ref="V73:AA73"/>
    <mergeCell ref="G83:H83"/>
  </mergeCells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14</vt:i4>
      </vt:variant>
    </vt:vector>
  </HeadingPairs>
  <TitlesOfParts>
    <vt:vector size="25" baseType="lpstr">
      <vt:lpstr>PROGRAMA</vt:lpstr>
      <vt:lpstr>NOTAS</vt:lpstr>
      <vt:lpstr>DUMRAUF_BONOS_2</vt:lpstr>
      <vt:lpstr>B_EJS</vt:lpstr>
      <vt:lpstr>B_01_C4_VAL</vt:lpstr>
      <vt:lpstr>B_02_C5_PR</vt:lpstr>
      <vt:lpstr>B_03_C5_INDIC</vt:lpstr>
      <vt:lpstr>B_04_C6_TIR</vt:lpstr>
      <vt:lpstr>BR_01_C7_DUR</vt:lpstr>
      <vt:lpstr>BR_02_C8_PPV_IM</vt:lpstr>
      <vt:lpstr>BR_02_C9_EJ</vt:lpstr>
      <vt:lpstr>B_01_C4_VAL!CR</vt:lpstr>
      <vt:lpstr>B_02_C5_PR!CR</vt:lpstr>
      <vt:lpstr>B_01_C4_VAL!FV</vt:lpstr>
      <vt:lpstr>B_02_C5_PR!FV</vt:lpstr>
      <vt:lpstr>B_01_C4_VAL!NOP</vt:lpstr>
      <vt:lpstr>B_02_C5_PR!NOP</vt:lpstr>
      <vt:lpstr>B_01_C4_VAL!PMT</vt:lpstr>
      <vt:lpstr>PMT</vt:lpstr>
      <vt:lpstr>RATE</vt:lpstr>
      <vt:lpstr>RATE_YCA6O</vt:lpstr>
      <vt:lpstr>TIR</vt:lpstr>
      <vt:lpstr>VN_YCA6O</vt:lpstr>
      <vt:lpstr>B_01_C4_VAL!y</vt:lpstr>
      <vt:lpstr>B_02_C5_PR!y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López</dc:creator>
  <cp:lastModifiedBy>Federico Lopez</cp:lastModifiedBy>
  <dcterms:created xsi:type="dcterms:W3CDTF">2023-04-03T17:42:53Z</dcterms:created>
  <dcterms:modified xsi:type="dcterms:W3CDTF">2023-07-06T22:22:01Z</dcterms:modified>
</cp:coreProperties>
</file>